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M:\Research\Practice Research\HP109-Medicaid Margins\Final Web Materials\"/>
    </mc:Choice>
  </mc:AlternateContent>
  <bookViews>
    <workbookView xWindow="12705" yWindow="5430" windowWidth="7455" windowHeight="2880" tabRatio="865" firstSheet="4" activeTab="4"/>
  </bookViews>
  <sheets>
    <sheet name="Growth" sheetId="68" state="veryHidden" r:id="rId1"/>
    <sheet name="Co_vs_Ind" sheetId="67" state="veryHidden" r:id="rId2"/>
    <sheet name="Rollup" sheetId="69" state="veryHidden" r:id="rId3"/>
    <sheet name="___snlqueryparms" sheetId="4" state="veryHidden" r:id="rId4"/>
    <sheet name="Ratebook summary" sheetId="87" r:id="rId5"/>
    <sheet name="Margin breakdown graphs" sheetId="88" state="hidden" r:id="rId6"/>
    <sheet name="2015" sheetId="74" r:id="rId7"/>
    <sheet name="2014" sheetId="73" r:id="rId8"/>
    <sheet name="2013" sheetId="72" r:id="rId9"/>
    <sheet name="2015 Revenue Ranking by Corp" sheetId="78" state="hidden" r:id="rId10"/>
    <sheet name="2015 MM Ranking by Corp" sheetId="79" state="hidden" r:id="rId11"/>
    <sheet name="2014 Revenue Ranking by Corp" sheetId="75" state="hidden" r:id="rId12"/>
    <sheet name="2013 Revenue Ranking by Corp" sheetId="77" state="hidden" r:id="rId13"/>
  </sheets>
  <definedNames>
    <definedName name="_xlnm._FilterDatabase" localSheetId="8" hidden="1">'2013'!$A$3:$BF$201</definedName>
    <definedName name="_xlnm._FilterDatabase" localSheetId="12" hidden="1">'2013 Revenue Ranking by Corp'!$C$1:$E$1</definedName>
    <definedName name="_xlnm._FilterDatabase" localSheetId="7" hidden="1">'2014'!$A$3:$BE$222</definedName>
    <definedName name="_xlnm._FilterDatabase" localSheetId="11" hidden="1">'2014 Revenue Ranking by Corp'!$D$1:$D$233</definedName>
    <definedName name="_xlnm._FilterDatabase" localSheetId="6" hidden="1">'2015'!$A$3:$BE$231</definedName>
    <definedName name="_xlnm._FilterDatabase" localSheetId="9" hidden="1">'2015 Revenue Ranking by Corp'!$B$1:$D$1</definedName>
    <definedName name="_xlnm._FilterDatabase" localSheetId="4" hidden="1">'Ratebook summary'!$A$4:$E$55</definedName>
    <definedName name="Check_1" localSheetId="12">#REF!</definedName>
    <definedName name="Check_1" localSheetId="9">#REF!</definedName>
    <definedName name="Check_1" localSheetId="5">#REF!</definedName>
    <definedName name="Check_1">#REF!</definedName>
    <definedName name="Check_10" localSheetId="12">#REF!</definedName>
    <definedName name="Check_10" localSheetId="9">#REF!</definedName>
    <definedName name="Check_10" localSheetId="5">#REF!</definedName>
    <definedName name="Check_10">#REF!</definedName>
    <definedName name="Check_11" localSheetId="12">#REF!</definedName>
    <definedName name="Check_11" localSheetId="9">#REF!</definedName>
    <definedName name="Check_11" localSheetId="5">#REF!</definedName>
    <definedName name="Check_11">#REF!</definedName>
    <definedName name="Check_12" localSheetId="12">#REF!</definedName>
    <definedName name="Check_12" localSheetId="9">#REF!</definedName>
    <definedName name="Check_12" localSheetId="5">#REF!</definedName>
    <definedName name="Check_12">#REF!</definedName>
    <definedName name="Check_13" localSheetId="12">#REF!</definedName>
    <definedName name="Check_13" localSheetId="9">#REF!</definedName>
    <definedName name="Check_13" localSheetId="5">#REF!</definedName>
    <definedName name="Check_13">#REF!</definedName>
    <definedName name="Check_14" localSheetId="12">#REF!</definedName>
    <definedName name="Check_14" localSheetId="9">#REF!</definedName>
    <definedName name="Check_14" localSheetId="5">#REF!</definedName>
    <definedName name="Check_14">#REF!</definedName>
    <definedName name="Check_15" localSheetId="12">#REF!</definedName>
    <definedName name="Check_15" localSheetId="9">#REF!</definedName>
    <definedName name="Check_15" localSheetId="5">#REF!</definedName>
    <definedName name="Check_15">#REF!</definedName>
    <definedName name="Check_16" localSheetId="12">#REF!</definedName>
    <definedName name="Check_16" localSheetId="9">#REF!</definedName>
    <definedName name="Check_16" localSheetId="5">#REF!</definedName>
    <definedName name="Check_16">#REF!</definedName>
    <definedName name="Check_17" localSheetId="12">#REF!</definedName>
    <definedName name="Check_17" localSheetId="9">#REF!</definedName>
    <definedName name="Check_17" localSheetId="5">#REF!</definedName>
    <definedName name="Check_17">#REF!</definedName>
    <definedName name="Check_18" localSheetId="12">#REF!</definedName>
    <definedName name="Check_18" localSheetId="9">#REF!</definedName>
    <definedName name="Check_18" localSheetId="5">#REF!</definedName>
    <definedName name="Check_18">#REF!</definedName>
    <definedName name="Check_19" localSheetId="12">#REF!</definedName>
    <definedName name="Check_19" localSheetId="9">#REF!</definedName>
    <definedName name="Check_19" localSheetId="5">#REF!</definedName>
    <definedName name="Check_19">#REF!</definedName>
    <definedName name="Check_2" localSheetId="12">#REF!</definedName>
    <definedName name="Check_2" localSheetId="9">#REF!</definedName>
    <definedName name="Check_2" localSheetId="5">#REF!</definedName>
    <definedName name="Check_2">#REF!</definedName>
    <definedName name="Check_20" localSheetId="12">#REF!</definedName>
    <definedName name="Check_20" localSheetId="9">#REF!</definedName>
    <definedName name="Check_20" localSheetId="5">#REF!</definedName>
    <definedName name="Check_20">#REF!</definedName>
    <definedName name="Check_21" localSheetId="12">#REF!</definedName>
    <definedName name="Check_21" localSheetId="9">#REF!</definedName>
    <definedName name="Check_21" localSheetId="5">#REF!</definedName>
    <definedName name="Check_21">#REF!</definedName>
    <definedName name="Check_22" localSheetId="12">#REF!</definedName>
    <definedName name="Check_22" localSheetId="9">#REF!</definedName>
    <definedName name="Check_22" localSheetId="5">#REF!</definedName>
    <definedName name="Check_22">#REF!</definedName>
    <definedName name="Check_23" localSheetId="12">#REF!</definedName>
    <definedName name="Check_23" localSheetId="9">#REF!</definedName>
    <definedName name="Check_23" localSheetId="5">#REF!</definedName>
    <definedName name="Check_23">#REF!</definedName>
    <definedName name="Check_24" localSheetId="12">#REF!</definedName>
    <definedName name="Check_24" localSheetId="9">#REF!</definedName>
    <definedName name="Check_24" localSheetId="5">#REF!</definedName>
    <definedName name="Check_24">#REF!</definedName>
    <definedName name="Check_25" localSheetId="12">#REF!</definedName>
    <definedName name="Check_25" localSheetId="9">#REF!</definedName>
    <definedName name="Check_25" localSheetId="5">#REF!</definedName>
    <definedName name="Check_25">#REF!</definedName>
    <definedName name="Check_26" localSheetId="12">#REF!</definedName>
    <definedName name="Check_26" localSheetId="9">#REF!</definedName>
    <definedName name="Check_26" localSheetId="5">#REF!</definedName>
    <definedName name="Check_26">#REF!</definedName>
    <definedName name="Check_27" localSheetId="12">#REF!</definedName>
    <definedName name="Check_27" localSheetId="9">#REF!</definedName>
    <definedName name="Check_27" localSheetId="5">#REF!</definedName>
    <definedName name="Check_27">#REF!</definedName>
    <definedName name="Check_28" localSheetId="12">#REF!</definedName>
    <definedName name="Check_28" localSheetId="9">#REF!</definedName>
    <definedName name="Check_28" localSheetId="5">#REF!</definedName>
    <definedName name="Check_28">#REF!</definedName>
    <definedName name="Check_29" localSheetId="12">#REF!</definedName>
    <definedName name="Check_29" localSheetId="9">#REF!</definedName>
    <definedName name="Check_29" localSheetId="5">#REF!</definedName>
    <definedName name="Check_29">#REF!</definedName>
    <definedName name="Check_3" localSheetId="12">#REF!</definedName>
    <definedName name="Check_3" localSheetId="9">#REF!</definedName>
    <definedName name="Check_3" localSheetId="5">#REF!</definedName>
    <definedName name="Check_3">#REF!</definedName>
    <definedName name="Check_30" localSheetId="12">#REF!</definedName>
    <definedName name="Check_30" localSheetId="9">#REF!</definedName>
    <definedName name="Check_30" localSheetId="5">#REF!</definedName>
    <definedName name="Check_30">#REF!</definedName>
    <definedName name="Check_31" localSheetId="12">#REF!</definedName>
    <definedName name="Check_31" localSheetId="9">#REF!</definedName>
    <definedName name="Check_31" localSheetId="5">#REF!</definedName>
    <definedName name="Check_31">#REF!</definedName>
    <definedName name="Check_32" localSheetId="12">#REF!</definedName>
    <definedName name="Check_32" localSheetId="9">#REF!</definedName>
    <definedName name="Check_32" localSheetId="5">#REF!</definedName>
    <definedName name="Check_32">#REF!</definedName>
    <definedName name="Check_33" localSheetId="12">#REF!</definedName>
    <definedName name="Check_33" localSheetId="9">#REF!</definedName>
    <definedName name="Check_33" localSheetId="5">#REF!</definedName>
    <definedName name="Check_33">#REF!</definedName>
    <definedName name="Check_34" localSheetId="12">#REF!</definedName>
    <definedName name="Check_34" localSheetId="9">#REF!</definedName>
    <definedName name="Check_34" localSheetId="5">#REF!</definedName>
    <definedName name="Check_34">#REF!</definedName>
    <definedName name="Check_35" localSheetId="12">#REF!</definedName>
    <definedName name="Check_35" localSheetId="9">#REF!</definedName>
    <definedName name="Check_35" localSheetId="5">#REF!</definedName>
    <definedName name="Check_35">#REF!</definedName>
    <definedName name="Check_36" localSheetId="12">#REF!</definedName>
    <definedName name="Check_36" localSheetId="9">#REF!</definedName>
    <definedName name="Check_36" localSheetId="5">#REF!</definedName>
    <definedName name="Check_36">#REF!</definedName>
    <definedName name="Check_37" localSheetId="12">#REF!</definedName>
    <definedName name="Check_37" localSheetId="9">#REF!</definedName>
    <definedName name="Check_37" localSheetId="5">#REF!</definedName>
    <definedName name="Check_37">#REF!</definedName>
    <definedName name="Check_38" localSheetId="12">#REF!</definedName>
    <definedName name="Check_38" localSheetId="9">#REF!</definedName>
    <definedName name="Check_38" localSheetId="5">#REF!</definedName>
    <definedName name="Check_38">#REF!</definedName>
    <definedName name="Check_39" localSheetId="12">#REF!</definedName>
    <definedName name="Check_39" localSheetId="9">#REF!</definedName>
    <definedName name="Check_39" localSheetId="5">#REF!</definedName>
    <definedName name="Check_39">#REF!</definedName>
    <definedName name="Check_4" localSheetId="12">#REF!</definedName>
    <definedName name="Check_4" localSheetId="9">#REF!</definedName>
    <definedName name="Check_4" localSheetId="5">#REF!</definedName>
    <definedName name="Check_4">#REF!</definedName>
    <definedName name="Check_40" localSheetId="12">#REF!</definedName>
    <definedName name="Check_40" localSheetId="9">#REF!</definedName>
    <definedName name="Check_40" localSheetId="5">#REF!</definedName>
    <definedName name="Check_40">#REF!</definedName>
    <definedName name="Check_41" localSheetId="12">#REF!</definedName>
    <definedName name="Check_41" localSheetId="9">#REF!</definedName>
    <definedName name="Check_41" localSheetId="5">#REF!</definedName>
    <definedName name="Check_41">#REF!</definedName>
    <definedName name="Check_42" localSheetId="12">#REF!</definedName>
    <definedName name="Check_42" localSheetId="9">#REF!</definedName>
    <definedName name="Check_42" localSheetId="5">#REF!</definedName>
    <definedName name="Check_42">#REF!</definedName>
    <definedName name="Check_43" localSheetId="12">#REF!</definedName>
    <definedName name="Check_43" localSheetId="9">#REF!</definedName>
    <definedName name="Check_43" localSheetId="5">#REF!</definedName>
    <definedName name="Check_43">#REF!</definedName>
    <definedName name="Check_44" localSheetId="12">#REF!</definedName>
    <definedName name="Check_44" localSheetId="9">#REF!</definedName>
    <definedName name="Check_44" localSheetId="5">#REF!</definedName>
    <definedName name="Check_44">#REF!</definedName>
    <definedName name="Check_45" localSheetId="12">#REF!</definedName>
    <definedName name="Check_45" localSheetId="9">#REF!</definedName>
    <definedName name="Check_45" localSheetId="5">#REF!</definedName>
    <definedName name="Check_45">#REF!</definedName>
    <definedName name="Check_46" localSheetId="12">#REF!</definedName>
    <definedName name="Check_46" localSheetId="9">#REF!</definedName>
    <definedName name="Check_46" localSheetId="5">#REF!</definedName>
    <definedName name="Check_46">#REF!</definedName>
    <definedName name="Check_47" localSheetId="12">#REF!</definedName>
    <definedName name="Check_47" localSheetId="9">#REF!</definedName>
    <definedName name="Check_47" localSheetId="5">#REF!</definedName>
    <definedName name="Check_47">#REF!</definedName>
    <definedName name="Check_48" localSheetId="12">#REF!</definedName>
    <definedName name="Check_48" localSheetId="9">#REF!</definedName>
    <definedName name="Check_48" localSheetId="5">#REF!</definedName>
    <definedName name="Check_48">#REF!</definedName>
    <definedName name="Check_49" localSheetId="12">#REF!</definedName>
    <definedName name="Check_49" localSheetId="9">#REF!</definedName>
    <definedName name="Check_49" localSheetId="5">#REF!</definedName>
    <definedName name="Check_49">#REF!</definedName>
    <definedName name="Check_5" localSheetId="12">#REF!</definedName>
    <definedName name="Check_5" localSheetId="9">#REF!</definedName>
    <definedName name="Check_5" localSheetId="5">#REF!</definedName>
    <definedName name="Check_5">#REF!</definedName>
    <definedName name="Check_50" localSheetId="12">#REF!</definedName>
    <definedName name="Check_50" localSheetId="9">#REF!</definedName>
    <definedName name="Check_50" localSheetId="5">#REF!</definedName>
    <definedName name="Check_50">#REF!</definedName>
    <definedName name="Check_51" localSheetId="12">#REF!</definedName>
    <definedName name="Check_51" localSheetId="9">#REF!</definedName>
    <definedName name="Check_51" localSheetId="5">#REF!</definedName>
    <definedName name="Check_51">#REF!</definedName>
    <definedName name="Check_52" localSheetId="12">#REF!</definedName>
    <definedName name="Check_52" localSheetId="9">#REF!</definedName>
    <definedName name="Check_52" localSheetId="5">#REF!</definedName>
    <definedName name="Check_52">#REF!</definedName>
    <definedName name="Check_53" localSheetId="12">#REF!</definedName>
    <definedName name="Check_53" localSheetId="9">#REF!</definedName>
    <definedName name="Check_53" localSheetId="5">#REF!</definedName>
    <definedName name="Check_53">#REF!</definedName>
    <definedName name="Check_54" localSheetId="12">#REF!</definedName>
    <definedName name="Check_54" localSheetId="9">#REF!</definedName>
    <definedName name="Check_54" localSheetId="5">#REF!</definedName>
    <definedName name="Check_54">#REF!</definedName>
    <definedName name="Check_55" localSheetId="12">#REF!</definedName>
    <definedName name="Check_55" localSheetId="9">#REF!</definedName>
    <definedName name="Check_55" localSheetId="5">#REF!</definedName>
    <definedName name="Check_55">#REF!</definedName>
    <definedName name="Check_56" localSheetId="12">#REF!</definedName>
    <definedName name="Check_56" localSheetId="9">#REF!</definedName>
    <definedName name="Check_56" localSheetId="5">#REF!</definedName>
    <definedName name="Check_56">#REF!</definedName>
    <definedName name="Check_57" localSheetId="12">#REF!</definedName>
    <definedName name="Check_57" localSheetId="9">#REF!</definedName>
    <definedName name="Check_57" localSheetId="5">#REF!</definedName>
    <definedName name="Check_57">#REF!</definedName>
    <definedName name="Check_58" localSheetId="12">#REF!</definedName>
    <definedName name="Check_58" localSheetId="9">#REF!</definedName>
    <definedName name="Check_58" localSheetId="5">#REF!</definedName>
    <definedName name="Check_58">#REF!</definedName>
    <definedName name="Check_59" localSheetId="12">#REF!</definedName>
    <definedName name="Check_59" localSheetId="9">#REF!</definedName>
    <definedName name="Check_59" localSheetId="5">#REF!</definedName>
    <definedName name="Check_59">#REF!</definedName>
    <definedName name="Check_6" localSheetId="12">#REF!</definedName>
    <definedName name="Check_6" localSheetId="9">#REF!</definedName>
    <definedName name="Check_6" localSheetId="5">#REF!</definedName>
    <definedName name="Check_6">#REF!</definedName>
    <definedName name="Check_60" localSheetId="12">#REF!</definedName>
    <definedName name="Check_60" localSheetId="9">#REF!</definedName>
    <definedName name="Check_60" localSheetId="5">#REF!</definedName>
    <definedName name="Check_60">#REF!</definedName>
    <definedName name="Check_61" localSheetId="12">#REF!</definedName>
    <definedName name="Check_61" localSheetId="9">#REF!</definedName>
    <definedName name="Check_61" localSheetId="5">#REF!</definedName>
    <definedName name="Check_61">#REF!</definedName>
    <definedName name="Check_62" localSheetId="12">#REF!</definedName>
    <definedName name="Check_62" localSheetId="9">#REF!</definedName>
    <definedName name="Check_62" localSheetId="5">#REF!</definedName>
    <definedName name="Check_62">#REF!</definedName>
    <definedName name="Check_63" localSheetId="12">#REF!</definedName>
    <definedName name="Check_63" localSheetId="9">#REF!</definedName>
    <definedName name="Check_63" localSheetId="5">#REF!</definedName>
    <definedName name="Check_63">#REF!</definedName>
    <definedName name="Check_7" localSheetId="12">#REF!</definedName>
    <definedName name="Check_7" localSheetId="9">#REF!</definedName>
    <definedName name="Check_7" localSheetId="5">#REF!</definedName>
    <definedName name="Check_7">#REF!</definedName>
    <definedName name="Check_8" localSheetId="12">#REF!</definedName>
    <definedName name="Check_8" localSheetId="9">#REF!</definedName>
    <definedName name="Check_8" localSheetId="5">#REF!</definedName>
    <definedName name="Check_8">#REF!</definedName>
    <definedName name="Check_9" localSheetId="12">#REF!</definedName>
    <definedName name="Check_9" localSheetId="9">#REF!</definedName>
    <definedName name="Check_9" localSheetId="5">#REF!</definedName>
    <definedName name="Check_9">#REF!</definedName>
    <definedName name="Check_All" localSheetId="12">#REF!</definedName>
    <definedName name="Check_All" localSheetId="9">#REF!</definedName>
    <definedName name="Check_All" localSheetId="5">#REF!</definedName>
    <definedName name="Check_All">#REF!</definedName>
    <definedName name="Check_Rollup" localSheetId="12">#REF!</definedName>
    <definedName name="Check_Rollup" localSheetId="9">#REF!</definedName>
    <definedName name="Check_Rollup" localSheetId="5">#REF!</definedName>
    <definedName name="Check_Rollup">#REF!</definedName>
    <definedName name="Clear_Auto" localSheetId="12">#REF!</definedName>
    <definedName name="Clear_Auto" localSheetId="9">#REF!</definedName>
    <definedName name="Clear_Auto" localSheetId="5">#REF!</definedName>
    <definedName name="Clear_Auto">#REF!</definedName>
    <definedName name="Clear_Growth_Query">OFFSET(Growth!$B$29,5,0,Growth!$D$29,Growth!$B$29)</definedName>
    <definedName name="Clear_Growth_Table">Growth!$C$15,Growth!$C$17,Growth!$E$15:$F$15,Growth!$E$17:$F$17,Growth!$I$15:$J$15,Growth!$I$17:$J$17</definedName>
    <definedName name="Clear_Query" localSheetId="12">OFFSET(#REF!,5,0,#REF!,#REF!)</definedName>
    <definedName name="Clear_Query" localSheetId="9">OFFSET(#REF!,5,0,#REF!,#REF!)</definedName>
    <definedName name="Clear_Query" localSheetId="5">OFFSET(#REF!,5,0,#REF!,#REF!)</definedName>
    <definedName name="Clear_Query">OFFSET(#REF!,5,0,#REF!,#REF!)</definedName>
    <definedName name="Clear_Query_CoVsInd">OFFSET(Co_vs_Ind!$CD$76,5,0,Co_vs_Ind!$CE$76,Co_vs_Ind!$CF$76)</definedName>
    <definedName name="Clear_Roll_Extra" localSheetId="12">OFFSET(Rollup!$DD$13,'2013 Revenue Ranking by Corp'!Top_N,0,Rollup!$DF$4,Rollup!$DF$3)</definedName>
    <definedName name="Clear_Roll_Extra" localSheetId="9">OFFSET(Rollup!$DD$13,'2015 Revenue Ranking by Corp'!Top_N,0,Rollup!$DF$4,Rollup!$DF$3)</definedName>
    <definedName name="Clear_Roll_Extra" localSheetId="5">OFFSET(Rollup!$DD$13,'Margin breakdown graphs'!Top_N,0,Rollup!$DF$4,Rollup!$DF$3)</definedName>
    <definedName name="Clear_Roll_Extra">OFFSET(Rollup!$DD$13,Top_N,0,Rollup!$DF$4,Rollup!$DF$3)</definedName>
    <definedName name="Clear_Roll1_Co">OFFSET(Rollup!$DD$13,0,0,Rollup!$DF$4,Rollup!$DF$3)</definedName>
    <definedName name="Clear_Roll1_Ind">Rollup!$DK$9:$DM$9,Rollup!$DO$9:$FT$9,Rollup!$DK$11:$DM$11,Rollup!$DO$11:$FT$11</definedName>
    <definedName name="Clear_Roll2_Co">OFFSET(Rollup!$BE$13,0,0,Rollup!$BE$4,Rollup!$BE$3)</definedName>
    <definedName name="Clear_Roll2_Ind">Rollup!$BE$9:$BN$11,Rollup!$BT$9:$BY$11,Rollup!$CH$9:$CV$11</definedName>
    <definedName name="Clear_Table" localSheetId="12">#REF!,#REF!,#REF!,#REF!,#REF!</definedName>
    <definedName name="Clear_Table" localSheetId="9">#REF!,#REF!,#REF!,#REF!,#REF!</definedName>
    <definedName name="Clear_Table" localSheetId="5">#REF!,#REF!,#REF!,#REF!,#REF!</definedName>
    <definedName name="Clear_Table">#REF!,#REF!,#REF!,#REF!,#REF!</definedName>
    <definedName name="Clear_Table_CoVsInd">Co_vs_Ind!$BY$77:$BZ$1851</definedName>
    <definedName name="Clear_Table2" localSheetId="12">#REF!,#REF!,#REF!,#REF!,#REF!</definedName>
    <definedName name="Clear_Table2" localSheetId="9">#REF!,#REF!,#REF!,#REF!,#REF!</definedName>
    <definedName name="Clear_Table2" localSheetId="5">#REF!,#REF!,#REF!,#REF!,#REF!</definedName>
    <definedName name="Clear_Table2">#REF!,#REF!,#REF!,#REF!,#REF!</definedName>
    <definedName name="Co_Code" localSheetId="12">#REF!</definedName>
    <definedName name="Co_Code" localSheetId="9">#REF!</definedName>
    <definedName name="Co_Code" localSheetId="5">#REF!</definedName>
    <definedName name="Co_Code">#REF!</definedName>
    <definedName name="Co_List" localSheetId="12">OFFSET(#REF!,5,0,#REF!,1)</definedName>
    <definedName name="Co_List" localSheetId="9">OFFSET(#REF!,5,0,#REF!,1)</definedName>
    <definedName name="Co_List" localSheetId="5">OFFSET(#REF!,5,0,#REF!,1)</definedName>
    <definedName name="Co_List">OFFSET(#REF!,5,0,#REF!,1)</definedName>
    <definedName name="Co_List_2A" localSheetId="12">OFFSET(#REF!,5,0,#REF!,2)</definedName>
    <definedName name="Co_List_2A" localSheetId="9">OFFSET(#REF!,5,0,#REF!,2)</definedName>
    <definedName name="Co_List_2A" localSheetId="5">OFFSET(#REF!,5,0,#REF!,2)</definedName>
    <definedName name="Co_List_2A">OFFSET(#REF!,5,0,#REF!,2)</definedName>
    <definedName name="Co_List_2B" localSheetId="12">OFFSET(#REF!,5,0,#REF!,2)</definedName>
    <definedName name="Co_List_2B" localSheetId="9">OFFSET(#REF!,5,0,#REF!,2)</definedName>
    <definedName name="Co_List_2B" localSheetId="5">OFFSET(#REF!,5,0,#REF!,2)</definedName>
    <definedName name="Co_List_2B">OFFSET(#REF!,5,0,#REF!,2)</definedName>
    <definedName name="Co_List_2C" localSheetId="12">OFFSET(#REF!,5,0,#REF!,2)</definedName>
    <definedName name="Co_List_2C" localSheetId="9">OFFSET(#REF!,5,0,#REF!,2)</definedName>
    <definedName name="Co_List_2C" localSheetId="5">OFFSET(#REF!,5,0,#REF!,2)</definedName>
    <definedName name="Co_List_2C">OFFSET(#REF!,5,0,#REF!,2)</definedName>
    <definedName name="Co_List_5" localSheetId="12">OFFSET(#REF!,5,0,#REF!,5)</definedName>
    <definedName name="Co_List_5" localSheetId="9">OFFSET(#REF!,5,0,#REF!,5)</definedName>
    <definedName name="Co_List_5" localSheetId="5">OFFSET(#REF!,5,0,#REF!,5)</definedName>
    <definedName name="Co_List_5">OFFSET(#REF!,5,0,#REF!,5)</definedName>
    <definedName name="Co_List_5B" localSheetId="12">OFFSET(#REF!,5,0,#REF!,5)</definedName>
    <definedName name="Co_List_5B" localSheetId="9">OFFSET(#REF!,5,0,#REF!,5)</definedName>
    <definedName name="Co_List_5B" localSheetId="5">OFFSET(#REF!,5,0,#REF!,5)</definedName>
    <definedName name="Co_List_5B">OFFSET(#REF!,5,0,#REF!,5)</definedName>
    <definedName name="Co_List_5C" localSheetId="12">OFFSET(#REF!,5,0,#REF!,5)</definedName>
    <definedName name="Co_List_5C" localSheetId="9">OFFSET(#REF!,5,0,#REF!,5)</definedName>
    <definedName name="Co_List_5C" localSheetId="5">OFFSET(#REF!,5,0,#REF!,5)</definedName>
    <definedName name="Co_List_5C">OFFSET(#REF!,5,0,#REF!,5)</definedName>
    <definedName name="Copy_All" localSheetId="12">#REF!</definedName>
    <definedName name="Copy_All" localSheetId="9">#REF!</definedName>
    <definedName name="Copy_All" localSheetId="5">#REF!</definedName>
    <definedName name="Copy_All">#REF!</definedName>
    <definedName name="Copy_Format" localSheetId="12">#REF!</definedName>
    <definedName name="Copy_Format" localSheetId="9">#REF!</definedName>
    <definedName name="Copy_Format" localSheetId="5">#REF!</definedName>
    <definedName name="Copy_Format">#REF!</definedName>
    <definedName name="Copy_Format_Group" localSheetId="12">#REF!</definedName>
    <definedName name="Copy_Format_Group" localSheetId="9">#REF!</definedName>
    <definedName name="Copy_Format_Group" localSheetId="5">#REF!</definedName>
    <definedName name="Copy_Format_Group">#REF!</definedName>
    <definedName name="Copy_Group_Codes" localSheetId="12">#REF!</definedName>
    <definedName name="Copy_Group_Codes" localSheetId="9">#REF!</definedName>
    <definedName name="Copy_Group_Codes" localSheetId="5">#REF!</definedName>
    <definedName name="Copy_Group_Codes">#REF!</definedName>
    <definedName name="Copy_Growth_1">Growth!$G$15:$H$15</definedName>
    <definedName name="Copy_Growth_2">Growth!$K$15</definedName>
    <definedName name="Copy_Growth_3">Growth!$B$33</definedName>
    <definedName name="Copy_Growth_Format">Growth!$B$19:$K$28</definedName>
    <definedName name="Copy_Range_A" localSheetId="12">#REF!</definedName>
    <definedName name="Copy_Range_A" localSheetId="9">#REF!</definedName>
    <definedName name="Copy_Range_A" localSheetId="5">#REF!</definedName>
    <definedName name="Copy_Range_A">#REF!</definedName>
    <definedName name="Copy_Range_B" localSheetId="12">#REF!</definedName>
    <definedName name="Copy_Range_B" localSheetId="9">#REF!</definedName>
    <definedName name="Copy_Range_B" localSheetId="5">#REF!</definedName>
    <definedName name="Copy_Range_B">#REF!</definedName>
    <definedName name="Copy_Range_C" localSheetId="12">#REF!</definedName>
    <definedName name="Copy_Range_C" localSheetId="9">#REF!</definedName>
    <definedName name="Copy_Range_C" localSheetId="5">#REF!</definedName>
    <definedName name="Copy_Range_C">#REF!</definedName>
    <definedName name="Copy_Range_D" localSheetId="12">#REF!</definedName>
    <definedName name="Copy_Range_D" localSheetId="9">#REF!</definedName>
    <definedName name="Copy_Range_D" localSheetId="5">#REF!</definedName>
    <definedName name="Copy_Range_D">#REF!</definedName>
    <definedName name="Copy_Range_E" localSheetId="12">#REF!</definedName>
    <definedName name="Copy_Range_E" localSheetId="9">#REF!</definedName>
    <definedName name="Copy_Range_E" localSheetId="5">#REF!</definedName>
    <definedName name="Copy_Range_E">#REF!</definedName>
    <definedName name="Copy_Range_F" localSheetId="12">#REF!</definedName>
    <definedName name="Copy_Range_F" localSheetId="9">#REF!</definedName>
    <definedName name="Copy_Range_F" localSheetId="5">#REF!</definedName>
    <definedName name="Copy_Range_F">#REF!</definedName>
    <definedName name="Copy_Roll_6">OFFSET(Rollup!$DD$9,0,0,Rollup!$DF$4+4,10)</definedName>
    <definedName name="Copy_Roll_Dummy_Ind">Rollup!$BE$8:$CV$12</definedName>
    <definedName name="Copy_Roll_LR">Rollup!$BZ$10:$CG$10</definedName>
    <definedName name="Copy_Roll_MS">Rollup!$BO$10:$BS$10</definedName>
    <definedName name="Copy_Roll_Rank">Rollup!$DD$6</definedName>
    <definedName name="Copy_Roll_Sum">Rollup!$DN$6</definedName>
    <definedName name="Copy_Roll_Sum_Key">OFFSET(Rollup!$DN$9,0,0,Rollup!$DF$4+4,1)</definedName>
    <definedName name="Copy_Totals" localSheetId="12">#REF!</definedName>
    <definedName name="Copy_Totals" localSheetId="9">#REF!</definedName>
    <definedName name="Copy_Totals" localSheetId="5">#REF!</definedName>
    <definedName name="Copy_Totals">#REF!</definedName>
    <definedName name="Display_Type" localSheetId="12">#REF!</definedName>
    <definedName name="Display_Type" localSheetId="9">#REF!</definedName>
    <definedName name="Display_Type" localSheetId="5">#REF!</definedName>
    <definedName name="Display_Type">#REF!</definedName>
    <definedName name="Display_Type_A" localSheetId="12">#REF!</definedName>
    <definedName name="Display_Type_A" localSheetId="9">#REF!</definedName>
    <definedName name="Display_Type_A" localSheetId="5">#REF!</definedName>
    <definedName name="Display_Type_A">#REF!</definedName>
    <definedName name="Display_Types" localSheetId="12">#REF!</definedName>
    <definedName name="Display_Types" localSheetId="9">#REF!</definedName>
    <definedName name="Display_Types" localSheetId="5">#REF!</definedName>
    <definedName name="Display_Types">#REF!</definedName>
    <definedName name="Entity_Code" localSheetId="12">#REF!</definedName>
    <definedName name="Entity_Code" localSheetId="9">#REF!</definedName>
    <definedName name="Entity_Code" localSheetId="5">#REF!</definedName>
    <definedName name="Entity_Code">#REF!</definedName>
    <definedName name="Entity_Name" localSheetId="12">#REF!</definedName>
    <definedName name="Entity_Name" localSheetId="9">#REF!</definedName>
    <definedName name="Entity_Name" localSheetId="5">#REF!</definedName>
    <definedName name="Entity_Name">#REF!</definedName>
    <definedName name="Fields_1" localSheetId="12">#REF!</definedName>
    <definedName name="Fields_1" localSheetId="9">#REF!</definedName>
    <definedName name="Fields_1" localSheetId="5">#REF!</definedName>
    <definedName name="Fields_1">#REF!</definedName>
    <definedName name="Fields_3" localSheetId="12">#REF!</definedName>
    <definedName name="Fields_3" localSheetId="9">#REF!</definedName>
    <definedName name="Fields_3" localSheetId="5">#REF!</definedName>
    <definedName name="Fields_3">#REF!</definedName>
    <definedName name="Fields_GT_ID" localSheetId="12">#REF!</definedName>
    <definedName name="Fields_GT_ID" localSheetId="9">#REF!</definedName>
    <definedName name="Fields_GT_ID" localSheetId="5">#REF!</definedName>
    <definedName name="Fields_GT_ID">#REF!</definedName>
    <definedName name="Fields_Name" localSheetId="12">#REF!</definedName>
    <definedName name="Fields_Name" localSheetId="9">#REF!</definedName>
    <definedName name="Fields_Name" localSheetId="5">#REF!</definedName>
    <definedName name="Fields_Name">#REF!</definedName>
    <definedName name="Fields_State_ID" localSheetId="12">#REF!</definedName>
    <definedName name="Fields_State_ID" localSheetId="9">#REF!</definedName>
    <definedName name="Fields_State_ID" localSheetId="5">#REF!</definedName>
    <definedName name="Fields_State_ID">#REF!</definedName>
    <definedName name="First_Geo" localSheetId="12">#REF!</definedName>
    <definedName name="First_Geo" localSheetId="9">#REF!</definedName>
    <definedName name="First_Geo" localSheetId="5">#REF!</definedName>
    <definedName name="First_Geo">#REF!</definedName>
    <definedName name="KF_Roll">Rollup!$DA$3</definedName>
    <definedName name="KF_Roll1">Rollup!$DA$4</definedName>
    <definedName name="KF_Roll2">Rollup!$DA$5</definedName>
    <definedName name="KF_Roll3">Rollup!$DA$6</definedName>
    <definedName name="KF_Roll4">Rollup!$DA$7</definedName>
    <definedName name="Max_Groups" localSheetId="12">#REF!</definedName>
    <definedName name="Max_Groups" localSheetId="9">#REF!</definedName>
    <definedName name="Max_Groups" localSheetId="5">#REF!</definedName>
    <definedName name="Max_Groups">#REF!</definedName>
    <definedName name="Paste_Group_Codes" localSheetId="12">OFFSET(#REF!,5,0,#REF!,1)</definedName>
    <definedName name="Paste_Group_Codes" localSheetId="9">OFFSET(#REF!,5,0,#REF!,1)</definedName>
    <definedName name="Paste_Group_Codes" localSheetId="5">OFFSET(#REF!,5,0,#REF!,1)</definedName>
    <definedName name="Paste_Group_Codes">OFFSET(#REF!,5,0,#REF!,1)</definedName>
    <definedName name="Paste_Growth_1">OFFSET(Growth!$G$29,5,0,Growth!$D$29,2)</definedName>
    <definedName name="Paste_Growth_2">OFFSET(Growth!$K$29,5,0,Growth!$D$29,1)</definedName>
    <definedName name="Paste_Growth_3">OFFSET(Growth!$B$34,0,0,Growth!$D$29,1)</definedName>
    <definedName name="Paste_Growth_Last_Format">OFFSET(Growth!$B$29,4+Growth!$D$29,0,1,Growth!$B$29)</definedName>
    <definedName name="Paste_Last_Format" localSheetId="12">OFFSET(#REF!,4+#REF!,0,1,#REF!)</definedName>
    <definedName name="Paste_Last_Format" localSheetId="9">OFFSET(#REF!,4+#REF!,0,1,#REF!)</definedName>
    <definedName name="Paste_Last_Format" localSheetId="5">OFFSET(#REF!,4+#REF!,0,1,#REF!)</definedName>
    <definedName name="Paste_Last_Format">OFFSET(#REF!,4+#REF!,0,1,#REF!)</definedName>
    <definedName name="Paste_Range_A" localSheetId="12">OFFSET(#REF!,5,0,#REF!,1)</definedName>
    <definedName name="Paste_Range_A" localSheetId="9">OFFSET(#REF!,5,0,#REF!,1)</definedName>
    <definedName name="Paste_Range_A" localSheetId="5">OFFSET(#REF!,5,0,#REF!,1)</definedName>
    <definedName name="Paste_Range_A">OFFSET(#REF!,5,0,#REF!,1)</definedName>
    <definedName name="Paste_Range_B" localSheetId="12">OFFSET(#REF!,5,0,#REF!,2)</definedName>
    <definedName name="Paste_Range_B" localSheetId="9">OFFSET(#REF!,5,0,#REF!,2)</definedName>
    <definedName name="Paste_Range_B" localSheetId="5">OFFSET(#REF!,5,0,#REF!,2)</definedName>
    <definedName name="Paste_Range_B">OFFSET(#REF!,5,0,#REF!,2)</definedName>
    <definedName name="Paste_Range_C" localSheetId="12">OFFSET(#REF!,5,0,#REF!,1)</definedName>
    <definedName name="Paste_Range_C" localSheetId="9">OFFSET(#REF!,5,0,#REF!,1)</definedName>
    <definedName name="Paste_Range_C" localSheetId="5">OFFSET(#REF!,5,0,#REF!,1)</definedName>
    <definedName name="Paste_Range_C">OFFSET(#REF!,5,0,#REF!,1)</definedName>
    <definedName name="Paste_Range_D" localSheetId="12">OFFSET(#REF!,5,0,#REF!,1)</definedName>
    <definedName name="Paste_Range_D" localSheetId="9">OFFSET(#REF!,5,0,#REF!,1)</definedName>
    <definedName name="Paste_Range_D" localSheetId="5">OFFSET(#REF!,5,0,#REF!,1)</definedName>
    <definedName name="Paste_Range_D">OFFSET(#REF!,5,0,#REF!,1)</definedName>
    <definedName name="Paste_Range_E" localSheetId="12">OFFSET(#REF!,5,0,#REF!,1)</definedName>
    <definedName name="Paste_Range_E" localSheetId="9">OFFSET(#REF!,5,0,#REF!,1)</definedName>
    <definedName name="Paste_Range_E" localSheetId="5">OFFSET(#REF!,5,0,#REF!,1)</definedName>
    <definedName name="Paste_Range_E">OFFSET(#REF!,5,0,#REF!,1)</definedName>
    <definedName name="Paste_Range_F" localSheetId="12">OFFSET(#REF!,5,0,#REF!,1)</definedName>
    <definedName name="Paste_Range_F" localSheetId="9">OFFSET(#REF!,5,0,#REF!,1)</definedName>
    <definedName name="Paste_Range_F" localSheetId="5">OFFSET(#REF!,5,0,#REF!,1)</definedName>
    <definedName name="Paste_Range_F">OFFSET(#REF!,5,0,#REF!,1)</definedName>
    <definedName name="Paste_Roll_6">Rollup!$BE$9</definedName>
    <definedName name="Paste_Roll_DIV1">Rollup!$CV$9</definedName>
    <definedName name="Paste_Roll_DIV2">Rollup!$CU$9</definedName>
    <definedName name="Paste_Roll_DIV3">Rollup!$CT$9</definedName>
    <definedName name="Paste_Roll_DIV4">Rollup!$CS$9</definedName>
    <definedName name="Paste_Roll_DIV5">Rollup!$CR$9</definedName>
    <definedName name="Paste_Roll_DLI1">Rollup!$CQ$9</definedName>
    <definedName name="Paste_Roll_DLI2">Rollup!$CP$9</definedName>
    <definedName name="Paste_Roll_DLI3">Rollup!$CO$9</definedName>
    <definedName name="Paste_Roll_DLI4">Rollup!$CN$9</definedName>
    <definedName name="Paste_Roll_DLI5">Rollup!$CM$9</definedName>
    <definedName name="Paste_Roll_DPE1">Rollup!$CL$9</definedName>
    <definedName name="Paste_Roll_DPE2">Rollup!$CK$9</definedName>
    <definedName name="Paste_Roll_DPE3">Rollup!$CJ$9</definedName>
    <definedName name="Paste_Roll_DPE4">Rollup!$CI$9</definedName>
    <definedName name="Paste_Roll_DPE5">Rollup!$CH$9</definedName>
    <definedName name="Paste_Roll_DPW1">Rollup!$BY$9</definedName>
    <definedName name="Paste_Roll_DPW2">Rollup!$BX$9</definedName>
    <definedName name="Paste_Roll_DPW3">Rollup!$BW$9</definedName>
    <definedName name="Paste_Roll_DPW4">Rollup!$BV$9</definedName>
    <definedName name="Paste_Roll_DPW5">Rollup!$BU$9</definedName>
    <definedName name="Paste_Roll_DPW6">Rollup!$BT$9</definedName>
    <definedName name="Paste_Roll_Last_Format">OFFSET(Rollup!$BE$12,Rollup!$BE$4,0,1,Rollup!$BE$3)</definedName>
    <definedName name="Paste_Roll_List">Rollup!$DE$13</definedName>
    <definedName name="Paste_Roll_LR">OFFSET(Rollup!$BZ$13,0,0,Rollup!$DF$4,8)</definedName>
    <definedName name="Paste_Roll_MS">OFFSET(Rollup!$BO$13,0,0,Rollup!$DF$4,5)</definedName>
    <definedName name="Paste_Roll_Rank">OFFSET(Rollup!$DD$13,0,0,Rollup!$DF$4,1)</definedName>
    <definedName name="Paste_Roll_Sum">OFFSET(Rollup!$DN$13,0,0,Rollup!$DF$4,1)</definedName>
    <definedName name="Paste_State_1" localSheetId="12">#REF!</definedName>
    <definedName name="Paste_State_1" localSheetId="9">#REF!</definedName>
    <definedName name="Paste_State_1" localSheetId="5">#REF!</definedName>
    <definedName name="Paste_State_1">#REF!</definedName>
    <definedName name="Paste_State_10" localSheetId="12">#REF!</definedName>
    <definedName name="Paste_State_10" localSheetId="9">#REF!</definedName>
    <definedName name="Paste_State_10" localSheetId="5">#REF!</definedName>
    <definedName name="Paste_State_10">#REF!</definedName>
    <definedName name="Paste_State_11" localSheetId="12">#REF!</definedName>
    <definedName name="Paste_State_11" localSheetId="9">#REF!</definedName>
    <definedName name="Paste_State_11" localSheetId="5">#REF!</definedName>
    <definedName name="Paste_State_11">#REF!</definedName>
    <definedName name="Paste_State_12" localSheetId="12">#REF!</definedName>
    <definedName name="Paste_State_12" localSheetId="9">#REF!</definedName>
    <definedName name="Paste_State_12" localSheetId="5">#REF!</definedName>
    <definedName name="Paste_State_12">#REF!</definedName>
    <definedName name="Paste_State_13" localSheetId="12">#REF!</definedName>
    <definedName name="Paste_State_13" localSheetId="9">#REF!</definedName>
    <definedName name="Paste_State_13" localSheetId="5">#REF!</definedName>
    <definedName name="Paste_State_13">#REF!</definedName>
    <definedName name="Paste_State_14" localSheetId="12">#REF!</definedName>
    <definedName name="Paste_State_14" localSheetId="9">#REF!</definedName>
    <definedName name="Paste_State_14" localSheetId="5">#REF!</definedName>
    <definedName name="Paste_State_14">#REF!</definedName>
    <definedName name="Paste_State_15" localSheetId="12">#REF!</definedName>
    <definedName name="Paste_State_15" localSheetId="9">#REF!</definedName>
    <definedName name="Paste_State_15" localSheetId="5">#REF!</definedName>
    <definedName name="Paste_State_15">#REF!</definedName>
    <definedName name="Paste_State_16" localSheetId="12">#REF!</definedName>
    <definedName name="Paste_State_16" localSheetId="9">#REF!</definedName>
    <definedName name="Paste_State_16" localSheetId="5">#REF!</definedName>
    <definedName name="Paste_State_16">#REF!</definedName>
    <definedName name="Paste_State_17" localSheetId="12">#REF!</definedName>
    <definedName name="Paste_State_17" localSheetId="9">#REF!</definedName>
    <definedName name="Paste_State_17" localSheetId="5">#REF!</definedName>
    <definedName name="Paste_State_17">#REF!</definedName>
    <definedName name="Paste_State_18" localSheetId="12">#REF!</definedName>
    <definedName name="Paste_State_18" localSheetId="9">#REF!</definedName>
    <definedName name="Paste_State_18" localSheetId="5">#REF!</definedName>
    <definedName name="Paste_State_18">#REF!</definedName>
    <definedName name="Paste_State_19" localSheetId="12">#REF!</definedName>
    <definedName name="Paste_State_19" localSheetId="9">#REF!</definedName>
    <definedName name="Paste_State_19" localSheetId="5">#REF!</definedName>
    <definedName name="Paste_State_19">#REF!</definedName>
    <definedName name="Paste_State_2" localSheetId="12">#REF!</definedName>
    <definedName name="Paste_State_2" localSheetId="9">#REF!</definedName>
    <definedName name="Paste_State_2" localSheetId="5">#REF!</definedName>
    <definedName name="Paste_State_2">#REF!</definedName>
    <definedName name="Paste_State_20" localSheetId="12">#REF!</definedName>
    <definedName name="Paste_State_20" localSheetId="9">#REF!</definedName>
    <definedName name="Paste_State_20" localSheetId="5">#REF!</definedName>
    <definedName name="Paste_State_20">#REF!</definedName>
    <definedName name="Paste_State_21" localSheetId="12">#REF!</definedName>
    <definedName name="Paste_State_21" localSheetId="9">#REF!</definedName>
    <definedName name="Paste_State_21" localSheetId="5">#REF!</definedName>
    <definedName name="Paste_State_21">#REF!</definedName>
    <definedName name="Paste_State_22" localSheetId="12">#REF!</definedName>
    <definedName name="Paste_State_22" localSheetId="9">#REF!</definedName>
    <definedName name="Paste_State_22" localSheetId="5">#REF!</definedName>
    <definedName name="Paste_State_22">#REF!</definedName>
    <definedName name="Paste_State_23" localSheetId="12">#REF!</definedName>
    <definedName name="Paste_State_23" localSheetId="9">#REF!</definedName>
    <definedName name="Paste_State_23" localSheetId="5">#REF!</definedName>
    <definedName name="Paste_State_23">#REF!</definedName>
    <definedName name="Paste_State_24" localSheetId="12">#REF!</definedName>
    <definedName name="Paste_State_24" localSheetId="9">#REF!</definedName>
    <definedName name="Paste_State_24" localSheetId="5">#REF!</definedName>
    <definedName name="Paste_State_24">#REF!</definedName>
    <definedName name="Paste_State_25" localSheetId="12">#REF!</definedName>
    <definedName name="Paste_State_25" localSheetId="9">#REF!</definedName>
    <definedName name="Paste_State_25" localSheetId="5">#REF!</definedName>
    <definedName name="Paste_State_25">#REF!</definedName>
    <definedName name="Paste_State_26" localSheetId="12">#REF!</definedName>
    <definedName name="Paste_State_26" localSheetId="9">#REF!</definedName>
    <definedName name="Paste_State_26" localSheetId="5">#REF!</definedName>
    <definedName name="Paste_State_26">#REF!</definedName>
    <definedName name="Paste_State_27" localSheetId="12">#REF!</definedName>
    <definedName name="Paste_State_27" localSheetId="9">#REF!</definedName>
    <definedName name="Paste_State_27" localSheetId="5">#REF!</definedName>
    <definedName name="Paste_State_27">#REF!</definedName>
    <definedName name="Paste_State_28" localSheetId="12">#REF!</definedName>
    <definedName name="Paste_State_28" localSheetId="9">#REF!</definedName>
    <definedName name="Paste_State_28" localSheetId="5">#REF!</definedName>
    <definedName name="Paste_State_28">#REF!</definedName>
    <definedName name="Paste_State_29" localSheetId="12">#REF!</definedName>
    <definedName name="Paste_State_29" localSheetId="9">#REF!</definedName>
    <definedName name="Paste_State_29" localSheetId="5">#REF!</definedName>
    <definedName name="Paste_State_29">#REF!</definedName>
    <definedName name="Paste_State_3" localSheetId="12">#REF!</definedName>
    <definedName name="Paste_State_3" localSheetId="9">#REF!</definedName>
    <definedName name="Paste_State_3" localSheetId="5">#REF!</definedName>
    <definedName name="Paste_State_3">#REF!</definedName>
    <definedName name="Paste_State_30" localSheetId="12">#REF!</definedName>
    <definedName name="Paste_State_30" localSheetId="9">#REF!</definedName>
    <definedName name="Paste_State_30" localSheetId="5">#REF!</definedName>
    <definedName name="Paste_State_30">#REF!</definedName>
    <definedName name="Paste_State_31" localSheetId="12">#REF!</definedName>
    <definedName name="Paste_State_31" localSheetId="9">#REF!</definedName>
    <definedName name="Paste_State_31" localSheetId="5">#REF!</definedName>
    <definedName name="Paste_State_31">#REF!</definedName>
    <definedName name="Paste_State_32" localSheetId="12">#REF!</definedName>
    <definedName name="Paste_State_32" localSheetId="9">#REF!</definedName>
    <definedName name="Paste_State_32" localSheetId="5">#REF!</definedName>
    <definedName name="Paste_State_32">#REF!</definedName>
    <definedName name="Paste_State_33" localSheetId="12">#REF!</definedName>
    <definedName name="Paste_State_33" localSheetId="9">#REF!</definedName>
    <definedName name="Paste_State_33" localSheetId="5">#REF!</definedName>
    <definedName name="Paste_State_33">#REF!</definedName>
    <definedName name="Paste_State_34" localSheetId="12">#REF!</definedName>
    <definedName name="Paste_State_34" localSheetId="9">#REF!</definedName>
    <definedName name="Paste_State_34" localSheetId="5">#REF!</definedName>
    <definedName name="Paste_State_34">#REF!</definedName>
    <definedName name="Paste_State_35" localSheetId="12">#REF!</definedName>
    <definedName name="Paste_State_35" localSheetId="9">#REF!</definedName>
    <definedName name="Paste_State_35" localSheetId="5">#REF!</definedName>
    <definedName name="Paste_State_35">#REF!</definedName>
    <definedName name="Paste_State_36" localSheetId="12">#REF!</definedName>
    <definedName name="Paste_State_36" localSheetId="9">#REF!</definedName>
    <definedName name="Paste_State_36" localSheetId="5">#REF!</definedName>
    <definedName name="Paste_State_36">#REF!</definedName>
    <definedName name="Paste_State_37" localSheetId="12">#REF!</definedName>
    <definedName name="Paste_State_37" localSheetId="9">#REF!</definedName>
    <definedName name="Paste_State_37" localSheetId="5">#REF!</definedName>
    <definedName name="Paste_State_37">#REF!</definedName>
    <definedName name="Paste_State_38" localSheetId="12">#REF!</definedName>
    <definedName name="Paste_State_38" localSheetId="9">#REF!</definedName>
    <definedName name="Paste_State_38" localSheetId="5">#REF!</definedName>
    <definedName name="Paste_State_38">#REF!</definedName>
    <definedName name="Paste_State_39" localSheetId="12">#REF!</definedName>
    <definedName name="Paste_State_39" localSheetId="9">#REF!</definedName>
    <definedName name="Paste_State_39" localSheetId="5">#REF!</definedName>
    <definedName name="Paste_State_39">#REF!</definedName>
    <definedName name="Paste_State_4" localSheetId="12">#REF!</definedName>
    <definedName name="Paste_State_4" localSheetId="9">#REF!</definedName>
    <definedName name="Paste_State_4" localSheetId="5">#REF!</definedName>
    <definedName name="Paste_State_4">#REF!</definedName>
    <definedName name="Paste_State_40" localSheetId="12">#REF!</definedName>
    <definedName name="Paste_State_40" localSheetId="9">#REF!</definedName>
    <definedName name="Paste_State_40" localSheetId="5">#REF!</definedName>
    <definedName name="Paste_State_40">#REF!</definedName>
    <definedName name="Paste_State_41" localSheetId="12">#REF!</definedName>
    <definedName name="Paste_State_41" localSheetId="9">#REF!</definedName>
    <definedName name="Paste_State_41" localSheetId="5">#REF!</definedName>
    <definedName name="Paste_State_41">#REF!</definedName>
    <definedName name="Paste_State_42" localSheetId="12">#REF!</definedName>
    <definedName name="Paste_State_42" localSheetId="9">#REF!</definedName>
    <definedName name="Paste_State_42" localSheetId="5">#REF!</definedName>
    <definedName name="Paste_State_42">#REF!</definedName>
    <definedName name="Paste_State_43" localSheetId="12">#REF!</definedName>
    <definedName name="Paste_State_43" localSheetId="9">#REF!</definedName>
    <definedName name="Paste_State_43" localSheetId="5">#REF!</definedName>
    <definedName name="Paste_State_43">#REF!</definedName>
    <definedName name="Paste_State_44" localSheetId="12">#REF!</definedName>
    <definedName name="Paste_State_44" localSheetId="9">#REF!</definedName>
    <definedName name="Paste_State_44" localSheetId="5">#REF!</definedName>
    <definedName name="Paste_State_44">#REF!</definedName>
    <definedName name="Paste_State_45" localSheetId="12">#REF!</definedName>
    <definedName name="Paste_State_45" localSheetId="9">#REF!</definedName>
    <definedName name="Paste_State_45" localSheetId="5">#REF!</definedName>
    <definedName name="Paste_State_45">#REF!</definedName>
    <definedName name="Paste_State_46" localSheetId="12">#REF!</definedName>
    <definedName name="Paste_State_46" localSheetId="9">#REF!</definedName>
    <definedName name="Paste_State_46" localSheetId="5">#REF!</definedName>
    <definedName name="Paste_State_46">#REF!</definedName>
    <definedName name="Paste_State_47" localSheetId="12">#REF!</definedName>
    <definedName name="Paste_State_47" localSheetId="9">#REF!</definedName>
    <definedName name="Paste_State_47" localSheetId="5">#REF!</definedName>
    <definedName name="Paste_State_47">#REF!</definedName>
    <definedName name="Paste_State_48" localSheetId="12">#REF!</definedName>
    <definedName name="Paste_State_48" localSheetId="9">#REF!</definedName>
    <definedName name="Paste_State_48" localSheetId="5">#REF!</definedName>
    <definedName name="Paste_State_48">#REF!</definedName>
    <definedName name="Paste_State_49" localSheetId="12">#REF!</definedName>
    <definedName name="Paste_State_49" localSheetId="9">#REF!</definedName>
    <definedName name="Paste_State_49" localSheetId="5">#REF!</definedName>
    <definedName name="Paste_State_49">#REF!</definedName>
    <definedName name="Paste_State_5" localSheetId="12">#REF!</definedName>
    <definedName name="Paste_State_5" localSheetId="9">#REF!</definedName>
    <definedName name="Paste_State_5" localSheetId="5">#REF!</definedName>
    <definedName name="Paste_State_5">#REF!</definedName>
    <definedName name="Paste_State_50" localSheetId="12">#REF!</definedName>
    <definedName name="Paste_State_50" localSheetId="9">#REF!</definedName>
    <definedName name="Paste_State_50" localSheetId="5">#REF!</definedName>
    <definedName name="Paste_State_50">#REF!</definedName>
    <definedName name="Paste_State_51" localSheetId="12">#REF!</definedName>
    <definedName name="Paste_State_51" localSheetId="9">#REF!</definedName>
    <definedName name="Paste_State_51" localSheetId="5">#REF!</definedName>
    <definedName name="Paste_State_51">#REF!</definedName>
    <definedName name="Paste_State_52" localSheetId="12">#REF!</definedName>
    <definedName name="Paste_State_52" localSheetId="9">#REF!</definedName>
    <definedName name="Paste_State_52" localSheetId="5">#REF!</definedName>
    <definedName name="Paste_State_52">#REF!</definedName>
    <definedName name="Paste_State_53" localSheetId="12">#REF!</definedName>
    <definedName name="Paste_State_53" localSheetId="9">#REF!</definedName>
    <definedName name="Paste_State_53" localSheetId="5">#REF!</definedName>
    <definedName name="Paste_State_53">#REF!</definedName>
    <definedName name="Paste_State_54" localSheetId="12">#REF!</definedName>
    <definedName name="Paste_State_54" localSheetId="9">#REF!</definedName>
    <definedName name="Paste_State_54" localSheetId="5">#REF!</definedName>
    <definedName name="Paste_State_54">#REF!</definedName>
    <definedName name="Paste_State_55" localSheetId="12">#REF!</definedName>
    <definedName name="Paste_State_55" localSheetId="9">#REF!</definedName>
    <definedName name="Paste_State_55" localSheetId="5">#REF!</definedName>
    <definedName name="Paste_State_55">#REF!</definedName>
    <definedName name="Paste_State_56" localSheetId="12">#REF!</definedName>
    <definedName name="Paste_State_56" localSheetId="9">#REF!</definedName>
    <definedName name="Paste_State_56" localSheetId="5">#REF!</definedName>
    <definedName name="Paste_State_56">#REF!</definedName>
    <definedName name="Paste_State_57" localSheetId="12">#REF!</definedName>
    <definedName name="Paste_State_57" localSheetId="9">#REF!</definedName>
    <definedName name="Paste_State_57" localSheetId="5">#REF!</definedName>
    <definedName name="Paste_State_57">#REF!</definedName>
    <definedName name="Paste_State_58" localSheetId="12">#REF!</definedName>
    <definedName name="Paste_State_58" localSheetId="9">#REF!</definedName>
    <definedName name="Paste_State_58" localSheetId="5">#REF!</definedName>
    <definedName name="Paste_State_58">#REF!</definedName>
    <definedName name="Paste_State_59" localSheetId="12">#REF!</definedName>
    <definedName name="Paste_State_59" localSheetId="9">#REF!</definedName>
    <definedName name="Paste_State_59" localSheetId="5">#REF!</definedName>
    <definedName name="Paste_State_59">#REF!</definedName>
    <definedName name="Paste_State_6" localSheetId="12">#REF!</definedName>
    <definedName name="Paste_State_6" localSheetId="9">#REF!</definedName>
    <definedName name="Paste_State_6" localSheetId="5">#REF!</definedName>
    <definedName name="Paste_State_6">#REF!</definedName>
    <definedName name="Paste_State_60" localSheetId="12">#REF!</definedName>
    <definedName name="Paste_State_60" localSheetId="9">#REF!</definedName>
    <definedName name="Paste_State_60" localSheetId="5">#REF!</definedName>
    <definedName name="Paste_State_60">#REF!</definedName>
    <definedName name="Paste_State_63">Rollup!$B$13</definedName>
    <definedName name="Paste_State_7" localSheetId="12">#REF!</definedName>
    <definedName name="Paste_State_7" localSheetId="9">#REF!</definedName>
    <definedName name="Paste_State_7" localSheetId="5">#REF!</definedName>
    <definedName name="Paste_State_7">#REF!</definedName>
    <definedName name="Paste_State_8" localSheetId="12">#REF!</definedName>
    <definedName name="Paste_State_8" localSheetId="9">#REF!</definedName>
    <definedName name="Paste_State_8" localSheetId="5">#REF!</definedName>
    <definedName name="Paste_State_8">#REF!</definedName>
    <definedName name="Paste_State_9" localSheetId="12">#REF!</definedName>
    <definedName name="Paste_State_9" localSheetId="9">#REF!</definedName>
    <definedName name="Paste_State_9" localSheetId="5">#REF!</definedName>
    <definedName name="Paste_State_9">#REF!</definedName>
    <definedName name="Paste_Totals_1" localSheetId="12">#REF!</definedName>
    <definedName name="Paste_Totals_1" localSheetId="9">#REF!</definedName>
    <definedName name="Paste_Totals_1" localSheetId="5">#REF!</definedName>
    <definedName name="Paste_Totals_1">#REF!</definedName>
    <definedName name="Paste_Totals_10" localSheetId="12">#REF!</definedName>
    <definedName name="Paste_Totals_10" localSheetId="9">#REF!</definedName>
    <definedName name="Paste_Totals_10" localSheetId="5">#REF!</definedName>
    <definedName name="Paste_Totals_10">#REF!</definedName>
    <definedName name="Paste_Totals_11" localSheetId="12">#REF!</definedName>
    <definedName name="Paste_Totals_11" localSheetId="9">#REF!</definedName>
    <definedName name="Paste_Totals_11" localSheetId="5">#REF!</definedName>
    <definedName name="Paste_Totals_11">#REF!</definedName>
    <definedName name="Paste_Totals_12" localSheetId="12">#REF!</definedName>
    <definedName name="Paste_Totals_12" localSheetId="9">#REF!</definedName>
    <definedName name="Paste_Totals_12" localSheetId="5">#REF!</definedName>
    <definedName name="Paste_Totals_12">#REF!</definedName>
    <definedName name="Paste_Totals_13" localSheetId="12">#REF!</definedName>
    <definedName name="Paste_Totals_13" localSheetId="9">#REF!</definedName>
    <definedName name="Paste_Totals_13" localSheetId="5">#REF!</definedName>
    <definedName name="Paste_Totals_13">#REF!</definedName>
    <definedName name="Paste_Totals_14" localSheetId="12">#REF!</definedName>
    <definedName name="Paste_Totals_14" localSheetId="9">#REF!</definedName>
    <definedName name="Paste_Totals_14" localSheetId="5">#REF!</definedName>
    <definedName name="Paste_Totals_14">#REF!</definedName>
    <definedName name="Paste_Totals_15" localSheetId="12">#REF!</definedName>
    <definedName name="Paste_Totals_15" localSheetId="9">#REF!</definedName>
    <definedName name="Paste_Totals_15" localSheetId="5">#REF!</definedName>
    <definedName name="Paste_Totals_15">#REF!</definedName>
    <definedName name="Paste_Totals_16" localSheetId="12">#REF!</definedName>
    <definedName name="Paste_Totals_16" localSheetId="9">#REF!</definedName>
    <definedName name="Paste_Totals_16" localSheetId="5">#REF!</definedName>
    <definedName name="Paste_Totals_16">#REF!</definedName>
    <definedName name="Paste_Totals_17" localSheetId="12">#REF!</definedName>
    <definedName name="Paste_Totals_17" localSheetId="9">#REF!</definedName>
    <definedName name="Paste_Totals_17" localSheetId="5">#REF!</definedName>
    <definedName name="Paste_Totals_17">#REF!</definedName>
    <definedName name="Paste_Totals_18" localSheetId="12">#REF!</definedName>
    <definedName name="Paste_Totals_18" localSheetId="9">#REF!</definedName>
    <definedName name="Paste_Totals_18" localSheetId="5">#REF!</definedName>
    <definedName name="Paste_Totals_18">#REF!</definedName>
    <definedName name="Paste_Totals_19" localSheetId="12">#REF!</definedName>
    <definedName name="Paste_Totals_19" localSheetId="9">#REF!</definedName>
    <definedName name="Paste_Totals_19" localSheetId="5">#REF!</definedName>
    <definedName name="Paste_Totals_19">#REF!</definedName>
    <definedName name="Paste_Totals_2" localSheetId="12">#REF!</definedName>
    <definedName name="Paste_Totals_2" localSheetId="9">#REF!</definedName>
    <definedName name="Paste_Totals_2" localSheetId="5">#REF!</definedName>
    <definedName name="Paste_Totals_2">#REF!</definedName>
    <definedName name="Paste_Totals_20" localSheetId="12">#REF!</definedName>
    <definedName name="Paste_Totals_20" localSheetId="9">#REF!</definedName>
    <definedName name="Paste_Totals_20" localSheetId="5">#REF!</definedName>
    <definedName name="Paste_Totals_20">#REF!</definedName>
    <definedName name="Paste_Totals_21" localSheetId="12">#REF!</definedName>
    <definedName name="Paste_Totals_21" localSheetId="9">#REF!</definedName>
    <definedName name="Paste_Totals_21" localSheetId="5">#REF!</definedName>
    <definedName name="Paste_Totals_21">#REF!</definedName>
    <definedName name="Paste_Totals_22" localSheetId="12">#REF!</definedName>
    <definedName name="Paste_Totals_22" localSheetId="9">#REF!</definedName>
    <definedName name="Paste_Totals_22" localSheetId="5">#REF!</definedName>
    <definedName name="Paste_Totals_22">#REF!</definedName>
    <definedName name="Paste_Totals_23" localSheetId="12">#REF!</definedName>
    <definedName name="Paste_Totals_23" localSheetId="9">#REF!</definedName>
    <definedName name="Paste_Totals_23" localSheetId="5">#REF!</definedName>
    <definedName name="Paste_Totals_23">#REF!</definedName>
    <definedName name="Paste_Totals_24" localSheetId="12">#REF!</definedName>
    <definedName name="Paste_Totals_24" localSheetId="9">#REF!</definedName>
    <definedName name="Paste_Totals_24" localSheetId="5">#REF!</definedName>
    <definedName name="Paste_Totals_24">#REF!</definedName>
    <definedName name="Paste_Totals_25" localSheetId="12">#REF!</definedName>
    <definedName name="Paste_Totals_25" localSheetId="9">#REF!</definedName>
    <definedName name="Paste_Totals_25" localSheetId="5">#REF!</definedName>
    <definedName name="Paste_Totals_25">#REF!</definedName>
    <definedName name="Paste_Totals_26" localSheetId="12">#REF!</definedName>
    <definedName name="Paste_Totals_26" localSheetId="9">#REF!</definedName>
    <definedName name="Paste_Totals_26" localSheetId="5">#REF!</definedName>
    <definedName name="Paste_Totals_26">#REF!</definedName>
    <definedName name="Paste_Totals_27" localSheetId="12">#REF!</definedName>
    <definedName name="Paste_Totals_27" localSheetId="9">#REF!</definedName>
    <definedName name="Paste_Totals_27" localSheetId="5">#REF!</definedName>
    <definedName name="Paste_Totals_27">#REF!</definedName>
    <definedName name="Paste_Totals_28" localSheetId="12">#REF!</definedName>
    <definedName name="Paste_Totals_28" localSheetId="9">#REF!</definedName>
    <definedName name="Paste_Totals_28" localSheetId="5">#REF!</definedName>
    <definedName name="Paste_Totals_28">#REF!</definedName>
    <definedName name="Paste_Totals_29" localSheetId="12">#REF!</definedName>
    <definedName name="Paste_Totals_29" localSheetId="9">#REF!</definedName>
    <definedName name="Paste_Totals_29" localSheetId="5">#REF!</definedName>
    <definedName name="Paste_Totals_29">#REF!</definedName>
    <definedName name="Paste_Totals_3" localSheetId="12">#REF!</definedName>
    <definedName name="Paste_Totals_3" localSheetId="9">#REF!</definedName>
    <definedName name="Paste_Totals_3" localSheetId="5">#REF!</definedName>
    <definedName name="Paste_Totals_3">#REF!</definedName>
    <definedName name="Paste_Totals_30" localSheetId="12">#REF!</definedName>
    <definedName name="Paste_Totals_30" localSheetId="9">#REF!</definedName>
    <definedName name="Paste_Totals_30" localSheetId="5">#REF!</definedName>
    <definedName name="Paste_Totals_30">#REF!</definedName>
    <definedName name="Paste_Totals_31" localSheetId="12">#REF!</definedName>
    <definedName name="Paste_Totals_31" localSheetId="9">#REF!</definedName>
    <definedName name="Paste_Totals_31" localSheetId="5">#REF!</definedName>
    <definedName name="Paste_Totals_31">#REF!</definedName>
    <definedName name="Paste_Totals_32" localSheetId="12">#REF!</definedName>
    <definedName name="Paste_Totals_32" localSheetId="9">#REF!</definedName>
    <definedName name="Paste_Totals_32" localSheetId="5">#REF!</definedName>
    <definedName name="Paste_Totals_32">#REF!</definedName>
    <definedName name="Paste_Totals_33" localSheetId="12">#REF!</definedName>
    <definedName name="Paste_Totals_33" localSheetId="9">#REF!</definedName>
    <definedName name="Paste_Totals_33" localSheetId="5">#REF!</definedName>
    <definedName name="Paste_Totals_33">#REF!</definedName>
    <definedName name="Paste_Totals_34" localSheetId="12">#REF!</definedName>
    <definedName name="Paste_Totals_34" localSheetId="9">#REF!</definedName>
    <definedName name="Paste_Totals_34" localSheetId="5">#REF!</definedName>
    <definedName name="Paste_Totals_34">#REF!</definedName>
    <definedName name="Paste_Totals_35" localSheetId="12">#REF!</definedName>
    <definedName name="Paste_Totals_35" localSheetId="9">#REF!</definedName>
    <definedName name="Paste_Totals_35" localSheetId="5">#REF!</definedName>
    <definedName name="Paste_Totals_35">#REF!</definedName>
    <definedName name="Paste_Totals_36" localSheetId="12">#REF!</definedName>
    <definedName name="Paste_Totals_36" localSheetId="9">#REF!</definedName>
    <definedName name="Paste_Totals_36" localSheetId="5">#REF!</definedName>
    <definedName name="Paste_Totals_36">#REF!</definedName>
    <definedName name="Paste_Totals_37" localSheetId="12">#REF!</definedName>
    <definedName name="Paste_Totals_37" localSheetId="9">#REF!</definedName>
    <definedName name="Paste_Totals_37" localSheetId="5">#REF!</definedName>
    <definedName name="Paste_Totals_37">#REF!</definedName>
    <definedName name="Paste_Totals_38" localSheetId="12">#REF!</definedName>
    <definedName name="Paste_Totals_38" localSheetId="9">#REF!</definedName>
    <definedName name="Paste_Totals_38" localSheetId="5">#REF!</definedName>
    <definedName name="Paste_Totals_38">#REF!</definedName>
    <definedName name="Paste_Totals_39" localSheetId="12">#REF!</definedName>
    <definedName name="Paste_Totals_39" localSheetId="9">#REF!</definedName>
    <definedName name="Paste_Totals_39" localSheetId="5">#REF!</definedName>
    <definedName name="Paste_Totals_39">#REF!</definedName>
    <definedName name="Paste_Totals_4" localSheetId="12">#REF!</definedName>
    <definedName name="Paste_Totals_4" localSheetId="9">#REF!</definedName>
    <definedName name="Paste_Totals_4" localSheetId="5">#REF!</definedName>
    <definedName name="Paste_Totals_4">#REF!</definedName>
    <definedName name="Paste_Totals_40" localSheetId="12">#REF!</definedName>
    <definedName name="Paste_Totals_40" localSheetId="9">#REF!</definedName>
    <definedName name="Paste_Totals_40" localSheetId="5">#REF!</definedName>
    <definedName name="Paste_Totals_40">#REF!</definedName>
    <definedName name="Paste_Totals_41" localSheetId="12">#REF!</definedName>
    <definedName name="Paste_Totals_41" localSheetId="9">#REF!</definedName>
    <definedName name="Paste_Totals_41" localSheetId="5">#REF!</definedName>
    <definedName name="Paste_Totals_41">#REF!</definedName>
    <definedName name="Paste_Totals_42" localSheetId="12">#REF!</definedName>
    <definedName name="Paste_Totals_42" localSheetId="9">#REF!</definedName>
    <definedName name="Paste_Totals_42" localSheetId="5">#REF!</definedName>
    <definedName name="Paste_Totals_42">#REF!</definedName>
    <definedName name="Paste_Totals_43" localSheetId="12">#REF!</definedName>
    <definedName name="Paste_Totals_43" localSheetId="9">#REF!</definedName>
    <definedName name="Paste_Totals_43" localSheetId="5">#REF!</definedName>
    <definedName name="Paste_Totals_43">#REF!</definedName>
    <definedName name="Paste_Totals_44" localSheetId="12">#REF!</definedName>
    <definedName name="Paste_Totals_44" localSheetId="9">#REF!</definedName>
    <definedName name="Paste_Totals_44" localSheetId="5">#REF!</definedName>
    <definedName name="Paste_Totals_44">#REF!</definedName>
    <definedName name="Paste_Totals_45" localSheetId="12">#REF!</definedName>
    <definedName name="Paste_Totals_45" localSheetId="9">#REF!</definedName>
    <definedName name="Paste_Totals_45" localSheetId="5">#REF!</definedName>
    <definedName name="Paste_Totals_45">#REF!</definedName>
    <definedName name="Paste_Totals_46" localSheetId="12">#REF!</definedName>
    <definedName name="Paste_Totals_46" localSheetId="9">#REF!</definedName>
    <definedName name="Paste_Totals_46" localSheetId="5">#REF!</definedName>
    <definedName name="Paste_Totals_46">#REF!</definedName>
    <definedName name="Paste_Totals_47" localSheetId="12">#REF!</definedName>
    <definedName name="Paste_Totals_47" localSheetId="9">#REF!</definedName>
    <definedName name="Paste_Totals_47" localSheetId="5">#REF!</definedName>
    <definedName name="Paste_Totals_47">#REF!</definedName>
    <definedName name="Paste_Totals_48" localSheetId="12">#REF!</definedName>
    <definedName name="Paste_Totals_48" localSheetId="9">#REF!</definedName>
    <definedName name="Paste_Totals_48" localSheetId="5">#REF!</definedName>
    <definedName name="Paste_Totals_48">#REF!</definedName>
    <definedName name="Paste_Totals_49" localSheetId="12">#REF!</definedName>
    <definedName name="Paste_Totals_49" localSheetId="9">#REF!</definedName>
    <definedName name="Paste_Totals_49" localSheetId="5">#REF!</definedName>
    <definedName name="Paste_Totals_49">#REF!</definedName>
    <definedName name="Paste_Totals_5" localSheetId="12">#REF!</definedName>
    <definedName name="Paste_Totals_5" localSheetId="9">#REF!</definedName>
    <definedName name="Paste_Totals_5" localSheetId="5">#REF!</definedName>
    <definedName name="Paste_Totals_5">#REF!</definedName>
    <definedName name="Paste_Totals_50" localSheetId="12">#REF!</definedName>
    <definedName name="Paste_Totals_50" localSheetId="9">#REF!</definedName>
    <definedName name="Paste_Totals_50" localSheetId="5">#REF!</definedName>
    <definedName name="Paste_Totals_50">#REF!</definedName>
    <definedName name="Paste_Totals_51" localSheetId="12">#REF!</definedName>
    <definedName name="Paste_Totals_51" localSheetId="9">#REF!</definedName>
    <definedName name="Paste_Totals_51" localSheetId="5">#REF!</definedName>
    <definedName name="Paste_Totals_51">#REF!</definedName>
    <definedName name="Paste_Totals_52" localSheetId="12">#REF!</definedName>
    <definedName name="Paste_Totals_52" localSheetId="9">#REF!</definedName>
    <definedName name="Paste_Totals_52" localSheetId="5">#REF!</definedName>
    <definedName name="Paste_Totals_52">#REF!</definedName>
    <definedName name="Paste_Totals_53" localSheetId="12">#REF!</definedName>
    <definedName name="Paste_Totals_53" localSheetId="9">#REF!</definedName>
    <definedName name="Paste_Totals_53" localSheetId="5">#REF!</definedName>
    <definedName name="Paste_Totals_53">#REF!</definedName>
    <definedName name="Paste_Totals_54" localSheetId="12">#REF!</definedName>
    <definedName name="Paste_Totals_54" localSheetId="9">#REF!</definedName>
    <definedName name="Paste_Totals_54" localSheetId="5">#REF!</definedName>
    <definedName name="Paste_Totals_54">#REF!</definedName>
    <definedName name="Paste_Totals_55" localSheetId="12">#REF!</definedName>
    <definedName name="Paste_Totals_55" localSheetId="9">#REF!</definedName>
    <definedName name="Paste_Totals_55" localSheetId="5">#REF!</definedName>
    <definedName name="Paste_Totals_55">#REF!</definedName>
    <definedName name="Paste_Totals_56" localSheetId="12">#REF!</definedName>
    <definedName name="Paste_Totals_56" localSheetId="9">#REF!</definedName>
    <definedName name="Paste_Totals_56" localSheetId="5">#REF!</definedName>
    <definedName name="Paste_Totals_56">#REF!</definedName>
    <definedName name="Paste_Totals_57" localSheetId="12">#REF!</definedName>
    <definedName name="Paste_Totals_57" localSheetId="9">#REF!</definedName>
    <definedName name="Paste_Totals_57" localSheetId="5">#REF!</definedName>
    <definedName name="Paste_Totals_57">#REF!</definedName>
    <definedName name="Paste_Totals_58" localSheetId="12">#REF!</definedName>
    <definedName name="Paste_Totals_58" localSheetId="9">#REF!</definedName>
    <definedName name="Paste_Totals_58" localSheetId="5">#REF!</definedName>
    <definedName name="Paste_Totals_58">#REF!</definedName>
    <definedName name="Paste_Totals_59" localSheetId="12">#REF!</definedName>
    <definedName name="Paste_Totals_59" localSheetId="9">#REF!</definedName>
    <definedName name="Paste_Totals_59" localSheetId="5">#REF!</definedName>
    <definedName name="Paste_Totals_59">#REF!</definedName>
    <definedName name="Paste_Totals_6" localSheetId="12">#REF!</definedName>
    <definedName name="Paste_Totals_6" localSheetId="9">#REF!</definedName>
    <definedName name="Paste_Totals_6" localSheetId="5">#REF!</definedName>
    <definedName name="Paste_Totals_6">#REF!</definedName>
    <definedName name="Paste_Totals_60" localSheetId="12">#REF!</definedName>
    <definedName name="Paste_Totals_60" localSheetId="9">#REF!</definedName>
    <definedName name="Paste_Totals_60" localSheetId="5">#REF!</definedName>
    <definedName name="Paste_Totals_60">#REF!</definedName>
    <definedName name="Paste_Totals_63">Rollup!$B$8</definedName>
    <definedName name="Paste_Totals_7" localSheetId="12">#REF!</definedName>
    <definedName name="Paste_Totals_7" localSheetId="9">#REF!</definedName>
    <definedName name="Paste_Totals_7" localSheetId="5">#REF!</definedName>
    <definedName name="Paste_Totals_7">#REF!</definedName>
    <definedName name="Paste_Totals_8" localSheetId="12">#REF!</definedName>
    <definedName name="Paste_Totals_8" localSheetId="9">#REF!</definedName>
    <definedName name="Paste_Totals_8" localSheetId="5">#REF!</definedName>
    <definedName name="Paste_Totals_8">#REF!</definedName>
    <definedName name="Paste_Totals_9" localSheetId="12">#REF!</definedName>
    <definedName name="Paste_Totals_9" localSheetId="9">#REF!</definedName>
    <definedName name="Paste_Totals_9" localSheetId="5">#REF!</definedName>
    <definedName name="Paste_Totals_9">#REF!</definedName>
    <definedName name="Period_Data" localSheetId="12">#REF!</definedName>
    <definedName name="Period_Data" localSheetId="9">#REF!</definedName>
    <definedName name="Period_Data" localSheetId="5">#REF!</definedName>
    <definedName name="Period_Data">#REF!</definedName>
    <definedName name="Period_Roll">Rollup!$DB$3</definedName>
    <definedName name="Period_Roll1">Rollup!$DB$4</definedName>
    <definedName name="Period_Roll2">Rollup!$DB$5</definedName>
    <definedName name="Period_Roll3">Rollup!$DB$6</definedName>
    <definedName name="Period_Roll4">Rollup!$DB$7</definedName>
    <definedName name="Period_Roll5">Rollup!$DB$8</definedName>
    <definedName name="Period_Roll6">Rollup!$DB$9</definedName>
    <definedName name="Period_Y" localSheetId="12">#REF!</definedName>
    <definedName name="Period_Y" localSheetId="9">#REF!</definedName>
    <definedName name="Period_Y" localSheetId="5">#REF!</definedName>
    <definedName name="Period_Y">#REF!</definedName>
    <definedName name="_xlnm.Print_Area" localSheetId="1">Co_vs_Ind!$B$2:$AJ$68</definedName>
    <definedName name="_xlnm.Print_Area" localSheetId="0">Growth!$B$14:$K$83</definedName>
    <definedName name="_xlnm.Print_Area" localSheetId="2">OFFSET(Rollup!$B$7,6,0,COUNTA(OFFSET(Rollup!$C$7,6,0,5000,1)),#REF!)</definedName>
    <definedName name="_xlnm.Print_Titles" localSheetId="0">Growth!$2:$8</definedName>
    <definedName name="_xlnm.Print_Titles" localSheetId="2">Rollup!$2:$12</definedName>
    <definedName name="Query_CoVsInd">Co_vs_Ind!$CD$76</definedName>
    <definedName name="Query_CoVsInd_KF">Co_vs_Ind!$CF$78:$EM$78</definedName>
    <definedName name="Query_Data" localSheetId="12">#REF!</definedName>
    <definedName name="Query_Data" localSheetId="9">#REF!</definedName>
    <definedName name="Query_Data" localSheetId="5">#REF!</definedName>
    <definedName name="Query_Data">#REF!</definedName>
    <definedName name="Query_Growth">Growth!$C$29</definedName>
    <definedName name="Query_Growth_KF">Growth!$E$31:$J$31</definedName>
    <definedName name="Query_KF_Data" localSheetId="12">#REF!</definedName>
    <definedName name="Query_KF_Data" localSheetId="9">#REF!</definedName>
    <definedName name="Query_KF_Data" localSheetId="5">#REF!</definedName>
    <definedName name="Query_KF_Data">#REF!</definedName>
    <definedName name="Query_KFs" localSheetId="12">#REF!</definedName>
    <definedName name="Query_KFs" localSheetId="9">#REF!</definedName>
    <definedName name="Query_KFs" localSheetId="5">#REF!</definedName>
    <definedName name="Query_KFs">#REF!</definedName>
    <definedName name="Query_KFs_2" localSheetId="12">#REF!</definedName>
    <definedName name="Query_KFs_2" localSheetId="9">#REF!</definedName>
    <definedName name="Query_KFs_2" localSheetId="5">#REF!</definedName>
    <definedName name="Query_KFs_2">#REF!</definedName>
    <definedName name="Query_KFs_3" localSheetId="12">#REF!</definedName>
    <definedName name="Query_KFs_3" localSheetId="9">#REF!</definedName>
    <definedName name="Query_KFs_3" localSheetId="5">#REF!</definedName>
    <definedName name="Query_KFs_3">#REF!</definedName>
    <definedName name="Rep_Lev_1" localSheetId="12">#REF!</definedName>
    <definedName name="Rep_Lev_1" localSheetId="9">#REF!</definedName>
    <definedName name="Rep_Lev_1" localSheetId="5">#REF!</definedName>
    <definedName name="Rep_Lev_1">#REF!</definedName>
    <definedName name="Rep_Lev_2" localSheetId="12">#REF!</definedName>
    <definedName name="Rep_Lev_2" localSheetId="9">#REF!</definedName>
    <definedName name="Rep_Lev_2" localSheetId="5">#REF!</definedName>
    <definedName name="Rep_Lev_2">#REF!</definedName>
    <definedName name="Rep_Lev_Code" localSheetId="12">#REF!</definedName>
    <definedName name="Rep_Lev_Code" localSheetId="9">#REF!</definedName>
    <definedName name="Rep_Lev_Code" localSheetId="5">#REF!</definedName>
    <definedName name="Rep_Lev_Code">#REF!</definedName>
    <definedName name="Rep_Lev_Name" localSheetId="12">#REF!</definedName>
    <definedName name="Rep_Lev_Name" localSheetId="9">#REF!</definedName>
    <definedName name="Rep_Lev_Name" localSheetId="5">#REF!</definedName>
    <definedName name="Rep_Lev_Name">#REF!</definedName>
    <definedName name="Roll_Code">Rollup!$DF$9</definedName>
    <definedName name="Rollup_Name" localSheetId="12">#REF!</definedName>
    <definedName name="Rollup_Name" localSheetId="9">#REF!</definedName>
    <definedName name="Rollup_Name" localSheetId="5">#REF!</definedName>
    <definedName name="Rollup_Name">#REF!</definedName>
    <definedName name="SNL_Query" localSheetId="12">#REF!</definedName>
    <definedName name="SNL_Query" localSheetId="9">#REF!</definedName>
    <definedName name="SNL_Query" localSheetId="5">#REF!</definedName>
    <definedName name="SNL_Query">#REF!</definedName>
    <definedName name="SNL_Query_2" localSheetId="12">#REF!</definedName>
    <definedName name="SNL_Query_2" localSheetId="9">#REF!</definedName>
    <definedName name="SNL_Query_2" localSheetId="5">#REF!</definedName>
    <definedName name="SNL_Query_2">#REF!</definedName>
    <definedName name="SNL_Query_3" localSheetId="12">#REF!</definedName>
    <definedName name="SNL_Query_3" localSheetId="9">#REF!</definedName>
    <definedName name="SNL_Query_3" localSheetId="5">#REF!</definedName>
    <definedName name="SNL_Query_3">#REF!</definedName>
    <definedName name="snlquery_9f4a5350_f05b_4853_9506_cf89f40a59ec" localSheetId="1" hidden="1">Co_vs_Ind!$CD$76,Co_vs_Ind!$CD$77:$EM$1020</definedName>
    <definedName name="snlquery_b0d749dd_4c3b_4c16_a252_a8e469a784e0" localSheetId="0" hidden="1">Growth!$C$29,Growth!$C$30:$J$56</definedName>
    <definedName name="State_Geo_1" localSheetId="12">#REF!</definedName>
    <definedName name="State_Geo_1" localSheetId="9">#REF!</definedName>
    <definedName name="State_Geo_1" localSheetId="5">#REF!</definedName>
    <definedName name="State_Geo_1">#REF!</definedName>
    <definedName name="State_Geo_2" localSheetId="12">#REF!</definedName>
    <definedName name="State_Geo_2" localSheetId="9">#REF!</definedName>
    <definedName name="State_Geo_2" localSheetId="5">#REF!</definedName>
    <definedName name="State_Geo_2">#REF!</definedName>
    <definedName name="State_Geo_Code" localSheetId="12">#REF!</definedName>
    <definedName name="State_Geo_Code" localSheetId="9">#REF!</definedName>
    <definedName name="State_Geo_Code" localSheetId="5">#REF!</definedName>
    <definedName name="State_Geo_Code">#REF!</definedName>
    <definedName name="State_Geo_Name" localSheetId="12">#REF!</definedName>
    <definedName name="State_Geo_Name" localSheetId="9">#REF!</definedName>
    <definedName name="State_Geo_Name" localSheetId="5">#REF!</definedName>
    <definedName name="State_Geo_Name">#REF!</definedName>
    <definedName name="State_LOB_1" localSheetId="12">#REF!</definedName>
    <definedName name="State_LOB_1" localSheetId="9">#REF!</definedName>
    <definedName name="State_LOB_1" localSheetId="5">#REF!</definedName>
    <definedName name="State_LOB_1">#REF!</definedName>
    <definedName name="State_LOB_2" localSheetId="12">#REF!</definedName>
    <definedName name="State_LOB_2" localSheetId="9">#REF!</definedName>
    <definedName name="State_LOB_2" localSheetId="5">#REF!</definedName>
    <definedName name="State_LOB_2">#REF!</definedName>
    <definedName name="State_LOB_Code" localSheetId="12">#REF!</definedName>
    <definedName name="State_LOB_Code" localSheetId="9">#REF!</definedName>
    <definedName name="State_LOB_Code" localSheetId="5">#REF!</definedName>
    <definedName name="State_LOB_Code">#REF!</definedName>
    <definedName name="State_LOB_Name" localSheetId="12">#REF!</definedName>
    <definedName name="State_LOB_Name" localSheetId="9">#REF!</definedName>
    <definedName name="State_LOB_Name" localSheetId="5">#REF!</definedName>
    <definedName name="State_LOB_Name">#REF!</definedName>
    <definedName name="Table_Auto" localSheetId="12">#REF!</definedName>
    <definedName name="Table_Auto" localSheetId="9">#REF!</definedName>
    <definedName name="Table_Auto" localSheetId="5">#REF!</definedName>
    <definedName name="Table_Auto">#REF!</definedName>
    <definedName name="Table_Auto_Codes" localSheetId="12">#REF!</definedName>
    <definedName name="Table_Auto_Codes" localSheetId="9">#REF!</definedName>
    <definedName name="Table_Auto_Codes" localSheetId="5">#REF!</definedName>
    <definedName name="Table_Auto_Codes">#REF!</definedName>
    <definedName name="Table_Auto_KF" localSheetId="12">#REF!</definedName>
    <definedName name="Table_Auto_KF" localSheetId="9">#REF!</definedName>
    <definedName name="Table_Auto_KF" localSheetId="5">#REF!</definedName>
    <definedName name="Table_Auto_KF">#REF!</definedName>
    <definedName name="Table_Codes_Data" localSheetId="12">#REF!</definedName>
    <definedName name="Table_Codes_Data" localSheetId="9">#REF!</definedName>
    <definedName name="Table_Codes_Data" localSheetId="5">#REF!</definedName>
    <definedName name="Table_Codes_Data">#REF!</definedName>
    <definedName name="Table_CoVsInd">Co_vs_Ind!$BV$76</definedName>
    <definedName name="Table_CoVsInd_Codes">Co_vs_Ind!$BY$76:$BZ$76</definedName>
    <definedName name="Table_CoVsInd_KF">Co_vs_Ind!$BV$77:$BV$1851</definedName>
    <definedName name="Table_CoVsInd_Per">Co_vs_Ind!$BW$77:$BW$1851</definedName>
    <definedName name="Table_Data" localSheetId="12">#REF!</definedName>
    <definedName name="Table_Data" localSheetId="9">#REF!</definedName>
    <definedName name="Table_Data" localSheetId="5">#REF!</definedName>
    <definedName name="Table_Data">#REF!</definedName>
    <definedName name="Table_Group_KF" localSheetId="12">#REF!</definedName>
    <definedName name="Table_Group_KF" localSheetId="9">#REF!</definedName>
    <definedName name="Table_Group_KF" localSheetId="5">#REF!</definedName>
    <definedName name="Table_Group_KF">#REF!</definedName>
    <definedName name="Table_Group_Sec" localSheetId="12">#REF!</definedName>
    <definedName name="Table_Group_Sec" localSheetId="9">#REF!</definedName>
    <definedName name="Table_Group_Sec" localSheetId="5">#REF!</definedName>
    <definedName name="Table_Group_Sec">#REF!</definedName>
    <definedName name="Table_Growth">Growth!$C$9</definedName>
    <definedName name="Table_Growth_Codes">Growth!$D$15:$D$17</definedName>
    <definedName name="Table_Growth_KF">Growth!$C$11:$J$11</definedName>
    <definedName name="Table_KF_Data" localSheetId="12">#REF!</definedName>
    <definedName name="Table_KF_Data" localSheetId="9">#REF!</definedName>
    <definedName name="Table_KF_Data" localSheetId="5">#REF!</definedName>
    <definedName name="Table_KF_Data">#REF!</definedName>
    <definedName name="Table_Roll">Rollup!$DF$5</definedName>
    <definedName name="Table_Roll_Codes">OFFSET(Rollup!$DF$9,0,0,4+Rollup!$DF$4,1)</definedName>
    <definedName name="Table_Roll_KF1">Rollup!$DK$5:$FT$5</definedName>
    <definedName name="Table_Roll_KF2">Rollup!$DO$5:$FT$5</definedName>
    <definedName name="Top_N" localSheetId="12">#REF!</definedName>
    <definedName name="Top_N" localSheetId="9">#REF!</definedName>
    <definedName name="Top_N" localSheetId="5">#REF!</definedName>
    <definedName name="Top_N">#REF!</definedName>
    <definedName name="Update_1" localSheetId="12">#REF!</definedName>
    <definedName name="Update_1" localSheetId="9">#REF!</definedName>
    <definedName name="Update_1" localSheetId="5">#REF!</definedName>
    <definedName name="Update_1">#REF!</definedName>
  </definedNames>
  <calcPr calcId="152511"/>
  <pivotCaches>
    <pivotCache cacheId="0" r:id="rId14"/>
    <pivotCache cacheId="1" r:id="rId15"/>
  </pivotCaches>
</workbook>
</file>

<file path=xl/calcChain.xml><?xml version="1.0" encoding="utf-8"?>
<calcChain xmlns="http://schemas.openxmlformats.org/spreadsheetml/2006/main">
  <c r="AB91" i="88" l="1"/>
  <c r="AA91" i="88"/>
  <c r="Y91" i="88"/>
  <c r="X91" i="88"/>
  <c r="AB70" i="88"/>
  <c r="AA70" i="88"/>
  <c r="Y70" i="88"/>
  <c r="X70" i="88"/>
  <c r="AB19" i="88"/>
  <c r="AA19" i="88"/>
  <c r="Y19" i="88"/>
  <c r="X19" i="88"/>
  <c r="AB40" i="88"/>
  <c r="AA40" i="88"/>
  <c r="Y40" i="88"/>
  <c r="X40" i="88"/>
  <c r="E1" i="73"/>
  <c r="F1" i="73" s="1"/>
  <c r="G1" i="73" s="1"/>
  <c r="H1" i="73"/>
  <c r="I1" i="73" s="1"/>
  <c r="J1" i="73" s="1"/>
  <c r="K1" i="73" s="1"/>
  <c r="L1" i="73" s="1"/>
  <c r="M1" i="73" s="1"/>
  <c r="N1" i="73" s="1"/>
  <c r="O1" i="73" s="1"/>
  <c r="P1" i="73" s="1"/>
  <c r="Q1" i="73" s="1"/>
  <c r="R1" i="73" s="1"/>
  <c r="S1" i="73" s="1"/>
  <c r="T1" i="73" s="1"/>
  <c r="U1" i="73" s="1"/>
  <c r="V1" i="73" s="1"/>
  <c r="W1" i="73" s="1"/>
  <c r="X1" i="73" s="1"/>
  <c r="Y1" i="73" s="1"/>
  <c r="Z1" i="73" s="1"/>
  <c r="AA1" i="73" s="1"/>
  <c r="AB1" i="73" s="1"/>
  <c r="AC1" i="73" s="1"/>
  <c r="AD1" i="73" s="1"/>
  <c r="AE1" i="73" s="1"/>
  <c r="AF1" i="73" s="1"/>
  <c r="AG1" i="73" s="1"/>
  <c r="AH1" i="73" s="1"/>
  <c r="AI1" i="73" s="1"/>
  <c r="AJ1" i="73" s="1"/>
  <c r="AK1" i="73" s="1"/>
  <c r="AL1" i="73" s="1"/>
  <c r="AM1" i="73" s="1"/>
  <c r="AN1" i="73" s="1"/>
  <c r="AO1" i="73" s="1"/>
  <c r="AP1" i="73" s="1"/>
  <c r="AQ1" i="73" s="1"/>
  <c r="AR1" i="73" s="1"/>
  <c r="AS1" i="73" s="1"/>
  <c r="AT1" i="73" s="1"/>
  <c r="AU1" i="73" s="1"/>
  <c r="AV1" i="73" s="1"/>
  <c r="AW1" i="73" s="1"/>
  <c r="AX1" i="73" s="1"/>
  <c r="AY1" i="73" s="1"/>
  <c r="AZ1" i="73" s="1"/>
  <c r="C3" i="79"/>
  <c r="C4" i="79"/>
  <c r="C5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C27" i="79"/>
  <c r="C28" i="79"/>
  <c r="C29" i="79"/>
  <c r="C30" i="79"/>
  <c r="C31" i="79"/>
  <c r="C32" i="79"/>
  <c r="C33" i="79"/>
  <c r="C34" i="79"/>
  <c r="C35" i="79"/>
  <c r="C36" i="79"/>
  <c r="C37" i="79"/>
  <c r="C38" i="79"/>
  <c r="C39" i="79"/>
  <c r="C40" i="79"/>
  <c r="C41" i="79"/>
  <c r="C42" i="79"/>
  <c r="C43" i="79"/>
  <c r="C44" i="79"/>
  <c r="C45" i="79"/>
  <c r="C46" i="79"/>
  <c r="C47" i="79"/>
  <c r="C48" i="79"/>
  <c r="C49" i="79"/>
  <c r="C50" i="79"/>
  <c r="C51" i="79"/>
  <c r="C52" i="79"/>
  <c r="C53" i="79"/>
  <c r="C54" i="79"/>
  <c r="C55" i="79"/>
  <c r="C56" i="79"/>
  <c r="C57" i="79"/>
  <c r="C58" i="79"/>
  <c r="C59" i="79"/>
  <c r="C60" i="79"/>
  <c r="C61" i="79"/>
  <c r="C62" i="79"/>
  <c r="C63" i="79"/>
  <c r="C64" i="79"/>
  <c r="C65" i="79"/>
  <c r="C66" i="79"/>
  <c r="C67" i="79"/>
  <c r="C68" i="79"/>
  <c r="C69" i="79"/>
  <c r="C70" i="79"/>
  <c r="C71" i="79"/>
  <c r="C72" i="79"/>
  <c r="C73" i="79"/>
  <c r="C74" i="79"/>
  <c r="C75" i="79"/>
  <c r="C76" i="79"/>
  <c r="C77" i="79"/>
  <c r="C78" i="79"/>
  <c r="C79" i="79"/>
  <c r="C80" i="79"/>
  <c r="C81" i="79"/>
  <c r="C82" i="79"/>
  <c r="C83" i="79"/>
  <c r="C84" i="79"/>
  <c r="C85" i="79"/>
  <c r="C86" i="79"/>
  <c r="C87" i="79"/>
  <c r="C88" i="79"/>
  <c r="C89" i="79"/>
  <c r="C90" i="79"/>
  <c r="C91" i="79"/>
  <c r="C92" i="79"/>
  <c r="C93" i="79"/>
  <c r="C94" i="79"/>
  <c r="C95" i="79"/>
  <c r="C96" i="79"/>
  <c r="C97" i="79"/>
  <c r="C98" i="79"/>
  <c r="C99" i="79"/>
  <c r="C100" i="79"/>
  <c r="C101" i="79"/>
  <c r="C102" i="79"/>
  <c r="C103" i="79"/>
  <c r="C2" i="79"/>
  <c r="C103" i="78"/>
  <c r="D103" i="78" s="1"/>
  <c r="C102" i="78"/>
  <c r="D102" i="78" s="1"/>
  <c r="C31" i="78"/>
  <c r="C88" i="78"/>
  <c r="C89" i="78"/>
  <c r="C27" i="78"/>
  <c r="C34" i="78"/>
  <c r="C39" i="78"/>
  <c r="C44" i="78"/>
  <c r="C56" i="78"/>
  <c r="C60" i="78"/>
  <c r="C68" i="78"/>
  <c r="C72" i="78"/>
  <c r="C83" i="78"/>
  <c r="C93" i="78"/>
  <c r="C52" i="78"/>
  <c r="C35" i="78"/>
  <c r="C16" i="78"/>
  <c r="C26" i="78"/>
  <c r="C12" i="78"/>
  <c r="C22" i="78"/>
  <c r="C28" i="78"/>
  <c r="C40" i="78"/>
  <c r="C45" i="78"/>
  <c r="C50" i="78"/>
  <c r="C65" i="78"/>
  <c r="C69" i="78"/>
  <c r="C73" i="78"/>
  <c r="C100" i="78"/>
  <c r="C15" i="78"/>
  <c r="C14" i="78"/>
  <c r="C25" i="78"/>
  <c r="C55" i="78"/>
  <c r="C17" i="78"/>
  <c r="C37" i="78"/>
  <c r="C66" i="78"/>
  <c r="C95" i="78"/>
  <c r="C21" i="78"/>
  <c r="C20" i="78"/>
  <c r="C99" i="78"/>
  <c r="C24" i="78"/>
  <c r="C86" i="78"/>
  <c r="C64" i="78"/>
  <c r="C78" i="78"/>
  <c r="C19" i="78"/>
  <c r="C36" i="78"/>
  <c r="C57" i="78"/>
  <c r="C48" i="78"/>
  <c r="C80" i="78"/>
  <c r="C84" i="78"/>
  <c r="C13" i="78"/>
  <c r="C23" i="78"/>
  <c r="C29" i="78"/>
  <c r="C41" i="78"/>
  <c r="C46" i="78"/>
  <c r="C51" i="78"/>
  <c r="C58" i="78"/>
  <c r="C62" i="78"/>
  <c r="C70" i="78"/>
  <c r="C79" i="78"/>
  <c r="C74" i="78"/>
  <c r="C81" i="78"/>
  <c r="C85" i="78"/>
  <c r="C91" i="78"/>
  <c r="C96" i="78"/>
  <c r="C49" i="78"/>
  <c r="C42" i="78"/>
  <c r="C87" i="78"/>
  <c r="C98" i="78"/>
  <c r="C61" i="78"/>
  <c r="C90" i="78"/>
  <c r="C77" i="78"/>
  <c r="C94" i="78"/>
  <c r="C18" i="78"/>
  <c r="C33" i="78"/>
  <c r="C30" i="78"/>
  <c r="C38" i="78"/>
  <c r="C43" i="78"/>
  <c r="C47" i="78"/>
  <c r="C54" i="78"/>
  <c r="C53" i="78"/>
  <c r="C59" i="78"/>
  <c r="C63" i="78"/>
  <c r="C67" i="78"/>
  <c r="C71" i="78"/>
  <c r="C75" i="78"/>
  <c r="C76" i="78"/>
  <c r="C82" i="78"/>
  <c r="C92" i="78"/>
  <c r="C11" i="78"/>
  <c r="C9" i="78"/>
  <c r="C32" i="78"/>
  <c r="C101" i="78"/>
  <c r="C10" i="78"/>
  <c r="C97" i="78"/>
  <c r="C8" i="78"/>
  <c r="C6" i="78"/>
  <c r="C3" i="78"/>
  <c r="C5" i="78"/>
  <c r="C4" i="78"/>
  <c r="C7" i="78"/>
  <c r="C2" i="78"/>
  <c r="D40" i="77"/>
  <c r="D48" i="77"/>
  <c r="D56" i="77"/>
  <c r="D65" i="77"/>
  <c r="D18" i="77"/>
  <c r="D22" i="77"/>
  <c r="D27" i="77"/>
  <c r="D31" i="77"/>
  <c r="D35" i="77"/>
  <c r="D39" i="77"/>
  <c r="D43" i="77"/>
  <c r="D47" i="77"/>
  <c r="D51" i="77"/>
  <c r="D55" i="77"/>
  <c r="D59" i="77"/>
  <c r="D63" i="77"/>
  <c r="D68" i="77"/>
  <c r="D72" i="77"/>
  <c r="D76" i="77"/>
  <c r="D80" i="77"/>
  <c r="D85" i="77"/>
  <c r="D89" i="77"/>
  <c r="D93" i="77"/>
  <c r="D98" i="77"/>
  <c r="D7" i="77"/>
  <c r="D102" i="77"/>
  <c r="D23" i="77"/>
  <c r="D28" i="77"/>
  <c r="D32" i="77"/>
  <c r="D52" i="77"/>
  <c r="D81" i="77"/>
  <c r="D86" i="77"/>
  <c r="D9" i="77"/>
  <c r="D33" i="77"/>
  <c r="D61" i="77"/>
  <c r="D82" i="77"/>
  <c r="D87" i="77"/>
  <c r="D95" i="77"/>
  <c r="D101" i="77"/>
  <c r="D13" i="77"/>
  <c r="D36" i="77"/>
  <c r="D60" i="77"/>
  <c r="D73" i="77"/>
  <c r="D77" i="77"/>
  <c r="D90" i="77"/>
  <c r="D94" i="77"/>
  <c r="D96" i="77"/>
  <c r="D14" i="77"/>
  <c r="D37" i="77"/>
  <c r="D45" i="77"/>
  <c r="D49" i="77"/>
  <c r="D53" i="77"/>
  <c r="D66" i="77"/>
  <c r="D70" i="77"/>
  <c r="D74" i="77"/>
  <c r="D78" i="77"/>
  <c r="D83" i="77"/>
  <c r="D91" i="77"/>
  <c r="D16" i="77"/>
  <c r="D17" i="77"/>
  <c r="D24" i="77"/>
  <c r="D30" i="77"/>
  <c r="D34" i="77"/>
  <c r="D38" i="77"/>
  <c r="D42" i="77"/>
  <c r="D46" i="77"/>
  <c r="D50" i="77"/>
  <c r="D54" i="77"/>
  <c r="D58" i="77"/>
  <c r="D62" i="77"/>
  <c r="D71" i="77"/>
  <c r="D75" i="77"/>
  <c r="E75" i="77" s="1"/>
  <c r="D79" i="77"/>
  <c r="D84" i="77"/>
  <c r="D88" i="77"/>
  <c r="D92" i="77"/>
  <c r="D97" i="77"/>
  <c r="D100" i="77"/>
  <c r="D99" i="77"/>
  <c r="D12" i="77"/>
  <c r="E12" i="77" s="1"/>
  <c r="D6" i="77"/>
  <c r="D25" i="77"/>
  <c r="D19" i="77"/>
  <c r="D26" i="77"/>
  <c r="D44" i="77"/>
  <c r="D69" i="77"/>
  <c r="D2" i="77"/>
  <c r="D3" i="77"/>
  <c r="D4" i="77"/>
  <c r="D5" i="77"/>
  <c r="D20" i="77"/>
  <c r="D10" i="77"/>
  <c r="D15" i="77"/>
  <c r="D29" i="77"/>
  <c r="D41" i="77"/>
  <c r="D57" i="77"/>
  <c r="D8" i="77"/>
  <c r="D11" i="77"/>
  <c r="D21" i="77"/>
  <c r="D67" i="77"/>
  <c r="D64" i="77"/>
  <c r="C57" i="75"/>
  <c r="C17" i="75"/>
  <c r="C16" i="75"/>
  <c r="C13" i="75"/>
  <c r="C14" i="75"/>
  <c r="C11" i="75"/>
  <c r="C18" i="75"/>
  <c r="C19" i="75"/>
  <c r="C12" i="75"/>
  <c r="C22" i="75"/>
  <c r="C23" i="75"/>
  <c r="C25" i="75"/>
  <c r="C26" i="75"/>
  <c r="C15" i="75"/>
  <c r="C28" i="75"/>
  <c r="C29" i="75"/>
  <c r="C30" i="75"/>
  <c r="C31" i="75"/>
  <c r="C32" i="75"/>
  <c r="C33" i="75"/>
  <c r="C34" i="75"/>
  <c r="C35" i="75"/>
  <c r="C36" i="75"/>
  <c r="C38" i="75"/>
  <c r="C39" i="75"/>
  <c r="C40" i="75"/>
  <c r="C41" i="75"/>
  <c r="C42" i="75"/>
  <c r="C43" i="75"/>
  <c r="C44" i="75"/>
  <c r="C20" i="75"/>
  <c r="C45" i="75"/>
  <c r="C46" i="75"/>
  <c r="C47" i="75"/>
  <c r="C48" i="75"/>
  <c r="C49" i="75"/>
  <c r="C50" i="75"/>
  <c r="C51" i="75"/>
  <c r="C53" i="75"/>
  <c r="C54" i="75"/>
  <c r="C55" i="75"/>
  <c r="C56" i="75"/>
  <c r="C58" i="75"/>
  <c r="C59" i="75"/>
  <c r="C60" i="75"/>
  <c r="C61" i="75"/>
  <c r="C62" i="75"/>
  <c r="C63" i="75"/>
  <c r="C64" i="75"/>
  <c r="C65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37" i="75"/>
  <c r="C80" i="75"/>
  <c r="C81" i="75"/>
  <c r="C82" i="75"/>
  <c r="C83" i="75"/>
  <c r="C84" i="75"/>
  <c r="C52" i="75"/>
  <c r="C85" i="75"/>
  <c r="C86" i="75"/>
  <c r="C27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4" i="75"/>
  <c r="C105" i="75"/>
  <c r="C106" i="75"/>
  <c r="C107" i="75"/>
  <c r="C108" i="75"/>
  <c r="D108" i="75" s="1"/>
  <c r="C109" i="75"/>
  <c r="C110" i="75"/>
  <c r="C111" i="75"/>
  <c r="C112" i="75"/>
  <c r="C9" i="75"/>
  <c r="C6" i="75"/>
  <c r="C10" i="75"/>
  <c r="C2" i="75"/>
  <c r="C4" i="75"/>
  <c r="C7" i="75"/>
  <c r="C5" i="75"/>
  <c r="C8" i="75"/>
  <c r="C3" i="75"/>
  <c r="C21" i="75"/>
  <c r="C24" i="75"/>
  <c r="C66" i="75"/>
  <c r="C103" i="75"/>
  <c r="G2" i="4"/>
  <c r="BZ76" i="67"/>
  <c r="DO10" i="69"/>
  <c r="DP10" i="69"/>
  <c r="DQ10" i="69"/>
  <c r="DR10" i="69"/>
  <c r="DS10" i="69"/>
  <c r="DT10" i="69"/>
  <c r="DU10" i="69"/>
  <c r="DV10" i="69"/>
  <c r="DW10" i="69"/>
  <c r="DX10" i="69"/>
  <c r="DY10" i="69"/>
  <c r="DZ10" i="69"/>
  <c r="EA10" i="69"/>
  <c r="EB10" i="69"/>
  <c r="EC10" i="69"/>
  <c r="ED10" i="69"/>
  <c r="EE10" i="69"/>
  <c r="EF10" i="69"/>
  <c r="EG10" i="69"/>
  <c r="EH10" i="69"/>
  <c r="EI10" i="69"/>
  <c r="EJ10" i="69"/>
  <c r="EK10" i="69"/>
  <c r="EL10" i="69"/>
  <c r="EM10" i="69"/>
  <c r="EN10" i="69"/>
  <c r="EO10" i="69"/>
  <c r="EP10" i="69"/>
  <c r="EQ10" i="69"/>
  <c r="ER10" i="69"/>
  <c r="ES10" i="69"/>
  <c r="ET10" i="69"/>
  <c r="EU10" i="69"/>
  <c r="EV10" i="69"/>
  <c r="EW10" i="69"/>
  <c r="EX10" i="69"/>
  <c r="EY10" i="69"/>
  <c r="EZ10" i="69"/>
  <c r="FA10" i="69"/>
  <c r="FB10" i="69"/>
  <c r="FC10" i="69"/>
  <c r="FD10" i="69"/>
  <c r="FE10" i="69"/>
  <c r="FF10" i="69"/>
  <c r="FG10" i="69"/>
  <c r="FH10" i="69"/>
  <c r="FI10" i="69"/>
  <c r="FJ10" i="69"/>
  <c r="FK10" i="69"/>
  <c r="FL10" i="69"/>
  <c r="FM10" i="69"/>
  <c r="FN10" i="69"/>
  <c r="FO10" i="69"/>
  <c r="FP10" i="69"/>
  <c r="FQ10" i="69"/>
  <c r="FR10" i="69"/>
  <c r="FS10" i="69"/>
  <c r="FT10" i="69"/>
  <c r="DN9" i="69"/>
  <c r="DK10" i="69"/>
  <c r="DL10" i="69"/>
  <c r="DM10" i="69"/>
  <c r="DN11" i="69"/>
  <c r="DF3" i="69"/>
  <c r="BE3" i="69"/>
  <c r="DF4" i="69"/>
  <c r="F16" i="68"/>
  <c r="E16" i="68"/>
  <c r="D29" i="68"/>
  <c r="B33" i="68" s="1"/>
  <c r="F32" i="68"/>
  <c r="J32" i="68"/>
  <c r="J33" i="68" s="1"/>
  <c r="G15" i="68"/>
  <c r="H15" i="68" s="1"/>
  <c r="G17" i="68"/>
  <c r="H17" i="68" s="1"/>
  <c r="CF79" i="67"/>
  <c r="CF80" i="67" s="1"/>
  <c r="CG79" i="67"/>
  <c r="CG80" i="67" s="1"/>
  <c r="CH79" i="67"/>
  <c r="CH80" i="67" s="1"/>
  <c r="CI79" i="67"/>
  <c r="CI80" i="67" s="1"/>
  <c r="CJ79" i="67"/>
  <c r="CJ80" i="67" s="1"/>
  <c r="CK79" i="67"/>
  <c r="CK80" i="67" s="1"/>
  <c r="CL79" i="67"/>
  <c r="CL80" i="67" s="1"/>
  <c r="CM79" i="67"/>
  <c r="CM80" i="67" s="1"/>
  <c r="CN79" i="67"/>
  <c r="CN80" i="67" s="1"/>
  <c r="CO79" i="67"/>
  <c r="CO80" i="67" s="1"/>
  <c r="CP79" i="67"/>
  <c r="CP80" i="67" s="1"/>
  <c r="CQ79" i="67"/>
  <c r="CQ80" i="67" s="1"/>
  <c r="CR79" i="67"/>
  <c r="CR80" i="67" s="1"/>
  <c r="CS79" i="67"/>
  <c r="CS80" i="67" s="1"/>
  <c r="CT79" i="67"/>
  <c r="CT80" i="67" s="1"/>
  <c r="CU79" i="67"/>
  <c r="CU80" i="67" s="1"/>
  <c r="CV79" i="67"/>
  <c r="CV80" i="67" s="1"/>
  <c r="CW79" i="67"/>
  <c r="CW80" i="67" s="1"/>
  <c r="CX79" i="67"/>
  <c r="CX80" i="67" s="1"/>
  <c r="CY79" i="67"/>
  <c r="CY80" i="67" s="1"/>
  <c r="CZ79" i="67"/>
  <c r="CZ80" i="67" s="1"/>
  <c r="DA79" i="67"/>
  <c r="DA80" i="67" s="1"/>
  <c r="DB79" i="67"/>
  <c r="DB80" i="67" s="1"/>
  <c r="DC79" i="67"/>
  <c r="DC80" i="67" s="1"/>
  <c r="DD79" i="67"/>
  <c r="DD80" i="67" s="1"/>
  <c r="DE79" i="67"/>
  <c r="DE80" i="67" s="1"/>
  <c r="DF79" i="67"/>
  <c r="DF80" i="67" s="1"/>
  <c r="DG79" i="67"/>
  <c r="DG80" i="67" s="1"/>
  <c r="DH79" i="67"/>
  <c r="DH80" i="67" s="1"/>
  <c r="DI79" i="67"/>
  <c r="DI80" i="67" s="1"/>
  <c r="DJ79" i="67"/>
  <c r="DJ80" i="67" s="1"/>
  <c r="DK79" i="67"/>
  <c r="DK80" i="67" s="1"/>
  <c r="DL79" i="67"/>
  <c r="DL80" i="67" s="1"/>
  <c r="DM79" i="67"/>
  <c r="DM80" i="67" s="1"/>
  <c r="DN79" i="67"/>
  <c r="DN80" i="67" s="1"/>
  <c r="DO79" i="67"/>
  <c r="DO80" i="67" s="1"/>
  <c r="DP79" i="67"/>
  <c r="DP80" i="67" s="1"/>
  <c r="DQ79" i="67"/>
  <c r="DQ80" i="67" s="1"/>
  <c r="DR79" i="67"/>
  <c r="DR80" i="67" s="1"/>
  <c r="DS79" i="67"/>
  <c r="DS80" i="67" s="1"/>
  <c r="DT79" i="67"/>
  <c r="DT80" i="67" s="1"/>
  <c r="DU79" i="67"/>
  <c r="DU80" i="67" s="1"/>
  <c r="DV79" i="67"/>
  <c r="DV80" i="67" s="1"/>
  <c r="DW79" i="67"/>
  <c r="DW80" i="67" s="1"/>
  <c r="DX79" i="67"/>
  <c r="DX80" i="67" s="1"/>
  <c r="DY79" i="67"/>
  <c r="DY80" i="67" s="1"/>
  <c r="DZ79" i="67"/>
  <c r="DZ80" i="67" s="1"/>
  <c r="EA79" i="67"/>
  <c r="EA80" i="67" s="1"/>
  <c r="EB79" i="67"/>
  <c r="EB80" i="67" s="1"/>
  <c r="EC79" i="67"/>
  <c r="EC80" i="67" s="1"/>
  <c r="ED79" i="67"/>
  <c r="ED80" i="67" s="1"/>
  <c r="EE79" i="67"/>
  <c r="EE80" i="67" s="1"/>
  <c r="EF79" i="67"/>
  <c r="EF80" i="67" s="1"/>
  <c r="EG79" i="67"/>
  <c r="EG80" i="67" s="1"/>
  <c r="EH79" i="67"/>
  <c r="EH80" i="67" s="1"/>
  <c r="EI79" i="67"/>
  <c r="EI80" i="67" s="1"/>
  <c r="EJ79" i="67"/>
  <c r="EJ80" i="67" s="1"/>
  <c r="EK79" i="67"/>
  <c r="EK80" i="67" s="1"/>
  <c r="EL79" i="67"/>
  <c r="EL80" i="67" s="1"/>
  <c r="EM79" i="67"/>
  <c r="EM80" i="67" s="1"/>
  <c r="CG11" i="69"/>
  <c r="CG10" i="69"/>
  <c r="CG9" i="69"/>
  <c r="CF11" i="69"/>
  <c r="CF10" i="69"/>
  <c r="CF9" i="69"/>
  <c r="CE11" i="69"/>
  <c r="CD11" i="69"/>
  <c r="CC11" i="69"/>
  <c r="CB11" i="69"/>
  <c r="CA11" i="69"/>
  <c r="CE10" i="69"/>
  <c r="CD10" i="69"/>
  <c r="CC10" i="69"/>
  <c r="CB10" i="69"/>
  <c r="CA10" i="69"/>
  <c r="CE9" i="69"/>
  <c r="CD9" i="69"/>
  <c r="CC9" i="69"/>
  <c r="CB9" i="69"/>
  <c r="CA9" i="69"/>
  <c r="BL7" i="69"/>
  <c r="BS7" i="69"/>
  <c r="BR7" i="69" s="1"/>
  <c r="BQ7" i="69" s="1"/>
  <c r="BP7" i="69" s="1"/>
  <c r="BO7" i="69" s="1"/>
  <c r="BY7" i="69"/>
  <c r="BX7" i="69" s="1"/>
  <c r="BW7" i="69" s="1"/>
  <c r="BV7" i="69" s="1"/>
  <c r="BU7" i="69" s="1"/>
  <c r="BT7" i="69" s="1"/>
  <c r="CE7" i="69"/>
  <c r="CD7" i="69" s="1"/>
  <c r="CC7" i="69" s="1"/>
  <c r="CB7" i="69" s="1"/>
  <c r="CA7" i="69" s="1"/>
  <c r="CL7" i="69"/>
  <c r="CK7" i="69" s="1"/>
  <c r="CJ7" i="69" s="1"/>
  <c r="CI7" i="69" s="1"/>
  <c r="CH7" i="69" s="1"/>
  <c r="CQ7" i="69"/>
  <c r="CP7" i="69" s="1"/>
  <c r="CO7" i="69" s="1"/>
  <c r="CN7" i="69" s="1"/>
  <c r="CM7" i="69" s="1"/>
  <c r="CV7" i="69"/>
  <c r="CU7" i="69" s="1"/>
  <c r="CT7" i="69" s="1"/>
  <c r="CS7" i="69" s="1"/>
  <c r="CR7" i="69" s="1"/>
  <c r="BE4" i="69"/>
  <c r="DD6" i="69"/>
  <c r="BZ11" i="69"/>
  <c r="BZ10" i="69"/>
  <c r="BZ9" i="69"/>
  <c r="BS11" i="69"/>
  <c r="BR11" i="69"/>
  <c r="BQ11" i="69"/>
  <c r="BP11" i="69"/>
  <c r="BO11" i="69"/>
  <c r="BS10" i="69"/>
  <c r="BR10" i="69"/>
  <c r="BQ10" i="69"/>
  <c r="BP10" i="69"/>
  <c r="BO10" i="69"/>
  <c r="BS9" i="69"/>
  <c r="BR9" i="69"/>
  <c r="BQ9" i="69"/>
  <c r="BP9" i="69"/>
  <c r="BO9" i="69"/>
  <c r="DE10" i="69"/>
  <c r="FT3" i="69"/>
  <c r="FT5" i="69" s="1"/>
  <c r="FS3" i="69"/>
  <c r="FS6" i="69" s="1"/>
  <c r="FS7" i="69" s="1"/>
  <c r="FR3" i="69"/>
  <c r="FQ3" i="69"/>
  <c r="FQ5" i="69" s="1"/>
  <c r="FP3" i="69"/>
  <c r="FP6" i="69" s="1"/>
  <c r="FP7" i="69" s="1"/>
  <c r="FO3" i="69"/>
  <c r="FN3" i="69"/>
  <c r="FM3" i="69"/>
  <c r="FM6" i="69" s="1"/>
  <c r="FM7" i="69" s="1"/>
  <c r="FL3" i="69"/>
  <c r="FL5" i="69" s="1"/>
  <c r="FK3" i="69"/>
  <c r="FK6" i="69" s="1"/>
  <c r="FK7" i="69" s="1"/>
  <c r="FJ3" i="69"/>
  <c r="FI3" i="69"/>
  <c r="FI5" i="69" s="1"/>
  <c r="FH3" i="69"/>
  <c r="FH6" i="69" s="1"/>
  <c r="FH7" i="69" s="1"/>
  <c r="FG3" i="69"/>
  <c r="FG5" i="69" s="1"/>
  <c r="FF3" i="69"/>
  <c r="FE3" i="69"/>
  <c r="FE6" i="69" s="1"/>
  <c r="FE7" i="69" s="1"/>
  <c r="FD3" i="69"/>
  <c r="FC3" i="69"/>
  <c r="FC5" i="69" s="1"/>
  <c r="FB3" i="69"/>
  <c r="FB5" i="69" s="1"/>
  <c r="FA3" i="69"/>
  <c r="EZ3" i="69"/>
  <c r="EY3" i="69"/>
  <c r="EX3" i="69"/>
  <c r="EX5" i="69" s="1"/>
  <c r="EW3" i="69"/>
  <c r="EV3" i="69"/>
  <c r="EU3" i="69"/>
  <c r="ET3" i="69"/>
  <c r="ET6" i="69" s="1"/>
  <c r="ET7" i="69" s="1"/>
  <c r="ES3" i="69"/>
  <c r="ER3" i="69"/>
  <c r="EQ3" i="69"/>
  <c r="EP3" i="69"/>
  <c r="EP6" i="69" s="1"/>
  <c r="EP7" i="69" s="1"/>
  <c r="EO3" i="69"/>
  <c r="EO6" i="69" s="1"/>
  <c r="EO7" i="69" s="1"/>
  <c r="EN3" i="69"/>
  <c r="EN5" i="69" s="1"/>
  <c r="EM3" i="69"/>
  <c r="EL3" i="69"/>
  <c r="EL6" i="69" s="1"/>
  <c r="EL7" i="69" s="1"/>
  <c r="EK3" i="69"/>
  <c r="EK5" i="69" s="1"/>
  <c r="EJ3" i="69"/>
  <c r="EJ6" i="69" s="1"/>
  <c r="EJ7" i="69" s="1"/>
  <c r="EI3" i="69"/>
  <c r="EH3" i="69"/>
  <c r="EH6" i="69" s="1"/>
  <c r="EH7" i="69" s="1"/>
  <c r="EG3" i="69"/>
  <c r="EG5" i="69" s="1"/>
  <c r="EF3" i="69"/>
  <c r="EF5" i="69" s="1"/>
  <c r="EE3" i="69"/>
  <c r="EE6" i="69" s="1"/>
  <c r="EE7" i="69" s="1"/>
  <c r="ED3" i="69"/>
  <c r="ED6" i="69" s="1"/>
  <c r="ED7" i="69" s="1"/>
  <c r="EC3" i="69"/>
  <c r="EB3" i="69"/>
  <c r="EA3" i="69"/>
  <c r="DZ3" i="69"/>
  <c r="DY3" i="69"/>
  <c r="DY6" i="69" s="1"/>
  <c r="DY7" i="69" s="1"/>
  <c r="DX3" i="69"/>
  <c r="DW3" i="69"/>
  <c r="DW6" i="69" s="1"/>
  <c r="DW7" i="69" s="1"/>
  <c r="DV3" i="69"/>
  <c r="DU3" i="69"/>
  <c r="DU5" i="69" s="1"/>
  <c r="DT3" i="69"/>
  <c r="DT5" i="69" s="1"/>
  <c r="DS3" i="69"/>
  <c r="DR3" i="69"/>
  <c r="DQ3" i="69"/>
  <c r="DQ5" i="69" s="1"/>
  <c r="DP3" i="69"/>
  <c r="DO3" i="69"/>
  <c r="DB4" i="69"/>
  <c r="DB5" i="69" s="1"/>
  <c r="DB6" i="69" s="1"/>
  <c r="DB7" i="69" s="1"/>
  <c r="DB8" i="69" s="1"/>
  <c r="DB9" i="69" s="1"/>
  <c r="DE9" i="69"/>
  <c r="DM6" i="69"/>
  <c r="DL6" i="69"/>
  <c r="DK6" i="69"/>
  <c r="B4" i="69"/>
  <c r="AD5" i="69"/>
  <c r="I7" i="69"/>
  <c r="P7" i="69"/>
  <c r="O7" i="69" s="1"/>
  <c r="N7" i="69" s="1"/>
  <c r="M7" i="69" s="1"/>
  <c r="L7" i="69" s="1"/>
  <c r="V7" i="69"/>
  <c r="U7" i="69" s="1"/>
  <c r="T7" i="69" s="1"/>
  <c r="S7" i="69" s="1"/>
  <c r="R7" i="69" s="1"/>
  <c r="Q7" i="69" s="1"/>
  <c r="AB7" i="69"/>
  <c r="AA7" i="69" s="1"/>
  <c r="Z7" i="69" s="1"/>
  <c r="Y7" i="69" s="1"/>
  <c r="X7" i="69" s="1"/>
  <c r="AI7" i="69"/>
  <c r="AH7" i="69" s="1"/>
  <c r="AG7" i="69" s="1"/>
  <c r="AF7" i="69" s="1"/>
  <c r="AE7" i="69" s="1"/>
  <c r="AN7" i="69"/>
  <c r="AM7" i="69" s="1"/>
  <c r="AL7" i="69" s="1"/>
  <c r="AK7" i="69" s="1"/>
  <c r="AJ7" i="69" s="1"/>
  <c r="AS7" i="69"/>
  <c r="AR7" i="69" s="1"/>
  <c r="AQ7" i="69" s="1"/>
  <c r="AP7" i="69" s="1"/>
  <c r="AO7" i="69" s="1"/>
  <c r="B29" i="68"/>
  <c r="B3" i="68"/>
  <c r="E6" i="4"/>
  <c r="D5" i="4"/>
  <c r="D2" i="4"/>
  <c r="B2" i="67"/>
  <c r="B4" i="67"/>
  <c r="D7" i="67"/>
  <c r="H7" i="67"/>
  <c r="K7" i="67"/>
  <c r="N7" i="67"/>
  <c r="W7" i="67"/>
  <c r="Y7" i="67"/>
  <c r="AK7" i="67"/>
  <c r="AU7" i="67"/>
  <c r="BE7" i="67"/>
  <c r="C8" i="67"/>
  <c r="J8" i="67"/>
  <c r="I8" i="67" s="1"/>
  <c r="H8" i="67" s="1"/>
  <c r="P8" i="67"/>
  <c r="O8" i="67" s="1"/>
  <c r="N8" i="67" s="1"/>
  <c r="M8" i="67" s="1"/>
  <c r="L8" i="67" s="1"/>
  <c r="K8" i="67" s="1"/>
  <c r="V8" i="67"/>
  <c r="U8" i="67" s="1"/>
  <c r="T8" i="67" s="1"/>
  <c r="S8" i="67" s="1"/>
  <c r="R8" i="67" s="1"/>
  <c r="Q8" i="67" s="1"/>
  <c r="AA8" i="67"/>
  <c r="Z8" i="67" s="1"/>
  <c r="Y8" i="67" s="1"/>
  <c r="X8" i="67" s="1"/>
  <c r="W8" i="67" s="1"/>
  <c r="AH8" i="67"/>
  <c r="AG8" i="67" s="1"/>
  <c r="AF8" i="67" s="1"/>
  <c r="AE8" i="67" s="1"/>
  <c r="AD8" i="67" s="1"/>
  <c r="AO8" i="67"/>
  <c r="AN8" i="67" s="1"/>
  <c r="AM8" i="67" s="1"/>
  <c r="AL8" i="67" s="1"/>
  <c r="AK8" i="67" s="1"/>
  <c r="AT8" i="67"/>
  <c r="AS8" i="67" s="1"/>
  <c r="AR8" i="67" s="1"/>
  <c r="AQ8" i="67" s="1"/>
  <c r="AP8" i="67" s="1"/>
  <c r="AY8" i="67"/>
  <c r="AX8" i="67" s="1"/>
  <c r="AW8" i="67" s="1"/>
  <c r="AV8" i="67" s="1"/>
  <c r="AU8" i="67" s="1"/>
  <c r="BD8" i="67"/>
  <c r="BC8" i="67" s="1"/>
  <c r="BB8" i="67" s="1"/>
  <c r="BA8" i="67" s="1"/>
  <c r="AZ8" i="67" s="1"/>
  <c r="BI8" i="67"/>
  <c r="BH8" i="67" s="1"/>
  <c r="BG8" i="67" s="1"/>
  <c r="BF8" i="67" s="1"/>
  <c r="BE8" i="67" s="1"/>
  <c r="BN8" i="67"/>
  <c r="BM8" i="67" s="1"/>
  <c r="BL8" i="67" s="1"/>
  <c r="BK8" i="67" s="1"/>
  <c r="BJ8" i="67" s="1"/>
  <c r="CE76" i="67"/>
  <c r="C9" i="67"/>
  <c r="P9" i="67"/>
  <c r="K9" i="67"/>
  <c r="O9" i="67"/>
  <c r="V9" i="67"/>
  <c r="Q9" i="67"/>
  <c r="F9" i="67" s="1"/>
  <c r="U9" i="67"/>
  <c r="H9" i="67"/>
  <c r="I9" i="67"/>
  <c r="J9" i="67"/>
  <c r="L9" i="67"/>
  <c r="M9" i="67"/>
  <c r="N9" i="67"/>
  <c r="R9" i="67"/>
  <c r="S9" i="67"/>
  <c r="T9" i="67"/>
  <c r="W9" i="67"/>
  <c r="X9" i="67"/>
  <c r="Y9" i="67"/>
  <c r="Z9" i="67"/>
  <c r="AA9" i="67"/>
  <c r="AM9" i="67"/>
  <c r="AN9" i="67"/>
  <c r="AO9" i="67"/>
  <c r="AW9" i="67"/>
  <c r="AX9" i="67"/>
  <c r="AY9" i="67"/>
  <c r="BG9" i="67"/>
  <c r="BH9" i="67"/>
  <c r="BI9" i="67"/>
  <c r="AK9" i="67"/>
  <c r="AL9" i="67"/>
  <c r="AU9" i="67"/>
  <c r="AV9" i="67"/>
  <c r="BE9" i="67"/>
  <c r="BF9" i="67"/>
  <c r="AD9" i="67"/>
  <c r="AE9" i="67"/>
  <c r="AF9" i="67"/>
  <c r="AG9" i="67"/>
  <c r="AH9" i="67"/>
  <c r="AR9" i="67"/>
  <c r="AS9" i="67"/>
  <c r="AT9" i="67"/>
  <c r="BB9" i="67"/>
  <c r="BC9" i="67"/>
  <c r="BD9" i="67"/>
  <c r="BL9" i="67"/>
  <c r="BM9" i="67"/>
  <c r="BN9" i="67"/>
  <c r="AP9" i="67"/>
  <c r="AQ9" i="67"/>
  <c r="AZ9" i="67"/>
  <c r="BA9" i="67"/>
  <c r="BJ9" i="67"/>
  <c r="BK9" i="67"/>
  <c r="C10" i="67"/>
  <c r="P10" i="67"/>
  <c r="K10" i="67"/>
  <c r="O10" i="67"/>
  <c r="V10" i="67"/>
  <c r="Q10" i="67"/>
  <c r="F10" i="67" s="1"/>
  <c r="U10" i="67"/>
  <c r="G10" i="67" s="1"/>
  <c r="H10" i="67"/>
  <c r="I10" i="67"/>
  <c r="J10" i="67"/>
  <c r="L10" i="67"/>
  <c r="M10" i="67"/>
  <c r="N10" i="67"/>
  <c r="R10" i="67"/>
  <c r="S10" i="67"/>
  <c r="T10" i="67"/>
  <c r="W10" i="67"/>
  <c r="X10" i="67"/>
  <c r="Y10" i="67"/>
  <c r="Z10" i="67"/>
  <c r="AA10" i="67"/>
  <c r="AM10" i="67"/>
  <c r="AN10" i="67"/>
  <c r="AO10" i="67"/>
  <c r="AW10" i="67"/>
  <c r="AX10" i="67"/>
  <c r="AY10" i="67"/>
  <c r="BG10" i="67"/>
  <c r="BH10" i="67"/>
  <c r="BI10" i="67"/>
  <c r="AK10" i="67"/>
  <c r="AL10" i="67"/>
  <c r="AU10" i="67"/>
  <c r="AV10" i="67"/>
  <c r="BE10" i="67"/>
  <c r="BF10" i="67"/>
  <c r="AD10" i="67"/>
  <c r="AE10" i="67"/>
  <c r="AF10" i="67"/>
  <c r="AG10" i="67"/>
  <c r="AH10" i="67"/>
  <c r="AR10" i="67"/>
  <c r="AS10" i="67"/>
  <c r="AT10" i="67"/>
  <c r="BB10" i="67"/>
  <c r="BC10" i="67"/>
  <c r="BD10" i="67"/>
  <c r="BL10" i="67"/>
  <c r="BM10" i="67"/>
  <c r="BN10" i="67"/>
  <c r="AP10" i="67"/>
  <c r="AQ10" i="67"/>
  <c r="AZ10" i="67"/>
  <c r="BA10" i="67"/>
  <c r="BJ10" i="67"/>
  <c r="BK10" i="67"/>
  <c r="C11" i="67"/>
  <c r="P11" i="67"/>
  <c r="K11" i="67"/>
  <c r="O11" i="67"/>
  <c r="V11" i="67"/>
  <c r="Q11" i="67"/>
  <c r="F11" i="67" s="1"/>
  <c r="U11" i="67"/>
  <c r="H11" i="67"/>
  <c r="I11" i="67"/>
  <c r="J11" i="67"/>
  <c r="L11" i="67"/>
  <c r="M11" i="67"/>
  <c r="N11" i="67"/>
  <c r="R11" i="67"/>
  <c r="S11" i="67"/>
  <c r="T11" i="67"/>
  <c r="W11" i="67"/>
  <c r="X11" i="67"/>
  <c r="Y11" i="67"/>
  <c r="Z11" i="67"/>
  <c r="AA11" i="67"/>
  <c r="AM11" i="67"/>
  <c r="AN11" i="67"/>
  <c r="AO11" i="67"/>
  <c r="AW11" i="67"/>
  <c r="AX11" i="67"/>
  <c r="AY11" i="67"/>
  <c r="BG11" i="67"/>
  <c r="BH11" i="67"/>
  <c r="BI11" i="67"/>
  <c r="AK11" i="67"/>
  <c r="AL11" i="67"/>
  <c r="AU11" i="67"/>
  <c r="AV11" i="67"/>
  <c r="BE11" i="67"/>
  <c r="BF11" i="67"/>
  <c r="AD11" i="67"/>
  <c r="AE11" i="67"/>
  <c r="AF11" i="67"/>
  <c r="AG11" i="67"/>
  <c r="AH11" i="67"/>
  <c r="AR11" i="67"/>
  <c r="AS11" i="67"/>
  <c r="AT11" i="67"/>
  <c r="BB11" i="67"/>
  <c r="BC11" i="67"/>
  <c r="BD11" i="67"/>
  <c r="BL11" i="67"/>
  <c r="BM11" i="67"/>
  <c r="BN11" i="67"/>
  <c r="AP11" i="67"/>
  <c r="AQ11" i="67"/>
  <c r="AZ11" i="67"/>
  <c r="BA11" i="67"/>
  <c r="BJ11" i="67"/>
  <c r="BK11" i="67"/>
  <c r="C12" i="67"/>
  <c r="P12" i="67"/>
  <c r="E12" i="67" s="1"/>
  <c r="K12" i="67"/>
  <c r="O12" i="67"/>
  <c r="V12" i="67"/>
  <c r="Q12" i="67"/>
  <c r="U12" i="67"/>
  <c r="H12" i="67"/>
  <c r="I12" i="67"/>
  <c r="J12" i="67"/>
  <c r="L12" i="67"/>
  <c r="M12" i="67"/>
  <c r="N12" i="67"/>
  <c r="R12" i="67"/>
  <c r="S12" i="67"/>
  <c r="T12" i="67"/>
  <c r="W12" i="67"/>
  <c r="X12" i="67"/>
  <c r="Y12" i="67"/>
  <c r="Z12" i="67"/>
  <c r="AA12" i="67"/>
  <c r="AM12" i="67"/>
  <c r="AN12" i="67"/>
  <c r="AO12" i="67"/>
  <c r="AW12" i="67"/>
  <c r="AX12" i="67"/>
  <c r="AY12" i="67"/>
  <c r="BG12" i="67"/>
  <c r="BH12" i="67"/>
  <c r="BI12" i="67"/>
  <c r="AK12" i="67"/>
  <c r="AL12" i="67"/>
  <c r="AU12" i="67"/>
  <c r="AV12" i="67"/>
  <c r="BE12" i="67"/>
  <c r="BF12" i="67"/>
  <c r="AD12" i="67"/>
  <c r="AE12" i="67"/>
  <c r="AF12" i="67"/>
  <c r="AG12" i="67"/>
  <c r="AH12" i="67"/>
  <c r="AR12" i="67"/>
  <c r="AS12" i="67"/>
  <c r="AT12" i="67"/>
  <c r="BB12" i="67"/>
  <c r="BC12" i="67"/>
  <c r="BD12" i="67"/>
  <c r="BL12" i="67"/>
  <c r="BM12" i="67"/>
  <c r="BN12" i="67"/>
  <c r="AP12" i="67"/>
  <c r="AQ12" i="67"/>
  <c r="AZ12" i="67"/>
  <c r="BA12" i="67"/>
  <c r="BJ12" i="67"/>
  <c r="BK12" i="67"/>
  <c r="C13" i="67"/>
  <c r="P13" i="67"/>
  <c r="K13" i="67"/>
  <c r="O13" i="67"/>
  <c r="V13" i="67"/>
  <c r="F13" i="67"/>
  <c r="Q13" i="67"/>
  <c r="U13" i="67"/>
  <c r="H13" i="67"/>
  <c r="I13" i="67"/>
  <c r="J13" i="67"/>
  <c r="L13" i="67"/>
  <c r="M13" i="67"/>
  <c r="N13" i="67"/>
  <c r="R13" i="67"/>
  <c r="S13" i="67"/>
  <c r="T13" i="67"/>
  <c r="W13" i="67"/>
  <c r="X13" i="67"/>
  <c r="Y13" i="67"/>
  <c r="Z13" i="67"/>
  <c r="AA13" i="67"/>
  <c r="AM13" i="67"/>
  <c r="AN13" i="67"/>
  <c r="AO13" i="67"/>
  <c r="AW13" i="67"/>
  <c r="AX13" i="67"/>
  <c r="AY13" i="67"/>
  <c r="BG13" i="67"/>
  <c r="BH13" i="67"/>
  <c r="BI13" i="67"/>
  <c r="AK13" i="67"/>
  <c r="AL13" i="67"/>
  <c r="AU13" i="67"/>
  <c r="AV13" i="67"/>
  <c r="BE13" i="67"/>
  <c r="BF13" i="67"/>
  <c r="AD13" i="67"/>
  <c r="AE13" i="67"/>
  <c r="AF13" i="67"/>
  <c r="AG13" i="67"/>
  <c r="AH13" i="67"/>
  <c r="AR13" i="67"/>
  <c r="AS13" i="67"/>
  <c r="AT13" i="67"/>
  <c r="BB13" i="67"/>
  <c r="BC13" i="67"/>
  <c r="BD13" i="67"/>
  <c r="BL13" i="67"/>
  <c r="BM13" i="67"/>
  <c r="BN13" i="67"/>
  <c r="AP13" i="67"/>
  <c r="AQ13" i="67"/>
  <c r="AZ13" i="67"/>
  <c r="BA13" i="67"/>
  <c r="BJ13" i="67"/>
  <c r="BK13" i="67"/>
  <c r="C14" i="67"/>
  <c r="P14" i="67"/>
  <c r="D14" i="67" s="1"/>
  <c r="K14" i="67"/>
  <c r="O14" i="67"/>
  <c r="V14" i="67"/>
  <c r="G14" i="67" s="1"/>
  <c r="Q14" i="67"/>
  <c r="U14" i="67"/>
  <c r="H14" i="67"/>
  <c r="I14" i="67"/>
  <c r="J14" i="67"/>
  <c r="L14" i="67"/>
  <c r="M14" i="67"/>
  <c r="N14" i="67"/>
  <c r="R14" i="67"/>
  <c r="S14" i="67"/>
  <c r="T14" i="67"/>
  <c r="W14" i="67"/>
  <c r="X14" i="67"/>
  <c r="Y14" i="67"/>
  <c r="Z14" i="67"/>
  <c r="AA14" i="67"/>
  <c r="AM14" i="67"/>
  <c r="AN14" i="67"/>
  <c r="AO14" i="67"/>
  <c r="AW14" i="67"/>
  <c r="AX14" i="67"/>
  <c r="AY14" i="67"/>
  <c r="BG14" i="67"/>
  <c r="BH14" i="67"/>
  <c r="BI14" i="67"/>
  <c r="AK14" i="67"/>
  <c r="AL14" i="67"/>
  <c r="AU14" i="67"/>
  <c r="AV14" i="67"/>
  <c r="BE14" i="67"/>
  <c r="BF14" i="67"/>
  <c r="AD14" i="67"/>
  <c r="AE14" i="67"/>
  <c r="AF14" i="67"/>
  <c r="AG14" i="67"/>
  <c r="AH14" i="67"/>
  <c r="AR14" i="67"/>
  <c r="AS14" i="67"/>
  <c r="AT14" i="67"/>
  <c r="BB14" i="67"/>
  <c r="BC14" i="67"/>
  <c r="BD14" i="67"/>
  <c r="BL14" i="67"/>
  <c r="BM14" i="67"/>
  <c r="BN14" i="67"/>
  <c r="AP14" i="67"/>
  <c r="AQ14" i="67"/>
  <c r="AZ14" i="67"/>
  <c r="BA14" i="67"/>
  <c r="BJ14" i="67"/>
  <c r="BK14" i="67"/>
  <c r="C15" i="67"/>
  <c r="P15" i="67"/>
  <c r="D15" i="67" s="1"/>
  <c r="K15" i="67"/>
  <c r="O15" i="67"/>
  <c r="V15" i="67"/>
  <c r="Q15" i="67"/>
  <c r="U15" i="67"/>
  <c r="H15" i="67"/>
  <c r="I15" i="67"/>
  <c r="J15" i="67"/>
  <c r="L15" i="67"/>
  <c r="M15" i="67"/>
  <c r="N15" i="67"/>
  <c r="R15" i="67"/>
  <c r="S15" i="67"/>
  <c r="T15" i="67"/>
  <c r="W15" i="67"/>
  <c r="X15" i="67"/>
  <c r="Y15" i="67"/>
  <c r="Z15" i="67"/>
  <c r="AA15" i="67"/>
  <c r="AM15" i="67"/>
  <c r="AN15" i="67"/>
  <c r="AO15" i="67"/>
  <c r="AW15" i="67"/>
  <c r="AX15" i="67"/>
  <c r="AY15" i="67"/>
  <c r="BG15" i="67"/>
  <c r="BH15" i="67"/>
  <c r="BI15" i="67"/>
  <c r="AK15" i="67"/>
  <c r="AL15" i="67"/>
  <c r="AU15" i="67"/>
  <c r="AV15" i="67"/>
  <c r="BE15" i="67"/>
  <c r="BF15" i="67"/>
  <c r="AD15" i="67"/>
  <c r="AE15" i="67"/>
  <c r="AF15" i="67"/>
  <c r="AG15" i="67"/>
  <c r="AH15" i="67"/>
  <c r="AR15" i="67"/>
  <c r="AS15" i="67"/>
  <c r="AT15" i="67"/>
  <c r="BB15" i="67"/>
  <c r="BC15" i="67"/>
  <c r="BD15" i="67"/>
  <c r="BL15" i="67"/>
  <c r="BM15" i="67"/>
  <c r="BN15" i="67"/>
  <c r="AP15" i="67"/>
  <c r="AQ15" i="67"/>
  <c r="AZ15" i="67"/>
  <c r="BA15" i="67"/>
  <c r="BJ15" i="67"/>
  <c r="BK15" i="67"/>
  <c r="C16" i="67"/>
  <c r="P16" i="67"/>
  <c r="K16" i="67"/>
  <c r="O16" i="67"/>
  <c r="V16" i="67"/>
  <c r="G16" i="67" s="1"/>
  <c r="Q16" i="67"/>
  <c r="U16" i="67"/>
  <c r="H16" i="67"/>
  <c r="I16" i="67"/>
  <c r="J16" i="67"/>
  <c r="L16" i="67"/>
  <c r="M16" i="67"/>
  <c r="N16" i="67"/>
  <c r="R16" i="67"/>
  <c r="S16" i="67"/>
  <c r="T16" i="67"/>
  <c r="W16" i="67"/>
  <c r="X16" i="67"/>
  <c r="Y16" i="67"/>
  <c r="Z16" i="67"/>
  <c r="AA16" i="67"/>
  <c r="AM16" i="67"/>
  <c r="AN16" i="67"/>
  <c r="AO16" i="67"/>
  <c r="AW16" i="67"/>
  <c r="AX16" i="67"/>
  <c r="AY16" i="67"/>
  <c r="BG16" i="67"/>
  <c r="BH16" i="67"/>
  <c r="BI16" i="67"/>
  <c r="AK16" i="67"/>
  <c r="AL16" i="67"/>
  <c r="AU16" i="67"/>
  <c r="AV16" i="67"/>
  <c r="BE16" i="67"/>
  <c r="BF16" i="67"/>
  <c r="AD16" i="67"/>
  <c r="AE16" i="67"/>
  <c r="AF16" i="67"/>
  <c r="AG16" i="67"/>
  <c r="AH16" i="67"/>
  <c r="AR16" i="67"/>
  <c r="AS16" i="67"/>
  <c r="AT16" i="67"/>
  <c r="BB16" i="67"/>
  <c r="BC16" i="67"/>
  <c r="BD16" i="67"/>
  <c r="BL16" i="67"/>
  <c r="BM16" i="67"/>
  <c r="BN16" i="67"/>
  <c r="AP16" i="67"/>
  <c r="AQ16" i="67"/>
  <c r="AZ16" i="67"/>
  <c r="BA16" i="67"/>
  <c r="BJ16" i="67"/>
  <c r="BK16" i="67"/>
  <c r="C17" i="67"/>
  <c r="P17" i="67"/>
  <c r="K17" i="67"/>
  <c r="O17" i="67"/>
  <c r="V17" i="67"/>
  <c r="Q17" i="67"/>
  <c r="U17" i="67"/>
  <c r="H17" i="67"/>
  <c r="I17" i="67"/>
  <c r="J17" i="67"/>
  <c r="L17" i="67"/>
  <c r="M17" i="67"/>
  <c r="N17" i="67"/>
  <c r="R17" i="67"/>
  <c r="S17" i="67"/>
  <c r="T17" i="67"/>
  <c r="W17" i="67"/>
  <c r="X17" i="67"/>
  <c r="Y17" i="67"/>
  <c r="Z17" i="67"/>
  <c r="AA17" i="67"/>
  <c r="AM17" i="67"/>
  <c r="AN17" i="67"/>
  <c r="AO17" i="67"/>
  <c r="AW17" i="67"/>
  <c r="AX17" i="67"/>
  <c r="AY17" i="67"/>
  <c r="BG17" i="67"/>
  <c r="BH17" i="67"/>
  <c r="BI17" i="67"/>
  <c r="AK17" i="67"/>
  <c r="AL17" i="67"/>
  <c r="AU17" i="67"/>
  <c r="AV17" i="67"/>
  <c r="BE17" i="67"/>
  <c r="BF17" i="67"/>
  <c r="AD17" i="67"/>
  <c r="AE17" i="67"/>
  <c r="AF17" i="67"/>
  <c r="AG17" i="67"/>
  <c r="AH17" i="67"/>
  <c r="AR17" i="67"/>
  <c r="AS17" i="67"/>
  <c r="AT17" i="67"/>
  <c r="BB17" i="67"/>
  <c r="BC17" i="67"/>
  <c r="BD17" i="67"/>
  <c r="BL17" i="67"/>
  <c r="BM17" i="67"/>
  <c r="BN17" i="67"/>
  <c r="AP17" i="67"/>
  <c r="AQ17" i="67"/>
  <c r="AZ17" i="67"/>
  <c r="BA17" i="67"/>
  <c r="BJ17" i="67"/>
  <c r="BK17" i="67"/>
  <c r="C18" i="67"/>
  <c r="P18" i="67"/>
  <c r="D18" i="67" s="1"/>
  <c r="K18" i="67"/>
  <c r="O18" i="67"/>
  <c r="V18" i="67"/>
  <c r="Q18" i="67"/>
  <c r="U18" i="67"/>
  <c r="G18" i="67"/>
  <c r="H18" i="67"/>
  <c r="I18" i="67"/>
  <c r="J18" i="67"/>
  <c r="L18" i="67"/>
  <c r="M18" i="67"/>
  <c r="N18" i="67"/>
  <c r="R18" i="67"/>
  <c r="S18" i="67"/>
  <c r="T18" i="67"/>
  <c r="W18" i="67"/>
  <c r="X18" i="67"/>
  <c r="Y18" i="67"/>
  <c r="Z18" i="67"/>
  <c r="AA18" i="67"/>
  <c r="AM18" i="67"/>
  <c r="AN18" i="67"/>
  <c r="AO18" i="67"/>
  <c r="AW18" i="67"/>
  <c r="AX18" i="67"/>
  <c r="AY18" i="67"/>
  <c r="BG18" i="67"/>
  <c r="BH18" i="67"/>
  <c r="BI18" i="67"/>
  <c r="AK18" i="67"/>
  <c r="AL18" i="67"/>
  <c r="AU18" i="67"/>
  <c r="AC18" i="67" s="1"/>
  <c r="AV18" i="67"/>
  <c r="BE18" i="67"/>
  <c r="BF18" i="67"/>
  <c r="AD18" i="67"/>
  <c r="AE18" i="67"/>
  <c r="AF18" i="67"/>
  <c r="AG18" i="67"/>
  <c r="AH18" i="67"/>
  <c r="AR18" i="67"/>
  <c r="AS18" i="67"/>
  <c r="AT18" i="67"/>
  <c r="BB18" i="67"/>
  <c r="BC18" i="67"/>
  <c r="BD18" i="67"/>
  <c r="BL18" i="67"/>
  <c r="BM18" i="67"/>
  <c r="BN18" i="67"/>
  <c r="AP18" i="67"/>
  <c r="AQ18" i="67"/>
  <c r="AZ18" i="67"/>
  <c r="AJ18" i="67" s="1"/>
  <c r="BA18" i="67"/>
  <c r="BJ18" i="67"/>
  <c r="BK18" i="67"/>
  <c r="C19" i="67"/>
  <c r="P19" i="67"/>
  <c r="E19" i="67" s="1"/>
  <c r="K19" i="67"/>
  <c r="O19" i="67"/>
  <c r="V19" i="67"/>
  <c r="F19" i="67" s="1"/>
  <c r="Q19" i="67"/>
  <c r="U19" i="67"/>
  <c r="H19" i="67"/>
  <c r="I19" i="67"/>
  <c r="J19" i="67"/>
  <c r="L19" i="67"/>
  <c r="M19" i="67"/>
  <c r="N19" i="67"/>
  <c r="R19" i="67"/>
  <c r="S19" i="67"/>
  <c r="T19" i="67"/>
  <c r="W19" i="67"/>
  <c r="X19" i="67"/>
  <c r="Y19" i="67"/>
  <c r="Z19" i="67"/>
  <c r="AA19" i="67"/>
  <c r="AM19" i="67"/>
  <c r="AN19" i="67"/>
  <c r="AO19" i="67"/>
  <c r="AW19" i="67"/>
  <c r="AX19" i="67"/>
  <c r="AY19" i="67"/>
  <c r="BG19" i="67"/>
  <c r="BH19" i="67"/>
  <c r="BI19" i="67"/>
  <c r="AK19" i="67"/>
  <c r="AL19" i="67"/>
  <c r="AU19" i="67"/>
  <c r="AC19" i="67" s="1"/>
  <c r="AV19" i="67"/>
  <c r="BE19" i="67"/>
  <c r="BF19" i="67"/>
  <c r="AD19" i="67"/>
  <c r="AE19" i="67"/>
  <c r="AF19" i="67"/>
  <c r="AG19" i="67"/>
  <c r="AH19" i="67"/>
  <c r="AR19" i="67"/>
  <c r="AS19" i="67"/>
  <c r="AT19" i="67"/>
  <c r="BB19" i="67"/>
  <c r="BC19" i="67"/>
  <c r="BD19" i="67"/>
  <c r="BL19" i="67"/>
  <c r="BM19" i="67"/>
  <c r="BN19" i="67"/>
  <c r="AP19" i="67"/>
  <c r="AQ19" i="67"/>
  <c r="AZ19" i="67"/>
  <c r="AJ19" i="67" s="1"/>
  <c r="BA19" i="67"/>
  <c r="BJ19" i="67"/>
  <c r="BK19" i="67"/>
  <c r="C20" i="67"/>
  <c r="P20" i="67"/>
  <c r="K20" i="67"/>
  <c r="O20" i="67"/>
  <c r="V20" i="67"/>
  <c r="G20" i="67" s="1"/>
  <c r="Q20" i="67"/>
  <c r="U20" i="67"/>
  <c r="H20" i="67"/>
  <c r="I20" i="67"/>
  <c r="J20" i="67"/>
  <c r="L20" i="67"/>
  <c r="M20" i="67"/>
  <c r="N20" i="67"/>
  <c r="R20" i="67"/>
  <c r="S20" i="67"/>
  <c r="T20" i="67"/>
  <c r="W20" i="67"/>
  <c r="X20" i="67"/>
  <c r="Y20" i="67"/>
  <c r="Z20" i="67"/>
  <c r="AA20" i="67"/>
  <c r="AM20" i="67"/>
  <c r="AN20" i="67"/>
  <c r="AO20" i="67"/>
  <c r="AW20" i="67"/>
  <c r="AX20" i="67"/>
  <c r="AY20" i="67"/>
  <c r="BG20" i="67"/>
  <c r="BH20" i="67"/>
  <c r="BI20" i="67"/>
  <c r="AK20" i="67"/>
  <c r="AL20" i="67"/>
  <c r="AU20" i="67"/>
  <c r="AV20" i="67"/>
  <c r="BE20" i="67"/>
  <c r="BF20" i="67"/>
  <c r="AD20" i="67"/>
  <c r="AE20" i="67"/>
  <c r="AF20" i="67"/>
  <c r="AG20" i="67"/>
  <c r="AH20" i="67"/>
  <c r="AR20" i="67"/>
  <c r="AS20" i="67"/>
  <c r="AT20" i="67"/>
  <c r="BB20" i="67"/>
  <c r="BC20" i="67"/>
  <c r="BD20" i="67"/>
  <c r="BL20" i="67"/>
  <c r="BM20" i="67"/>
  <c r="BN20" i="67"/>
  <c r="AP20" i="67"/>
  <c r="AQ20" i="67"/>
  <c r="AZ20" i="67"/>
  <c r="AJ20" i="67" s="1"/>
  <c r="BA20" i="67"/>
  <c r="BJ20" i="67"/>
  <c r="BK20" i="67"/>
  <c r="C21" i="67"/>
  <c r="P21" i="67"/>
  <c r="K21" i="67"/>
  <c r="O21" i="67"/>
  <c r="V21" i="67"/>
  <c r="Q21" i="67"/>
  <c r="U21" i="67"/>
  <c r="H21" i="67"/>
  <c r="I21" i="67"/>
  <c r="J21" i="67"/>
  <c r="L21" i="67"/>
  <c r="M21" i="67"/>
  <c r="N21" i="67"/>
  <c r="R21" i="67"/>
  <c r="S21" i="67"/>
  <c r="T21" i="67"/>
  <c r="W21" i="67"/>
  <c r="X21" i="67"/>
  <c r="Y21" i="67"/>
  <c r="Z21" i="67"/>
  <c r="AA21" i="67"/>
  <c r="AM21" i="67"/>
  <c r="AN21" i="67"/>
  <c r="AO21" i="67"/>
  <c r="AW21" i="67"/>
  <c r="AX21" i="67"/>
  <c r="AY21" i="67"/>
  <c r="BG21" i="67"/>
  <c r="BH21" i="67"/>
  <c r="BI21" i="67"/>
  <c r="AK21" i="67"/>
  <c r="AL21" i="67"/>
  <c r="AU21" i="67"/>
  <c r="AC21" i="67" s="1"/>
  <c r="AV21" i="67"/>
  <c r="BE21" i="67"/>
  <c r="BF21" i="67"/>
  <c r="AD21" i="67"/>
  <c r="AE21" i="67"/>
  <c r="AF21" i="67"/>
  <c r="AG21" i="67"/>
  <c r="AH21" i="67"/>
  <c r="AR21" i="67"/>
  <c r="AS21" i="67"/>
  <c r="AT21" i="67"/>
  <c r="BB21" i="67"/>
  <c r="BC21" i="67"/>
  <c r="BD21" i="67"/>
  <c r="BL21" i="67"/>
  <c r="BM21" i="67"/>
  <c r="BN21" i="67"/>
  <c r="AP21" i="67"/>
  <c r="AQ21" i="67"/>
  <c r="AZ21" i="67"/>
  <c r="AJ21" i="67" s="1"/>
  <c r="BA21" i="67"/>
  <c r="BJ21" i="67"/>
  <c r="BK21" i="67"/>
  <c r="C22" i="67"/>
  <c r="P22" i="67"/>
  <c r="K22" i="67"/>
  <c r="O22" i="67"/>
  <c r="V22" i="67"/>
  <c r="Q22" i="67"/>
  <c r="U22" i="67"/>
  <c r="H22" i="67"/>
  <c r="I22" i="67"/>
  <c r="J22" i="67"/>
  <c r="L22" i="67"/>
  <c r="M22" i="67"/>
  <c r="N22" i="67"/>
  <c r="R22" i="67"/>
  <c r="S22" i="67"/>
  <c r="T22" i="67"/>
  <c r="W22" i="67"/>
  <c r="X22" i="67"/>
  <c r="Y22" i="67"/>
  <c r="Z22" i="67"/>
  <c r="AA22" i="67"/>
  <c r="AM22" i="67"/>
  <c r="AN22" i="67"/>
  <c r="AO22" i="67"/>
  <c r="AW22" i="67"/>
  <c r="AX22" i="67"/>
  <c r="AY22" i="67"/>
  <c r="BG22" i="67"/>
  <c r="BH22" i="67"/>
  <c r="BI22" i="67"/>
  <c r="AK22" i="67"/>
  <c r="AL22" i="67"/>
  <c r="AU22" i="67"/>
  <c r="AV22" i="67"/>
  <c r="BE22" i="67"/>
  <c r="BF22" i="67"/>
  <c r="AD22" i="67"/>
  <c r="AE22" i="67"/>
  <c r="AF22" i="67"/>
  <c r="AG22" i="67"/>
  <c r="AH22" i="67"/>
  <c r="AR22" i="67"/>
  <c r="AS22" i="67"/>
  <c r="AT22" i="67"/>
  <c r="BB22" i="67"/>
  <c r="BC22" i="67"/>
  <c r="BD22" i="67"/>
  <c r="BL22" i="67"/>
  <c r="BM22" i="67"/>
  <c r="BN22" i="67"/>
  <c r="AP22" i="67"/>
  <c r="AQ22" i="67"/>
  <c r="AZ22" i="67"/>
  <c r="BA22" i="67"/>
  <c r="BJ22" i="67"/>
  <c r="BK22" i="67"/>
  <c r="C23" i="67"/>
  <c r="P23" i="67"/>
  <c r="K23" i="67"/>
  <c r="O23" i="67"/>
  <c r="V23" i="67"/>
  <c r="G23" i="67" s="1"/>
  <c r="Q23" i="67"/>
  <c r="U23" i="67"/>
  <c r="H23" i="67"/>
  <c r="I23" i="67"/>
  <c r="J23" i="67"/>
  <c r="L23" i="67"/>
  <c r="M23" i="67"/>
  <c r="N23" i="67"/>
  <c r="R23" i="67"/>
  <c r="S23" i="67"/>
  <c r="T23" i="67"/>
  <c r="W23" i="67"/>
  <c r="X23" i="67"/>
  <c r="Y23" i="67"/>
  <c r="Z23" i="67"/>
  <c r="AA23" i="67"/>
  <c r="AM23" i="67"/>
  <c r="AN23" i="67"/>
  <c r="AO23" i="67"/>
  <c r="AW23" i="67"/>
  <c r="AX23" i="67"/>
  <c r="AY23" i="67"/>
  <c r="BG23" i="67"/>
  <c r="BH23" i="67"/>
  <c r="BI23" i="67"/>
  <c r="AK23" i="67"/>
  <c r="AL23" i="67"/>
  <c r="AU23" i="67"/>
  <c r="AV23" i="67"/>
  <c r="BE23" i="67"/>
  <c r="BF23" i="67"/>
  <c r="AD23" i="67"/>
  <c r="AE23" i="67"/>
  <c r="AF23" i="67"/>
  <c r="AG23" i="67"/>
  <c r="AH23" i="67"/>
  <c r="AR23" i="67"/>
  <c r="AS23" i="67"/>
  <c r="AT23" i="67"/>
  <c r="BB23" i="67"/>
  <c r="BC23" i="67"/>
  <c r="BD23" i="67"/>
  <c r="BL23" i="67"/>
  <c r="BM23" i="67"/>
  <c r="BN23" i="67"/>
  <c r="AP23" i="67"/>
  <c r="AQ23" i="67"/>
  <c r="AZ23" i="67"/>
  <c r="BA23" i="67"/>
  <c r="BJ23" i="67"/>
  <c r="BK23" i="67"/>
  <c r="C24" i="67"/>
  <c r="P24" i="67"/>
  <c r="D24" i="67" s="1"/>
  <c r="K24" i="67"/>
  <c r="O24" i="67"/>
  <c r="V24" i="67"/>
  <c r="F24" i="67" s="1"/>
  <c r="Q24" i="67"/>
  <c r="U24" i="67"/>
  <c r="H24" i="67"/>
  <c r="I24" i="67"/>
  <c r="J24" i="67"/>
  <c r="L24" i="67"/>
  <c r="M24" i="67"/>
  <c r="N24" i="67"/>
  <c r="R24" i="67"/>
  <c r="S24" i="67"/>
  <c r="T24" i="67"/>
  <c r="W24" i="67"/>
  <c r="X24" i="67"/>
  <c r="Y24" i="67"/>
  <c r="Z24" i="67"/>
  <c r="AA24" i="67"/>
  <c r="AM24" i="67"/>
  <c r="AN24" i="67"/>
  <c r="AO24" i="67"/>
  <c r="AW24" i="67"/>
  <c r="AX24" i="67"/>
  <c r="AY24" i="67"/>
  <c r="BG24" i="67"/>
  <c r="BH24" i="67"/>
  <c r="BI24" i="67"/>
  <c r="AK24" i="67"/>
  <c r="AL24" i="67"/>
  <c r="AU24" i="67"/>
  <c r="AC24" i="67" s="1"/>
  <c r="AV24" i="67"/>
  <c r="BE24" i="67"/>
  <c r="BF24" i="67"/>
  <c r="AD24" i="67"/>
  <c r="AE24" i="67"/>
  <c r="AF24" i="67"/>
  <c r="AG24" i="67"/>
  <c r="AH24" i="67"/>
  <c r="AR24" i="67"/>
  <c r="AS24" i="67"/>
  <c r="AT24" i="67"/>
  <c r="BB24" i="67"/>
  <c r="BC24" i="67"/>
  <c r="BD24" i="67"/>
  <c r="BL24" i="67"/>
  <c r="BM24" i="67"/>
  <c r="BN24" i="67"/>
  <c r="AP24" i="67"/>
  <c r="AQ24" i="67"/>
  <c r="AZ24" i="67"/>
  <c r="BA24" i="67"/>
  <c r="BJ24" i="67"/>
  <c r="BK24" i="67"/>
  <c r="C25" i="67"/>
  <c r="P25" i="67"/>
  <c r="K25" i="67"/>
  <c r="O25" i="67"/>
  <c r="V25" i="67"/>
  <c r="F25" i="67" s="1"/>
  <c r="Q25" i="67"/>
  <c r="U25" i="67"/>
  <c r="H25" i="67"/>
  <c r="I25" i="67"/>
  <c r="J25" i="67"/>
  <c r="L25" i="67"/>
  <c r="M25" i="67"/>
  <c r="N25" i="67"/>
  <c r="R25" i="67"/>
  <c r="S25" i="67"/>
  <c r="T25" i="67"/>
  <c r="W25" i="67"/>
  <c r="X25" i="67"/>
  <c r="Y25" i="67"/>
  <c r="Z25" i="67"/>
  <c r="AA25" i="67"/>
  <c r="AM25" i="67"/>
  <c r="AN25" i="67"/>
  <c r="AO25" i="67"/>
  <c r="AW25" i="67"/>
  <c r="AB25" i="67" s="1"/>
  <c r="AX25" i="67"/>
  <c r="AY25" i="67"/>
  <c r="BG25" i="67"/>
  <c r="BH25" i="67"/>
  <c r="BI25" i="67"/>
  <c r="AK25" i="67"/>
  <c r="AL25" i="67"/>
  <c r="AU25" i="67"/>
  <c r="AV25" i="67"/>
  <c r="BE25" i="67"/>
  <c r="BF25" i="67"/>
  <c r="AD25" i="67"/>
  <c r="AE25" i="67"/>
  <c r="AF25" i="67"/>
  <c r="AG25" i="67"/>
  <c r="AH25" i="67"/>
  <c r="AR25" i="67"/>
  <c r="AS25" i="67"/>
  <c r="AT25" i="67"/>
  <c r="BB25" i="67"/>
  <c r="BC25" i="67"/>
  <c r="BD25" i="67"/>
  <c r="BL25" i="67"/>
  <c r="BM25" i="67"/>
  <c r="BN25" i="67"/>
  <c r="AP25" i="67"/>
  <c r="AQ25" i="67"/>
  <c r="AZ25" i="67"/>
  <c r="BA25" i="67"/>
  <c r="BJ25" i="67"/>
  <c r="BK25" i="67"/>
  <c r="C26" i="67"/>
  <c r="P26" i="67"/>
  <c r="K26" i="67"/>
  <c r="O26" i="67"/>
  <c r="V26" i="67"/>
  <c r="G26" i="67" s="1"/>
  <c r="Q26" i="67"/>
  <c r="U26" i="67"/>
  <c r="H26" i="67"/>
  <c r="I26" i="67"/>
  <c r="J26" i="67"/>
  <c r="L26" i="67"/>
  <c r="M26" i="67"/>
  <c r="N26" i="67"/>
  <c r="R26" i="67"/>
  <c r="S26" i="67"/>
  <c r="T26" i="67"/>
  <c r="W26" i="67"/>
  <c r="X26" i="67"/>
  <c r="Y26" i="67"/>
  <c r="Z26" i="67"/>
  <c r="AA26" i="67"/>
  <c r="AM26" i="67"/>
  <c r="AN26" i="67"/>
  <c r="AO26" i="67"/>
  <c r="AW26" i="67"/>
  <c r="AX26" i="67"/>
  <c r="AY26" i="67"/>
  <c r="BG26" i="67"/>
  <c r="BH26" i="67"/>
  <c r="BI26" i="67"/>
  <c r="AK26" i="67"/>
  <c r="AL26" i="67"/>
  <c r="AU26" i="67"/>
  <c r="AC26" i="67" s="1"/>
  <c r="AV26" i="67"/>
  <c r="BE26" i="67"/>
  <c r="BF26" i="67"/>
  <c r="AD26" i="67"/>
  <c r="AE26" i="67"/>
  <c r="AF26" i="67"/>
  <c r="AG26" i="67"/>
  <c r="AH26" i="67"/>
  <c r="AR26" i="67"/>
  <c r="AS26" i="67"/>
  <c r="AT26" i="67"/>
  <c r="BB26" i="67"/>
  <c r="BC26" i="67"/>
  <c r="BD26" i="67"/>
  <c r="BL26" i="67"/>
  <c r="BM26" i="67"/>
  <c r="BN26" i="67"/>
  <c r="AP26" i="67"/>
  <c r="AQ26" i="67"/>
  <c r="AZ26" i="67"/>
  <c r="AJ26" i="67" s="1"/>
  <c r="BA26" i="67"/>
  <c r="BJ26" i="67"/>
  <c r="BK26" i="67"/>
  <c r="C27" i="67"/>
  <c r="P27" i="67"/>
  <c r="K27" i="67"/>
  <c r="D27" i="67"/>
  <c r="O27" i="67"/>
  <c r="E27" i="67" s="1"/>
  <c r="V27" i="67"/>
  <c r="Q27" i="67"/>
  <c r="U27" i="67"/>
  <c r="H27" i="67"/>
  <c r="I27" i="67"/>
  <c r="J27" i="67"/>
  <c r="L27" i="67"/>
  <c r="M27" i="67"/>
  <c r="N27" i="67"/>
  <c r="R27" i="67"/>
  <c r="S27" i="67"/>
  <c r="T27" i="67"/>
  <c r="W27" i="67"/>
  <c r="X27" i="67"/>
  <c r="Y27" i="67"/>
  <c r="Z27" i="67"/>
  <c r="AA27" i="67"/>
  <c r="AM27" i="67"/>
  <c r="AN27" i="67"/>
  <c r="AO27" i="67"/>
  <c r="AW27" i="67"/>
  <c r="AX27" i="67"/>
  <c r="AY27" i="67"/>
  <c r="BG27" i="67"/>
  <c r="BH27" i="67"/>
  <c r="BI27" i="67"/>
  <c r="AK27" i="67"/>
  <c r="AL27" i="67"/>
  <c r="AU27" i="67"/>
  <c r="AV27" i="67"/>
  <c r="BE27" i="67"/>
  <c r="BF27" i="67"/>
  <c r="AD27" i="67"/>
  <c r="AE27" i="67"/>
  <c r="AF27" i="67"/>
  <c r="AG27" i="67"/>
  <c r="AH27" i="67"/>
  <c r="AR27" i="67"/>
  <c r="AS27" i="67"/>
  <c r="AT27" i="67"/>
  <c r="BB27" i="67"/>
  <c r="BC27" i="67"/>
  <c r="BD27" i="67"/>
  <c r="BL27" i="67"/>
  <c r="BM27" i="67"/>
  <c r="BN27" i="67"/>
  <c r="AP27" i="67"/>
  <c r="AQ27" i="67"/>
  <c r="AZ27" i="67"/>
  <c r="BA27" i="67"/>
  <c r="BJ27" i="67"/>
  <c r="BK27" i="67"/>
  <c r="C28" i="67"/>
  <c r="P28" i="67"/>
  <c r="K28" i="67"/>
  <c r="D28" i="67" s="1"/>
  <c r="O28" i="67"/>
  <c r="E28" i="67" s="1"/>
  <c r="V28" i="67"/>
  <c r="F28" i="67" s="1"/>
  <c r="Q28" i="67"/>
  <c r="U28" i="67"/>
  <c r="H28" i="67"/>
  <c r="I28" i="67"/>
  <c r="J28" i="67"/>
  <c r="L28" i="67"/>
  <c r="M28" i="67"/>
  <c r="N28" i="67"/>
  <c r="R28" i="67"/>
  <c r="S28" i="67"/>
  <c r="T28" i="67"/>
  <c r="W28" i="67"/>
  <c r="X28" i="67"/>
  <c r="Y28" i="67"/>
  <c r="Z28" i="67"/>
  <c r="AA28" i="67"/>
  <c r="AM28" i="67"/>
  <c r="AN28" i="67"/>
  <c r="AO28" i="67"/>
  <c r="AW28" i="67"/>
  <c r="AX28" i="67"/>
  <c r="AY28" i="67"/>
  <c r="BG28" i="67"/>
  <c r="BH28" i="67"/>
  <c r="BI28" i="67"/>
  <c r="AK28" i="67"/>
  <c r="AL28" i="67"/>
  <c r="AU28" i="67"/>
  <c r="AV28" i="67"/>
  <c r="BE28" i="67"/>
  <c r="BF28" i="67"/>
  <c r="AD28" i="67"/>
  <c r="AE28" i="67"/>
  <c r="AF28" i="67"/>
  <c r="AG28" i="67"/>
  <c r="AH28" i="67"/>
  <c r="AR28" i="67"/>
  <c r="AS28" i="67"/>
  <c r="AT28" i="67"/>
  <c r="BB28" i="67"/>
  <c r="BC28" i="67"/>
  <c r="BD28" i="67"/>
  <c r="BL28" i="67"/>
  <c r="BM28" i="67"/>
  <c r="BN28" i="67"/>
  <c r="AP28" i="67"/>
  <c r="AQ28" i="67"/>
  <c r="AZ28" i="67"/>
  <c r="BA28" i="67"/>
  <c r="BJ28" i="67"/>
  <c r="BK28" i="67"/>
  <c r="C29" i="67"/>
  <c r="P29" i="67"/>
  <c r="K29" i="67"/>
  <c r="D29" i="67"/>
  <c r="O29" i="67"/>
  <c r="V29" i="67"/>
  <c r="Q29" i="67"/>
  <c r="F29" i="67" s="1"/>
  <c r="U29" i="67"/>
  <c r="H29" i="67"/>
  <c r="I29" i="67"/>
  <c r="J29" i="67"/>
  <c r="L29" i="67"/>
  <c r="M29" i="67"/>
  <c r="N29" i="67"/>
  <c r="R29" i="67"/>
  <c r="S29" i="67"/>
  <c r="T29" i="67"/>
  <c r="W29" i="67"/>
  <c r="X29" i="67"/>
  <c r="Y29" i="67"/>
  <c r="Z29" i="67"/>
  <c r="AA29" i="67"/>
  <c r="AM29" i="67"/>
  <c r="AN29" i="67"/>
  <c r="AO29" i="67"/>
  <c r="AW29" i="67"/>
  <c r="AX29" i="67"/>
  <c r="AY29" i="67"/>
  <c r="BG29" i="67"/>
  <c r="BH29" i="67"/>
  <c r="BI29" i="67"/>
  <c r="AK29" i="67"/>
  <c r="AL29" i="67"/>
  <c r="AU29" i="67"/>
  <c r="AV29" i="67"/>
  <c r="BE29" i="67"/>
  <c r="BF29" i="67"/>
  <c r="AD29" i="67"/>
  <c r="AE29" i="67"/>
  <c r="AF29" i="67"/>
  <c r="AG29" i="67"/>
  <c r="AH29" i="67"/>
  <c r="AR29" i="67"/>
  <c r="AS29" i="67"/>
  <c r="AT29" i="67"/>
  <c r="BB29" i="67"/>
  <c r="BC29" i="67"/>
  <c r="BD29" i="67"/>
  <c r="BL29" i="67"/>
  <c r="BM29" i="67"/>
  <c r="BN29" i="67"/>
  <c r="AP29" i="67"/>
  <c r="AQ29" i="67"/>
  <c r="AZ29" i="67"/>
  <c r="BA29" i="67"/>
  <c r="BJ29" i="67"/>
  <c r="BK29" i="67"/>
  <c r="C30" i="67"/>
  <c r="P30" i="67"/>
  <c r="K30" i="67"/>
  <c r="O30" i="67"/>
  <c r="V30" i="67"/>
  <c r="Q30" i="67"/>
  <c r="U30" i="67"/>
  <c r="H30" i="67"/>
  <c r="I30" i="67"/>
  <c r="J30" i="67"/>
  <c r="L30" i="67"/>
  <c r="M30" i="67"/>
  <c r="N30" i="67"/>
  <c r="R30" i="67"/>
  <c r="S30" i="67"/>
  <c r="T30" i="67"/>
  <c r="W30" i="67"/>
  <c r="X30" i="67"/>
  <c r="Y30" i="67"/>
  <c r="Z30" i="67"/>
  <c r="AA30" i="67"/>
  <c r="AM30" i="67"/>
  <c r="AN30" i="67"/>
  <c r="AO30" i="67"/>
  <c r="AW30" i="67"/>
  <c r="AX30" i="67"/>
  <c r="AY30" i="67"/>
  <c r="BG30" i="67"/>
  <c r="BH30" i="67"/>
  <c r="BI30" i="67"/>
  <c r="AK30" i="67"/>
  <c r="AL30" i="67"/>
  <c r="AU30" i="67"/>
  <c r="AV30" i="67"/>
  <c r="BE30" i="67"/>
  <c r="BF30" i="67"/>
  <c r="AD30" i="67"/>
  <c r="AE30" i="67"/>
  <c r="AF30" i="67"/>
  <c r="AG30" i="67"/>
  <c r="AH30" i="67"/>
  <c r="AR30" i="67"/>
  <c r="AS30" i="67"/>
  <c r="AT30" i="67"/>
  <c r="BB30" i="67"/>
  <c r="BC30" i="67"/>
  <c r="BD30" i="67"/>
  <c r="BL30" i="67"/>
  <c r="BM30" i="67"/>
  <c r="BN30" i="67"/>
  <c r="AP30" i="67"/>
  <c r="AQ30" i="67"/>
  <c r="AZ30" i="67"/>
  <c r="BA30" i="67"/>
  <c r="BJ30" i="67"/>
  <c r="BK30" i="67"/>
  <c r="C31" i="67"/>
  <c r="P31" i="67"/>
  <c r="K31" i="67"/>
  <c r="O31" i="67"/>
  <c r="V31" i="67"/>
  <c r="Q31" i="67"/>
  <c r="F31" i="67" s="1"/>
  <c r="U31" i="67"/>
  <c r="H31" i="67"/>
  <c r="I31" i="67"/>
  <c r="J31" i="67"/>
  <c r="L31" i="67"/>
  <c r="M31" i="67"/>
  <c r="N31" i="67"/>
  <c r="R31" i="67"/>
  <c r="S31" i="67"/>
  <c r="T31" i="67"/>
  <c r="W31" i="67"/>
  <c r="X31" i="67"/>
  <c r="Y31" i="67"/>
  <c r="Z31" i="67"/>
  <c r="AA31" i="67"/>
  <c r="AM31" i="67"/>
  <c r="AN31" i="67"/>
  <c r="AO31" i="67"/>
  <c r="AW31" i="67"/>
  <c r="AX31" i="67"/>
  <c r="AY31" i="67"/>
  <c r="BG31" i="67"/>
  <c r="BH31" i="67"/>
  <c r="BI31" i="67"/>
  <c r="AK31" i="67"/>
  <c r="AL31" i="67"/>
  <c r="AU31" i="67"/>
  <c r="AV31" i="67"/>
  <c r="BE31" i="67"/>
  <c r="BF31" i="67"/>
  <c r="AD31" i="67"/>
  <c r="AE31" i="67"/>
  <c r="AF31" i="67"/>
  <c r="AG31" i="67"/>
  <c r="AH31" i="67"/>
  <c r="AR31" i="67"/>
  <c r="AS31" i="67"/>
  <c r="AT31" i="67"/>
  <c r="BB31" i="67"/>
  <c r="BC31" i="67"/>
  <c r="BD31" i="67"/>
  <c r="BL31" i="67"/>
  <c r="BM31" i="67"/>
  <c r="BN31" i="67"/>
  <c r="AP31" i="67"/>
  <c r="AQ31" i="67"/>
  <c r="AZ31" i="67"/>
  <c r="BA31" i="67"/>
  <c r="BJ31" i="67"/>
  <c r="BK31" i="67"/>
  <c r="C32" i="67"/>
  <c r="P32" i="67"/>
  <c r="K32" i="67"/>
  <c r="O32" i="67"/>
  <c r="V32" i="67"/>
  <c r="Q32" i="67"/>
  <c r="U32" i="67"/>
  <c r="H32" i="67"/>
  <c r="I32" i="67"/>
  <c r="J32" i="67"/>
  <c r="L32" i="67"/>
  <c r="M32" i="67"/>
  <c r="N32" i="67"/>
  <c r="R32" i="67"/>
  <c r="S32" i="67"/>
  <c r="T32" i="67"/>
  <c r="W32" i="67"/>
  <c r="X32" i="67"/>
  <c r="Y32" i="67"/>
  <c r="Z32" i="67"/>
  <c r="AA32" i="67"/>
  <c r="AM32" i="67"/>
  <c r="AN32" i="67"/>
  <c r="AO32" i="67"/>
  <c r="AW32" i="67"/>
  <c r="AX32" i="67"/>
  <c r="AY32" i="67"/>
  <c r="BG32" i="67"/>
  <c r="BH32" i="67"/>
  <c r="BI32" i="67"/>
  <c r="AK32" i="67"/>
  <c r="AL32" i="67"/>
  <c r="AU32" i="67"/>
  <c r="AV32" i="67"/>
  <c r="BE32" i="67"/>
  <c r="BF32" i="67"/>
  <c r="AD32" i="67"/>
  <c r="AE32" i="67"/>
  <c r="AF32" i="67"/>
  <c r="AG32" i="67"/>
  <c r="AH32" i="67"/>
  <c r="AR32" i="67"/>
  <c r="AS32" i="67"/>
  <c r="AT32" i="67"/>
  <c r="BB32" i="67"/>
  <c r="BC32" i="67"/>
  <c r="BD32" i="67"/>
  <c r="BL32" i="67"/>
  <c r="BM32" i="67"/>
  <c r="BN32" i="67"/>
  <c r="AP32" i="67"/>
  <c r="AQ32" i="67"/>
  <c r="AZ32" i="67"/>
  <c r="BA32" i="67"/>
  <c r="BJ32" i="67"/>
  <c r="BK32" i="67"/>
  <c r="C33" i="67"/>
  <c r="P33" i="67"/>
  <c r="E33" i="67" s="1"/>
  <c r="K33" i="67"/>
  <c r="O33" i="67"/>
  <c r="V33" i="67"/>
  <c r="Q33" i="67"/>
  <c r="F33" i="67" s="1"/>
  <c r="U33" i="67"/>
  <c r="H33" i="67"/>
  <c r="I33" i="67"/>
  <c r="J33" i="67"/>
  <c r="L33" i="67"/>
  <c r="M33" i="67"/>
  <c r="N33" i="67"/>
  <c r="R33" i="67"/>
  <c r="S33" i="67"/>
  <c r="T33" i="67"/>
  <c r="W33" i="67"/>
  <c r="X33" i="67"/>
  <c r="Y33" i="67"/>
  <c r="Z33" i="67"/>
  <c r="AA33" i="67"/>
  <c r="AM33" i="67"/>
  <c r="AN33" i="67"/>
  <c r="AO33" i="67"/>
  <c r="AW33" i="67"/>
  <c r="AX33" i="67"/>
  <c r="AY33" i="67"/>
  <c r="BG33" i="67"/>
  <c r="BH33" i="67"/>
  <c r="BI33" i="67"/>
  <c r="AK33" i="67"/>
  <c r="AL33" i="67"/>
  <c r="AU33" i="67"/>
  <c r="AV33" i="67"/>
  <c r="BE33" i="67"/>
  <c r="BF33" i="67"/>
  <c r="AD33" i="67"/>
  <c r="AE33" i="67"/>
  <c r="AF33" i="67"/>
  <c r="AG33" i="67"/>
  <c r="AH33" i="67"/>
  <c r="AR33" i="67"/>
  <c r="AS33" i="67"/>
  <c r="AT33" i="67"/>
  <c r="BB33" i="67"/>
  <c r="BC33" i="67"/>
  <c r="BD33" i="67"/>
  <c r="BL33" i="67"/>
  <c r="BM33" i="67"/>
  <c r="BN33" i="67"/>
  <c r="AP33" i="67"/>
  <c r="AQ33" i="67"/>
  <c r="AZ33" i="67"/>
  <c r="BA33" i="67"/>
  <c r="BJ33" i="67"/>
  <c r="BK33" i="67"/>
  <c r="C34" i="67"/>
  <c r="P34" i="67"/>
  <c r="D34" i="67" s="1"/>
  <c r="K34" i="67"/>
  <c r="O34" i="67"/>
  <c r="V34" i="67"/>
  <c r="F34" i="67"/>
  <c r="Q34" i="67"/>
  <c r="U34" i="67"/>
  <c r="H34" i="67"/>
  <c r="I34" i="67"/>
  <c r="J34" i="67"/>
  <c r="L34" i="67"/>
  <c r="M34" i="67"/>
  <c r="N34" i="67"/>
  <c r="R34" i="67"/>
  <c r="S34" i="67"/>
  <c r="T34" i="67"/>
  <c r="W34" i="67"/>
  <c r="X34" i="67"/>
  <c r="Y34" i="67"/>
  <c r="Z34" i="67"/>
  <c r="AA34" i="67"/>
  <c r="AM34" i="67"/>
  <c r="AN34" i="67"/>
  <c r="AO34" i="67"/>
  <c r="AW34" i="67"/>
  <c r="AX34" i="67"/>
  <c r="AY34" i="67"/>
  <c r="BG34" i="67"/>
  <c r="BH34" i="67"/>
  <c r="BI34" i="67"/>
  <c r="AK34" i="67"/>
  <c r="AL34" i="67"/>
  <c r="AU34" i="67"/>
  <c r="AV34" i="67"/>
  <c r="BE34" i="67"/>
  <c r="BF34" i="67"/>
  <c r="AD34" i="67"/>
  <c r="AE34" i="67"/>
  <c r="AF34" i="67"/>
  <c r="AG34" i="67"/>
  <c r="AH34" i="67"/>
  <c r="AR34" i="67"/>
  <c r="AS34" i="67"/>
  <c r="AT34" i="67"/>
  <c r="BB34" i="67"/>
  <c r="BC34" i="67"/>
  <c r="BD34" i="67"/>
  <c r="BL34" i="67"/>
  <c r="BM34" i="67"/>
  <c r="BN34" i="67"/>
  <c r="AP34" i="67"/>
  <c r="AQ34" i="67"/>
  <c r="AZ34" i="67"/>
  <c r="AJ34" i="67" s="1"/>
  <c r="BA34" i="67"/>
  <c r="BJ34" i="67"/>
  <c r="BK34" i="67"/>
  <c r="C35" i="67"/>
  <c r="P35" i="67"/>
  <c r="K35" i="67"/>
  <c r="O35" i="67"/>
  <c r="V35" i="67"/>
  <c r="Q35" i="67"/>
  <c r="U35" i="67"/>
  <c r="H35" i="67"/>
  <c r="I35" i="67"/>
  <c r="J35" i="67"/>
  <c r="L35" i="67"/>
  <c r="M35" i="67"/>
  <c r="N35" i="67"/>
  <c r="R35" i="67"/>
  <c r="S35" i="67"/>
  <c r="T35" i="67"/>
  <c r="W35" i="67"/>
  <c r="X35" i="67"/>
  <c r="Y35" i="67"/>
  <c r="Z35" i="67"/>
  <c r="AA35" i="67"/>
  <c r="AM35" i="67"/>
  <c r="AN35" i="67"/>
  <c r="AO35" i="67"/>
  <c r="AW35" i="67"/>
  <c r="AX35" i="67"/>
  <c r="AY35" i="67"/>
  <c r="BG35" i="67"/>
  <c r="BH35" i="67"/>
  <c r="BI35" i="67"/>
  <c r="AK35" i="67"/>
  <c r="AL35" i="67"/>
  <c r="AU35" i="67"/>
  <c r="AC35" i="67" s="1"/>
  <c r="AV35" i="67"/>
  <c r="BE35" i="67"/>
  <c r="BF35" i="67"/>
  <c r="AD35" i="67"/>
  <c r="AE35" i="67"/>
  <c r="AF35" i="67"/>
  <c r="AG35" i="67"/>
  <c r="AH35" i="67"/>
  <c r="AR35" i="67"/>
  <c r="AS35" i="67"/>
  <c r="AT35" i="67"/>
  <c r="BB35" i="67"/>
  <c r="BC35" i="67"/>
  <c r="BD35" i="67"/>
  <c r="BL35" i="67"/>
  <c r="BM35" i="67"/>
  <c r="BN35" i="67"/>
  <c r="AP35" i="67"/>
  <c r="AQ35" i="67"/>
  <c r="AZ35" i="67"/>
  <c r="BA35" i="67"/>
  <c r="BJ35" i="67"/>
  <c r="BK35" i="67"/>
  <c r="C36" i="67"/>
  <c r="P36" i="67"/>
  <c r="K36" i="67"/>
  <c r="O36" i="67"/>
  <c r="V36" i="67"/>
  <c r="G36" i="67" s="1"/>
  <c r="Q36" i="67"/>
  <c r="U36" i="67"/>
  <c r="H36" i="67"/>
  <c r="I36" i="67"/>
  <c r="J36" i="67"/>
  <c r="L36" i="67"/>
  <c r="M36" i="67"/>
  <c r="N36" i="67"/>
  <c r="R36" i="67"/>
  <c r="S36" i="67"/>
  <c r="T36" i="67"/>
  <c r="W36" i="67"/>
  <c r="X36" i="67"/>
  <c r="Y36" i="67"/>
  <c r="Z36" i="67"/>
  <c r="AA36" i="67"/>
  <c r="AM36" i="67"/>
  <c r="AN36" i="67"/>
  <c r="AO36" i="67"/>
  <c r="AW36" i="67"/>
  <c r="AX36" i="67"/>
  <c r="AY36" i="67"/>
  <c r="BG36" i="67"/>
  <c r="BH36" i="67"/>
  <c r="BI36" i="67"/>
  <c r="AK36" i="67"/>
  <c r="AL36" i="67"/>
  <c r="AU36" i="67"/>
  <c r="AC36" i="67" s="1"/>
  <c r="AV36" i="67"/>
  <c r="BE36" i="67"/>
  <c r="BF36" i="67"/>
  <c r="AD36" i="67"/>
  <c r="AE36" i="67"/>
  <c r="AF36" i="67"/>
  <c r="AG36" i="67"/>
  <c r="AH36" i="67"/>
  <c r="AR36" i="67"/>
  <c r="AS36" i="67"/>
  <c r="AT36" i="67"/>
  <c r="BB36" i="67"/>
  <c r="BC36" i="67"/>
  <c r="BD36" i="67"/>
  <c r="BL36" i="67"/>
  <c r="BM36" i="67"/>
  <c r="BN36" i="67"/>
  <c r="AP36" i="67"/>
  <c r="AQ36" i="67"/>
  <c r="AZ36" i="67"/>
  <c r="AJ36" i="67" s="1"/>
  <c r="BA36" i="67"/>
  <c r="BJ36" i="67"/>
  <c r="BK36" i="67"/>
  <c r="C37" i="67"/>
  <c r="P37" i="67"/>
  <c r="K37" i="67"/>
  <c r="O37" i="67"/>
  <c r="V37" i="67"/>
  <c r="Q37" i="67"/>
  <c r="U37" i="67"/>
  <c r="H37" i="67"/>
  <c r="I37" i="67"/>
  <c r="J37" i="67"/>
  <c r="L37" i="67"/>
  <c r="M37" i="67"/>
  <c r="N37" i="67"/>
  <c r="R37" i="67"/>
  <c r="S37" i="67"/>
  <c r="T37" i="67"/>
  <c r="W37" i="67"/>
  <c r="X37" i="67"/>
  <c r="Y37" i="67"/>
  <c r="Z37" i="67"/>
  <c r="AA37" i="67"/>
  <c r="AM37" i="67"/>
  <c r="AN37" i="67"/>
  <c r="AO37" i="67"/>
  <c r="AW37" i="67"/>
  <c r="AX37" i="67"/>
  <c r="AY37" i="67"/>
  <c r="BG37" i="67"/>
  <c r="BH37" i="67"/>
  <c r="BI37" i="67"/>
  <c r="AK37" i="67"/>
  <c r="AL37" i="67"/>
  <c r="AU37" i="67"/>
  <c r="AV37" i="67"/>
  <c r="BE37" i="67"/>
  <c r="BF37" i="67"/>
  <c r="AD37" i="67"/>
  <c r="AE37" i="67"/>
  <c r="AF37" i="67"/>
  <c r="AG37" i="67"/>
  <c r="AH37" i="67"/>
  <c r="AR37" i="67"/>
  <c r="AS37" i="67"/>
  <c r="AT37" i="67"/>
  <c r="BB37" i="67"/>
  <c r="BC37" i="67"/>
  <c r="BD37" i="67"/>
  <c r="BL37" i="67"/>
  <c r="BM37" i="67"/>
  <c r="BN37" i="67"/>
  <c r="AP37" i="67"/>
  <c r="AQ37" i="67"/>
  <c r="AZ37" i="67"/>
  <c r="AJ37" i="67" s="1"/>
  <c r="BA37" i="67"/>
  <c r="BJ37" i="67"/>
  <c r="BK37" i="67"/>
  <c r="C38" i="67"/>
  <c r="P38" i="67"/>
  <c r="K38" i="67"/>
  <c r="O38" i="67"/>
  <c r="V38" i="67"/>
  <c r="G38" i="67" s="1"/>
  <c r="Q38" i="67"/>
  <c r="U38" i="67"/>
  <c r="H38" i="67"/>
  <c r="I38" i="67"/>
  <c r="J38" i="67"/>
  <c r="L38" i="67"/>
  <c r="M38" i="67"/>
  <c r="N38" i="67"/>
  <c r="R38" i="67"/>
  <c r="S38" i="67"/>
  <c r="T38" i="67"/>
  <c r="W38" i="67"/>
  <c r="X38" i="67"/>
  <c r="Y38" i="67"/>
  <c r="Z38" i="67"/>
  <c r="AA38" i="67"/>
  <c r="AM38" i="67"/>
  <c r="AN38" i="67"/>
  <c r="AO38" i="67"/>
  <c r="AW38" i="67"/>
  <c r="AX38" i="67"/>
  <c r="AY38" i="67"/>
  <c r="BG38" i="67"/>
  <c r="BH38" i="67"/>
  <c r="BI38" i="67"/>
  <c r="AK38" i="67"/>
  <c r="AL38" i="67"/>
  <c r="AU38" i="67"/>
  <c r="AC38" i="67" s="1"/>
  <c r="AV38" i="67"/>
  <c r="BE38" i="67"/>
  <c r="BF38" i="67"/>
  <c r="AD38" i="67"/>
  <c r="AE38" i="67"/>
  <c r="AF38" i="67"/>
  <c r="AG38" i="67"/>
  <c r="AH38" i="67"/>
  <c r="AR38" i="67"/>
  <c r="AS38" i="67"/>
  <c r="AT38" i="67"/>
  <c r="BB38" i="67"/>
  <c r="BC38" i="67"/>
  <c r="BD38" i="67"/>
  <c r="BL38" i="67"/>
  <c r="BM38" i="67"/>
  <c r="BN38" i="67"/>
  <c r="AP38" i="67"/>
  <c r="AQ38" i="67"/>
  <c r="AZ38" i="67"/>
  <c r="AJ38" i="67" s="1"/>
  <c r="BA38" i="67"/>
  <c r="BJ38" i="67"/>
  <c r="BK38" i="67"/>
  <c r="C39" i="67"/>
  <c r="P39" i="67"/>
  <c r="K39" i="67"/>
  <c r="O39" i="67"/>
  <c r="V39" i="67"/>
  <c r="G39" i="67" s="1"/>
  <c r="Q39" i="67"/>
  <c r="U39" i="67"/>
  <c r="H39" i="67"/>
  <c r="I39" i="67"/>
  <c r="J39" i="67"/>
  <c r="L39" i="67"/>
  <c r="M39" i="67"/>
  <c r="N39" i="67"/>
  <c r="R39" i="67"/>
  <c r="S39" i="67"/>
  <c r="T39" i="67"/>
  <c r="W39" i="67"/>
  <c r="X39" i="67"/>
  <c r="Y39" i="67"/>
  <c r="Z39" i="67"/>
  <c r="AA39" i="67"/>
  <c r="AM39" i="67"/>
  <c r="AN39" i="67"/>
  <c r="AO39" i="67"/>
  <c r="AW39" i="67"/>
  <c r="AX39" i="67"/>
  <c r="AY39" i="67"/>
  <c r="BG39" i="67"/>
  <c r="BH39" i="67"/>
  <c r="BI39" i="67"/>
  <c r="AK39" i="67"/>
  <c r="AL39" i="67"/>
  <c r="AU39" i="67"/>
  <c r="AC39" i="67" s="1"/>
  <c r="AV39" i="67"/>
  <c r="BE39" i="67"/>
  <c r="BF39" i="67"/>
  <c r="AD39" i="67"/>
  <c r="AE39" i="67"/>
  <c r="AF39" i="67"/>
  <c r="AG39" i="67"/>
  <c r="AH39" i="67"/>
  <c r="AR39" i="67"/>
  <c r="AS39" i="67"/>
  <c r="AT39" i="67"/>
  <c r="BB39" i="67"/>
  <c r="AI39" i="67" s="1"/>
  <c r="BC39" i="67"/>
  <c r="BD39" i="67"/>
  <c r="BL39" i="67"/>
  <c r="BM39" i="67"/>
  <c r="BN39" i="67"/>
  <c r="AP39" i="67"/>
  <c r="AQ39" i="67"/>
  <c r="AZ39" i="67"/>
  <c r="BA39" i="67"/>
  <c r="BJ39" i="67"/>
  <c r="BK39" i="67"/>
  <c r="C40" i="67"/>
  <c r="P40" i="67"/>
  <c r="K40" i="67"/>
  <c r="D40" i="67"/>
  <c r="O40" i="67"/>
  <c r="V40" i="67"/>
  <c r="Q40" i="67"/>
  <c r="U40" i="67"/>
  <c r="H40" i="67"/>
  <c r="I40" i="67"/>
  <c r="J40" i="67"/>
  <c r="L40" i="67"/>
  <c r="M40" i="67"/>
  <c r="N40" i="67"/>
  <c r="R40" i="67"/>
  <c r="S40" i="67"/>
  <c r="T40" i="67"/>
  <c r="W40" i="67"/>
  <c r="X40" i="67"/>
  <c r="Y40" i="67"/>
  <c r="Z40" i="67"/>
  <c r="AA40" i="67"/>
  <c r="AM40" i="67"/>
  <c r="AN40" i="67"/>
  <c r="AO40" i="67"/>
  <c r="AW40" i="67"/>
  <c r="AX40" i="67"/>
  <c r="AY40" i="67"/>
  <c r="BG40" i="67"/>
  <c r="BH40" i="67"/>
  <c r="BI40" i="67"/>
  <c r="AK40" i="67"/>
  <c r="AL40" i="67"/>
  <c r="AU40" i="67"/>
  <c r="AV40" i="67"/>
  <c r="BE40" i="67"/>
  <c r="BF40" i="67"/>
  <c r="AD40" i="67"/>
  <c r="AE40" i="67"/>
  <c r="AF40" i="67"/>
  <c r="AG40" i="67"/>
  <c r="AH40" i="67"/>
  <c r="AR40" i="67"/>
  <c r="AS40" i="67"/>
  <c r="AT40" i="67"/>
  <c r="BB40" i="67"/>
  <c r="BC40" i="67"/>
  <c r="BD40" i="67"/>
  <c r="BL40" i="67"/>
  <c r="BM40" i="67"/>
  <c r="BN40" i="67"/>
  <c r="AP40" i="67"/>
  <c r="AQ40" i="67"/>
  <c r="AZ40" i="67"/>
  <c r="BA40" i="67"/>
  <c r="BJ40" i="67"/>
  <c r="BK40" i="67"/>
  <c r="C41" i="67"/>
  <c r="P41" i="67"/>
  <c r="K41" i="67"/>
  <c r="O41" i="67"/>
  <c r="V41" i="67"/>
  <c r="F41" i="67" s="1"/>
  <c r="Q41" i="67"/>
  <c r="U41" i="67"/>
  <c r="H41" i="67"/>
  <c r="I41" i="67"/>
  <c r="J41" i="67"/>
  <c r="L41" i="67"/>
  <c r="M41" i="67"/>
  <c r="N41" i="67"/>
  <c r="R41" i="67"/>
  <c r="S41" i="67"/>
  <c r="T41" i="67"/>
  <c r="W41" i="67"/>
  <c r="X41" i="67"/>
  <c r="Y41" i="67"/>
  <c r="Z41" i="67"/>
  <c r="AA41" i="67"/>
  <c r="AM41" i="67"/>
  <c r="AN41" i="67"/>
  <c r="AO41" i="67"/>
  <c r="AW41" i="67"/>
  <c r="AX41" i="67"/>
  <c r="AY41" i="67"/>
  <c r="BG41" i="67"/>
  <c r="BH41" i="67"/>
  <c r="BI41" i="67"/>
  <c r="AK41" i="67"/>
  <c r="AL41" i="67"/>
  <c r="AU41" i="67"/>
  <c r="AV41" i="67"/>
  <c r="BE41" i="67"/>
  <c r="BF41" i="67"/>
  <c r="AD41" i="67"/>
  <c r="AE41" i="67"/>
  <c r="AF41" i="67"/>
  <c r="AG41" i="67"/>
  <c r="AH41" i="67"/>
  <c r="AR41" i="67"/>
  <c r="AS41" i="67"/>
  <c r="AT41" i="67"/>
  <c r="AI41" i="67" s="1"/>
  <c r="BB41" i="67"/>
  <c r="BC41" i="67"/>
  <c r="BD41" i="67"/>
  <c r="BL41" i="67"/>
  <c r="BM41" i="67"/>
  <c r="BN41" i="67"/>
  <c r="AP41" i="67"/>
  <c r="AQ41" i="67"/>
  <c r="AZ41" i="67"/>
  <c r="BA41" i="67"/>
  <c r="BJ41" i="67"/>
  <c r="BK41" i="67"/>
  <c r="C42" i="67"/>
  <c r="P42" i="67"/>
  <c r="K42" i="67"/>
  <c r="D42" i="67" s="1"/>
  <c r="O42" i="67"/>
  <c r="V42" i="67"/>
  <c r="Q42" i="67"/>
  <c r="U42" i="67"/>
  <c r="H42" i="67"/>
  <c r="I42" i="67"/>
  <c r="J42" i="67"/>
  <c r="L42" i="67"/>
  <c r="M42" i="67"/>
  <c r="N42" i="67"/>
  <c r="R42" i="67"/>
  <c r="S42" i="67"/>
  <c r="T42" i="67"/>
  <c r="W42" i="67"/>
  <c r="X42" i="67"/>
  <c r="Y42" i="67"/>
  <c r="Z42" i="67"/>
  <c r="AA42" i="67"/>
  <c r="AM42" i="67"/>
  <c r="AN42" i="67"/>
  <c r="AO42" i="67"/>
  <c r="AW42" i="67"/>
  <c r="AX42" i="67"/>
  <c r="AY42" i="67"/>
  <c r="BG42" i="67"/>
  <c r="BH42" i="67"/>
  <c r="BI42" i="67"/>
  <c r="AK42" i="67"/>
  <c r="AL42" i="67"/>
  <c r="AU42" i="67"/>
  <c r="AV42" i="67"/>
  <c r="BE42" i="67"/>
  <c r="BF42" i="67"/>
  <c r="AD42" i="67"/>
  <c r="AE42" i="67"/>
  <c r="AF42" i="67"/>
  <c r="AG42" i="67"/>
  <c r="AH42" i="67"/>
  <c r="AR42" i="67"/>
  <c r="AS42" i="67"/>
  <c r="AT42" i="67"/>
  <c r="BB42" i="67"/>
  <c r="BC42" i="67"/>
  <c r="BD42" i="67"/>
  <c r="BL42" i="67"/>
  <c r="BM42" i="67"/>
  <c r="BN42" i="67"/>
  <c r="AP42" i="67"/>
  <c r="AQ42" i="67"/>
  <c r="AZ42" i="67"/>
  <c r="BA42" i="67"/>
  <c r="BJ42" i="67"/>
  <c r="BK42" i="67"/>
  <c r="C43" i="67"/>
  <c r="P43" i="67"/>
  <c r="K43" i="67"/>
  <c r="O43" i="67"/>
  <c r="E43" i="67" s="1"/>
  <c r="V43" i="67"/>
  <c r="Q43" i="67"/>
  <c r="U43" i="67"/>
  <c r="H43" i="67"/>
  <c r="I43" i="67"/>
  <c r="J43" i="67"/>
  <c r="L43" i="67"/>
  <c r="M43" i="67"/>
  <c r="N43" i="67"/>
  <c r="R43" i="67"/>
  <c r="S43" i="67"/>
  <c r="T43" i="67"/>
  <c r="W43" i="67"/>
  <c r="X43" i="67"/>
  <c r="Y43" i="67"/>
  <c r="Z43" i="67"/>
  <c r="AA43" i="67"/>
  <c r="AM43" i="67"/>
  <c r="AN43" i="67"/>
  <c r="AO43" i="67"/>
  <c r="AW43" i="67"/>
  <c r="AX43" i="67"/>
  <c r="AY43" i="67"/>
  <c r="BG43" i="67"/>
  <c r="BH43" i="67"/>
  <c r="BI43" i="67"/>
  <c r="AK43" i="67"/>
  <c r="AC43" i="67" s="1"/>
  <c r="AL43" i="67"/>
  <c r="AU43" i="67"/>
  <c r="AV43" i="67"/>
  <c r="BE43" i="67"/>
  <c r="BF43" i="67"/>
  <c r="AD43" i="67"/>
  <c r="AE43" i="67"/>
  <c r="AF43" i="67"/>
  <c r="AG43" i="67"/>
  <c r="AH43" i="67"/>
  <c r="AR43" i="67"/>
  <c r="AS43" i="67"/>
  <c r="AT43" i="67"/>
  <c r="BB43" i="67"/>
  <c r="BC43" i="67"/>
  <c r="BD43" i="67"/>
  <c r="BL43" i="67"/>
  <c r="BM43" i="67"/>
  <c r="BN43" i="67"/>
  <c r="AP43" i="67"/>
  <c r="AQ43" i="67"/>
  <c r="AZ43" i="67"/>
  <c r="BA43" i="67"/>
  <c r="BJ43" i="67"/>
  <c r="BK43" i="67"/>
  <c r="C44" i="67"/>
  <c r="P44" i="67"/>
  <c r="K44" i="67"/>
  <c r="D44" i="67"/>
  <c r="O44" i="67"/>
  <c r="V44" i="67"/>
  <c r="Q44" i="67"/>
  <c r="U44" i="67"/>
  <c r="H44" i="67"/>
  <c r="I44" i="67"/>
  <c r="J44" i="67"/>
  <c r="L44" i="67"/>
  <c r="M44" i="67"/>
  <c r="N44" i="67"/>
  <c r="R44" i="67"/>
  <c r="S44" i="67"/>
  <c r="T44" i="67"/>
  <c r="W44" i="67"/>
  <c r="X44" i="67"/>
  <c r="Y44" i="67"/>
  <c r="Z44" i="67"/>
  <c r="AA44" i="67"/>
  <c r="AM44" i="67"/>
  <c r="AN44" i="67"/>
  <c r="AO44" i="67"/>
  <c r="AW44" i="67"/>
  <c r="AX44" i="67"/>
  <c r="AY44" i="67"/>
  <c r="BG44" i="67"/>
  <c r="BH44" i="67"/>
  <c r="BI44" i="67"/>
  <c r="AK44" i="67"/>
  <c r="AL44" i="67"/>
  <c r="AU44" i="67"/>
  <c r="AV44" i="67"/>
  <c r="BE44" i="67"/>
  <c r="BF44" i="67"/>
  <c r="AD44" i="67"/>
  <c r="AE44" i="67"/>
  <c r="AF44" i="67"/>
  <c r="AG44" i="67"/>
  <c r="AH44" i="67"/>
  <c r="AR44" i="67"/>
  <c r="AI44" i="67" s="1"/>
  <c r="AS44" i="67"/>
  <c r="AT44" i="67"/>
  <c r="BB44" i="67"/>
  <c r="BC44" i="67"/>
  <c r="BD44" i="67"/>
  <c r="BL44" i="67"/>
  <c r="BM44" i="67"/>
  <c r="BN44" i="67"/>
  <c r="AP44" i="67"/>
  <c r="AQ44" i="67"/>
  <c r="AZ44" i="67"/>
  <c r="BA44" i="67"/>
  <c r="BJ44" i="67"/>
  <c r="BK44" i="67"/>
  <c r="C45" i="67"/>
  <c r="P45" i="67"/>
  <c r="E45" i="67" s="1"/>
  <c r="K45" i="67"/>
  <c r="D45" i="67" s="1"/>
  <c r="O45" i="67"/>
  <c r="V45" i="67"/>
  <c r="Q45" i="67"/>
  <c r="F45" i="67" s="1"/>
  <c r="U45" i="67"/>
  <c r="G45" i="67" s="1"/>
  <c r="H45" i="67"/>
  <c r="I45" i="67"/>
  <c r="J45" i="67"/>
  <c r="L45" i="67"/>
  <c r="M45" i="67"/>
  <c r="N45" i="67"/>
  <c r="R45" i="67"/>
  <c r="S45" i="67"/>
  <c r="T45" i="67"/>
  <c r="W45" i="67"/>
  <c r="X45" i="67"/>
  <c r="Y45" i="67"/>
  <c r="Z45" i="67"/>
  <c r="AA45" i="67"/>
  <c r="AM45" i="67"/>
  <c r="AB45" i="67" s="1"/>
  <c r="AN45" i="67"/>
  <c r="AO45" i="67"/>
  <c r="AW45" i="67"/>
  <c r="AX45" i="67"/>
  <c r="AY45" i="67"/>
  <c r="BG45" i="67"/>
  <c r="BH45" i="67"/>
  <c r="BI45" i="67"/>
  <c r="AK45" i="67"/>
  <c r="AL45" i="67"/>
  <c r="AU45" i="67"/>
  <c r="AV45" i="67"/>
  <c r="BE45" i="67"/>
  <c r="BF45" i="67"/>
  <c r="AD45" i="67"/>
  <c r="AE45" i="67"/>
  <c r="AF45" i="67"/>
  <c r="AG45" i="67"/>
  <c r="AH45" i="67"/>
  <c r="AR45" i="67"/>
  <c r="AS45" i="67"/>
  <c r="AT45" i="67"/>
  <c r="BB45" i="67"/>
  <c r="BC45" i="67"/>
  <c r="BD45" i="67"/>
  <c r="BL45" i="67"/>
  <c r="BM45" i="67"/>
  <c r="BN45" i="67"/>
  <c r="AP45" i="67"/>
  <c r="AQ45" i="67"/>
  <c r="AZ45" i="67"/>
  <c r="BA45" i="67"/>
  <c r="BJ45" i="67"/>
  <c r="BK45" i="67"/>
  <c r="C46" i="67"/>
  <c r="P46" i="67"/>
  <c r="K46" i="67"/>
  <c r="O46" i="67"/>
  <c r="V46" i="67"/>
  <c r="Q46" i="67"/>
  <c r="F46" i="67" s="1"/>
  <c r="U46" i="67"/>
  <c r="H46" i="67"/>
  <c r="I46" i="67"/>
  <c r="J46" i="67"/>
  <c r="L46" i="67"/>
  <c r="M46" i="67"/>
  <c r="N46" i="67"/>
  <c r="R46" i="67"/>
  <c r="S46" i="67"/>
  <c r="T46" i="67"/>
  <c r="W46" i="67"/>
  <c r="X46" i="67"/>
  <c r="Y46" i="67"/>
  <c r="Z46" i="67"/>
  <c r="AA46" i="67"/>
  <c r="AM46" i="67"/>
  <c r="AN46" i="67"/>
  <c r="AO46" i="67"/>
  <c r="AW46" i="67"/>
  <c r="AX46" i="67"/>
  <c r="AY46" i="67"/>
  <c r="BG46" i="67"/>
  <c r="BH46" i="67"/>
  <c r="BI46" i="67"/>
  <c r="AK46" i="67"/>
  <c r="AL46" i="67"/>
  <c r="AU46" i="67"/>
  <c r="AV46" i="67"/>
  <c r="BE46" i="67"/>
  <c r="BF46" i="67"/>
  <c r="AD46" i="67"/>
  <c r="AE46" i="67"/>
  <c r="AF46" i="67"/>
  <c r="AG46" i="67"/>
  <c r="AH46" i="67"/>
  <c r="AR46" i="67"/>
  <c r="AS46" i="67"/>
  <c r="AT46" i="67"/>
  <c r="BB46" i="67"/>
  <c r="BC46" i="67"/>
  <c r="BD46" i="67"/>
  <c r="BL46" i="67"/>
  <c r="BM46" i="67"/>
  <c r="BN46" i="67"/>
  <c r="AP46" i="67"/>
  <c r="AQ46" i="67"/>
  <c r="AZ46" i="67"/>
  <c r="BA46" i="67"/>
  <c r="BJ46" i="67"/>
  <c r="BK46" i="67"/>
  <c r="C47" i="67"/>
  <c r="P47" i="67"/>
  <c r="K47" i="67"/>
  <c r="O47" i="67"/>
  <c r="V47" i="67"/>
  <c r="Q47" i="67"/>
  <c r="F47" i="67" s="1"/>
  <c r="U47" i="67"/>
  <c r="H47" i="67"/>
  <c r="I47" i="67"/>
  <c r="J47" i="67"/>
  <c r="L47" i="67"/>
  <c r="M47" i="67"/>
  <c r="N47" i="67"/>
  <c r="R47" i="67"/>
  <c r="S47" i="67"/>
  <c r="T47" i="67"/>
  <c r="W47" i="67"/>
  <c r="X47" i="67"/>
  <c r="Y47" i="67"/>
  <c r="Z47" i="67"/>
  <c r="AA47" i="67"/>
  <c r="AM47" i="67"/>
  <c r="AN47" i="67"/>
  <c r="AO47" i="67"/>
  <c r="AW47" i="67"/>
  <c r="AX47" i="67"/>
  <c r="AY47" i="67"/>
  <c r="BG47" i="67"/>
  <c r="BH47" i="67"/>
  <c r="BI47" i="67"/>
  <c r="AK47" i="67"/>
  <c r="AL47" i="67"/>
  <c r="AU47" i="67"/>
  <c r="AV47" i="67"/>
  <c r="BE47" i="67"/>
  <c r="BF47" i="67"/>
  <c r="AD47" i="67"/>
  <c r="AE47" i="67"/>
  <c r="AF47" i="67"/>
  <c r="AG47" i="67"/>
  <c r="AH47" i="67"/>
  <c r="AR47" i="67"/>
  <c r="AS47" i="67"/>
  <c r="AT47" i="67"/>
  <c r="BB47" i="67"/>
  <c r="BC47" i="67"/>
  <c r="BD47" i="67"/>
  <c r="BL47" i="67"/>
  <c r="BM47" i="67"/>
  <c r="BN47" i="67"/>
  <c r="AP47" i="67"/>
  <c r="AQ47" i="67"/>
  <c r="AZ47" i="67"/>
  <c r="BA47" i="67"/>
  <c r="BJ47" i="67"/>
  <c r="BK47" i="67"/>
  <c r="C48" i="67"/>
  <c r="P48" i="67"/>
  <c r="D48" i="67" s="1"/>
  <c r="K48" i="67"/>
  <c r="O48" i="67"/>
  <c r="V48" i="67"/>
  <c r="Q48" i="67"/>
  <c r="U48" i="67"/>
  <c r="H48" i="67"/>
  <c r="I48" i="67"/>
  <c r="J48" i="67"/>
  <c r="L48" i="67"/>
  <c r="M48" i="67"/>
  <c r="N48" i="67"/>
  <c r="R48" i="67"/>
  <c r="S48" i="67"/>
  <c r="T48" i="67"/>
  <c r="W48" i="67"/>
  <c r="X48" i="67"/>
  <c r="Y48" i="67"/>
  <c r="Z48" i="67"/>
  <c r="AA48" i="67"/>
  <c r="AM48" i="67"/>
  <c r="AB48" i="67" s="1"/>
  <c r="AN48" i="67"/>
  <c r="AO48" i="67"/>
  <c r="AW48" i="67"/>
  <c r="AX48" i="67"/>
  <c r="AY48" i="67"/>
  <c r="BG48" i="67"/>
  <c r="BH48" i="67"/>
  <c r="BI48" i="67"/>
  <c r="AK48" i="67"/>
  <c r="AL48" i="67"/>
  <c r="AU48" i="67"/>
  <c r="AV48" i="67"/>
  <c r="BE48" i="67"/>
  <c r="BF48" i="67"/>
  <c r="AD48" i="67"/>
  <c r="AE48" i="67"/>
  <c r="AF48" i="67"/>
  <c r="AG48" i="67"/>
  <c r="AH48" i="67"/>
  <c r="AR48" i="67"/>
  <c r="AS48" i="67"/>
  <c r="AT48" i="67"/>
  <c r="BB48" i="67"/>
  <c r="BC48" i="67"/>
  <c r="BD48" i="67"/>
  <c r="BL48" i="67"/>
  <c r="BM48" i="67"/>
  <c r="BN48" i="67"/>
  <c r="AP48" i="67"/>
  <c r="AQ48" i="67"/>
  <c r="AZ48" i="67"/>
  <c r="BA48" i="67"/>
  <c r="BJ48" i="67"/>
  <c r="BK48" i="67"/>
  <c r="C49" i="67"/>
  <c r="P49" i="67"/>
  <c r="K49" i="67"/>
  <c r="O49" i="67"/>
  <c r="V49" i="67"/>
  <c r="Q49" i="67"/>
  <c r="F49" i="67" s="1"/>
  <c r="U49" i="67"/>
  <c r="H49" i="67"/>
  <c r="I49" i="67"/>
  <c r="J49" i="67"/>
  <c r="L49" i="67"/>
  <c r="M49" i="67"/>
  <c r="N49" i="67"/>
  <c r="R49" i="67"/>
  <c r="S49" i="67"/>
  <c r="T49" i="67"/>
  <c r="W49" i="67"/>
  <c r="X49" i="67"/>
  <c r="Y49" i="67"/>
  <c r="Z49" i="67"/>
  <c r="AA49" i="67"/>
  <c r="AM49" i="67"/>
  <c r="AB49" i="67" s="1"/>
  <c r="AN49" i="67"/>
  <c r="AO49" i="67"/>
  <c r="AW49" i="67"/>
  <c r="AX49" i="67"/>
  <c r="AY49" i="67"/>
  <c r="BG49" i="67"/>
  <c r="BH49" i="67"/>
  <c r="BI49" i="67"/>
  <c r="AK49" i="67"/>
  <c r="AL49" i="67"/>
  <c r="AU49" i="67"/>
  <c r="AV49" i="67"/>
  <c r="BE49" i="67"/>
  <c r="BF49" i="67"/>
  <c r="AD49" i="67"/>
  <c r="AE49" i="67"/>
  <c r="AF49" i="67"/>
  <c r="AG49" i="67"/>
  <c r="AH49" i="67"/>
  <c r="AR49" i="67"/>
  <c r="AJ49" i="67" s="1"/>
  <c r="AS49" i="67"/>
  <c r="AT49" i="67"/>
  <c r="BB49" i="67"/>
  <c r="BC49" i="67"/>
  <c r="BD49" i="67"/>
  <c r="BL49" i="67"/>
  <c r="BM49" i="67"/>
  <c r="BN49" i="67"/>
  <c r="AP49" i="67"/>
  <c r="AQ49" i="67"/>
  <c r="AZ49" i="67"/>
  <c r="BA49" i="67"/>
  <c r="BJ49" i="67"/>
  <c r="BK49" i="67"/>
  <c r="C50" i="67"/>
  <c r="P50" i="67"/>
  <c r="K50" i="67"/>
  <c r="O50" i="67"/>
  <c r="V50" i="67"/>
  <c r="G50" i="67" s="1"/>
  <c r="Q50" i="67"/>
  <c r="U50" i="67"/>
  <c r="H50" i="67"/>
  <c r="I50" i="67"/>
  <c r="J50" i="67"/>
  <c r="L50" i="67"/>
  <c r="M50" i="67"/>
  <c r="N50" i="67"/>
  <c r="R50" i="67"/>
  <c r="S50" i="67"/>
  <c r="T50" i="67"/>
  <c r="W50" i="67"/>
  <c r="X50" i="67"/>
  <c r="Y50" i="67"/>
  <c r="Z50" i="67"/>
  <c r="AA50" i="67"/>
  <c r="AM50" i="67"/>
  <c r="AN50" i="67"/>
  <c r="AO50" i="67"/>
  <c r="AW50" i="67"/>
  <c r="AX50" i="67"/>
  <c r="AY50" i="67"/>
  <c r="BG50" i="67"/>
  <c r="BH50" i="67"/>
  <c r="BI50" i="67"/>
  <c r="AK50" i="67"/>
  <c r="AL50" i="67"/>
  <c r="AU50" i="67"/>
  <c r="AV50" i="67"/>
  <c r="BE50" i="67"/>
  <c r="BF50" i="67"/>
  <c r="AD50" i="67"/>
  <c r="AE50" i="67"/>
  <c r="AF50" i="67"/>
  <c r="AG50" i="67"/>
  <c r="AH50" i="67"/>
  <c r="AR50" i="67"/>
  <c r="AS50" i="67"/>
  <c r="AT50" i="67"/>
  <c r="BB50" i="67"/>
  <c r="BC50" i="67"/>
  <c r="BD50" i="67"/>
  <c r="BL50" i="67"/>
  <c r="BM50" i="67"/>
  <c r="BN50" i="67"/>
  <c r="AP50" i="67"/>
  <c r="AQ50" i="67"/>
  <c r="AZ50" i="67"/>
  <c r="BA50" i="67"/>
  <c r="BJ50" i="67"/>
  <c r="BK50" i="67"/>
  <c r="C51" i="67"/>
  <c r="P51" i="67"/>
  <c r="K51" i="67"/>
  <c r="O51" i="67"/>
  <c r="V51" i="67"/>
  <c r="Q51" i="67"/>
  <c r="U51" i="67"/>
  <c r="H51" i="67"/>
  <c r="I51" i="67"/>
  <c r="J51" i="67"/>
  <c r="L51" i="67"/>
  <c r="M51" i="67"/>
  <c r="N51" i="67"/>
  <c r="R51" i="67"/>
  <c r="S51" i="67"/>
  <c r="T51" i="67"/>
  <c r="W51" i="67"/>
  <c r="X51" i="67"/>
  <c r="Y51" i="67"/>
  <c r="Z51" i="67"/>
  <c r="AA51" i="67"/>
  <c r="AM51" i="67"/>
  <c r="AN51" i="67"/>
  <c r="AO51" i="67"/>
  <c r="AW51" i="67"/>
  <c r="AX51" i="67"/>
  <c r="AY51" i="67"/>
  <c r="BG51" i="67"/>
  <c r="BH51" i="67"/>
  <c r="BI51" i="67"/>
  <c r="AK51" i="67"/>
  <c r="AL51" i="67"/>
  <c r="AU51" i="67"/>
  <c r="AV51" i="67"/>
  <c r="BE51" i="67"/>
  <c r="BF51" i="67"/>
  <c r="AD51" i="67"/>
  <c r="AE51" i="67"/>
  <c r="AF51" i="67"/>
  <c r="AG51" i="67"/>
  <c r="AH51" i="67"/>
  <c r="AR51" i="67"/>
  <c r="AJ51" i="67" s="1"/>
  <c r="AS51" i="67"/>
  <c r="AT51" i="67"/>
  <c r="BB51" i="67"/>
  <c r="BC51" i="67"/>
  <c r="BD51" i="67"/>
  <c r="BL51" i="67"/>
  <c r="BM51" i="67"/>
  <c r="BN51" i="67"/>
  <c r="AP51" i="67"/>
  <c r="AQ51" i="67"/>
  <c r="AZ51" i="67"/>
  <c r="BA51" i="67"/>
  <c r="BJ51" i="67"/>
  <c r="BK51" i="67"/>
  <c r="C52" i="67"/>
  <c r="P52" i="67"/>
  <c r="D52" i="67" s="1"/>
  <c r="K52" i="67"/>
  <c r="O52" i="67"/>
  <c r="V52" i="67"/>
  <c r="Q52" i="67"/>
  <c r="F52" i="67" s="1"/>
  <c r="U52" i="67"/>
  <c r="H52" i="67"/>
  <c r="I52" i="67"/>
  <c r="J52" i="67"/>
  <c r="L52" i="67"/>
  <c r="M52" i="67"/>
  <c r="N52" i="67"/>
  <c r="R52" i="67"/>
  <c r="S52" i="67"/>
  <c r="T52" i="67"/>
  <c r="W52" i="67"/>
  <c r="X52" i="67"/>
  <c r="Y52" i="67"/>
  <c r="Z52" i="67"/>
  <c r="AA52" i="67"/>
  <c r="AM52" i="67"/>
  <c r="AC52" i="67" s="1"/>
  <c r="AN52" i="67"/>
  <c r="AO52" i="67"/>
  <c r="AW52" i="67"/>
  <c r="AX52" i="67"/>
  <c r="AY52" i="67"/>
  <c r="BG52" i="67"/>
  <c r="BH52" i="67"/>
  <c r="BI52" i="67"/>
  <c r="AK52" i="67"/>
  <c r="AL52" i="67"/>
  <c r="AU52" i="67"/>
  <c r="AV52" i="67"/>
  <c r="BE52" i="67"/>
  <c r="BF52" i="67"/>
  <c r="AD52" i="67"/>
  <c r="AE52" i="67"/>
  <c r="AF52" i="67"/>
  <c r="AG52" i="67"/>
  <c r="AH52" i="67"/>
  <c r="AR52" i="67"/>
  <c r="AS52" i="67"/>
  <c r="AT52" i="67"/>
  <c r="BB52" i="67"/>
  <c r="BC52" i="67"/>
  <c r="BD52" i="67"/>
  <c r="BL52" i="67"/>
  <c r="BM52" i="67"/>
  <c r="BN52" i="67"/>
  <c r="AP52" i="67"/>
  <c r="AQ52" i="67"/>
  <c r="AZ52" i="67"/>
  <c r="BA52" i="67"/>
  <c r="BJ52" i="67"/>
  <c r="BK52" i="67"/>
  <c r="C53" i="67"/>
  <c r="P53" i="67"/>
  <c r="K53" i="67"/>
  <c r="O53" i="67"/>
  <c r="V53" i="67"/>
  <c r="F53" i="67"/>
  <c r="Q53" i="67"/>
  <c r="U53" i="67"/>
  <c r="H53" i="67"/>
  <c r="I53" i="67"/>
  <c r="J53" i="67"/>
  <c r="L53" i="67"/>
  <c r="M53" i="67"/>
  <c r="N53" i="67"/>
  <c r="R53" i="67"/>
  <c r="S53" i="67"/>
  <c r="T53" i="67"/>
  <c r="W53" i="67"/>
  <c r="X53" i="67"/>
  <c r="Y53" i="67"/>
  <c r="Z53" i="67"/>
  <c r="AA53" i="67"/>
  <c r="AM53" i="67"/>
  <c r="AN53" i="67"/>
  <c r="AO53" i="67"/>
  <c r="AW53" i="67"/>
  <c r="AX53" i="67"/>
  <c r="AY53" i="67"/>
  <c r="BG53" i="67"/>
  <c r="BH53" i="67"/>
  <c r="BI53" i="67"/>
  <c r="AK53" i="67"/>
  <c r="AL53" i="67"/>
  <c r="AU53" i="67"/>
  <c r="AV53" i="67"/>
  <c r="BE53" i="67"/>
  <c r="BF53" i="67"/>
  <c r="AD53" i="67"/>
  <c r="AE53" i="67"/>
  <c r="AF53" i="67"/>
  <c r="AG53" i="67"/>
  <c r="AH53" i="67"/>
  <c r="AR53" i="67"/>
  <c r="AS53" i="67"/>
  <c r="AT53" i="67"/>
  <c r="BB53" i="67"/>
  <c r="BC53" i="67"/>
  <c r="BD53" i="67"/>
  <c r="BL53" i="67"/>
  <c r="BM53" i="67"/>
  <c r="BN53" i="67"/>
  <c r="AP53" i="67"/>
  <c r="AQ53" i="67"/>
  <c r="AZ53" i="67"/>
  <c r="AJ53" i="67" s="1"/>
  <c r="BA53" i="67"/>
  <c r="BJ53" i="67"/>
  <c r="BK53" i="67"/>
  <c r="C54" i="67"/>
  <c r="P54" i="67"/>
  <c r="D54" i="67" s="1"/>
  <c r="K54" i="67"/>
  <c r="O54" i="67"/>
  <c r="E54" i="67" s="1"/>
  <c r="V54" i="67"/>
  <c r="Q54" i="67"/>
  <c r="U54" i="67"/>
  <c r="H54" i="67"/>
  <c r="I54" i="67"/>
  <c r="J54" i="67"/>
  <c r="L54" i="67"/>
  <c r="M54" i="67"/>
  <c r="N54" i="67"/>
  <c r="R54" i="67"/>
  <c r="S54" i="67"/>
  <c r="T54" i="67"/>
  <c r="W54" i="67"/>
  <c r="X54" i="67"/>
  <c r="Y54" i="67"/>
  <c r="Z54" i="67"/>
  <c r="AA54" i="67"/>
  <c r="AM54" i="67"/>
  <c r="AN54" i="67"/>
  <c r="AO54" i="67"/>
  <c r="AW54" i="67"/>
  <c r="AX54" i="67"/>
  <c r="AY54" i="67"/>
  <c r="BG54" i="67"/>
  <c r="BH54" i="67"/>
  <c r="BI54" i="67"/>
  <c r="AK54" i="67"/>
  <c r="AL54" i="67"/>
  <c r="AU54" i="67"/>
  <c r="AC54" i="67" s="1"/>
  <c r="AV54" i="67"/>
  <c r="BE54" i="67"/>
  <c r="BF54" i="67"/>
  <c r="AD54" i="67"/>
  <c r="AE54" i="67"/>
  <c r="AF54" i="67"/>
  <c r="AG54" i="67"/>
  <c r="AH54" i="67"/>
  <c r="AR54" i="67"/>
  <c r="AS54" i="67"/>
  <c r="AT54" i="67"/>
  <c r="BB54" i="67"/>
  <c r="BC54" i="67"/>
  <c r="BD54" i="67"/>
  <c r="BL54" i="67"/>
  <c r="BM54" i="67"/>
  <c r="BN54" i="67"/>
  <c r="AP54" i="67"/>
  <c r="AQ54" i="67"/>
  <c r="AZ54" i="67"/>
  <c r="BA54" i="67"/>
  <c r="BJ54" i="67"/>
  <c r="BK54" i="67"/>
  <c r="C55" i="67"/>
  <c r="P55" i="67"/>
  <c r="K55" i="67"/>
  <c r="O55" i="67"/>
  <c r="V55" i="67"/>
  <c r="Q55" i="67"/>
  <c r="U55" i="67"/>
  <c r="H55" i="67"/>
  <c r="I55" i="67"/>
  <c r="J55" i="67"/>
  <c r="L55" i="67"/>
  <c r="M55" i="67"/>
  <c r="N55" i="67"/>
  <c r="R55" i="67"/>
  <c r="S55" i="67"/>
  <c r="T55" i="67"/>
  <c r="W55" i="67"/>
  <c r="X55" i="67"/>
  <c r="Y55" i="67"/>
  <c r="Z55" i="67"/>
  <c r="AA55" i="67"/>
  <c r="AM55" i="67"/>
  <c r="AN55" i="67"/>
  <c r="AO55" i="67"/>
  <c r="AW55" i="67"/>
  <c r="AX55" i="67"/>
  <c r="AY55" i="67"/>
  <c r="BG55" i="67"/>
  <c r="BH55" i="67"/>
  <c r="BI55" i="67"/>
  <c r="AK55" i="67"/>
  <c r="AL55" i="67"/>
  <c r="AU55" i="67"/>
  <c r="AV55" i="67"/>
  <c r="BE55" i="67"/>
  <c r="BF55" i="67"/>
  <c r="AD55" i="67"/>
  <c r="AE55" i="67"/>
  <c r="AF55" i="67"/>
  <c r="AG55" i="67"/>
  <c r="AH55" i="67"/>
  <c r="AR55" i="67"/>
  <c r="AS55" i="67"/>
  <c r="AT55" i="67"/>
  <c r="BB55" i="67"/>
  <c r="BC55" i="67"/>
  <c r="BD55" i="67"/>
  <c r="BL55" i="67"/>
  <c r="BM55" i="67"/>
  <c r="BN55" i="67"/>
  <c r="AP55" i="67"/>
  <c r="AJ55" i="67" s="1"/>
  <c r="AQ55" i="67"/>
  <c r="AZ55" i="67"/>
  <c r="BA55" i="67"/>
  <c r="BJ55" i="67"/>
  <c r="BK55" i="67"/>
  <c r="C56" i="67"/>
  <c r="P56" i="67"/>
  <c r="K56" i="67"/>
  <c r="D56" i="67"/>
  <c r="O56" i="67"/>
  <c r="V56" i="67"/>
  <c r="Q56" i="67"/>
  <c r="F56" i="67" s="1"/>
  <c r="U56" i="67"/>
  <c r="G56" i="67" s="1"/>
  <c r="H56" i="67"/>
  <c r="I56" i="67"/>
  <c r="J56" i="67"/>
  <c r="L56" i="67"/>
  <c r="M56" i="67"/>
  <c r="N56" i="67"/>
  <c r="R56" i="67"/>
  <c r="S56" i="67"/>
  <c r="T56" i="67"/>
  <c r="W56" i="67"/>
  <c r="X56" i="67"/>
  <c r="Y56" i="67"/>
  <c r="Z56" i="67"/>
  <c r="AA56" i="67"/>
  <c r="AM56" i="67"/>
  <c r="AN56" i="67"/>
  <c r="AO56" i="67"/>
  <c r="AW56" i="67"/>
  <c r="AX56" i="67"/>
  <c r="AY56" i="67"/>
  <c r="BG56" i="67"/>
  <c r="BH56" i="67"/>
  <c r="BI56" i="67"/>
  <c r="AK56" i="67"/>
  <c r="AL56" i="67"/>
  <c r="AU56" i="67"/>
  <c r="AV56" i="67"/>
  <c r="BE56" i="67"/>
  <c r="BF56" i="67"/>
  <c r="AD56" i="67"/>
  <c r="AE56" i="67"/>
  <c r="AF56" i="67"/>
  <c r="AG56" i="67"/>
  <c r="AH56" i="67"/>
  <c r="AR56" i="67"/>
  <c r="AS56" i="67"/>
  <c r="AT56" i="67"/>
  <c r="BB56" i="67"/>
  <c r="BC56" i="67"/>
  <c r="BD56" i="67"/>
  <c r="BL56" i="67"/>
  <c r="BM56" i="67"/>
  <c r="BN56" i="67"/>
  <c r="AP56" i="67"/>
  <c r="AQ56" i="67"/>
  <c r="AZ56" i="67"/>
  <c r="BA56" i="67"/>
  <c r="BJ56" i="67"/>
  <c r="BK56" i="67"/>
  <c r="C57" i="67"/>
  <c r="P57" i="67"/>
  <c r="E57" i="67" s="1"/>
  <c r="K57" i="67"/>
  <c r="O57" i="67"/>
  <c r="V57" i="67"/>
  <c r="Q57" i="67"/>
  <c r="F57" i="67" s="1"/>
  <c r="U57" i="67"/>
  <c r="G57" i="67" s="1"/>
  <c r="H57" i="67"/>
  <c r="I57" i="67"/>
  <c r="J57" i="67"/>
  <c r="L57" i="67"/>
  <c r="M57" i="67"/>
  <c r="N57" i="67"/>
  <c r="R57" i="67"/>
  <c r="S57" i="67"/>
  <c r="T57" i="67"/>
  <c r="W57" i="67"/>
  <c r="X57" i="67"/>
  <c r="Y57" i="67"/>
  <c r="Z57" i="67"/>
  <c r="AA57" i="67"/>
  <c r="AM57" i="67"/>
  <c r="AN57" i="67"/>
  <c r="AO57" i="67"/>
  <c r="AW57" i="67"/>
  <c r="AX57" i="67"/>
  <c r="AY57" i="67"/>
  <c r="BG57" i="67"/>
  <c r="BH57" i="67"/>
  <c r="BI57" i="67"/>
  <c r="AK57" i="67"/>
  <c r="AL57" i="67"/>
  <c r="AU57" i="67"/>
  <c r="AV57" i="67"/>
  <c r="BE57" i="67"/>
  <c r="BF57" i="67"/>
  <c r="AD57" i="67"/>
  <c r="AE57" i="67"/>
  <c r="AF57" i="67"/>
  <c r="AG57" i="67"/>
  <c r="AH57" i="67"/>
  <c r="AR57" i="67"/>
  <c r="AS57" i="67"/>
  <c r="AT57" i="67"/>
  <c r="BB57" i="67"/>
  <c r="BC57" i="67"/>
  <c r="BD57" i="67"/>
  <c r="BL57" i="67"/>
  <c r="BM57" i="67"/>
  <c r="BN57" i="67"/>
  <c r="AP57" i="67"/>
  <c r="AQ57" i="67"/>
  <c r="AZ57" i="67"/>
  <c r="BA57" i="67"/>
  <c r="BJ57" i="67"/>
  <c r="BK57" i="67"/>
  <c r="C58" i="67"/>
  <c r="P58" i="67"/>
  <c r="K58" i="67"/>
  <c r="O58" i="67"/>
  <c r="V58" i="67"/>
  <c r="Q58" i="67"/>
  <c r="U58" i="67"/>
  <c r="H58" i="67"/>
  <c r="I58" i="67"/>
  <c r="J58" i="67"/>
  <c r="L58" i="67"/>
  <c r="M58" i="67"/>
  <c r="N58" i="67"/>
  <c r="R58" i="67"/>
  <c r="S58" i="67"/>
  <c r="T58" i="67"/>
  <c r="W58" i="67"/>
  <c r="X58" i="67"/>
  <c r="Y58" i="67"/>
  <c r="Z58" i="67"/>
  <c r="AA58" i="67"/>
  <c r="AM58" i="67"/>
  <c r="AN58" i="67"/>
  <c r="AO58" i="67"/>
  <c r="AW58" i="67"/>
  <c r="AX58" i="67"/>
  <c r="AY58" i="67"/>
  <c r="BG58" i="67"/>
  <c r="BH58" i="67"/>
  <c r="BI58" i="67"/>
  <c r="AK58" i="67"/>
  <c r="AL58" i="67"/>
  <c r="AU58" i="67"/>
  <c r="AV58" i="67"/>
  <c r="BE58" i="67"/>
  <c r="BF58" i="67"/>
  <c r="AD58" i="67"/>
  <c r="AE58" i="67"/>
  <c r="AF58" i="67"/>
  <c r="AG58" i="67"/>
  <c r="AH58" i="67"/>
  <c r="AR58" i="67"/>
  <c r="AJ58" i="67" s="1"/>
  <c r="AS58" i="67"/>
  <c r="AT58" i="67"/>
  <c r="BB58" i="67"/>
  <c r="BC58" i="67"/>
  <c r="BD58" i="67"/>
  <c r="BL58" i="67"/>
  <c r="BM58" i="67"/>
  <c r="BN58" i="67"/>
  <c r="AP58" i="67"/>
  <c r="AQ58" i="67"/>
  <c r="AZ58" i="67"/>
  <c r="BA58" i="67"/>
  <c r="BJ58" i="67"/>
  <c r="BK58" i="67"/>
  <c r="C59" i="67"/>
  <c r="P59" i="67"/>
  <c r="K59" i="67"/>
  <c r="O59" i="67"/>
  <c r="V59" i="67"/>
  <c r="Q59" i="67"/>
  <c r="U59" i="67"/>
  <c r="H59" i="67"/>
  <c r="I59" i="67"/>
  <c r="J59" i="67"/>
  <c r="L59" i="67"/>
  <c r="M59" i="67"/>
  <c r="N59" i="67"/>
  <c r="R59" i="67"/>
  <c r="S59" i="67"/>
  <c r="T59" i="67"/>
  <c r="W59" i="67"/>
  <c r="X59" i="67"/>
  <c r="Y59" i="67"/>
  <c r="Z59" i="67"/>
  <c r="AA59" i="67"/>
  <c r="AM59" i="67"/>
  <c r="AB59" i="67" s="1"/>
  <c r="AN59" i="67"/>
  <c r="AO59" i="67"/>
  <c r="AW59" i="67"/>
  <c r="AX59" i="67"/>
  <c r="AY59" i="67"/>
  <c r="BG59" i="67"/>
  <c r="BH59" i="67"/>
  <c r="BI59" i="67"/>
  <c r="AK59" i="67"/>
  <c r="AL59" i="67"/>
  <c r="AU59" i="67"/>
  <c r="AV59" i="67"/>
  <c r="BE59" i="67"/>
  <c r="BF59" i="67"/>
  <c r="AD59" i="67"/>
  <c r="AE59" i="67"/>
  <c r="AF59" i="67"/>
  <c r="AG59" i="67"/>
  <c r="AH59" i="67"/>
  <c r="AR59" i="67"/>
  <c r="AS59" i="67"/>
  <c r="AT59" i="67"/>
  <c r="BB59" i="67"/>
  <c r="BC59" i="67"/>
  <c r="BD59" i="67"/>
  <c r="BL59" i="67"/>
  <c r="BM59" i="67"/>
  <c r="BN59" i="67"/>
  <c r="AP59" i="67"/>
  <c r="AQ59" i="67"/>
  <c r="AZ59" i="67"/>
  <c r="BA59" i="67"/>
  <c r="BJ59" i="67"/>
  <c r="BK59" i="67"/>
  <c r="C60" i="67"/>
  <c r="P60" i="67"/>
  <c r="K60" i="67"/>
  <c r="O60" i="67"/>
  <c r="V60" i="67"/>
  <c r="G60" i="67" s="1"/>
  <c r="Q60" i="67"/>
  <c r="U60" i="67"/>
  <c r="H60" i="67"/>
  <c r="I60" i="67"/>
  <c r="J60" i="67"/>
  <c r="L60" i="67"/>
  <c r="M60" i="67"/>
  <c r="N60" i="67"/>
  <c r="R60" i="67"/>
  <c r="S60" i="67"/>
  <c r="T60" i="67"/>
  <c r="W60" i="67"/>
  <c r="X60" i="67"/>
  <c r="Y60" i="67"/>
  <c r="Z60" i="67"/>
  <c r="AA60" i="67"/>
  <c r="AM60" i="67"/>
  <c r="AN60" i="67"/>
  <c r="AO60" i="67"/>
  <c r="AW60" i="67"/>
  <c r="AX60" i="67"/>
  <c r="AY60" i="67"/>
  <c r="BG60" i="67"/>
  <c r="BH60" i="67"/>
  <c r="BI60" i="67"/>
  <c r="AK60" i="67"/>
  <c r="AL60" i="67"/>
  <c r="AU60" i="67"/>
  <c r="AV60" i="67"/>
  <c r="BE60" i="67"/>
  <c r="BF60" i="67"/>
  <c r="AD60" i="67"/>
  <c r="AE60" i="67"/>
  <c r="AF60" i="67"/>
  <c r="AG60" i="67"/>
  <c r="AH60" i="67"/>
  <c r="AR60" i="67"/>
  <c r="AS60" i="67"/>
  <c r="AT60" i="67"/>
  <c r="BB60" i="67"/>
  <c r="BC60" i="67"/>
  <c r="BD60" i="67"/>
  <c r="BL60" i="67"/>
  <c r="BM60" i="67"/>
  <c r="BN60" i="67"/>
  <c r="AP60" i="67"/>
  <c r="AQ60" i="67"/>
  <c r="AZ60" i="67"/>
  <c r="BA60" i="67"/>
  <c r="BJ60" i="67"/>
  <c r="BK60" i="67"/>
  <c r="C61" i="67"/>
  <c r="P61" i="67"/>
  <c r="D61" i="67" s="1"/>
  <c r="K61" i="67"/>
  <c r="O61" i="67"/>
  <c r="V61" i="67"/>
  <c r="Q61" i="67"/>
  <c r="U61" i="67"/>
  <c r="H61" i="67"/>
  <c r="I61" i="67"/>
  <c r="J61" i="67"/>
  <c r="L61" i="67"/>
  <c r="M61" i="67"/>
  <c r="N61" i="67"/>
  <c r="R61" i="67"/>
  <c r="S61" i="67"/>
  <c r="T61" i="67"/>
  <c r="W61" i="67"/>
  <c r="X61" i="67"/>
  <c r="Y61" i="67"/>
  <c r="Z61" i="67"/>
  <c r="AA61" i="67"/>
  <c r="AM61" i="67"/>
  <c r="AN61" i="67"/>
  <c r="AO61" i="67"/>
  <c r="AW61" i="67"/>
  <c r="AX61" i="67"/>
  <c r="AY61" i="67"/>
  <c r="BG61" i="67"/>
  <c r="BH61" i="67"/>
  <c r="BI61" i="67"/>
  <c r="AK61" i="67"/>
  <c r="AL61" i="67"/>
  <c r="AU61" i="67"/>
  <c r="AC61" i="67" s="1"/>
  <c r="AV61" i="67"/>
  <c r="BE61" i="67"/>
  <c r="BF61" i="67"/>
  <c r="AD61" i="67"/>
  <c r="AE61" i="67"/>
  <c r="AF61" i="67"/>
  <c r="AG61" i="67"/>
  <c r="AH61" i="67"/>
  <c r="AR61" i="67"/>
  <c r="AS61" i="67"/>
  <c r="AT61" i="67"/>
  <c r="AI61" i="67" s="1"/>
  <c r="BB61" i="67"/>
  <c r="BC61" i="67"/>
  <c r="BD61" i="67"/>
  <c r="BL61" i="67"/>
  <c r="BM61" i="67"/>
  <c r="BN61" i="67"/>
  <c r="AP61" i="67"/>
  <c r="AQ61" i="67"/>
  <c r="AZ61" i="67"/>
  <c r="BA61" i="67"/>
  <c r="BJ61" i="67"/>
  <c r="BK61" i="67"/>
  <c r="C62" i="67"/>
  <c r="P62" i="67"/>
  <c r="K62" i="67"/>
  <c r="O62" i="67"/>
  <c r="E62" i="67" s="1"/>
  <c r="V62" i="67"/>
  <c r="F62" i="67" s="1"/>
  <c r="Q62" i="67"/>
  <c r="U62" i="67"/>
  <c r="H62" i="67"/>
  <c r="I62" i="67"/>
  <c r="J62" i="67"/>
  <c r="L62" i="67"/>
  <c r="M62" i="67"/>
  <c r="N62" i="67"/>
  <c r="R62" i="67"/>
  <c r="S62" i="67"/>
  <c r="T62" i="67"/>
  <c r="W62" i="67"/>
  <c r="X62" i="67"/>
  <c r="Y62" i="67"/>
  <c r="Z62" i="67"/>
  <c r="AA62" i="67"/>
  <c r="AM62" i="67"/>
  <c r="AN62" i="67"/>
  <c r="AO62" i="67"/>
  <c r="AW62" i="67"/>
  <c r="AX62" i="67"/>
  <c r="AY62" i="67"/>
  <c r="BG62" i="67"/>
  <c r="BH62" i="67"/>
  <c r="BI62" i="67"/>
  <c r="AK62" i="67"/>
  <c r="AL62" i="67"/>
  <c r="AU62" i="67"/>
  <c r="AC62" i="67" s="1"/>
  <c r="AV62" i="67"/>
  <c r="BE62" i="67"/>
  <c r="BF62" i="67"/>
  <c r="AD62" i="67"/>
  <c r="AE62" i="67"/>
  <c r="AF62" i="67"/>
  <c r="AG62" i="67"/>
  <c r="AH62" i="67"/>
  <c r="AR62" i="67"/>
  <c r="AS62" i="67"/>
  <c r="AT62" i="67"/>
  <c r="BB62" i="67"/>
  <c r="BC62" i="67"/>
  <c r="BD62" i="67"/>
  <c r="BL62" i="67"/>
  <c r="BM62" i="67"/>
  <c r="BN62" i="67"/>
  <c r="AP62" i="67"/>
  <c r="AQ62" i="67"/>
  <c r="AZ62" i="67"/>
  <c r="BA62" i="67"/>
  <c r="BJ62" i="67"/>
  <c r="BK62" i="67"/>
  <c r="C63" i="67"/>
  <c r="P63" i="67"/>
  <c r="K63" i="67"/>
  <c r="O63" i="67"/>
  <c r="E63" i="67" s="1"/>
  <c r="V63" i="67"/>
  <c r="Q63" i="67"/>
  <c r="U63" i="67"/>
  <c r="H63" i="67"/>
  <c r="I63" i="67"/>
  <c r="J63" i="67"/>
  <c r="L63" i="67"/>
  <c r="M63" i="67"/>
  <c r="N63" i="67"/>
  <c r="R63" i="67"/>
  <c r="S63" i="67"/>
  <c r="T63" i="67"/>
  <c r="W63" i="67"/>
  <c r="X63" i="67"/>
  <c r="Y63" i="67"/>
  <c r="Z63" i="67"/>
  <c r="AA63" i="67"/>
  <c r="AM63" i="67"/>
  <c r="AN63" i="67"/>
  <c r="AO63" i="67"/>
  <c r="AW63" i="67"/>
  <c r="AX63" i="67"/>
  <c r="AY63" i="67"/>
  <c r="BG63" i="67"/>
  <c r="BH63" i="67"/>
  <c r="BI63" i="67"/>
  <c r="AK63" i="67"/>
  <c r="AL63" i="67"/>
  <c r="AU63" i="67"/>
  <c r="AV63" i="67"/>
  <c r="BE63" i="67"/>
  <c r="BF63" i="67"/>
  <c r="AD63" i="67"/>
  <c r="AE63" i="67"/>
  <c r="AF63" i="67"/>
  <c r="AG63" i="67"/>
  <c r="AH63" i="67"/>
  <c r="AR63" i="67"/>
  <c r="AS63" i="67"/>
  <c r="AT63" i="67"/>
  <c r="BB63" i="67"/>
  <c r="BC63" i="67"/>
  <c r="BD63" i="67"/>
  <c r="BL63" i="67"/>
  <c r="BM63" i="67"/>
  <c r="BN63" i="67"/>
  <c r="AP63" i="67"/>
  <c r="AQ63" i="67"/>
  <c r="AZ63" i="67"/>
  <c r="BA63" i="67"/>
  <c r="BJ63" i="67"/>
  <c r="BK63" i="67"/>
  <c r="C64" i="67"/>
  <c r="P64" i="67"/>
  <c r="K64" i="67"/>
  <c r="O64" i="67"/>
  <c r="E64" i="67" s="1"/>
  <c r="V64" i="67"/>
  <c r="Q64" i="67"/>
  <c r="U64" i="67"/>
  <c r="H64" i="67"/>
  <c r="I64" i="67"/>
  <c r="J64" i="67"/>
  <c r="L64" i="67"/>
  <c r="M64" i="67"/>
  <c r="N64" i="67"/>
  <c r="R64" i="67"/>
  <c r="S64" i="67"/>
  <c r="T64" i="67"/>
  <c r="W64" i="67"/>
  <c r="X64" i="67"/>
  <c r="Y64" i="67"/>
  <c r="Z64" i="67"/>
  <c r="AA64" i="67"/>
  <c r="AM64" i="67"/>
  <c r="AN64" i="67"/>
  <c r="AO64" i="67"/>
  <c r="AW64" i="67"/>
  <c r="AX64" i="67"/>
  <c r="AY64" i="67"/>
  <c r="BG64" i="67"/>
  <c r="BH64" i="67"/>
  <c r="BI64" i="67"/>
  <c r="AK64" i="67"/>
  <c r="AL64" i="67"/>
  <c r="AU64" i="67"/>
  <c r="AV64" i="67"/>
  <c r="BE64" i="67"/>
  <c r="BF64" i="67"/>
  <c r="AD64" i="67"/>
  <c r="AE64" i="67"/>
  <c r="AF64" i="67"/>
  <c r="AG64" i="67"/>
  <c r="AH64" i="67"/>
  <c r="AR64" i="67"/>
  <c r="AS64" i="67"/>
  <c r="AT64" i="67"/>
  <c r="BB64" i="67"/>
  <c r="BC64" i="67"/>
  <c r="BD64" i="67"/>
  <c r="BL64" i="67"/>
  <c r="BM64" i="67"/>
  <c r="BN64" i="67"/>
  <c r="AP64" i="67"/>
  <c r="AQ64" i="67"/>
  <c r="AJ64" i="67" s="1"/>
  <c r="AZ64" i="67"/>
  <c r="BA64" i="67"/>
  <c r="BJ64" i="67"/>
  <c r="BK64" i="67"/>
  <c r="C65" i="67"/>
  <c r="P65" i="67"/>
  <c r="K65" i="67"/>
  <c r="D65" i="67" s="1"/>
  <c r="O65" i="67"/>
  <c r="V65" i="67"/>
  <c r="Q65" i="67"/>
  <c r="F65" i="67" s="1"/>
  <c r="U65" i="67"/>
  <c r="H65" i="67"/>
  <c r="I65" i="67"/>
  <c r="J65" i="67"/>
  <c r="L65" i="67"/>
  <c r="M65" i="67"/>
  <c r="N65" i="67"/>
  <c r="R65" i="67"/>
  <c r="S65" i="67"/>
  <c r="T65" i="67"/>
  <c r="W65" i="67"/>
  <c r="X65" i="67"/>
  <c r="Y65" i="67"/>
  <c r="Z65" i="67"/>
  <c r="AA65" i="67"/>
  <c r="AM65" i="67"/>
  <c r="AN65" i="67"/>
  <c r="AO65" i="67"/>
  <c r="AB65" i="67" s="1"/>
  <c r="AW65" i="67"/>
  <c r="AX65" i="67"/>
  <c r="AY65" i="67"/>
  <c r="BG65" i="67"/>
  <c r="BH65" i="67"/>
  <c r="BI65" i="67"/>
  <c r="AK65" i="67"/>
  <c r="AL65" i="67"/>
  <c r="AU65" i="67"/>
  <c r="AV65" i="67"/>
  <c r="BE65" i="67"/>
  <c r="BF65" i="67"/>
  <c r="AD65" i="67"/>
  <c r="AE65" i="67"/>
  <c r="AF65" i="67"/>
  <c r="AG65" i="67"/>
  <c r="AH65" i="67"/>
  <c r="AR65" i="67"/>
  <c r="AS65" i="67"/>
  <c r="AT65" i="67"/>
  <c r="AI65" i="67" s="1"/>
  <c r="BB65" i="67"/>
  <c r="BC65" i="67"/>
  <c r="BD65" i="67"/>
  <c r="BL65" i="67"/>
  <c r="BM65" i="67"/>
  <c r="BN65" i="67"/>
  <c r="AP65" i="67"/>
  <c r="AQ65" i="67"/>
  <c r="AJ65" i="67" s="1"/>
  <c r="AZ65" i="67"/>
  <c r="BA65" i="67"/>
  <c r="BJ65" i="67"/>
  <c r="BK65" i="67"/>
  <c r="C66" i="67"/>
  <c r="P66" i="67"/>
  <c r="K66" i="67"/>
  <c r="O66" i="67"/>
  <c r="V66" i="67"/>
  <c r="Q66" i="67"/>
  <c r="U66" i="67"/>
  <c r="H66" i="67"/>
  <c r="I66" i="67"/>
  <c r="J66" i="67"/>
  <c r="L66" i="67"/>
  <c r="M66" i="67"/>
  <c r="N66" i="67"/>
  <c r="R66" i="67"/>
  <c r="S66" i="67"/>
  <c r="T66" i="67"/>
  <c r="W66" i="67"/>
  <c r="X66" i="67"/>
  <c r="Y66" i="67"/>
  <c r="Z66" i="67"/>
  <c r="AA66" i="67"/>
  <c r="AM66" i="67"/>
  <c r="AN66" i="67"/>
  <c r="AO66" i="67"/>
  <c r="AW66" i="67"/>
  <c r="AX66" i="67"/>
  <c r="AY66" i="67"/>
  <c r="BG66" i="67"/>
  <c r="BH66" i="67"/>
  <c r="BI66" i="67"/>
  <c r="AK66" i="67"/>
  <c r="AL66" i="67"/>
  <c r="AC66" i="67" s="1"/>
  <c r="AU66" i="67"/>
  <c r="AV66" i="67"/>
  <c r="BE66" i="67"/>
  <c r="BF66" i="67"/>
  <c r="AD66" i="67"/>
  <c r="AE66" i="67"/>
  <c r="AF66" i="67"/>
  <c r="AG66" i="67"/>
  <c r="AH66" i="67"/>
  <c r="AR66" i="67"/>
  <c r="AS66" i="67"/>
  <c r="AT66" i="67"/>
  <c r="BB66" i="67"/>
  <c r="BC66" i="67"/>
  <c r="BD66" i="67"/>
  <c r="BL66" i="67"/>
  <c r="BM66" i="67"/>
  <c r="BN66" i="67"/>
  <c r="AP66" i="67"/>
  <c r="AQ66" i="67"/>
  <c r="AZ66" i="67"/>
  <c r="BA66" i="67"/>
  <c r="BJ66" i="67"/>
  <c r="BK66" i="67"/>
  <c r="C67" i="67"/>
  <c r="P67" i="67"/>
  <c r="K67" i="67"/>
  <c r="O67" i="67"/>
  <c r="E67" i="67" s="1"/>
  <c r="V67" i="67"/>
  <c r="Q67" i="67"/>
  <c r="U67" i="67"/>
  <c r="H67" i="67"/>
  <c r="I67" i="67"/>
  <c r="J67" i="67"/>
  <c r="L67" i="67"/>
  <c r="M67" i="67"/>
  <c r="N67" i="67"/>
  <c r="R67" i="67"/>
  <c r="S67" i="67"/>
  <c r="T67" i="67"/>
  <c r="W67" i="67"/>
  <c r="X67" i="67"/>
  <c r="Y67" i="67"/>
  <c r="Z67" i="67"/>
  <c r="AA67" i="67"/>
  <c r="AM67" i="67"/>
  <c r="AN67" i="67"/>
  <c r="AO67" i="67"/>
  <c r="AB67" i="67" s="1"/>
  <c r="AW67" i="67"/>
  <c r="AX67" i="67"/>
  <c r="AY67" i="67"/>
  <c r="BG67" i="67"/>
  <c r="BH67" i="67"/>
  <c r="BI67" i="67"/>
  <c r="AK67" i="67"/>
  <c r="AL67" i="67"/>
  <c r="AC67" i="67" s="1"/>
  <c r="AU67" i="67"/>
  <c r="AV67" i="67"/>
  <c r="BE67" i="67"/>
  <c r="BF67" i="67"/>
  <c r="AD67" i="67"/>
  <c r="AE67" i="67"/>
  <c r="AF67" i="67"/>
  <c r="AG67" i="67"/>
  <c r="AH67" i="67"/>
  <c r="AR67" i="67"/>
  <c r="AS67" i="67"/>
  <c r="AT67" i="67"/>
  <c r="AI67" i="67" s="1"/>
  <c r="BB67" i="67"/>
  <c r="BC67" i="67"/>
  <c r="BD67" i="67"/>
  <c r="BL67" i="67"/>
  <c r="BM67" i="67"/>
  <c r="BN67" i="67"/>
  <c r="AP67" i="67"/>
  <c r="AQ67" i="67"/>
  <c r="AJ67" i="67" s="1"/>
  <c r="AZ67" i="67"/>
  <c r="BA67" i="67"/>
  <c r="BJ67" i="67"/>
  <c r="BK67" i="67"/>
  <c r="C68" i="67"/>
  <c r="P68" i="67"/>
  <c r="K68" i="67"/>
  <c r="O68" i="67"/>
  <c r="V68" i="67"/>
  <c r="Q68" i="67"/>
  <c r="U68" i="67"/>
  <c r="H68" i="67"/>
  <c r="I68" i="67"/>
  <c r="J68" i="67"/>
  <c r="L68" i="67"/>
  <c r="M68" i="67"/>
  <c r="N68" i="67"/>
  <c r="R68" i="67"/>
  <c r="S68" i="67"/>
  <c r="T68" i="67"/>
  <c r="W68" i="67"/>
  <c r="X68" i="67"/>
  <c r="Y68" i="67"/>
  <c r="Z68" i="67"/>
  <c r="AA68" i="67"/>
  <c r="AM68" i="67"/>
  <c r="AN68" i="67"/>
  <c r="AO68" i="67"/>
  <c r="AW68" i="67"/>
  <c r="AX68" i="67"/>
  <c r="AY68" i="67"/>
  <c r="BG68" i="67"/>
  <c r="BH68" i="67"/>
  <c r="BI68" i="67"/>
  <c r="AK68" i="67"/>
  <c r="AL68" i="67"/>
  <c r="AC68" i="67" s="1"/>
  <c r="AU68" i="67"/>
  <c r="AV68" i="67"/>
  <c r="BE68" i="67"/>
  <c r="BF68" i="67"/>
  <c r="AD68" i="67"/>
  <c r="AE68" i="67"/>
  <c r="AF68" i="67"/>
  <c r="AG68" i="67"/>
  <c r="AH68" i="67"/>
  <c r="AR68" i="67"/>
  <c r="AS68" i="67"/>
  <c r="AT68" i="67"/>
  <c r="BB68" i="67"/>
  <c r="BC68" i="67"/>
  <c r="BD68" i="67"/>
  <c r="BL68" i="67"/>
  <c r="BM68" i="67"/>
  <c r="BN68" i="67"/>
  <c r="AP68" i="67"/>
  <c r="AQ68" i="67"/>
  <c r="AJ68" i="67" s="1"/>
  <c r="AZ68" i="67"/>
  <c r="BA68" i="67"/>
  <c r="BJ68" i="67"/>
  <c r="BK68" i="67"/>
  <c r="CF76" i="67"/>
  <c r="BW79" i="67"/>
  <c r="BX79" i="67" s="1"/>
  <c r="BW80" i="67"/>
  <c r="BW141" i="67" s="1"/>
  <c r="BW202" i="67" s="1"/>
  <c r="BX202" i="67" s="1"/>
  <c r="BW81" i="67"/>
  <c r="BW142" i="67" s="1"/>
  <c r="BW203" i="67" s="1"/>
  <c r="BX203" i="67" s="1"/>
  <c r="BW82" i="67"/>
  <c r="BW143" i="67" s="1"/>
  <c r="BW83" i="67"/>
  <c r="BW144" i="67" s="1"/>
  <c r="BW84" i="67"/>
  <c r="BW145" i="67" s="1"/>
  <c r="BW206" i="67" s="1"/>
  <c r="BX206" i="67" s="1"/>
  <c r="BW85" i="67"/>
  <c r="BW86" i="67"/>
  <c r="BW147" i="67" s="1"/>
  <c r="BW208" i="67" s="1"/>
  <c r="BX208" i="67" s="1"/>
  <c r="BW87" i="67"/>
  <c r="BW148" i="67" s="1"/>
  <c r="BW88" i="67"/>
  <c r="BW89" i="67"/>
  <c r="BW150" i="67" s="1"/>
  <c r="BW90" i="67"/>
  <c r="BX90" i="67" s="1"/>
  <c r="BW91" i="67"/>
  <c r="BW92" i="67"/>
  <c r="BX92" i="67" s="1"/>
  <c r="BW93" i="67"/>
  <c r="BX93" i="67" s="1"/>
  <c r="BW94" i="67"/>
  <c r="BW95" i="67"/>
  <c r="BW156" i="67" s="1"/>
  <c r="BW217" i="67" s="1"/>
  <c r="BX217" i="67" s="1"/>
  <c r="BW96" i="67"/>
  <c r="BW97" i="67"/>
  <c r="BW158" i="67" s="1"/>
  <c r="BX158" i="67" s="1"/>
  <c r="BW98" i="67"/>
  <c r="BW99" i="67"/>
  <c r="BX99" i="67" s="1"/>
  <c r="BW100" i="67"/>
  <c r="BW101" i="67"/>
  <c r="BW102" i="67"/>
  <c r="BW103" i="67"/>
  <c r="BW164" i="67" s="1"/>
  <c r="BW225" i="67" s="1"/>
  <c r="BX225" i="67" s="1"/>
  <c r="BW104" i="67"/>
  <c r="BW105" i="67"/>
  <c r="BW166" i="67" s="1"/>
  <c r="BX166" i="67" s="1"/>
  <c r="BW106" i="67"/>
  <c r="BW107" i="67"/>
  <c r="BW168" i="67" s="1"/>
  <c r="BX168" i="67" s="1"/>
  <c r="BW108" i="67"/>
  <c r="BW109" i="67"/>
  <c r="BW110" i="67"/>
  <c r="BW111" i="67"/>
  <c r="BW172" i="67" s="1"/>
  <c r="BW112" i="67"/>
  <c r="BW113" i="67"/>
  <c r="BW114" i="67"/>
  <c r="BW115" i="67"/>
  <c r="BX115" i="67" s="1"/>
  <c r="BW116" i="67"/>
  <c r="BW117" i="67"/>
  <c r="BW118" i="67"/>
  <c r="BX118" i="67" s="1"/>
  <c r="BW119" i="67"/>
  <c r="BW180" i="67" s="1"/>
  <c r="BW120" i="67"/>
  <c r="BW121" i="67"/>
  <c r="BW122" i="67"/>
  <c r="BW183" i="67" s="1"/>
  <c r="BW244" i="67" s="1"/>
  <c r="BX244" i="67" s="1"/>
  <c r="BW123" i="67"/>
  <c r="BW124" i="67"/>
  <c r="BW125" i="67"/>
  <c r="BX125" i="67" s="1"/>
  <c r="BW126" i="67"/>
  <c r="BW187" i="67" s="1"/>
  <c r="BW248" i="67" s="1"/>
  <c r="BX248" i="67" s="1"/>
  <c r="BW127" i="67"/>
  <c r="BW128" i="67"/>
  <c r="BW189" i="67" s="1"/>
  <c r="BW250" i="67" s="1"/>
  <c r="BX250" i="67" s="1"/>
  <c r="BW129" i="67"/>
  <c r="BX129" i="67" s="1"/>
  <c r="BW130" i="67"/>
  <c r="BX130" i="67" s="1"/>
  <c r="BW131" i="67"/>
  <c r="BW192" i="67" s="1"/>
  <c r="BW132" i="67"/>
  <c r="BW193" i="67" s="1"/>
  <c r="BX193" i="67" s="1"/>
  <c r="BW133" i="67"/>
  <c r="BW194" i="67" s="1"/>
  <c r="BW134" i="67"/>
  <c r="BX134" i="67" s="1"/>
  <c r="BW135" i="67"/>
  <c r="BW136" i="67"/>
  <c r="BW197" i="67" s="1"/>
  <c r="BX197" i="67" s="1"/>
  <c r="BW137" i="67"/>
  <c r="BW198" i="67" s="1"/>
  <c r="BW138" i="67"/>
  <c r="BW199" i="67" s="1"/>
  <c r="BW263" i="67"/>
  <c r="BW264" i="67"/>
  <c r="BW265" i="67"/>
  <c r="BW326" i="67" s="1"/>
  <c r="BX326" i="67" s="1"/>
  <c r="BW266" i="67"/>
  <c r="BW327" i="67" s="1"/>
  <c r="BW267" i="67"/>
  <c r="BW268" i="67"/>
  <c r="BW269" i="67"/>
  <c r="BW330" i="67" s="1"/>
  <c r="BW391" i="67" s="1"/>
  <c r="BW452" i="67" s="1"/>
  <c r="BW270" i="67"/>
  <c r="BX270" i="67" s="1"/>
  <c r="BW271" i="67"/>
  <c r="BW272" i="67"/>
  <c r="BW333" i="67" s="1"/>
  <c r="BX333" i="67" s="1"/>
  <c r="BW273" i="67"/>
  <c r="BW334" i="67" s="1"/>
  <c r="BX334" i="67" s="1"/>
  <c r="BW274" i="67"/>
  <c r="BW335" i="67" s="1"/>
  <c r="BW275" i="67"/>
  <c r="BW336" i="67" s="1"/>
  <c r="BW397" i="67" s="1"/>
  <c r="BW458" i="67" s="1"/>
  <c r="BX458" i="67" s="1"/>
  <c r="BW276" i="67"/>
  <c r="BW337" i="67" s="1"/>
  <c r="BX337" i="67" s="1"/>
  <c r="BW277" i="67"/>
  <c r="BW338" i="67" s="1"/>
  <c r="BX338" i="67" s="1"/>
  <c r="BW278" i="67"/>
  <c r="BW279" i="67"/>
  <c r="BW280" i="67"/>
  <c r="BX280" i="67" s="1"/>
  <c r="BW281" i="67"/>
  <c r="BW282" i="67"/>
  <c r="BX282" i="67" s="1"/>
  <c r="BW343" i="67"/>
  <c r="BW283" i="67"/>
  <c r="BW344" i="67" s="1"/>
  <c r="BW284" i="67"/>
  <c r="BW285" i="67"/>
  <c r="BX285" i="67" s="1"/>
  <c r="BW286" i="67"/>
  <c r="BW347" i="67" s="1"/>
  <c r="BX347" i="67" s="1"/>
  <c r="BW287" i="67"/>
  <c r="BX287" i="67" s="1"/>
  <c r="BW288" i="67"/>
  <c r="BW289" i="67"/>
  <c r="BX289" i="67" s="1"/>
  <c r="BW290" i="67"/>
  <c r="BW291" i="67"/>
  <c r="BW352" i="67" s="1"/>
  <c r="BX352" i="67" s="1"/>
  <c r="BW292" i="67"/>
  <c r="BW293" i="67"/>
  <c r="BW354" i="67" s="1"/>
  <c r="BX354" i="67" s="1"/>
  <c r="BW294" i="67"/>
  <c r="BW295" i="67"/>
  <c r="BW356" i="67" s="1"/>
  <c r="BW417" i="67" s="1"/>
  <c r="BW296" i="67"/>
  <c r="BW297" i="67"/>
  <c r="BW298" i="67"/>
  <c r="BW359" i="67" s="1"/>
  <c r="BW299" i="67"/>
  <c r="BW360" i="67" s="1"/>
  <c r="BX360" i="67" s="1"/>
  <c r="BW300" i="67"/>
  <c r="BW301" i="67"/>
  <c r="BW362" i="67" s="1"/>
  <c r="BW423" i="67" s="1"/>
  <c r="BX423" i="67" s="1"/>
  <c r="BW302" i="67"/>
  <c r="BW303" i="67"/>
  <c r="BW304" i="67"/>
  <c r="BW365" i="67" s="1"/>
  <c r="BW305" i="67"/>
  <c r="BW306" i="67"/>
  <c r="BW367" i="67" s="1"/>
  <c r="BW307" i="67"/>
  <c r="BX307" i="67" s="1"/>
  <c r="BW308" i="67"/>
  <c r="BW369" i="67" s="1"/>
  <c r="BX369" i="67" s="1"/>
  <c r="BW309" i="67"/>
  <c r="BW370" i="67" s="1"/>
  <c r="BW431" i="67" s="1"/>
  <c r="BX431" i="67" s="1"/>
  <c r="BW310" i="67"/>
  <c r="BW371" i="67" s="1"/>
  <c r="BW311" i="67"/>
  <c r="BW312" i="67"/>
  <c r="BX312" i="67" s="1"/>
  <c r="BW313" i="67"/>
  <c r="BW314" i="67"/>
  <c r="BW315" i="67"/>
  <c r="BW316" i="67"/>
  <c r="BW377" i="67" s="1"/>
  <c r="BX377" i="67" s="1"/>
  <c r="BW317" i="67"/>
  <c r="BW318" i="67"/>
  <c r="BW379" i="67" s="1"/>
  <c r="BX379" i="67" s="1"/>
  <c r="BW319" i="67"/>
  <c r="BW380" i="67" s="1"/>
  <c r="BW320" i="67"/>
  <c r="BW381" i="67" s="1"/>
  <c r="BW321" i="67"/>
  <c r="BX321" i="67" s="1"/>
  <c r="BW322" i="67"/>
  <c r="BX322" i="67" s="1"/>
  <c r="BW630" i="67"/>
  <c r="BX630" i="67" s="1"/>
  <c r="BW631" i="67"/>
  <c r="BW632" i="67"/>
  <c r="BW693" i="67" s="1"/>
  <c r="BW754" i="67" s="1"/>
  <c r="BW633" i="67"/>
  <c r="BW634" i="67"/>
  <c r="BW635" i="67"/>
  <c r="BW696" i="67" s="1"/>
  <c r="BW757" i="67" s="1"/>
  <c r="BW636" i="67"/>
  <c r="BX636" i="67" s="1"/>
  <c r="BW637" i="67"/>
  <c r="BW638" i="67"/>
  <c r="BW699" i="67" s="1"/>
  <c r="BX699" i="67" s="1"/>
  <c r="BW639" i="67"/>
  <c r="BW700" i="67" s="1"/>
  <c r="BW640" i="67"/>
  <c r="BW641" i="67"/>
  <c r="BW642" i="67"/>
  <c r="BW643" i="67"/>
  <c r="BX643" i="67" s="1"/>
  <c r="BW644" i="67"/>
  <c r="BW705" i="67" s="1"/>
  <c r="BW766" i="67" s="1"/>
  <c r="BX766" i="67" s="1"/>
  <c r="BW645" i="67"/>
  <c r="BW706" i="67" s="1"/>
  <c r="BX706" i="67" s="1"/>
  <c r="BW646" i="67"/>
  <c r="BW647" i="67"/>
  <c r="BW648" i="67"/>
  <c r="BW709" i="67" s="1"/>
  <c r="BX709" i="67" s="1"/>
  <c r="BW649" i="67"/>
  <c r="BW710" i="67" s="1"/>
  <c r="BW771" i="67" s="1"/>
  <c r="BX771" i="67" s="1"/>
  <c r="BW650" i="67"/>
  <c r="BW711" i="67" s="1"/>
  <c r="BW772" i="67" s="1"/>
  <c r="BW833" i="67" s="1"/>
  <c r="BW651" i="67"/>
  <c r="BW652" i="67"/>
  <c r="BW713" i="67" s="1"/>
  <c r="BW774" i="67" s="1"/>
  <c r="BW653" i="67"/>
  <c r="BW654" i="67"/>
  <c r="BW655" i="67"/>
  <c r="BW656" i="67"/>
  <c r="BW657" i="67"/>
  <c r="BW658" i="67"/>
  <c r="BX658" i="67" s="1"/>
  <c r="BW659" i="67"/>
  <c r="BW660" i="67"/>
  <c r="BW721" i="67" s="1"/>
  <c r="BW661" i="67"/>
  <c r="BW662" i="67"/>
  <c r="BW663" i="67"/>
  <c r="BW724" i="67" s="1"/>
  <c r="BW785" i="67" s="1"/>
  <c r="BX785" i="67" s="1"/>
  <c r="BW664" i="67"/>
  <c r="BX664" i="67" s="1"/>
  <c r="BW665" i="67"/>
  <c r="BW666" i="67"/>
  <c r="BW667" i="67"/>
  <c r="BW668" i="67"/>
  <c r="BW729" i="67" s="1"/>
  <c r="BX729" i="67" s="1"/>
  <c r="BW669" i="67"/>
  <c r="BW730" i="67" s="1"/>
  <c r="BX730" i="67" s="1"/>
  <c r="BW670" i="67"/>
  <c r="BW671" i="67"/>
  <c r="BW672" i="67"/>
  <c r="BW733" i="67" s="1"/>
  <c r="BW794" i="67" s="1"/>
  <c r="BW855" i="67" s="1"/>
  <c r="BW916" i="67" s="1"/>
  <c r="BX916" i="67" s="1"/>
  <c r="BW673" i="67"/>
  <c r="BX673" i="67" s="1"/>
  <c r="BW674" i="67"/>
  <c r="BW675" i="67"/>
  <c r="BX675" i="67" s="1"/>
  <c r="BW676" i="67"/>
  <c r="BW737" i="67" s="1"/>
  <c r="BW677" i="67"/>
  <c r="BX677" i="67" s="1"/>
  <c r="BW678" i="67"/>
  <c r="BX678" i="67" s="1"/>
  <c r="BW679" i="67"/>
  <c r="BW680" i="67"/>
  <c r="BX680" i="67" s="1"/>
  <c r="BW681" i="67"/>
  <c r="BW742" i="67" s="1"/>
  <c r="BW682" i="67"/>
  <c r="BW683" i="67"/>
  <c r="BW684" i="67"/>
  <c r="BW685" i="67"/>
  <c r="BX685" i="67" s="1"/>
  <c r="BW686" i="67"/>
  <c r="BW687" i="67"/>
  <c r="BW688" i="67"/>
  <c r="BX688" i="67" s="1"/>
  <c r="BW689" i="67"/>
  <c r="BW936" i="67"/>
  <c r="BX936" i="67" s="1"/>
  <c r="BW937" i="67"/>
  <c r="BW998" i="67" s="1"/>
  <c r="BW938" i="67"/>
  <c r="BW999" i="67" s="1"/>
  <c r="BX999" i="67" s="1"/>
  <c r="BW939" i="67"/>
  <c r="BX939" i="67" s="1"/>
  <c r="BW940" i="67"/>
  <c r="BW1001" i="67" s="1"/>
  <c r="BX1001" i="67" s="1"/>
  <c r="BW941" i="67"/>
  <c r="BW1002" i="67" s="1"/>
  <c r="BW1063" i="67" s="1"/>
  <c r="BW1124" i="67" s="1"/>
  <c r="BW942" i="67"/>
  <c r="BW943" i="67"/>
  <c r="BX943" i="67" s="1"/>
  <c r="BW944" i="67"/>
  <c r="BW1005" i="67" s="1"/>
  <c r="BX1005" i="67" s="1"/>
  <c r="BW945" i="67"/>
  <c r="BW946" i="67"/>
  <c r="BW1007" i="67" s="1"/>
  <c r="BW1068" i="67" s="1"/>
  <c r="BW947" i="67"/>
  <c r="BX947" i="67" s="1"/>
  <c r="BW948" i="67"/>
  <c r="BW1009" i="67" s="1"/>
  <c r="BW949" i="67"/>
  <c r="BW1010" i="67" s="1"/>
  <c r="BW950" i="67"/>
  <c r="BW951" i="67"/>
  <c r="BW952" i="67"/>
  <c r="BW1013" i="67" s="1"/>
  <c r="BW953" i="67"/>
  <c r="BX953" i="67" s="1"/>
  <c r="BW954" i="67"/>
  <c r="BW1015" i="67" s="1"/>
  <c r="BX1015" i="67" s="1"/>
  <c r="BW955" i="67"/>
  <c r="BW956" i="67"/>
  <c r="BW957" i="67"/>
  <c r="BX957" i="67" s="1"/>
  <c r="BW958" i="67"/>
  <c r="BW1019" i="67" s="1"/>
  <c r="BW1080" i="67" s="1"/>
  <c r="BW1141" i="67" s="1"/>
  <c r="BW959" i="67"/>
  <c r="BW960" i="67"/>
  <c r="BW1021" i="67" s="1"/>
  <c r="BW1082" i="67" s="1"/>
  <c r="BW961" i="67"/>
  <c r="BW1022" i="67" s="1"/>
  <c r="BX1022" i="67" s="1"/>
  <c r="BW962" i="67"/>
  <c r="BW963" i="67"/>
  <c r="BW964" i="67"/>
  <c r="BW1025" i="67" s="1"/>
  <c r="BX1025" i="67" s="1"/>
  <c r="BW965" i="67"/>
  <c r="BW966" i="67"/>
  <c r="BW967" i="67"/>
  <c r="BX967" i="67" s="1"/>
  <c r="BW968" i="67"/>
  <c r="BX968" i="67" s="1"/>
  <c r="BW969" i="67"/>
  <c r="BW1030" i="67" s="1"/>
  <c r="BW970" i="67"/>
  <c r="BW971" i="67"/>
  <c r="BX971" i="67" s="1"/>
  <c r="BW972" i="67"/>
  <c r="BX972" i="67" s="1"/>
  <c r="BW973" i="67"/>
  <c r="BW974" i="67"/>
  <c r="BW975" i="67"/>
  <c r="BW1036" i="67" s="1"/>
  <c r="BW1097" i="67" s="1"/>
  <c r="BX1097" i="67" s="1"/>
  <c r="BW976" i="67"/>
  <c r="BW977" i="67"/>
  <c r="BX977" i="67" s="1"/>
  <c r="BW978" i="67"/>
  <c r="BW979" i="67"/>
  <c r="BW1040" i="67" s="1"/>
  <c r="BW980" i="67"/>
  <c r="BW981" i="67"/>
  <c r="BW1042" i="67" s="1"/>
  <c r="BW982" i="67"/>
  <c r="BW1043" i="67" s="1"/>
  <c r="BW1104" i="67" s="1"/>
  <c r="BX1104" i="67" s="1"/>
  <c r="BW983" i="67"/>
  <c r="BW984" i="67"/>
  <c r="BX984" i="67" s="1"/>
  <c r="BW985" i="67"/>
  <c r="BW986" i="67"/>
  <c r="BW1047" i="67" s="1"/>
  <c r="BW1108" i="67" s="1"/>
  <c r="BW1169" i="67" s="1"/>
  <c r="BX1169" i="67" s="1"/>
  <c r="BW987" i="67"/>
  <c r="BW1048" i="67" s="1"/>
  <c r="BW988" i="67"/>
  <c r="BX988" i="67" s="1"/>
  <c r="BW989" i="67"/>
  <c r="BW1050" i="67" s="1"/>
  <c r="BW1111" i="67" s="1"/>
  <c r="BW990" i="67"/>
  <c r="BW991" i="67"/>
  <c r="BW992" i="67"/>
  <c r="BW993" i="67"/>
  <c r="BX993" i="67" s="1"/>
  <c r="BW994" i="67"/>
  <c r="BW995" i="67"/>
  <c r="BX995" i="67" s="1"/>
  <c r="BW1242" i="67"/>
  <c r="BX1242" i="67" s="1"/>
  <c r="BW1243" i="67"/>
  <c r="BW1244" i="67"/>
  <c r="BW1245" i="67"/>
  <c r="BW1246" i="67"/>
  <c r="BW1247" i="67"/>
  <c r="BW1308" i="67" s="1"/>
  <c r="BX1308" i="67" s="1"/>
  <c r="BW1248" i="67"/>
  <c r="BW1309" i="67" s="1"/>
  <c r="BX1309" i="67" s="1"/>
  <c r="BW1249" i="67"/>
  <c r="BX1249" i="67" s="1"/>
  <c r="BW1250" i="67"/>
  <c r="BW1251" i="67"/>
  <c r="BW1312" i="67" s="1"/>
  <c r="BW1252" i="67"/>
  <c r="BW1313" i="67" s="1"/>
  <c r="BW1374" i="67" s="1"/>
  <c r="BW1253" i="67"/>
  <c r="BW1314" i="67" s="1"/>
  <c r="BW1254" i="67"/>
  <c r="BW1255" i="67"/>
  <c r="BW1256" i="67"/>
  <c r="BX1256" i="67" s="1"/>
  <c r="BW1257" i="67"/>
  <c r="BW1318" i="67" s="1"/>
  <c r="BW1258" i="67"/>
  <c r="BW1319" i="67" s="1"/>
  <c r="BW1380" i="67" s="1"/>
  <c r="BX1380" i="67" s="1"/>
  <c r="BW1259" i="67"/>
  <c r="BX1259" i="67" s="1"/>
  <c r="BW1260" i="67"/>
  <c r="BX1260" i="67" s="1"/>
  <c r="BW1261" i="67"/>
  <c r="BW1262" i="67"/>
  <c r="BX1262" i="67" s="1"/>
  <c r="BW1263" i="67"/>
  <c r="BW1264" i="67"/>
  <c r="BW1265" i="67"/>
  <c r="BW1266" i="67"/>
  <c r="BW1327" i="67" s="1"/>
  <c r="BX1327" i="67" s="1"/>
  <c r="BW1267" i="67"/>
  <c r="BW1268" i="67"/>
  <c r="BW1329" i="67" s="1"/>
  <c r="BX1329" i="67" s="1"/>
  <c r="BW1269" i="67"/>
  <c r="BW1270" i="67"/>
  <c r="BX1270" i="67" s="1"/>
  <c r="BW1271" i="67"/>
  <c r="BW1272" i="67"/>
  <c r="BW1273" i="67"/>
  <c r="BW1334" i="67" s="1"/>
  <c r="BX1334" i="67" s="1"/>
  <c r="BW1274" i="67"/>
  <c r="BW1275" i="67"/>
  <c r="BW1336" i="67" s="1"/>
  <c r="BW1276" i="67"/>
  <c r="BW1277" i="67"/>
  <c r="BW1338" i="67" s="1"/>
  <c r="BX1338" i="67" s="1"/>
  <c r="BW1278" i="67"/>
  <c r="BX1278" i="67" s="1"/>
  <c r="BW1279" i="67"/>
  <c r="BW1340" i="67" s="1"/>
  <c r="BX1340" i="67" s="1"/>
  <c r="BW1280" i="67"/>
  <c r="BX1280" i="67" s="1"/>
  <c r="BW1281" i="67"/>
  <c r="BW1282" i="67"/>
  <c r="BX1282" i="67" s="1"/>
  <c r="BW1283" i="67"/>
  <c r="BW1284" i="67"/>
  <c r="BW1345" i="67" s="1"/>
  <c r="BW1285" i="67"/>
  <c r="BW1286" i="67"/>
  <c r="BW1347" i="67" s="1"/>
  <c r="BW1287" i="67"/>
  <c r="BW1348" i="67" s="1"/>
  <c r="BW1288" i="67"/>
  <c r="BW1349" i="67" s="1"/>
  <c r="BW1289" i="67"/>
  <c r="BX1289" i="67" s="1"/>
  <c r="BW1290" i="67"/>
  <c r="BW1291" i="67"/>
  <c r="BX1291" i="67" s="1"/>
  <c r="BW1292" i="67"/>
  <c r="BW1353" i="67" s="1"/>
  <c r="BX1353" i="67" s="1"/>
  <c r="BW1293" i="67"/>
  <c r="BW1294" i="67"/>
  <c r="BW1355" i="67" s="1"/>
  <c r="BW1295" i="67"/>
  <c r="BW1356" i="67" s="1"/>
  <c r="BW1296" i="67"/>
  <c r="BW1357" i="67" s="1"/>
  <c r="BW1418" i="67" s="1"/>
  <c r="BW1479" i="67" s="1"/>
  <c r="BX1479" i="67" s="1"/>
  <c r="BW1297" i="67"/>
  <c r="BW1298" i="67"/>
  <c r="BX1298" i="67" s="1"/>
  <c r="BW1299" i="67"/>
  <c r="BX1299" i="67" s="1"/>
  <c r="BW1300" i="67"/>
  <c r="BX1300" i="67" s="1"/>
  <c r="BW1301" i="67"/>
  <c r="BW1362" i="67" s="1"/>
  <c r="BW1423" i="67" s="1"/>
  <c r="BW1484" i="67" s="1"/>
  <c r="BW1545" i="67" s="1"/>
  <c r="BX1545" i="67" s="1"/>
  <c r="BW1548" i="67"/>
  <c r="BW1609" i="67" s="1"/>
  <c r="BW1670" i="67" s="1"/>
  <c r="BW1549" i="67"/>
  <c r="BW1550" i="67"/>
  <c r="BX1550" i="67" s="1"/>
  <c r="BW1551" i="67"/>
  <c r="BX1551" i="67" s="1"/>
  <c r="BW1552" i="67"/>
  <c r="BW1553" i="67"/>
  <c r="BW1614" i="67" s="1"/>
  <c r="BX1614" i="67" s="1"/>
  <c r="BW1554" i="67"/>
  <c r="BW1615" i="67" s="1"/>
  <c r="BW1676" i="67" s="1"/>
  <c r="BW1555" i="67"/>
  <c r="BW1556" i="67"/>
  <c r="BW1617" i="67" s="1"/>
  <c r="BX1617" i="67" s="1"/>
  <c r="BW1557" i="67"/>
  <c r="BX1557" i="67" s="1"/>
  <c r="BW1558" i="67"/>
  <c r="BW1559" i="67"/>
  <c r="BX1559" i="67" s="1"/>
  <c r="BW1560" i="67"/>
  <c r="BX1560" i="67" s="1"/>
  <c r="BW1561" i="67"/>
  <c r="BX1561" i="67" s="1"/>
  <c r="BW1562" i="67"/>
  <c r="BW1563" i="67"/>
  <c r="BW1564" i="67"/>
  <c r="BW1565" i="67"/>
  <c r="BW1566" i="67"/>
  <c r="BW1627" i="67" s="1"/>
  <c r="BW1688" i="67" s="1"/>
  <c r="BW1749" i="67" s="1"/>
  <c r="BX1749" i="67" s="1"/>
  <c r="BW1567" i="67"/>
  <c r="BW1568" i="67"/>
  <c r="BW1629" i="67" s="1"/>
  <c r="BW1569" i="67"/>
  <c r="BW1570" i="67"/>
  <c r="BW1571" i="67"/>
  <c r="BW1632" i="67" s="1"/>
  <c r="BW1572" i="67"/>
  <c r="BW1633" i="67" s="1"/>
  <c r="BX1633" i="67" s="1"/>
  <c r="BW1573" i="67"/>
  <c r="BW1634" i="67" s="1"/>
  <c r="BX1634" i="67" s="1"/>
  <c r="BW1574" i="67"/>
  <c r="BX1574" i="67" s="1"/>
  <c r="BW1575" i="67"/>
  <c r="BW1576" i="67"/>
  <c r="BW1637" i="67" s="1"/>
  <c r="BX1637" i="67" s="1"/>
  <c r="BW1577" i="67"/>
  <c r="BX1577" i="67" s="1"/>
  <c r="BW1578" i="67"/>
  <c r="BW1579" i="67"/>
  <c r="BX1579" i="67" s="1"/>
  <c r="BW1580" i="67"/>
  <c r="BX1580" i="67" s="1"/>
  <c r="BW1581" i="67"/>
  <c r="BW1582" i="67"/>
  <c r="BW1583" i="67"/>
  <c r="BW1584" i="67"/>
  <c r="BX1584" i="67" s="1"/>
  <c r="BW1585" i="67"/>
  <c r="BX1585" i="67" s="1"/>
  <c r="BW1586" i="67"/>
  <c r="BW1587" i="67"/>
  <c r="BW1648" i="67" s="1"/>
  <c r="BX1648" i="67" s="1"/>
  <c r="BW1588" i="67"/>
  <c r="BW1649" i="67" s="1"/>
  <c r="BW1710" i="67" s="1"/>
  <c r="BX1710" i="67" s="1"/>
  <c r="BW1589" i="67"/>
  <c r="BW1590" i="67"/>
  <c r="BW1591" i="67"/>
  <c r="BW1652" i="67" s="1"/>
  <c r="BX1652" i="67" s="1"/>
  <c r="BW1592" i="67"/>
  <c r="BW1593" i="67"/>
  <c r="BW1594" i="67"/>
  <c r="BW1655" i="67" s="1"/>
  <c r="BW1716" i="67" s="1"/>
  <c r="BX1716" i="67" s="1"/>
  <c r="BW1595" i="67"/>
  <c r="BW1656" i="67" s="1"/>
  <c r="BW1596" i="67"/>
  <c r="BW1597" i="67"/>
  <c r="BW1598" i="67"/>
  <c r="BW1659" i="67" s="1"/>
  <c r="BW1599" i="67"/>
  <c r="BX1599" i="67" s="1"/>
  <c r="BW1600" i="67"/>
  <c r="BX1600" i="67" s="1"/>
  <c r="BW1601" i="67"/>
  <c r="BW1602" i="67"/>
  <c r="BW1663" i="67" s="1"/>
  <c r="BX1663" i="67" s="1"/>
  <c r="BW1603" i="67"/>
  <c r="BX1603" i="67" s="1"/>
  <c r="BW1604" i="67"/>
  <c r="BW1665" i="67" s="1"/>
  <c r="BW1605" i="67"/>
  <c r="BW1666" i="67" s="1"/>
  <c r="BW1606" i="67"/>
  <c r="BW1607" i="67"/>
  <c r="BW1668" i="67" s="1"/>
  <c r="B5" i="68"/>
  <c r="F12" i="68"/>
  <c r="F13" i="68" s="1"/>
  <c r="J12" i="68"/>
  <c r="J13" i="68" s="1"/>
  <c r="K15" i="68"/>
  <c r="C16" i="68"/>
  <c r="K17" i="68"/>
  <c r="E30" i="67"/>
  <c r="E55" i="67"/>
  <c r="E56" i="67"/>
  <c r="E5" i="4"/>
  <c r="D6" i="4"/>
  <c r="E65" i="67"/>
  <c r="E22" i="67"/>
  <c r="E2" i="4"/>
  <c r="D15" i="68"/>
  <c r="I3" i="69"/>
  <c r="B3" i="69"/>
  <c r="G65" i="67"/>
  <c r="G46" i="67"/>
  <c r="G12" i="67"/>
  <c r="G9" i="67"/>
  <c r="E48" i="67"/>
  <c r="E44" i="67"/>
  <c r="E40" i="67"/>
  <c r="E38" i="67"/>
  <c r="E35" i="67"/>
  <c r="E24" i="67"/>
  <c r="E9" i="67"/>
  <c r="G41" i="67"/>
  <c r="G58" i="67"/>
  <c r="AJ14" i="67"/>
  <c r="G13" i="67"/>
  <c r="F12" i="67"/>
  <c r="G31" i="67"/>
  <c r="G15" i="67"/>
  <c r="D67" i="67"/>
  <c r="E66" i="67"/>
  <c r="D64" i="67"/>
  <c r="D35" i="67"/>
  <c r="D26" i="67"/>
  <c r="D25" i="67"/>
  <c r="F14" i="67"/>
  <c r="D11" i="67"/>
  <c r="G67" i="67"/>
  <c r="G53" i="67"/>
  <c r="G52" i="67"/>
  <c r="G32" i="67"/>
  <c r="AI28" i="67"/>
  <c r="G28" i="67"/>
  <c r="G24" i="67"/>
  <c r="AC45" i="67"/>
  <c r="AI43" i="67"/>
  <c r="AC42" i="67"/>
  <c r="AB37" i="67"/>
  <c r="AJ10" i="67"/>
  <c r="AC10" i="67"/>
  <c r="AI54" i="67"/>
  <c r="AB29" i="67"/>
  <c r="AJ11" i="67"/>
  <c r="AI11" i="67"/>
  <c r="AB11" i="67"/>
  <c r="AB61" i="67"/>
  <c r="G59" i="67"/>
  <c r="AB50" i="67"/>
  <c r="F43" i="67"/>
  <c r="F36" i="67"/>
  <c r="E36" i="67"/>
  <c r="AB34" i="67"/>
  <c r="AJ22" i="67"/>
  <c r="AC20" i="67"/>
  <c r="D19" i="67"/>
  <c r="AI18" i="67"/>
  <c r="G17" i="67"/>
  <c r="D17" i="67"/>
  <c r="AB15" i="67"/>
  <c r="E15" i="67"/>
  <c r="AC14" i="67"/>
  <c r="E14" i="67"/>
  <c r="AI10" i="67"/>
  <c r="AB10" i="67"/>
  <c r="AJ9" i="67"/>
  <c r="AC9" i="67"/>
  <c r="AB9" i="67"/>
  <c r="F67" i="67"/>
  <c r="AB66" i="67"/>
  <c r="AI64" i="67"/>
  <c r="AB63" i="67"/>
  <c r="D63" i="67"/>
  <c r="AC37" i="67"/>
  <c r="AJ23" i="67"/>
  <c r="AB68" i="67"/>
  <c r="G61" i="67"/>
  <c r="AB56" i="67"/>
  <c r="G49" i="67"/>
  <c r="D33" i="67"/>
  <c r="AJ31" i="67"/>
  <c r="E31" i="67"/>
  <c r="AB30" i="67"/>
  <c r="E29" i="67"/>
  <c r="AJ13" i="67"/>
  <c r="AI13" i="67"/>
  <c r="AB13" i="67"/>
  <c r="AI12" i="67"/>
  <c r="AC12" i="67"/>
  <c r="AB12" i="67"/>
  <c r="D12" i="67"/>
  <c r="F26" i="67"/>
  <c r="G11" i="67"/>
  <c r="E11" i="67"/>
  <c r="AC65" i="67"/>
  <c r="D66" i="67"/>
  <c r="E26" i="67"/>
  <c r="D36" i="67"/>
  <c r="F38" i="67"/>
  <c r="G68" i="67"/>
  <c r="G51" i="67"/>
  <c r="E34" i="67"/>
  <c r="E25" i="67"/>
  <c r="E68" i="67"/>
  <c r="D62" i="67"/>
  <c r="AI38" i="67"/>
  <c r="D37" i="67"/>
  <c r="G34" i="67"/>
  <c r="D9" i="67"/>
  <c r="BW331" i="67"/>
  <c r="BW392" i="67" s="1"/>
  <c r="BX274" i="67"/>
  <c r="BX961" i="67"/>
  <c r="FB6" i="69"/>
  <c r="FB7" i="69" s="1"/>
  <c r="BW229" i="67"/>
  <c r="BX229" i="67" s="1"/>
  <c r="BX644" i="67"/>
  <c r="BW219" i="67"/>
  <c r="BX219" i="67" s="1"/>
  <c r="BX128" i="67"/>
  <c r="BW997" i="67"/>
  <c r="BW1058" i="67" s="1"/>
  <c r="BW154" i="67"/>
  <c r="BX154" i="67" s="1"/>
  <c r="BX82" i="67"/>
  <c r="BX142" i="67"/>
  <c r="BX672" i="67"/>
  <c r="BW725" i="67"/>
  <c r="BX725" i="67" s="1"/>
  <c r="BW350" i="67"/>
  <c r="BX350" i="67" s="1"/>
  <c r="BX668" i="67"/>
  <c r="BX269" i="67"/>
  <c r="BX676" i="67"/>
  <c r="BW1635" i="67"/>
  <c r="BX1635" i="67" s="1"/>
  <c r="BW1350" i="67"/>
  <c r="BX1350" i="67" s="1"/>
  <c r="BW790" i="67"/>
  <c r="BW851" i="67" s="1"/>
  <c r="BW912" i="67" s="1"/>
  <c r="BX912" i="67" s="1"/>
  <c r="BW346" i="67"/>
  <c r="BX346" i="67" s="1"/>
  <c r="BX266" i="67"/>
  <c r="BX105" i="67"/>
  <c r="BX277" i="67"/>
  <c r="BX648" i="67"/>
  <c r="BX632" i="67"/>
  <c r="BW382" i="67"/>
  <c r="BW443" i="67" s="1"/>
  <c r="BX443" i="67" s="1"/>
  <c r="BX295" i="67"/>
  <c r="BW179" i="67"/>
  <c r="BX179" i="67" s="1"/>
  <c r="BW697" i="67"/>
  <c r="BW758" i="67" s="1"/>
  <c r="BX705" i="67"/>
  <c r="BW368" i="67"/>
  <c r="BX164" i="67"/>
  <c r="I12" i="68"/>
  <c r="I13" i="68" s="1"/>
  <c r="DP6" i="69"/>
  <c r="DP7" i="69" s="1"/>
  <c r="DP5" i="69"/>
  <c r="EH5" i="69"/>
  <c r="FL6" i="69"/>
  <c r="FL7" i="69" s="1"/>
  <c r="DT6" i="69"/>
  <c r="DT7" i="69" s="1"/>
  <c r="BW1611" i="67"/>
  <c r="BX1611" i="67" s="1"/>
  <c r="BX946" i="67"/>
  <c r="BX276" i="67"/>
  <c r="BX122" i="67"/>
  <c r="EP5" i="69"/>
  <c r="EX6" i="69"/>
  <c r="EX7" i="69" s="1"/>
  <c r="BX1587" i="67"/>
  <c r="BW1645" i="67"/>
  <c r="BW1706" i="67" s="1"/>
  <c r="BX1706" i="67" s="1"/>
  <c r="BW1641" i="67"/>
  <c r="BX1641" i="67" s="1"/>
  <c r="BW1033" i="67"/>
  <c r="BW1094" i="67" s="1"/>
  <c r="BW1018" i="67"/>
  <c r="BW1079" i="67" s="1"/>
  <c r="BX301" i="67"/>
  <c r="BW160" i="67"/>
  <c r="BW1004" i="67"/>
  <c r="BW1065" i="67" s="1"/>
  <c r="BX1065" i="67" s="1"/>
  <c r="FT6" i="69"/>
  <c r="FT7" i="69" s="1"/>
  <c r="BW1661" i="67"/>
  <c r="BW1722" i="67" s="1"/>
  <c r="BW1783" i="67" s="1"/>
  <c r="BX81" i="67"/>
  <c r="BW1441" i="67"/>
  <c r="BX1441" i="67" s="1"/>
  <c r="G47" i="67"/>
  <c r="F44" i="67"/>
  <c r="G44" i="67"/>
  <c r="BX1319" i="67"/>
  <c r="G66" i="67"/>
  <c r="F66" i="67"/>
  <c r="AI68" i="67"/>
  <c r="G25" i="67"/>
  <c r="AI20" i="67"/>
  <c r="AB20" i="67"/>
  <c r="E20" i="67"/>
  <c r="D20" i="67"/>
  <c r="AB18" i="67"/>
  <c r="D10" i="67"/>
  <c r="E10" i="67"/>
  <c r="BW741" i="67"/>
  <c r="BX741" i="67" s="1"/>
  <c r="AC34" i="67"/>
  <c r="AJ33" i="67"/>
  <c r="E13" i="67"/>
  <c r="F68" i="67"/>
  <c r="G64" i="67"/>
  <c r="AI34" i="67"/>
  <c r="AJ24" i="67"/>
  <c r="F16" i="67"/>
  <c r="G62" i="67"/>
  <c r="BW1062" i="67"/>
  <c r="BW1123" i="67" s="1"/>
  <c r="BW827" i="67"/>
  <c r="BX827" i="67" s="1"/>
  <c r="BW227" i="67"/>
  <c r="BX227" i="67" s="1"/>
  <c r="BX327" i="67"/>
  <c r="BW388" i="67"/>
  <c r="BW407" i="67"/>
  <c r="BX407" i="67" s="1"/>
  <c r="BW770" i="67"/>
  <c r="BW831" i="67" s="1"/>
  <c r="BX370" i="67"/>
  <c r="BX721" i="67"/>
  <c r="BW782" i="67"/>
  <c r="BX782" i="67" s="1"/>
  <c r="BW1698" i="67"/>
  <c r="BX1698" i="67" s="1"/>
  <c r="BX183" i="67"/>
  <c r="BX794" i="67"/>
  <c r="BX1484" i="67"/>
  <c r="E53" i="67" l="1"/>
  <c r="D53" i="67"/>
  <c r="AI52" i="67"/>
  <c r="AJ52" i="67"/>
  <c r="AB51" i="67"/>
  <c r="AC51" i="67"/>
  <c r="E51" i="67"/>
  <c r="D51" i="67"/>
  <c r="AI50" i="67"/>
  <c r="AJ50" i="67"/>
  <c r="AB46" i="67"/>
  <c r="AC46" i="67"/>
  <c r="E61" i="67"/>
  <c r="AI49" i="67"/>
  <c r="AJ56" i="67"/>
  <c r="AI56" i="67"/>
  <c r="AI55" i="67"/>
  <c r="AC55" i="67"/>
  <c r="AJ54" i="67"/>
  <c r="AB54" i="67"/>
  <c r="AC53" i="67"/>
  <c r="F51" i="67"/>
  <c r="F54" i="67"/>
  <c r="G54" i="67"/>
  <c r="AI46" i="67"/>
  <c r="AJ46" i="67"/>
  <c r="AI45" i="67"/>
  <c r="AJ45" i="67"/>
  <c r="E52" i="67"/>
  <c r="E59" i="67"/>
  <c r="D59" i="67"/>
  <c r="AI58" i="67"/>
  <c r="AC58" i="67"/>
  <c r="E58" i="67"/>
  <c r="D58" i="67"/>
  <c r="AJ57" i="67"/>
  <c r="AI57" i="67"/>
  <c r="AB57" i="67"/>
  <c r="AJ30" i="67"/>
  <c r="AI30" i="67"/>
  <c r="AC30" i="67"/>
  <c r="AJ29" i="67"/>
  <c r="AI29" i="67"/>
  <c r="AC29" i="67"/>
  <c r="AC28" i="67"/>
  <c r="AB28" i="67"/>
  <c r="AJ27" i="67"/>
  <c r="AI27" i="67"/>
  <c r="AC27" i="67"/>
  <c r="AB27" i="67"/>
  <c r="AI26" i="67"/>
  <c r="AI25" i="67"/>
  <c r="AI24" i="67"/>
  <c r="AB24" i="67"/>
  <c r="AI23" i="67"/>
  <c r="AB23" i="67"/>
  <c r="F22" i="67"/>
  <c r="G22" i="67"/>
  <c r="AB21" i="67"/>
  <c r="G21" i="67"/>
  <c r="F21" i="67"/>
  <c r="AI17" i="67"/>
  <c r="F55" i="67"/>
  <c r="G55" i="67"/>
  <c r="AB52" i="67"/>
  <c r="AC50" i="67"/>
  <c r="D50" i="67"/>
  <c r="E50" i="67"/>
  <c r="AJ48" i="67"/>
  <c r="AI47" i="67"/>
  <c r="AJ47" i="67"/>
  <c r="AB47" i="67"/>
  <c r="E47" i="67"/>
  <c r="D47" i="67"/>
  <c r="AJ60" i="67"/>
  <c r="AI60" i="67"/>
  <c r="AB60" i="67"/>
  <c r="D60" i="67"/>
  <c r="E60" i="67"/>
  <c r="AI59" i="67"/>
  <c r="AI51" i="67"/>
  <c r="F63" i="67"/>
  <c r="G63" i="67"/>
  <c r="F59" i="67"/>
  <c r="F58" i="67"/>
  <c r="AJ44" i="67"/>
  <c r="AC44" i="67"/>
  <c r="AJ43" i="67"/>
  <c r="AJ42" i="67"/>
  <c r="AI42" i="67"/>
  <c r="AJ41" i="67"/>
  <c r="AC41" i="67"/>
  <c r="AB41" i="67"/>
  <c r="AJ40" i="67"/>
  <c r="AB39" i="67"/>
  <c r="F37" i="67"/>
  <c r="G37" i="67"/>
  <c r="AB36" i="67"/>
  <c r="AI35" i="67"/>
  <c r="AB35" i="67"/>
  <c r="G35" i="67"/>
  <c r="F35" i="67"/>
  <c r="AI33" i="67"/>
  <c r="AB33" i="67"/>
  <c r="AC33" i="67"/>
  <c r="AI32" i="67"/>
  <c r="AJ32" i="67"/>
  <c r="AB32" i="67"/>
  <c r="AC32" i="67"/>
  <c r="D32" i="67"/>
  <c r="E32" i="67"/>
  <c r="AI31" i="67"/>
  <c r="AC31" i="67"/>
  <c r="AB31" i="67"/>
  <c r="D31" i="67"/>
  <c r="F48" i="67"/>
  <c r="AB44" i="67"/>
  <c r="AB43" i="67"/>
  <c r="AB42" i="67"/>
  <c r="AJ39" i="67"/>
  <c r="AJ35" i="67"/>
  <c r="D30" i="67"/>
  <c r="AJ28" i="67"/>
  <c r="AC25" i="67"/>
  <c r="F17" i="67"/>
  <c r="AB14" i="67"/>
  <c r="D13" i="67"/>
  <c r="AJ12" i="67"/>
  <c r="AC11" i="67"/>
  <c r="AB55" i="67"/>
  <c r="BX133" i="67"/>
  <c r="BW1369" i="67"/>
  <c r="BX1369" i="67" s="1"/>
  <c r="BX320" i="67"/>
  <c r="BX89" i="67"/>
  <c r="D57" i="67"/>
  <c r="G48" i="67"/>
  <c r="AJ66" i="67"/>
  <c r="AB62" i="67"/>
  <c r="AJ61" i="67"/>
  <c r="AC60" i="67"/>
  <c r="E18" i="67"/>
  <c r="F60" i="67"/>
  <c r="BX1050" i="67"/>
  <c r="BX97" i="67"/>
  <c r="BW1083" i="67"/>
  <c r="F50" i="67"/>
  <c r="D68" i="67"/>
  <c r="AI66" i="67"/>
  <c r="AJ59" i="67"/>
  <c r="AC59" i="67"/>
  <c r="AC57" i="67"/>
  <c r="AI53" i="67"/>
  <c r="AB53" i="67"/>
  <c r="AC49" i="67"/>
  <c r="D49" i="67"/>
  <c r="G43" i="67"/>
  <c r="G42" i="67"/>
  <c r="G40" i="67"/>
  <c r="D39" i="67"/>
  <c r="E39" i="67"/>
  <c r="AB38" i="67"/>
  <c r="AI37" i="67"/>
  <c r="E37" i="67"/>
  <c r="AI36" i="67"/>
  <c r="G33" i="67"/>
  <c r="G27" i="67"/>
  <c r="F27" i="67"/>
  <c r="AB26" i="67"/>
  <c r="F23" i="67"/>
  <c r="D23" i="67"/>
  <c r="E23" i="67"/>
  <c r="D22" i="67"/>
  <c r="AI21" i="67"/>
  <c r="AI19" i="67"/>
  <c r="AB19" i="67"/>
  <c r="AJ17" i="67"/>
  <c r="AC64" i="67"/>
  <c r="F64" i="67"/>
  <c r="AJ63" i="67"/>
  <c r="AC63" i="67"/>
  <c r="F61" i="67"/>
  <c r="D55" i="67"/>
  <c r="E49" i="67"/>
  <c r="D43" i="67"/>
  <c r="E42" i="67"/>
  <c r="G29" i="67"/>
  <c r="F18" i="67"/>
  <c r="E17" i="67"/>
  <c r="F15" i="67"/>
  <c r="BX145" i="67"/>
  <c r="BW394" i="67"/>
  <c r="BW455" i="67" s="1"/>
  <c r="BW691" i="67"/>
  <c r="BX691" i="67" s="1"/>
  <c r="BW1709" i="67"/>
  <c r="BW1770" i="67" s="1"/>
  <c r="BX940" i="67"/>
  <c r="BX638" i="67"/>
  <c r="BX1594" i="67"/>
  <c r="BX1591" i="67"/>
  <c r="BX131" i="67"/>
  <c r="BX960" i="67"/>
  <c r="BW1399" i="67"/>
  <c r="BW1460" i="67" s="1"/>
  <c r="BW1521" i="67" s="1"/>
  <c r="BX1521" i="67" s="1"/>
  <c r="BX1615" i="67"/>
  <c r="BX189" i="67"/>
  <c r="BW1158" i="67"/>
  <c r="BX1158" i="67" s="1"/>
  <c r="BX275" i="67"/>
  <c r="BW1303" i="67"/>
  <c r="BW1364" i="67" s="1"/>
  <c r="BW1425" i="67" s="1"/>
  <c r="EO5" i="69"/>
  <c r="BX1598" i="67"/>
  <c r="BX87" i="67"/>
  <c r="BX1607" i="67"/>
  <c r="BW1323" i="67"/>
  <c r="BX1566" i="67"/>
  <c r="BX1554" i="67"/>
  <c r="FC6" i="69"/>
  <c r="FC7" i="69" s="1"/>
  <c r="BW383" i="67"/>
  <c r="BW444" i="67" s="1"/>
  <c r="BX444" i="67" s="1"/>
  <c r="BW468" i="67"/>
  <c r="BX468" i="67" s="1"/>
  <c r="BW240" i="67"/>
  <c r="BX240" i="67" s="1"/>
  <c r="BW767" i="67"/>
  <c r="BW828" i="67" s="1"/>
  <c r="BX828" i="67" s="1"/>
  <c r="BW1352" i="67"/>
  <c r="BW1413" i="67" s="1"/>
  <c r="BX1275" i="67"/>
  <c r="BW387" i="67"/>
  <c r="BW448" i="67" s="1"/>
  <c r="BW509" i="67" s="1"/>
  <c r="BW570" i="67" s="1"/>
  <c r="BX570" i="67" s="1"/>
  <c r="BX1655" i="67"/>
  <c r="BW1724" i="67"/>
  <c r="BW1785" i="67" s="1"/>
  <c r="BX1785" i="67" s="1"/>
  <c r="BX949" i="67"/>
  <c r="BX660" i="67"/>
  <c r="BX1556" i="67"/>
  <c r="BW1038" i="67"/>
  <c r="BW1099" i="67" s="1"/>
  <c r="BX1099" i="67" s="1"/>
  <c r="BX733" i="67"/>
  <c r="BW1028" i="67"/>
  <c r="BW1089" i="67" s="1"/>
  <c r="BX1089" i="67" s="1"/>
  <c r="BX310" i="67"/>
  <c r="BX652" i="67"/>
  <c r="BX137" i="67"/>
  <c r="BX979" i="67"/>
  <c r="DW5" i="69"/>
  <c r="BX103" i="67"/>
  <c r="BX265" i="67"/>
  <c r="BW191" i="67"/>
  <c r="BW252" i="67" s="1"/>
  <c r="BX252" i="67" s="1"/>
  <c r="BX107" i="67"/>
  <c r="BX336" i="67"/>
  <c r="BW738" i="67"/>
  <c r="EE5" i="69"/>
  <c r="BW746" i="67"/>
  <c r="BW807" i="67" s="1"/>
  <c r="BX807" i="67" s="1"/>
  <c r="BW803" i="67"/>
  <c r="BW864" i="67" s="1"/>
  <c r="BW925" i="67" s="1"/>
  <c r="BX925" i="67" s="1"/>
  <c r="BX742" i="67"/>
  <c r="BX141" i="67"/>
  <c r="FM5" i="69"/>
  <c r="BX84" i="67"/>
  <c r="BW1317" i="67"/>
  <c r="BW739" i="67"/>
  <c r="BW800" i="67" s="1"/>
  <c r="BX394" i="67"/>
  <c r="BW1370" i="67"/>
  <c r="BX1370" i="67" s="1"/>
  <c r="BW1060" i="67"/>
  <c r="BX1060" i="67" s="1"/>
  <c r="BX391" i="67"/>
  <c r="BW153" i="67"/>
  <c r="BX153" i="67" s="1"/>
  <c r="BX283" i="67"/>
  <c r="BW373" i="67"/>
  <c r="BX1279" i="67"/>
  <c r="FI6" i="69"/>
  <c r="FI7" i="69" s="1"/>
  <c r="BW195" i="67"/>
  <c r="BX195" i="67" s="1"/>
  <c r="BW348" i="67"/>
  <c r="BX681" i="67"/>
  <c r="BW1621" i="67"/>
  <c r="BW1682" i="67" s="1"/>
  <c r="BX1682" i="67" s="1"/>
  <c r="BW399" i="67"/>
  <c r="BX399" i="67" s="1"/>
  <c r="BX187" i="67"/>
  <c r="BX1588" i="67"/>
  <c r="BW341" i="67"/>
  <c r="BX299" i="67"/>
  <c r="BW749" i="67"/>
  <c r="FQ6" i="69"/>
  <c r="FQ7" i="69" s="1"/>
  <c r="BW786" i="67"/>
  <c r="BW847" i="67" s="1"/>
  <c r="BX847" i="67" s="1"/>
  <c r="BW1646" i="67"/>
  <c r="BX1646" i="67" s="1"/>
  <c r="BX1287" i="67"/>
  <c r="BX1609" i="67"/>
  <c r="DU6" i="69"/>
  <c r="DU7" i="69" s="1"/>
  <c r="BW1000" i="67"/>
  <c r="BX1000" i="67" s="1"/>
  <c r="BW395" i="67"/>
  <c r="BW456" i="67" s="1"/>
  <c r="BW517" i="67" s="1"/>
  <c r="BX80" i="67"/>
  <c r="FE5" i="69"/>
  <c r="BW846" i="67"/>
  <c r="BX846" i="67" s="1"/>
  <c r="BW1126" i="67"/>
  <c r="BW1502" i="67"/>
  <c r="BX1502" i="67" s="1"/>
  <c r="BW760" i="67"/>
  <c r="BW821" i="67" s="1"/>
  <c r="BW413" i="67"/>
  <c r="BW474" i="67" s="1"/>
  <c r="BW535" i="67" s="1"/>
  <c r="BX535" i="67" s="1"/>
  <c r="BX1649" i="67"/>
  <c r="BX83" i="67"/>
  <c r="BW1694" i="67"/>
  <c r="BW1755" i="67" s="1"/>
  <c r="BX319" i="67"/>
  <c r="BX1576" i="67"/>
  <c r="ET5" i="69"/>
  <c r="BX272" i="67"/>
  <c r="BX291" i="67"/>
  <c r="BW1008" i="67"/>
  <c r="BW1069" i="67" s="1"/>
  <c r="BW704" i="67"/>
  <c r="BW765" i="67" s="1"/>
  <c r="BX765" i="67" s="1"/>
  <c r="BX119" i="67"/>
  <c r="BX273" i="67"/>
  <c r="BW1054" i="67"/>
  <c r="BW1115" i="67" s="1"/>
  <c r="EL5" i="69"/>
  <c r="BX987" i="67"/>
  <c r="BX635" i="67"/>
  <c r="EG6" i="69"/>
  <c r="EG7" i="69" s="1"/>
  <c r="ED5" i="69"/>
  <c r="BX1036" i="67"/>
  <c r="BW204" i="67"/>
  <c r="BX204" i="67" s="1"/>
  <c r="BX143" i="67"/>
  <c r="BW1695" i="67"/>
  <c r="BW1756" i="67" s="1"/>
  <c r="BW1817" i="67" s="1"/>
  <c r="BX1817" i="67" s="1"/>
  <c r="BX997" i="67"/>
  <c r="BW832" i="67"/>
  <c r="BX1268" i="67"/>
  <c r="BW1360" i="67"/>
  <c r="BX669" i="67"/>
  <c r="FS5" i="69"/>
  <c r="BW140" i="67"/>
  <c r="BW201" i="67" s="1"/>
  <c r="BX201" i="67" s="1"/>
  <c r="BW1341" i="67"/>
  <c r="EJ5" i="69"/>
  <c r="BX710" i="67"/>
  <c r="BX286" i="67"/>
  <c r="BX1595" i="67"/>
  <c r="BW1359" i="67"/>
  <c r="BX1359" i="67" s="1"/>
  <c r="BW519" i="67"/>
  <c r="BW580" i="67" s="1"/>
  <c r="BX580" i="67" s="1"/>
  <c r="BX1357" i="67"/>
  <c r="BX147" i="67"/>
  <c r="BW186" i="67"/>
  <c r="BX186" i="67" s="1"/>
  <c r="BW734" i="67"/>
  <c r="BW795" i="67" s="1"/>
  <c r="BW1638" i="67"/>
  <c r="BW1699" i="67" s="1"/>
  <c r="BX1284" i="67"/>
  <c r="FK5" i="69"/>
  <c r="BX86" i="67"/>
  <c r="BW1066" i="67"/>
  <c r="BW1086" i="67"/>
  <c r="BW1147" i="67" s="1"/>
  <c r="BX1147" i="67" s="1"/>
  <c r="EN6" i="69"/>
  <c r="EN7" i="69" s="1"/>
  <c r="BX1002" i="67"/>
  <c r="BW151" i="67"/>
  <c r="BW1618" i="67"/>
  <c r="BW1679" i="67" s="1"/>
  <c r="BW1740" i="67" s="1"/>
  <c r="BX1740" i="67" s="1"/>
  <c r="BX456" i="67"/>
  <c r="BX395" i="67"/>
  <c r="BX356" i="67"/>
  <c r="BW1029" i="67"/>
  <c r="DY5" i="69"/>
  <c r="BX298" i="67"/>
  <c r="BX1602" i="67"/>
  <c r="BX1253" i="67"/>
  <c r="BX948" i="67"/>
  <c r="BX952" i="67"/>
  <c r="BX649" i="67"/>
  <c r="FG6" i="69"/>
  <c r="FG7" i="69" s="1"/>
  <c r="BX941" i="67"/>
  <c r="BX864" i="67"/>
  <c r="BX1783" i="67"/>
  <c r="BW1844" i="67"/>
  <c r="BX1844" i="67" s="1"/>
  <c r="BX1058" i="67"/>
  <c r="BW1119" i="67"/>
  <c r="BX1119" i="67" s="1"/>
  <c r="BW1375" i="67"/>
  <c r="BW1436" i="67" s="1"/>
  <c r="BX1314" i="67"/>
  <c r="BW420" i="67"/>
  <c r="BW481" i="67" s="1"/>
  <c r="BX359" i="67"/>
  <c r="BW513" i="67"/>
  <c r="BX452" i="67"/>
  <c r="BX180" i="67"/>
  <c r="BW241" i="67"/>
  <c r="BX241" i="67" s="1"/>
  <c r="BW1150" i="67"/>
  <c r="BW1211" i="67" s="1"/>
  <c r="BX1211" i="67" s="1"/>
  <c r="BW1707" i="67"/>
  <c r="BW1768" i="67" s="1"/>
  <c r="BX1567" i="67"/>
  <c r="BW1628" i="67"/>
  <c r="BX1274" i="67"/>
  <c r="BW1335" i="67"/>
  <c r="BW1384" i="67"/>
  <c r="BX1323" i="67"/>
  <c r="BW743" i="67"/>
  <c r="BW804" i="67" s="1"/>
  <c r="BX682" i="67"/>
  <c r="BW184" i="67"/>
  <c r="BW245" i="67" s="1"/>
  <c r="BX245" i="67" s="1"/>
  <c r="BX123" i="67"/>
  <c r="BW907" i="67"/>
  <c r="BX907" i="67" s="1"/>
  <c r="BX1688" i="67"/>
  <c r="BW438" i="67"/>
  <c r="BX438" i="67" s="1"/>
  <c r="BX1645" i="67"/>
  <c r="BX1627" i="67"/>
  <c r="BX1251" i="67"/>
  <c r="BW1620" i="67"/>
  <c r="BX1266" i="67"/>
  <c r="BX111" i="67"/>
  <c r="BX663" i="67"/>
  <c r="BX330" i="67"/>
  <c r="BX749" i="67"/>
  <c r="BW810" i="67"/>
  <c r="BX810" i="67" s="1"/>
  <c r="BW736" i="67"/>
  <c r="BX1247" i="67"/>
  <c r="BW1767" i="67"/>
  <c r="BX1767" i="67" s="1"/>
  <c r="BW1160" i="67"/>
  <c r="BW1221" i="67" s="1"/>
  <c r="BX1221" i="67" s="1"/>
  <c r="BX770" i="67"/>
  <c r="BX1661" i="67"/>
  <c r="BW1678" i="67"/>
  <c r="BW1739" i="67" s="1"/>
  <c r="BX1739" i="67" s="1"/>
  <c r="BW421" i="67"/>
  <c r="BW482" i="67" s="1"/>
  <c r="BW543" i="67" s="1"/>
  <c r="BW604" i="67" s="1"/>
  <c r="BX604" i="67" s="1"/>
  <c r="BX790" i="67"/>
  <c r="BW411" i="67"/>
  <c r="BX411" i="67" s="1"/>
  <c r="BW1331" i="67"/>
  <c r="BW1320" i="67"/>
  <c r="BX1320" i="67" s="1"/>
  <c r="BW1388" i="67"/>
  <c r="BW1449" i="67" s="1"/>
  <c r="BW1510" i="67" s="1"/>
  <c r="BX1510" i="67" s="1"/>
  <c r="BX982" i="67"/>
  <c r="BW1612" i="67"/>
  <c r="BX1571" i="67"/>
  <c r="BW1640" i="67"/>
  <c r="BX1665" i="67"/>
  <c r="BW1726" i="67"/>
  <c r="BW1406" i="67"/>
  <c r="BX1345" i="67"/>
  <c r="BW1333" i="67"/>
  <c r="BX1333" i="67" s="1"/>
  <c r="BX1272" i="67"/>
  <c r="BX1245" i="67"/>
  <c r="BW1306" i="67"/>
  <c r="BW1367" i="67" s="1"/>
  <c r="BX1367" i="67" s="1"/>
  <c r="BX1048" i="67"/>
  <c r="BW1109" i="67"/>
  <c r="BW798" i="67"/>
  <c r="BX737" i="67"/>
  <c r="BX371" i="67"/>
  <c r="BW432" i="67"/>
  <c r="BX302" i="67"/>
  <c r="BW363" i="67"/>
  <c r="BW351" i="67"/>
  <c r="BW412" i="67" s="1"/>
  <c r="BX290" i="67"/>
  <c r="BX271" i="67"/>
  <c r="BW332" i="67"/>
  <c r="BX332" i="67" s="1"/>
  <c r="BW1810" i="67"/>
  <c r="BX1810" i="67" s="1"/>
  <c r="BX1423" i="67"/>
  <c r="BW802" i="67"/>
  <c r="BW863" i="67" s="1"/>
  <c r="BX724" i="67"/>
  <c r="BX382" i="67"/>
  <c r="BW408" i="67"/>
  <c r="BX1573" i="67"/>
  <c r="BW176" i="67"/>
  <c r="BX176" i="67" s="1"/>
  <c r="BX318" i="67"/>
  <c r="BX304" i="67"/>
  <c r="BX1273" i="67"/>
  <c r="BW1310" i="67"/>
  <c r="BW1361" i="67"/>
  <c r="BX1361" i="67" s="1"/>
  <c r="I32" i="68"/>
  <c r="I8" i="68" s="1"/>
  <c r="BW1014" i="67"/>
  <c r="BW1075" i="67" s="1"/>
  <c r="BW1417" i="67"/>
  <c r="BX1356" i="67"/>
  <c r="BW1305" i="67"/>
  <c r="BX1305" i="67" s="1"/>
  <c r="BX1244" i="67"/>
  <c r="BX679" i="67"/>
  <c r="BW740" i="67"/>
  <c r="BW801" i="67" s="1"/>
  <c r="BW862" i="67" s="1"/>
  <c r="BX101" i="67"/>
  <c r="BW162" i="67"/>
  <c r="BW223" i="67" s="1"/>
  <c r="BX223" i="67" s="1"/>
  <c r="DV6" i="69"/>
  <c r="DV7" i="69" s="1"/>
  <c r="DV5" i="69"/>
  <c r="ES6" i="69"/>
  <c r="ES7" i="69" s="1"/>
  <c r="ES5" i="69"/>
  <c r="FA6" i="69"/>
  <c r="FA7" i="69" s="1"/>
  <c r="FA5" i="69"/>
  <c r="BX136" i="67"/>
  <c r="BX1286" i="67"/>
  <c r="BW1343" i="67"/>
  <c r="BX964" i="67"/>
  <c r="BX306" i="67"/>
  <c r="J8" i="68"/>
  <c r="BX1604" i="67"/>
  <c r="BX1582" i="67"/>
  <c r="BW1643" i="67"/>
  <c r="BX1643" i="67" s="1"/>
  <c r="BX1293" i="67"/>
  <c r="BW1354" i="67"/>
  <c r="BX1354" i="67" s="1"/>
  <c r="BW1342" i="67"/>
  <c r="BX1281" i="67"/>
  <c r="BW1330" i="67"/>
  <c r="BX1330" i="67" s="1"/>
  <c r="BX1269" i="67"/>
  <c r="BW723" i="67"/>
  <c r="BX662" i="67"/>
  <c r="BX315" i="67"/>
  <c r="BW376" i="67"/>
  <c r="BW205" i="67"/>
  <c r="BX205" i="67" s="1"/>
  <c r="BX144" i="67"/>
  <c r="EB5" i="69"/>
  <c r="EB6" i="69"/>
  <c r="EB7" i="69" s="1"/>
  <c r="EI5" i="69"/>
  <c r="EI6" i="69"/>
  <c r="EI7" i="69" s="1"/>
  <c r="EY5" i="69"/>
  <c r="EY6" i="69"/>
  <c r="EY7" i="69" s="1"/>
  <c r="FR5" i="69"/>
  <c r="FR6" i="69"/>
  <c r="FR7" i="69" s="1"/>
  <c r="BX989" i="67"/>
  <c r="BX645" i="67"/>
  <c r="BX944" i="67"/>
  <c r="BX1294" i="67"/>
  <c r="BX1258" i="67"/>
  <c r="BW1032" i="67"/>
  <c r="BW1093" i="67" s="1"/>
  <c r="BX1093" i="67" s="1"/>
  <c r="BX975" i="67"/>
  <c r="BW1737" i="67"/>
  <c r="BX1676" i="67"/>
  <c r="BW1727" i="67"/>
  <c r="BX1666" i="67"/>
  <c r="BW442" i="67"/>
  <c r="BW503" i="67" s="1"/>
  <c r="BW564" i="67" s="1"/>
  <c r="BX381" i="67"/>
  <c r="BW596" i="67"/>
  <c r="BX596" i="67" s="1"/>
  <c r="BW1129" i="67"/>
  <c r="BW1190" i="67" s="1"/>
  <c r="BX1190" i="67" s="1"/>
  <c r="BX1068" i="67"/>
  <c r="BW1143" i="67"/>
  <c r="BX1143" i="67" s="1"/>
  <c r="BX1082" i="67"/>
  <c r="BX1079" i="67"/>
  <c r="BW1140" i="67"/>
  <c r="BW1155" i="67"/>
  <c r="BW1216" i="67" s="1"/>
  <c r="BX1216" i="67" s="1"/>
  <c r="BX1094" i="67"/>
  <c r="BW1431" i="67"/>
  <c r="BX1431" i="67" s="1"/>
  <c r="BX1317" i="67"/>
  <c r="BW1378" i="67"/>
  <c r="BW1626" i="67"/>
  <c r="BX1565" i="67"/>
  <c r="BW1053" i="67"/>
  <c r="BX1053" i="67" s="1"/>
  <c r="BX992" i="67"/>
  <c r="BW1035" i="67"/>
  <c r="BW1096" i="67" s="1"/>
  <c r="BW1157" i="67" s="1"/>
  <c r="BX974" i="67"/>
  <c r="BW1023" i="67"/>
  <c r="BX962" i="67"/>
  <c r="BX365" i="67"/>
  <c r="BW426" i="67"/>
  <c r="BW357" i="67"/>
  <c r="BX296" i="67"/>
  <c r="BX288" i="67"/>
  <c r="BW349" i="67"/>
  <c r="BX267" i="67"/>
  <c r="BW328" i="67"/>
  <c r="BX264" i="67"/>
  <c r="BW325" i="67"/>
  <c r="BX121" i="67"/>
  <c r="BW182" i="67"/>
  <c r="BX117" i="67"/>
  <c r="BW178" i="67"/>
  <c r="BW174" i="67"/>
  <c r="BX113" i="67"/>
  <c r="BX102" i="67"/>
  <c r="BW163" i="67"/>
  <c r="BX163" i="67" s="1"/>
  <c r="BX1062" i="67"/>
  <c r="BX1063" i="67"/>
  <c r="BW1219" i="67"/>
  <c r="BX1219" i="67" s="1"/>
  <c r="BX1018" i="67"/>
  <c r="BW1696" i="67"/>
  <c r="BX1696" i="67" s="1"/>
  <c r="BX156" i="67"/>
  <c r="BW258" i="67"/>
  <c r="BX258" i="67" s="1"/>
  <c r="BX1047" i="67"/>
  <c r="BW1717" i="67"/>
  <c r="BX1656" i="67"/>
  <c r="BX986" i="67"/>
  <c r="BW1346" i="67"/>
  <c r="BX1346" i="67" s="1"/>
  <c r="BX1285" i="67"/>
  <c r="BW1324" i="67"/>
  <c r="BX1263" i="67"/>
  <c r="BW1170" i="67"/>
  <c r="BW1231" i="67" s="1"/>
  <c r="BX1231" i="67" s="1"/>
  <c r="BX1109" i="67"/>
  <c r="BW1034" i="67"/>
  <c r="BX973" i="67"/>
  <c r="BX965" i="67"/>
  <c r="BW1026" i="67"/>
  <c r="BX942" i="67"/>
  <c r="BW1003" i="67"/>
  <c r="BX651" i="67"/>
  <c r="BW712" i="67"/>
  <c r="BW692" i="67"/>
  <c r="BX631" i="67"/>
  <c r="BW378" i="67"/>
  <c r="BW439" i="67" s="1"/>
  <c r="BX317" i="67"/>
  <c r="EM5" i="69"/>
  <c r="EM6" i="69"/>
  <c r="EM7" i="69" s="1"/>
  <c r="EU6" i="69"/>
  <c r="EU7" i="69" s="1"/>
  <c r="EU5" i="69"/>
  <c r="BW529" i="67"/>
  <c r="BX529" i="67" s="1"/>
  <c r="BW1846" i="67"/>
  <c r="BX1846" i="67" s="1"/>
  <c r="BX851" i="67"/>
  <c r="BW504" i="67"/>
  <c r="BW398" i="67"/>
  <c r="BX398" i="67" s="1"/>
  <c r="BX1033" i="67"/>
  <c r="BW1401" i="67"/>
  <c r="BX1313" i="67"/>
  <c r="BX1007" i="67"/>
  <c r="BW892" i="67"/>
  <c r="BX892" i="67" s="1"/>
  <c r="BX831" i="67"/>
  <c r="BW1713" i="67"/>
  <c r="BX1021" i="67"/>
  <c r="BW1414" i="67"/>
  <c r="BX1108" i="67"/>
  <c r="BW190" i="67"/>
  <c r="BW1056" i="67"/>
  <c r="BX1605" i="67"/>
  <c r="BW1049" i="67"/>
  <c r="BX1049" i="67" s="1"/>
  <c r="BX1248" i="67"/>
  <c r="BX1288" i="67"/>
  <c r="BW1321" i="67"/>
  <c r="BX639" i="67"/>
  <c r="E12" i="68"/>
  <c r="E13" i="68" s="1"/>
  <c r="BX308" i="67"/>
  <c r="BW254" i="67"/>
  <c r="BX254" i="67" s="1"/>
  <c r="BW1622" i="67"/>
  <c r="BW1675" i="67"/>
  <c r="BX1675" i="67" s="1"/>
  <c r="BW1664" i="67"/>
  <c r="I33" i="68"/>
  <c r="BX132" i="67"/>
  <c r="BX1312" i="67"/>
  <c r="BW1373" i="67"/>
  <c r="BX945" i="67"/>
  <c r="BW1006" i="67"/>
  <c r="BX1006" i="67" s="1"/>
  <c r="BX665" i="67"/>
  <c r="BW726" i="67"/>
  <c r="BW787" i="67" s="1"/>
  <c r="BX787" i="67" s="1"/>
  <c r="BW715" i="67"/>
  <c r="BX654" i="67"/>
  <c r="BW894" i="67"/>
  <c r="BX894" i="67" s="1"/>
  <c r="BX833" i="67"/>
  <c r="BX646" i="67"/>
  <c r="BW707" i="67"/>
  <c r="BX642" i="67"/>
  <c r="BW703" i="67"/>
  <c r="BX703" i="67" s="1"/>
  <c r="EC6" i="69"/>
  <c r="EC7" i="69" s="1"/>
  <c r="EC5" i="69"/>
  <c r="ER6" i="69"/>
  <c r="ER7" i="69" s="1"/>
  <c r="ER5" i="69"/>
  <c r="EZ6" i="69"/>
  <c r="EZ7" i="69" s="1"/>
  <c r="EZ5" i="69"/>
  <c r="FO5" i="69"/>
  <c r="FO6" i="69"/>
  <c r="FO7" i="69" s="1"/>
  <c r="BX1722" i="67"/>
  <c r="BW1759" i="67"/>
  <c r="BW1820" i="67" s="1"/>
  <c r="BX1820" i="67" s="1"/>
  <c r="BW1230" i="67"/>
  <c r="BX1230" i="67" s="1"/>
  <c r="BW1771" i="67"/>
  <c r="BW1430" i="67"/>
  <c r="BW1702" i="67"/>
  <c r="BW1763" i="67" s="1"/>
  <c r="BW791" i="67"/>
  <c r="BX1111" i="67"/>
  <c r="BW1172" i="67"/>
  <c r="BX697" i="67"/>
  <c r="BX696" i="67"/>
  <c r="BW215" i="67"/>
  <c r="BX215" i="67" s="1"/>
  <c r="BX1548" i="67"/>
  <c r="BX650" i="67"/>
  <c r="BX1252" i="67"/>
  <c r="BX1296" i="67"/>
  <c r="BW1339" i="67"/>
  <c r="BW1660" i="67"/>
  <c r="BX1660" i="67" s="1"/>
  <c r="BX1292" i="67"/>
  <c r="BX95" i="67"/>
  <c r="EF6" i="69"/>
  <c r="EF7" i="69" s="1"/>
  <c r="BW719" i="67"/>
  <c r="BX1568" i="67"/>
  <c r="BX1593" i="67"/>
  <c r="BW1654" i="67"/>
  <c r="BW1074" i="67"/>
  <c r="BX1074" i="67" s="1"/>
  <c r="BX1013" i="67"/>
  <c r="BW1070" i="67"/>
  <c r="BX1009" i="67"/>
  <c r="DZ5" i="69"/>
  <c r="DZ6" i="69"/>
  <c r="DZ7" i="69" s="1"/>
  <c r="BW1658" i="67"/>
  <c r="BX1597" i="67"/>
  <c r="BX1555" i="67"/>
  <c r="BW1616" i="67"/>
  <c r="BX1616" i="67" s="1"/>
  <c r="BX1255" i="67"/>
  <c r="BW1316" i="67"/>
  <c r="BX980" i="67"/>
  <c r="BW1041" i="67"/>
  <c r="BW694" i="67"/>
  <c r="BX633" i="67"/>
  <c r="BW355" i="67"/>
  <c r="BX294" i="67"/>
  <c r="BX1362" i="67"/>
  <c r="BX309" i="67"/>
  <c r="BX1572" i="67"/>
  <c r="BX1277" i="67"/>
  <c r="BX1301" i="67"/>
  <c r="FP5" i="69"/>
  <c r="BW440" i="67"/>
  <c r="BX440" i="67" s="1"/>
  <c r="BW1416" i="67"/>
  <c r="BX1355" i="67"/>
  <c r="BX1040" i="67"/>
  <c r="BW1101" i="67"/>
  <c r="BW1024" i="67"/>
  <c r="BX963" i="67"/>
  <c r="BX1010" i="67"/>
  <c r="BW1071" i="67"/>
  <c r="BW1132" i="67" s="1"/>
  <c r="BW745" i="67"/>
  <c r="BX745" i="67" s="1"/>
  <c r="BX684" i="67"/>
  <c r="BX667" i="67"/>
  <c r="BW728" i="67"/>
  <c r="BX728" i="67" s="1"/>
  <c r="BX305" i="67"/>
  <c r="BW366" i="67"/>
  <c r="BX366" i="67" s="1"/>
  <c r="BW340" i="67"/>
  <c r="BX279" i="67"/>
  <c r="BX104" i="67"/>
  <c r="BW165" i="67"/>
  <c r="BX165" i="67" s="1"/>
  <c r="DX5" i="69"/>
  <c r="DX6" i="69"/>
  <c r="DX7" i="69" s="1"/>
  <c r="BW499" i="67"/>
  <c r="BW818" i="67"/>
  <c r="BX757" i="67"/>
  <c r="BW1351" i="67"/>
  <c r="BX1290" i="67"/>
  <c r="BW1408" i="67"/>
  <c r="BX1347" i="67"/>
  <c r="BX1283" i="67"/>
  <c r="BW1344" i="67"/>
  <c r="BW1337" i="67"/>
  <c r="BX1276" i="67"/>
  <c r="BX1265" i="67"/>
  <c r="BW1326" i="67"/>
  <c r="BW1315" i="67"/>
  <c r="BX1254" i="67"/>
  <c r="BW1055" i="67"/>
  <c r="BX994" i="67"/>
  <c r="BX985" i="67"/>
  <c r="BW1046" i="67"/>
  <c r="BX1042" i="67"/>
  <c r="BW1103" i="67"/>
  <c r="BX978" i="67"/>
  <c r="BW1039" i="67"/>
  <c r="BW1031" i="67"/>
  <c r="BX970" i="67"/>
  <c r="BX966" i="67"/>
  <c r="BW1027" i="67"/>
  <c r="BW1088" i="67" s="1"/>
  <c r="BW1016" i="67"/>
  <c r="BX955" i="67"/>
  <c r="BW750" i="67"/>
  <c r="BX689" i="67"/>
  <c r="BX740" i="67"/>
  <c r="BX674" i="67"/>
  <c r="BW735" i="67"/>
  <c r="BX670" i="67"/>
  <c r="BW731" i="67"/>
  <c r="BX666" i="67"/>
  <c r="BW727" i="67"/>
  <c r="BX659" i="67"/>
  <c r="BW720" i="67"/>
  <c r="BW781" i="67" s="1"/>
  <c r="BW716" i="67"/>
  <c r="BX655" i="67"/>
  <c r="BX311" i="67"/>
  <c r="BW372" i="67"/>
  <c r="BW433" i="67" s="1"/>
  <c r="BW358" i="67"/>
  <c r="BX297" i="67"/>
  <c r="BW324" i="67"/>
  <c r="BX324" i="67" s="1"/>
  <c r="BX263" i="67"/>
  <c r="BX135" i="67"/>
  <c r="BW196" i="67"/>
  <c r="BX124" i="67"/>
  <c r="BW185" i="67"/>
  <c r="BX185" i="67" s="1"/>
  <c r="BW181" i="67"/>
  <c r="BX120" i="67"/>
  <c r="BW177" i="67"/>
  <c r="BX116" i="67"/>
  <c r="BX112" i="67"/>
  <c r="BW173" i="67"/>
  <c r="BX108" i="67"/>
  <c r="BW169" i="67"/>
  <c r="BW221" i="67"/>
  <c r="BX221" i="67" s="1"/>
  <c r="BX160" i="67"/>
  <c r="BW430" i="67"/>
  <c r="BX981" i="67"/>
  <c r="BW1410" i="67"/>
  <c r="BX1410" i="67" s="1"/>
  <c r="BX1349" i="67"/>
  <c r="BX368" i="67"/>
  <c r="BW429" i="67"/>
  <c r="BX293" i="67"/>
  <c r="BW1390" i="67"/>
  <c r="BX1066" i="67"/>
  <c r="BW1127" i="67"/>
  <c r="BW1091" i="67"/>
  <c r="BX1030" i="67"/>
  <c r="BX1126" i="67"/>
  <c r="BW1187" i="67"/>
  <c r="BX1187" i="67" s="1"/>
  <c r="BX162" i="67"/>
  <c r="BW415" i="67"/>
  <c r="BX1352" i="67"/>
  <c r="BW1729" i="67"/>
  <c r="BX1668" i="67"/>
  <c r="BX1129" i="67"/>
  <c r="BX388" i="67"/>
  <c r="BW449" i="67"/>
  <c r="BX1271" i="67"/>
  <c r="BW1332" i="67"/>
  <c r="BX991" i="67"/>
  <c r="BW1052" i="67"/>
  <c r="BX397" i="67"/>
  <c r="BX455" i="67"/>
  <c r="BW516" i="67"/>
  <c r="BW1184" i="67"/>
  <c r="BX1184" i="67" s="1"/>
  <c r="BX1123" i="67"/>
  <c r="BX408" i="67"/>
  <c r="BW469" i="67"/>
  <c r="BW1395" i="67"/>
  <c r="BW253" i="67"/>
  <c r="BX253" i="67" s="1"/>
  <c r="BX192" i="67"/>
  <c r="BX1083" i="67"/>
  <c r="BW1144" i="67"/>
  <c r="BW152" i="67"/>
  <c r="BX91" i="67"/>
  <c r="BX88" i="67"/>
  <c r="BW149" i="67"/>
  <c r="BW146" i="67"/>
  <c r="BX85" i="67"/>
  <c r="E32" i="68"/>
  <c r="F33" i="68"/>
  <c r="F8" i="68"/>
  <c r="BW835" i="67"/>
  <c r="BX774" i="67"/>
  <c r="BW1613" i="67"/>
  <c r="BX1613" i="67" s="1"/>
  <c r="BX1552" i="67"/>
  <c r="BX1261" i="67"/>
  <c r="BW1322" i="67"/>
  <c r="BW361" i="67"/>
  <c r="BW422" i="67" s="1"/>
  <c r="BX300" i="67"/>
  <c r="BW353" i="67"/>
  <c r="BX292" i="67"/>
  <c r="BX335" i="67"/>
  <c r="BW396" i="67"/>
  <c r="BW260" i="67"/>
  <c r="BX260" i="67" s="1"/>
  <c r="BX199" i="67"/>
  <c r="BW188" i="67"/>
  <c r="BX127" i="67"/>
  <c r="BX1019" i="67"/>
  <c r="BX331" i="67"/>
  <c r="BX138" i="67"/>
  <c r="BW1045" i="67"/>
  <c r="BX1336" i="67"/>
  <c r="BW1397" i="67"/>
  <c r="BX1563" i="67"/>
  <c r="BW1624" i="67"/>
  <c r="BW698" i="67"/>
  <c r="BX637" i="67"/>
  <c r="BX303" i="67"/>
  <c r="BW364" i="67"/>
  <c r="BX100" i="67"/>
  <c r="BW161" i="67"/>
  <c r="DO6" i="69"/>
  <c r="DO5" i="69"/>
  <c r="DS5" i="69"/>
  <c r="DS6" i="69"/>
  <c r="DS7" i="69" s="1"/>
  <c r="EV6" i="69"/>
  <c r="EV7" i="69" s="1"/>
  <c r="EV5" i="69"/>
  <c r="FF6" i="69"/>
  <c r="FF7" i="69" s="1"/>
  <c r="FF5" i="69"/>
  <c r="FJ6" i="69"/>
  <c r="FJ7" i="69" s="1"/>
  <c r="FJ5" i="69"/>
  <c r="FN6" i="69"/>
  <c r="FN7" i="69" s="1"/>
  <c r="FN5" i="69"/>
  <c r="BX420" i="67"/>
  <c r="BX417" i="67"/>
  <c r="BW478" i="67"/>
  <c r="BX1124" i="67"/>
  <c r="BW1185" i="67"/>
  <c r="BX1185" i="67" s="1"/>
  <c r="BX140" i="67"/>
  <c r="BX754" i="67"/>
  <c r="BW815" i="67"/>
  <c r="BX392" i="67"/>
  <c r="BW453" i="67"/>
  <c r="BW1731" i="67"/>
  <c r="BW1792" i="67" s="1"/>
  <c r="BX1792" i="67" s="1"/>
  <c r="BX1670" i="67"/>
  <c r="BW1358" i="67"/>
  <c r="BW1419" i="67" s="1"/>
  <c r="BX1297" i="67"/>
  <c r="BW1325" i="67"/>
  <c r="BX1264" i="67"/>
  <c r="BW1307" i="67"/>
  <c r="BX1246" i="67"/>
  <c r="BX1243" i="67"/>
  <c r="BW1304" i="67"/>
  <c r="BW1051" i="67"/>
  <c r="BX990" i="67"/>
  <c r="BX951" i="67"/>
  <c r="BW1012" i="67"/>
  <c r="BW375" i="67"/>
  <c r="BX314" i="67"/>
  <c r="BW345" i="67"/>
  <c r="BX284" i="67"/>
  <c r="BW342" i="67"/>
  <c r="BX281" i="67"/>
  <c r="BX278" i="67"/>
  <c r="BW339" i="67"/>
  <c r="BX268" i="67"/>
  <c r="BW329" i="67"/>
  <c r="BX94" i="67"/>
  <c r="BW155" i="67"/>
  <c r="BX1374" i="67"/>
  <c r="BW1435" i="67"/>
  <c r="BX1043" i="67"/>
  <c r="BX954" i="67"/>
  <c r="BX969" i="67"/>
  <c r="BW843" i="67"/>
  <c r="BW1121" i="67"/>
  <c r="BW888" i="67"/>
  <c r="BX888" i="67" s="1"/>
  <c r="BW1672" i="67"/>
  <c r="BX1004" i="67"/>
  <c r="BW1076" i="67"/>
  <c r="BW1165" i="67"/>
  <c r="BW819" i="67"/>
  <c r="BX758" i="67"/>
  <c r="BW1677" i="67"/>
  <c r="BW1738" i="67" s="1"/>
  <c r="BX1738" i="67" s="1"/>
  <c r="BX693" i="67"/>
  <c r="BX316" i="67"/>
  <c r="BX938" i="67"/>
  <c r="BX958" i="67"/>
  <c r="BX1257" i="67"/>
  <c r="BW1391" i="67"/>
  <c r="EK6" i="69"/>
  <c r="EK7" i="69" s="1"/>
  <c r="BX1596" i="67"/>
  <c r="BW1657" i="67"/>
  <c r="BX1590" i="67"/>
  <c r="BW1651" i="67"/>
  <c r="BX1651" i="67" s="1"/>
  <c r="BW1636" i="67"/>
  <c r="BX1575" i="67"/>
  <c r="BW1693" i="67"/>
  <c r="BX1632" i="67"/>
  <c r="BX1629" i="67"/>
  <c r="BW1690" i="67"/>
  <c r="BX1690" i="67" s="1"/>
  <c r="BW701" i="67"/>
  <c r="BX640" i="67"/>
  <c r="BW428" i="67"/>
  <c r="BX367" i="67"/>
  <c r="BX106" i="67"/>
  <c r="BW167" i="67"/>
  <c r="BX167" i="67" s="1"/>
  <c r="EA6" i="69"/>
  <c r="EA7" i="69" s="1"/>
  <c r="EA5" i="69"/>
  <c r="EW5" i="69"/>
  <c r="EW6" i="69"/>
  <c r="EW7" i="69" s="1"/>
  <c r="FD5" i="69"/>
  <c r="FD6" i="69"/>
  <c r="FD7" i="69" s="1"/>
  <c r="BW1653" i="67"/>
  <c r="BW1714" i="67" s="1"/>
  <c r="BX1592" i="67"/>
  <c r="BX687" i="67"/>
  <c r="BW748" i="67"/>
  <c r="BW722" i="67"/>
  <c r="BX661" i="67"/>
  <c r="BX198" i="67"/>
  <c r="BW259" i="67"/>
  <c r="BX259" i="67" s="1"/>
  <c r="BX1606" i="67"/>
  <c r="BW1667" i="67"/>
  <c r="BX126" i="67"/>
  <c r="FH5" i="69"/>
  <c r="BX937" i="67"/>
  <c r="BW226" i="67"/>
  <c r="BX226" i="67" s="1"/>
  <c r="BX1295" i="67"/>
  <c r="DQ6" i="69"/>
  <c r="DQ7" i="69" s="1"/>
  <c r="BX1553" i="67"/>
  <c r="BW1630" i="67"/>
  <c r="BX1569" i="67"/>
  <c r="BW747" i="67"/>
  <c r="BX686" i="67"/>
  <c r="BX656" i="67"/>
  <c r="BW717" i="67"/>
  <c r="BW714" i="67"/>
  <c r="BX653" i="67"/>
  <c r="BW702" i="67"/>
  <c r="BX641" i="67"/>
  <c r="BX378" i="67"/>
  <c r="BX343" i="67"/>
  <c r="BW404" i="67"/>
  <c r="BW170" i="67"/>
  <c r="BX109" i="67"/>
  <c r="BX150" i="67"/>
  <c r="BW211" i="67"/>
  <c r="BX211" i="67" s="1"/>
  <c r="DR6" i="69"/>
  <c r="DR7" i="69" s="1"/>
  <c r="DR5" i="69"/>
  <c r="EQ6" i="69"/>
  <c r="EQ7" i="69" s="1"/>
  <c r="EQ5" i="69"/>
  <c r="BX1601" i="67"/>
  <c r="BW1662" i="67"/>
  <c r="BX1662" i="67" s="1"/>
  <c r="BW1017" i="67"/>
  <c r="BX956" i="67"/>
  <c r="BW374" i="67"/>
  <c r="BX313" i="67"/>
  <c r="BW157" i="67"/>
  <c r="BX96" i="67"/>
  <c r="E64" i="77"/>
  <c r="E8" i="77"/>
  <c r="E15" i="77"/>
  <c r="BW1202" i="67"/>
  <c r="BX1202" i="67" s="1"/>
  <c r="BX1141" i="67"/>
  <c r="BW434" i="67"/>
  <c r="BX373" i="67"/>
  <c r="BX380" i="67"/>
  <c r="BW441" i="67"/>
  <c r="E4" i="77"/>
  <c r="E26" i="77"/>
  <c r="E19" i="77"/>
  <c r="E88" i="77"/>
  <c r="E34" i="77"/>
  <c r="E61" i="77"/>
  <c r="E10" i="77"/>
  <c r="E81" i="77"/>
  <c r="E80" i="77"/>
  <c r="E38" i="77"/>
  <c r="E77" i="77"/>
  <c r="E43" i="77"/>
  <c r="E29" i="77"/>
  <c r="E41" i="77"/>
  <c r="E30" i="77"/>
  <c r="E92" i="77"/>
  <c r="E49" i="77"/>
  <c r="E101" i="77"/>
  <c r="E84" i="77"/>
  <c r="E70" i="77"/>
  <c r="E63" i="77"/>
  <c r="E53" i="77"/>
  <c r="E93" i="77"/>
  <c r="E14" i="77"/>
  <c r="E23" i="77"/>
  <c r="E71" i="77"/>
  <c r="E3" i="77"/>
  <c r="E47" i="77"/>
  <c r="E2" i="77"/>
  <c r="E76" i="77"/>
  <c r="E67" i="77"/>
  <c r="E86" i="77"/>
  <c r="E28" i="77"/>
  <c r="E52" i="77"/>
  <c r="E27" i="77"/>
  <c r="E21" i="77"/>
  <c r="E95" i="77"/>
  <c r="E22" i="77"/>
  <c r="E13" i="77"/>
  <c r="E72" i="77"/>
  <c r="E33" i="77"/>
  <c r="E65" i="77"/>
  <c r="E99" i="77"/>
  <c r="E17" i="77"/>
  <c r="E91" i="77"/>
  <c r="E48" i="77"/>
  <c r="E55" i="77"/>
  <c r="E97" i="77"/>
  <c r="E42" i="77"/>
  <c r="E66" i="77"/>
  <c r="E36" i="77"/>
  <c r="E9" i="77"/>
  <c r="E7" i="77"/>
  <c r="E68" i="77"/>
  <c r="E35" i="77"/>
  <c r="E40" i="77"/>
  <c r="BA1" i="73"/>
  <c r="BW1540" i="67"/>
  <c r="BX1540" i="67" s="1"/>
  <c r="BX855" i="67"/>
  <c r="BW484" i="67"/>
  <c r="BX1080" i="67"/>
  <c r="BW1777" i="67"/>
  <c r="BX351" i="67"/>
  <c r="BX1659" i="67"/>
  <c r="BW1720" i="67"/>
  <c r="BX700" i="67"/>
  <c r="BW761" i="67"/>
  <c r="BX1549" i="67"/>
  <c r="BW1610" i="67"/>
  <c r="BW1020" i="67"/>
  <c r="BX959" i="67"/>
  <c r="BW1011" i="67"/>
  <c r="BX950" i="67"/>
  <c r="BX998" i="67"/>
  <c r="BW1059" i="67"/>
  <c r="BX683" i="67"/>
  <c r="BW744" i="67"/>
  <c r="BX344" i="67"/>
  <c r="BW405" i="67"/>
  <c r="E44" i="77"/>
  <c r="E58" i="77"/>
  <c r="E83" i="77"/>
  <c r="E90" i="77"/>
  <c r="E87" i="77"/>
  <c r="E85" i="77"/>
  <c r="E51" i="77"/>
  <c r="E18" i="77"/>
  <c r="BW492" i="67"/>
  <c r="BX711" i="67"/>
  <c r="BX151" i="67"/>
  <c r="BW212" i="67"/>
  <c r="BX212" i="67" s="1"/>
  <c r="BW1647" i="67"/>
  <c r="BX1586" i="67"/>
  <c r="BX1583" i="67"/>
  <c r="BW1644" i="67"/>
  <c r="BX194" i="67"/>
  <c r="BW255" i="67"/>
  <c r="BX255" i="67" s="1"/>
  <c r="E6" i="77"/>
  <c r="E79" i="77"/>
  <c r="E24" i="77"/>
  <c r="E37" i="77"/>
  <c r="E32" i="77"/>
  <c r="BX772" i="67"/>
  <c r="BX1418" i="67"/>
  <c r="BX362" i="67"/>
  <c r="BX1709" i="67"/>
  <c r="BX172" i="67"/>
  <c r="BW233" i="67"/>
  <c r="BX233" i="67" s="1"/>
  <c r="BW256" i="67"/>
  <c r="BX256" i="67" s="1"/>
  <c r="BX1027" i="67"/>
  <c r="BW224" i="67"/>
  <c r="BX224" i="67" s="1"/>
  <c r="BW1383" i="67"/>
  <c r="BX1322" i="67"/>
  <c r="BX1589" i="67"/>
  <c r="BW1650" i="67"/>
  <c r="BX1570" i="67"/>
  <c r="BW1631" i="67"/>
  <c r="BW1623" i="67"/>
  <c r="BX1562" i="67"/>
  <c r="BW1619" i="67"/>
  <c r="BX1558" i="67"/>
  <c r="BW1328" i="67"/>
  <c r="BX1267" i="67"/>
  <c r="BX1250" i="67"/>
  <c r="BW1311" i="67"/>
  <c r="BX983" i="67"/>
  <c r="BW1044" i="67"/>
  <c r="BX976" i="67"/>
  <c r="BW1037" i="67"/>
  <c r="BX148" i="67"/>
  <c r="BW209" i="67"/>
  <c r="BX209" i="67" s="1"/>
  <c r="AB64" i="67"/>
  <c r="AI63" i="67"/>
  <c r="AI48" i="67"/>
  <c r="AC48" i="67"/>
  <c r="D41" i="67"/>
  <c r="E41" i="67"/>
  <c r="AI40" i="67"/>
  <c r="AC40" i="67"/>
  <c r="AB40" i="67"/>
  <c r="F30" i="67"/>
  <c r="G30" i="67"/>
  <c r="AI22" i="67"/>
  <c r="AC22" i="67"/>
  <c r="AB22" i="67"/>
  <c r="AB17" i="67"/>
  <c r="AI16" i="67"/>
  <c r="AJ16" i="67"/>
  <c r="AC16" i="67"/>
  <c r="AB16" i="67"/>
  <c r="D16" i="67"/>
  <c r="E16" i="67"/>
  <c r="AI15" i="67"/>
  <c r="AJ15" i="67"/>
  <c r="AC15" i="67"/>
  <c r="BW1409" i="67"/>
  <c r="BX1348" i="67"/>
  <c r="BW1067" i="67"/>
  <c r="BX1071" i="67"/>
  <c r="BW1642" i="67"/>
  <c r="BX1581" i="67"/>
  <c r="BW1639" i="67"/>
  <c r="BX1578" i="67"/>
  <c r="BW1625" i="67"/>
  <c r="BX1564" i="67"/>
  <c r="BX1358" i="67"/>
  <c r="BW175" i="67"/>
  <c r="BX114" i="67"/>
  <c r="BW171" i="67"/>
  <c r="BX110" i="67"/>
  <c r="BW159" i="67"/>
  <c r="BX98" i="67"/>
  <c r="BX1318" i="67"/>
  <c r="BW1379" i="67"/>
  <c r="BW732" i="67"/>
  <c r="BX671" i="67"/>
  <c r="BW718" i="67"/>
  <c r="BX657" i="67"/>
  <c r="BX647" i="67"/>
  <c r="BW708" i="67"/>
  <c r="BX634" i="67"/>
  <c r="BW695" i="67"/>
  <c r="BX713" i="67"/>
  <c r="BW1411" i="67"/>
  <c r="F40" i="67"/>
  <c r="AC17" i="67"/>
  <c r="E21" i="67"/>
  <c r="D21" i="67"/>
  <c r="AI14" i="67"/>
  <c r="AJ62" i="67"/>
  <c r="AB58" i="67"/>
  <c r="AC56" i="67"/>
  <c r="AC47" i="67"/>
  <c r="F32" i="67"/>
  <c r="F20" i="67"/>
  <c r="E57" i="77"/>
  <c r="E20" i="77"/>
  <c r="E54" i="77"/>
  <c r="E78" i="77"/>
  <c r="E98" i="77"/>
  <c r="AI62" i="67"/>
  <c r="AJ25" i="67"/>
  <c r="G19" i="67"/>
  <c r="AC13" i="67"/>
  <c r="AI9" i="67"/>
  <c r="D46" i="67"/>
  <c r="E46" i="67"/>
  <c r="F42" i="67"/>
  <c r="F39" i="67"/>
  <c r="D38" i="67"/>
  <c r="AC23" i="67"/>
  <c r="DD9" i="69"/>
  <c r="E62" i="77"/>
  <c r="E11" i="77"/>
  <c r="E5" i="77"/>
  <c r="E69" i="77"/>
  <c r="E25" i="77"/>
  <c r="E100" i="77"/>
  <c r="E46" i="77"/>
  <c r="E45" i="77"/>
  <c r="E94" i="77"/>
  <c r="E60" i="77"/>
  <c r="E102" i="77"/>
  <c r="E89" i="77"/>
  <c r="E39" i="77"/>
  <c r="E59" i="77"/>
  <c r="E82" i="77"/>
  <c r="E31" i="77"/>
  <c r="E96" i="77"/>
  <c r="E16" i="77"/>
  <c r="E74" i="77"/>
  <c r="E73" i="77"/>
  <c r="E50" i="77"/>
  <c r="E56" i="77"/>
  <c r="D111" i="75"/>
  <c r="D99" i="75"/>
  <c r="D47" i="75"/>
  <c r="D84" i="75"/>
  <c r="D107" i="75"/>
  <c r="D27" i="75"/>
  <c r="D57" i="75"/>
  <c r="D52" i="75"/>
  <c r="D70" i="75"/>
  <c r="D15" i="75"/>
  <c r="D83" i="75"/>
  <c r="D46" i="75"/>
  <c r="D44" i="75"/>
  <c r="D82" i="75"/>
  <c r="D71" i="75"/>
  <c r="D67" i="75"/>
  <c r="D23" i="75"/>
  <c r="D104" i="75"/>
  <c r="D49" i="75"/>
  <c r="D25" i="75"/>
  <c r="D97" i="75"/>
  <c r="D66" i="75"/>
  <c r="D8" i="75"/>
  <c r="D3" i="75"/>
  <c r="D112" i="75"/>
  <c r="D95" i="75"/>
  <c r="D91" i="75"/>
  <c r="D87" i="75"/>
  <c r="D81" i="75"/>
  <c r="D78" i="75"/>
  <c r="D74" i="75"/>
  <c r="D65" i="75"/>
  <c r="D61" i="75"/>
  <c r="D56" i="75"/>
  <c r="D51" i="75"/>
  <c r="D40" i="75"/>
  <c r="D35" i="75"/>
  <c r="D31" i="75"/>
  <c r="D22" i="75"/>
  <c r="D11" i="75"/>
  <c r="D17" i="75"/>
  <c r="D37" i="75"/>
  <c r="D5" i="75"/>
  <c r="D10" i="75"/>
  <c r="D98" i="75"/>
  <c r="D94" i="75"/>
  <c r="D80" i="75"/>
  <c r="D69" i="75"/>
  <c r="D64" i="75"/>
  <c r="D60" i="75"/>
  <c r="D43" i="75"/>
  <c r="D14" i="75"/>
  <c r="D12" i="75"/>
  <c r="D110" i="75"/>
  <c r="D13" i="75"/>
  <c r="D101" i="75"/>
  <c r="D106" i="75"/>
  <c r="D21" i="75"/>
  <c r="D6" i="75"/>
  <c r="D93" i="75"/>
  <c r="D76" i="75"/>
  <c r="D72" i="75"/>
  <c r="D68" i="75"/>
  <c r="D63" i="75"/>
  <c r="D59" i="75"/>
  <c r="D54" i="75"/>
  <c r="D45" i="75"/>
  <c r="D42" i="75"/>
  <c r="D29" i="75"/>
  <c r="B15" i="68"/>
  <c r="K6" i="68" s="1"/>
  <c r="D7" i="75"/>
  <c r="D19" i="75"/>
  <c r="D33" i="75"/>
  <c r="D41" i="75"/>
  <c r="D18" i="75"/>
  <c r="D89" i="75"/>
  <c r="D58" i="75"/>
  <c r="D77" i="75"/>
  <c r="D38" i="75"/>
  <c r="D55" i="75"/>
  <c r="D90" i="75"/>
  <c r="D4" i="75"/>
  <c r="D62" i="75"/>
  <c r="D39" i="75"/>
  <c r="D109" i="75"/>
  <c r="D75" i="75"/>
  <c r="D36" i="75"/>
  <c r="D9" i="75"/>
  <c r="D53" i="75"/>
  <c r="D88" i="75"/>
  <c r="D86" i="75"/>
  <c r="D92" i="75"/>
  <c r="D96" i="75"/>
  <c r="D79" i="75"/>
  <c r="D100" i="75"/>
  <c r="D2" i="75"/>
  <c r="D24" i="75"/>
  <c r="D20" i="75"/>
  <c r="D103" i="75"/>
  <c r="D105" i="75"/>
  <c r="D34" i="75"/>
  <c r="D50" i="75"/>
  <c r="D85" i="75"/>
  <c r="D26" i="75"/>
  <c r="D16" i="75"/>
  <c r="D32" i="75"/>
  <c r="D102" i="75"/>
  <c r="D30" i="75"/>
  <c r="D28" i="75"/>
  <c r="D48" i="75"/>
  <c r="D73" i="75"/>
  <c r="D68" i="79"/>
  <c r="D12" i="79"/>
  <c r="D67" i="79"/>
  <c r="D27" i="79"/>
  <c r="D47" i="79"/>
  <c r="D30" i="79"/>
  <c r="D81" i="78"/>
  <c r="D65" i="78"/>
  <c r="D26" i="79"/>
  <c r="D103" i="79"/>
  <c r="D91" i="79"/>
  <c r="D11" i="79"/>
  <c r="D40" i="79"/>
  <c r="D2" i="79"/>
  <c r="D94" i="79"/>
  <c r="D14" i="79"/>
  <c r="D61" i="78"/>
  <c r="D49" i="78"/>
  <c r="D21" i="78"/>
  <c r="D51" i="78"/>
  <c r="D62" i="79"/>
  <c r="D99" i="79"/>
  <c r="D72" i="79"/>
  <c r="D95" i="79"/>
  <c r="D28" i="79"/>
  <c r="D83" i="79"/>
  <c r="D79" i="79"/>
  <c r="D75" i="79"/>
  <c r="D63" i="79"/>
  <c r="D59" i="79"/>
  <c r="D51" i="79"/>
  <c r="D43" i="79"/>
  <c r="D35" i="79"/>
  <c r="D31" i="79"/>
  <c r="D19" i="79"/>
  <c r="D15" i="79"/>
  <c r="D3" i="79"/>
  <c r="D24" i="79"/>
  <c r="D60" i="79"/>
  <c r="D88" i="79"/>
  <c r="D90" i="79"/>
  <c r="D58" i="79"/>
  <c r="D78" i="79"/>
  <c r="D44" i="79"/>
  <c r="D56" i="79"/>
  <c r="D66" i="79"/>
  <c r="D42" i="79"/>
  <c r="D46" i="79"/>
  <c r="D45" i="78"/>
  <c r="D70" i="78"/>
  <c r="D99" i="78"/>
  <c r="D12" i="78"/>
  <c r="D30" i="78"/>
  <c r="D36" i="78"/>
  <c r="D9" i="78"/>
  <c r="D37" i="78"/>
  <c r="D47" i="78"/>
  <c r="D2" i="78"/>
  <c r="D3" i="78"/>
  <c r="D75" i="78"/>
  <c r="D59" i="78"/>
  <c r="D96" i="78"/>
  <c r="D46" i="78"/>
  <c r="D55" i="78"/>
  <c r="D22" i="78"/>
  <c r="D7" i="79"/>
  <c r="D23" i="79"/>
  <c r="D39" i="79"/>
  <c r="D55" i="79"/>
  <c r="D71" i="79"/>
  <c r="D87" i="79"/>
  <c r="D92" i="79"/>
  <c r="D100" i="79"/>
  <c r="D8" i="79"/>
  <c r="D101" i="79"/>
  <c r="D97" i="79"/>
  <c r="D93" i="79"/>
  <c r="D89" i="79"/>
  <c r="D85" i="79"/>
  <c r="D81" i="79"/>
  <c r="D77" i="79"/>
  <c r="D73" i="79"/>
  <c r="D69" i="79"/>
  <c r="D65" i="79"/>
  <c r="D61" i="79"/>
  <c r="D57" i="79"/>
  <c r="D53" i="79"/>
  <c r="D49" i="79"/>
  <c r="D45" i="79"/>
  <c r="D41" i="79"/>
  <c r="D37" i="79"/>
  <c r="D33" i="79"/>
  <c r="D29" i="79"/>
  <c r="D25" i="79"/>
  <c r="D21" i="79"/>
  <c r="D17" i="79"/>
  <c r="D13" i="79"/>
  <c r="D9" i="79"/>
  <c r="D5" i="79"/>
  <c r="D5" i="78"/>
  <c r="D35" i="78"/>
  <c r="D36" i="79"/>
  <c r="D4" i="79"/>
  <c r="D80" i="79"/>
  <c r="D48" i="79"/>
  <c r="D16" i="79"/>
  <c r="D82" i="79"/>
  <c r="D10" i="79"/>
  <c r="D74" i="79"/>
  <c r="D18" i="79"/>
  <c r="D102" i="79"/>
  <c r="D70" i="79"/>
  <c r="D38" i="79"/>
  <c r="D6" i="79"/>
  <c r="D52" i="79"/>
  <c r="D20" i="79"/>
  <c r="D96" i="79"/>
  <c r="D64" i="79"/>
  <c r="D32" i="79"/>
  <c r="D98" i="79"/>
  <c r="D34" i="79"/>
  <c r="D84" i="79"/>
  <c r="D50" i="79"/>
  <c r="D76" i="79"/>
  <c r="D86" i="79"/>
  <c r="D54" i="79"/>
  <c r="D22" i="79"/>
  <c r="D7" i="78"/>
  <c r="D71" i="78"/>
  <c r="D74" i="78"/>
  <c r="D58" i="78"/>
  <c r="D29" i="78"/>
  <c r="D24" i="78"/>
  <c r="D95" i="78"/>
  <c r="D100" i="78"/>
  <c r="D50" i="78"/>
  <c r="D72" i="78"/>
  <c r="D6" i="78"/>
  <c r="D101" i="78"/>
  <c r="D92" i="78"/>
  <c r="D53" i="78"/>
  <c r="D38" i="78"/>
  <c r="D94" i="78"/>
  <c r="D98" i="78"/>
  <c r="D80" i="78"/>
  <c r="D19" i="78"/>
  <c r="D44" i="78"/>
  <c r="D89" i="78"/>
  <c r="D4" i="78"/>
  <c r="D57" i="78"/>
  <c r="D56" i="78"/>
  <c r="D28" i="78"/>
  <c r="D52" i="78"/>
  <c r="D23" i="78"/>
  <c r="D93" i="78"/>
  <c r="D13" i="78"/>
  <c r="D87" i="78"/>
  <c r="D60" i="78"/>
  <c r="D27" i="78"/>
  <c r="D18" i="78"/>
  <c r="D48" i="78"/>
  <c r="D54" i="78"/>
  <c r="D85" i="78"/>
  <c r="D67" i="78"/>
  <c r="D91" i="78"/>
  <c r="D15" i="78"/>
  <c r="D77" i="78"/>
  <c r="D62" i="78"/>
  <c r="D86" i="78"/>
  <c r="D16" i="78"/>
  <c r="D43" i="78"/>
  <c r="D84" i="78"/>
  <c r="D83" i="78"/>
  <c r="D79" i="78"/>
  <c r="D73" i="78"/>
  <c r="D66" i="78"/>
  <c r="D17" i="78"/>
  <c r="D8" i="78"/>
  <c r="D39" i="78"/>
  <c r="D41" i="78"/>
  <c r="D10" i="78"/>
  <c r="D68" i="78"/>
  <c r="D11" i="78"/>
  <c r="D32" i="78"/>
  <c r="D88" i="78"/>
  <c r="D78" i="78"/>
  <c r="D25" i="78"/>
  <c r="D82" i="78"/>
  <c r="D97" i="78"/>
  <c r="D76" i="78"/>
  <c r="D63" i="78"/>
  <c r="D33" i="78"/>
  <c r="D90" i="78"/>
  <c r="D42" i="78"/>
  <c r="D64" i="78"/>
  <c r="D20" i="78"/>
  <c r="D14" i="78"/>
  <c r="D69" i="78"/>
  <c r="D40" i="78"/>
  <c r="D26" i="78"/>
  <c r="D34" i="78"/>
  <c r="D31" i="78"/>
  <c r="G16" i="68"/>
  <c r="H16" i="68" s="1"/>
  <c r="DN10" i="69"/>
  <c r="BX1399" i="67" l="1"/>
  <c r="BW1381" i="67"/>
  <c r="BX421" i="67"/>
  <c r="BX191" i="67"/>
  <c r="BX387" i="67"/>
  <c r="BX1460" i="67"/>
  <c r="BX802" i="67"/>
  <c r="BX1364" i="67"/>
  <c r="BX1014" i="67"/>
  <c r="BW889" i="67"/>
  <c r="BX889" i="67" s="1"/>
  <c r="BW472" i="67"/>
  <c r="BW533" i="67" s="1"/>
  <c r="BX1008" i="67"/>
  <c r="BW1800" i="67"/>
  <c r="BX1800" i="67" s="1"/>
  <c r="BX1638" i="67"/>
  <c r="BX704" i="67"/>
  <c r="BW868" i="67"/>
  <c r="BX1028" i="67"/>
  <c r="BX726" i="67"/>
  <c r="BX746" i="67"/>
  <c r="BX1695" i="67"/>
  <c r="BX1679" i="67"/>
  <c r="BX743" i="67"/>
  <c r="BX767" i="67"/>
  <c r="BW806" i="67"/>
  <c r="BX1155" i="67"/>
  <c r="BX1160" i="67"/>
  <c r="BX1303" i="67"/>
  <c r="BX1702" i="67"/>
  <c r="BX1306" i="67"/>
  <c r="BW752" i="67"/>
  <c r="BW1061" i="67"/>
  <c r="BX1061" i="67" s="1"/>
  <c r="BX803" i="67"/>
  <c r="BW460" i="67"/>
  <c r="BX460" i="67" s="1"/>
  <c r="BW505" i="67"/>
  <c r="BX505" i="67" s="1"/>
  <c r="BX1724" i="67"/>
  <c r="BX474" i="67"/>
  <c r="BX1653" i="67"/>
  <c r="BX1707" i="67"/>
  <c r="BX734" i="67"/>
  <c r="BX1694" i="67"/>
  <c r="BW871" i="67"/>
  <c r="BW932" i="67" s="1"/>
  <c r="BX932" i="67" s="1"/>
  <c r="BW590" i="67"/>
  <c r="BX590" i="67" s="1"/>
  <c r="BW1394" i="67"/>
  <c r="BX1394" i="67" s="1"/>
  <c r="BX1678" i="67"/>
  <c r="BX519" i="67"/>
  <c r="BW1721" i="67"/>
  <c r="BX1721" i="67" s="1"/>
  <c r="BW1110" i="67"/>
  <c r="BW1171" i="67" s="1"/>
  <c r="BX1038" i="67"/>
  <c r="BW237" i="67"/>
  <c r="BX237" i="67" s="1"/>
  <c r="BX383" i="67"/>
  <c r="BX413" i="67"/>
  <c r="BX738" i="67"/>
  <c r="BW799" i="67"/>
  <c r="BW924" i="67"/>
  <c r="BX924" i="67" s="1"/>
  <c r="BX863" i="67"/>
  <c r="BW402" i="67"/>
  <c r="BX341" i="67"/>
  <c r="BW1743" i="67"/>
  <c r="BW1804" i="67" s="1"/>
  <c r="BX1804" i="67" s="1"/>
  <c r="BW385" i="67"/>
  <c r="BW446" i="67" s="1"/>
  <c r="BX1677" i="67"/>
  <c r="BW1420" i="67"/>
  <c r="BX1420" i="67" s="1"/>
  <c r="BX739" i="67"/>
  <c r="BX1756" i="67"/>
  <c r="BW1415" i="67"/>
  <c r="BW1476" i="67" s="1"/>
  <c r="BW764" i="67"/>
  <c r="BW825" i="67" s="1"/>
  <c r="BX1032" i="67"/>
  <c r="BW1180" i="67"/>
  <c r="BX1180" i="67" s="1"/>
  <c r="BX1375" i="67"/>
  <c r="BW1208" i="67"/>
  <c r="BX1208" i="67" s="1"/>
  <c r="BX1054" i="67"/>
  <c r="BW1154" i="67"/>
  <c r="BW1215" i="67" s="1"/>
  <c r="BX1215" i="67" s="1"/>
  <c r="BW214" i="67"/>
  <c r="BX214" i="67" s="1"/>
  <c r="BX1618" i="67"/>
  <c r="BX1388" i="67"/>
  <c r="BX1449" i="67"/>
  <c r="BX482" i="67"/>
  <c r="BX1621" i="67"/>
  <c r="BW578" i="67"/>
  <c r="BX578" i="67" s="1"/>
  <c r="BX517" i="67"/>
  <c r="BX348" i="67"/>
  <c r="BW409" i="67"/>
  <c r="BX821" i="67"/>
  <c r="BW882" i="67"/>
  <c r="BX882" i="67" s="1"/>
  <c r="BW1422" i="67"/>
  <c r="BW1483" i="67" s="1"/>
  <c r="BX786" i="67"/>
  <c r="BX720" i="67"/>
  <c r="BW1799" i="67"/>
  <c r="BX1799" i="67" s="1"/>
  <c r="BX184" i="67"/>
  <c r="BX760" i="67"/>
  <c r="BX1086" i="67"/>
  <c r="BW247" i="67"/>
  <c r="BX247" i="67" s="1"/>
  <c r="BW908" i="67"/>
  <c r="BX908" i="67" s="1"/>
  <c r="BW1801" i="67"/>
  <c r="BX1801" i="67" s="1"/>
  <c r="BX1029" i="67"/>
  <c r="BW1090" i="67"/>
  <c r="BW1402" i="67"/>
  <c r="BX1341" i="67"/>
  <c r="BW1421" i="67"/>
  <c r="BX1360" i="67"/>
  <c r="BW893" i="67"/>
  <c r="BX893" i="67" s="1"/>
  <c r="BX832" i="67"/>
  <c r="BX509" i="67"/>
  <c r="BW1366" i="67"/>
  <c r="BX1366" i="67" s="1"/>
  <c r="BX1150" i="67"/>
  <c r="BX543" i="67"/>
  <c r="BW1828" i="67"/>
  <c r="BX1828" i="67" s="1"/>
  <c r="BX503" i="67"/>
  <c r="BX723" i="67"/>
  <c r="BW784" i="67"/>
  <c r="BX1342" i="67"/>
  <c r="BW1403" i="67"/>
  <c r="BW859" i="67"/>
  <c r="BX798" i="67"/>
  <c r="BX1406" i="67"/>
  <c r="BW1467" i="67"/>
  <c r="BX1620" i="67"/>
  <c r="BW1681" i="67"/>
  <c r="BW1445" i="67"/>
  <c r="BX1384" i="67"/>
  <c r="BW574" i="67"/>
  <c r="BX574" i="67" s="1"/>
  <c r="BX513" i="67"/>
  <c r="BW424" i="67"/>
  <c r="BX363" i="67"/>
  <c r="BW1701" i="67"/>
  <c r="BX1640" i="67"/>
  <c r="BW1689" i="67"/>
  <c r="BX1628" i="67"/>
  <c r="BW1114" i="67"/>
  <c r="BW427" i="67"/>
  <c r="BW488" i="67" s="1"/>
  <c r="BX442" i="67"/>
  <c r="BW393" i="67"/>
  <c r="BW454" i="67" s="1"/>
  <c r="BX376" i="67"/>
  <c r="BW437" i="67"/>
  <c r="BX1343" i="67"/>
  <c r="BW1404" i="67"/>
  <c r="BW1478" i="67"/>
  <c r="BX1417" i="67"/>
  <c r="BW1371" i="67"/>
  <c r="BX1310" i="67"/>
  <c r="BW493" i="67"/>
  <c r="BX432" i="67"/>
  <c r="BX1726" i="67"/>
  <c r="BW1787" i="67"/>
  <c r="BX736" i="67"/>
  <c r="BW797" i="67"/>
  <c r="BX1335" i="67"/>
  <c r="BW1396" i="67"/>
  <c r="BW1751" i="67"/>
  <c r="BX1751" i="67" s="1"/>
  <c r="BX801" i="67"/>
  <c r="BX448" i="67"/>
  <c r="BW1704" i="67"/>
  <c r="BX1704" i="67" s="1"/>
  <c r="BW826" i="67"/>
  <c r="BW887" i="67" s="1"/>
  <c r="BX887" i="67" s="1"/>
  <c r="BW1204" i="67"/>
  <c r="BX1204" i="67" s="1"/>
  <c r="BW789" i="67"/>
  <c r="BW850" i="67" s="1"/>
  <c r="BX1075" i="67"/>
  <c r="BW1136" i="67"/>
  <c r="BX412" i="67"/>
  <c r="BW473" i="67"/>
  <c r="BX1612" i="67"/>
  <c r="BW1673" i="67"/>
  <c r="BW1392" i="67"/>
  <c r="BX1331" i="67"/>
  <c r="BX1101" i="67"/>
  <c r="BW1162" i="67"/>
  <c r="BW416" i="67"/>
  <c r="BX355" i="67"/>
  <c r="BX1339" i="67"/>
  <c r="BW1400" i="67"/>
  <c r="BW1233" i="67"/>
  <c r="BX1233" i="67" s="1"/>
  <c r="BX1172" i="67"/>
  <c r="BX791" i="67"/>
  <c r="BW852" i="67"/>
  <c r="BW1832" i="67"/>
  <c r="BX1832" i="67" s="1"/>
  <c r="BX1771" i="67"/>
  <c r="BX715" i="67"/>
  <c r="BW776" i="67"/>
  <c r="BW1725" i="67"/>
  <c r="BX1664" i="67"/>
  <c r="BW1687" i="67"/>
  <c r="BX1626" i="67"/>
  <c r="BX1727" i="67"/>
  <c r="BW1788" i="67"/>
  <c r="BX361" i="67"/>
  <c r="BW1135" i="67"/>
  <c r="BW1196" i="67" s="1"/>
  <c r="BX1196" i="67" s="1"/>
  <c r="BW521" i="67"/>
  <c r="BX521" i="67" s="1"/>
  <c r="BX1731" i="67"/>
  <c r="BW1674" i="67"/>
  <c r="BX1674" i="67" s="1"/>
  <c r="BW501" i="67"/>
  <c r="BW1407" i="67"/>
  <c r="BW1468" i="67" s="1"/>
  <c r="BW1736" i="67"/>
  <c r="BW1797" i="67" s="1"/>
  <c r="BX1797" i="67" s="1"/>
  <c r="BX1759" i="67"/>
  <c r="BW1492" i="67"/>
  <c r="BX1492" i="67" s="1"/>
  <c r="BX1154" i="67"/>
  <c r="BX1096" i="67"/>
  <c r="BX1024" i="67"/>
  <c r="BW1085" i="67"/>
  <c r="BW1477" i="67"/>
  <c r="BX1416" i="67"/>
  <c r="BX1041" i="67"/>
  <c r="BW1102" i="67"/>
  <c r="BW780" i="67"/>
  <c r="BX719" i="67"/>
  <c r="BW1442" i="67"/>
  <c r="BX1381" i="67"/>
  <c r="BX707" i="67"/>
  <c r="BW768" i="67"/>
  <c r="BX1373" i="67"/>
  <c r="BW1434" i="67"/>
  <c r="BW1382" i="67"/>
  <c r="BX1321" i="67"/>
  <c r="BX190" i="67"/>
  <c r="BW251" i="67"/>
  <c r="BX251" i="67" s="1"/>
  <c r="BX1414" i="67"/>
  <c r="BW1475" i="67"/>
  <c r="BX712" i="67"/>
  <c r="BW773" i="67"/>
  <c r="BW1087" i="67"/>
  <c r="BX1026" i="67"/>
  <c r="BX1717" i="67"/>
  <c r="BW1778" i="67"/>
  <c r="BX178" i="67"/>
  <c r="BW239" i="67"/>
  <c r="BX239" i="67" s="1"/>
  <c r="BX325" i="67"/>
  <c r="BW386" i="67"/>
  <c r="BX349" i="67"/>
  <c r="BW410" i="67"/>
  <c r="BX426" i="67"/>
  <c r="BW487" i="67"/>
  <c r="BW1201" i="67"/>
  <c r="BX1201" i="67" s="1"/>
  <c r="BX1140" i="67"/>
  <c r="BX804" i="67"/>
  <c r="BW865" i="67"/>
  <c r="BX1035" i="67"/>
  <c r="BW1757" i="67"/>
  <c r="BW1818" i="67" s="1"/>
  <c r="BX1818" i="67" s="1"/>
  <c r="BX340" i="67"/>
  <c r="BW401" i="67"/>
  <c r="BW1377" i="67"/>
  <c r="BX1316" i="67"/>
  <c r="BX1654" i="67"/>
  <c r="BW1715" i="67"/>
  <c r="BW1462" i="67"/>
  <c r="BX1401" i="67"/>
  <c r="BW565" i="67"/>
  <c r="BX504" i="67"/>
  <c r="BW1064" i="67"/>
  <c r="BX1003" i="67"/>
  <c r="BX1699" i="67"/>
  <c r="BW1760" i="67"/>
  <c r="BX182" i="67"/>
  <c r="BW243" i="67"/>
  <c r="BX243" i="67" s="1"/>
  <c r="BX328" i="67"/>
  <c r="BW389" i="67"/>
  <c r="BW1439" i="67"/>
  <c r="BX1378" i="67"/>
  <c r="BX372" i="67"/>
  <c r="BW848" i="67"/>
  <c r="BX848" i="67" s="1"/>
  <c r="BW246" i="67"/>
  <c r="BX246" i="67" s="1"/>
  <c r="BW1428" i="67"/>
  <c r="BW1489" i="67" s="1"/>
  <c r="BX1489" i="67" s="1"/>
  <c r="BW1471" i="67"/>
  <c r="BW1532" i="67" s="1"/>
  <c r="BX1532" i="67" s="1"/>
  <c r="BW459" i="67"/>
  <c r="BW520" i="67" s="1"/>
  <c r="BX1170" i="67"/>
  <c r="BX694" i="67"/>
  <c r="BW755" i="67"/>
  <c r="BX1658" i="67"/>
  <c r="BW1719" i="67"/>
  <c r="BX1070" i="67"/>
  <c r="BW1131" i="67"/>
  <c r="BX1430" i="67"/>
  <c r="BW1491" i="67"/>
  <c r="BX1491" i="67" s="1"/>
  <c r="BX1622" i="67"/>
  <c r="BW1683" i="67"/>
  <c r="BX1056" i="67"/>
  <c r="BW1117" i="67"/>
  <c r="BX1713" i="67"/>
  <c r="BW1774" i="67"/>
  <c r="BW753" i="67"/>
  <c r="BX692" i="67"/>
  <c r="BX1034" i="67"/>
  <c r="BW1095" i="67"/>
  <c r="BW1385" i="67"/>
  <c r="BX1324" i="67"/>
  <c r="BX174" i="67"/>
  <c r="BW235" i="67"/>
  <c r="BX235" i="67" s="1"/>
  <c r="BX357" i="67"/>
  <c r="BW418" i="67"/>
  <c r="BW1084" i="67"/>
  <c r="BX1023" i="67"/>
  <c r="BX1737" i="67"/>
  <c r="BW1798" i="67"/>
  <c r="BX1798" i="67" s="1"/>
  <c r="BW1427" i="67"/>
  <c r="BW1728" i="67"/>
  <c r="BX1667" i="67"/>
  <c r="BX748" i="67"/>
  <c r="BW809" i="67"/>
  <c r="BW1455" i="67"/>
  <c r="BX1110" i="67"/>
  <c r="BW216" i="67"/>
  <c r="BX216" i="67" s="1"/>
  <c r="BX155" i="67"/>
  <c r="BW400" i="67"/>
  <c r="BX339" i="67"/>
  <c r="BX1012" i="67"/>
  <c r="BW1073" i="67"/>
  <c r="BW1365" i="67"/>
  <c r="BX1304" i="67"/>
  <c r="BX364" i="67"/>
  <c r="BW425" i="67"/>
  <c r="BX1624" i="67"/>
  <c r="BW1685" i="67"/>
  <c r="BW1458" i="67"/>
  <c r="BX1397" i="67"/>
  <c r="BW249" i="67"/>
  <c r="BX249" i="67" s="1"/>
  <c r="BX188" i="67"/>
  <c r="BX149" i="67"/>
  <c r="BW210" i="67"/>
  <c r="BX210" i="67" s="1"/>
  <c r="BX826" i="67"/>
  <c r="BW1113" i="67"/>
  <c r="BX1052" i="67"/>
  <c r="BX1413" i="67"/>
  <c r="BW1474" i="67"/>
  <c r="BX1091" i="67"/>
  <c r="BW1152" i="67"/>
  <c r="BW1130" i="67"/>
  <c r="BX1069" i="67"/>
  <c r="BW230" i="67"/>
  <c r="BX230" i="67" s="1"/>
  <c r="BX169" i="67"/>
  <c r="BX781" i="67"/>
  <c r="BW842" i="67"/>
  <c r="BX731" i="67"/>
  <c r="BW792" i="67"/>
  <c r="BW1100" i="67"/>
  <c r="BX1039" i="67"/>
  <c r="BX1046" i="67"/>
  <c r="BW1107" i="67"/>
  <c r="BX499" i="67"/>
  <c r="BW560" i="67"/>
  <c r="BW1712" i="67"/>
  <c r="BX1712" i="67" s="1"/>
  <c r="BW1723" i="67"/>
  <c r="BX1723" i="67" s="1"/>
  <c r="BX374" i="67"/>
  <c r="BW435" i="67"/>
  <c r="BW231" i="67"/>
  <c r="BX231" i="67" s="1"/>
  <c r="BX170" i="67"/>
  <c r="BW500" i="67"/>
  <c r="BX439" i="67"/>
  <c r="BX714" i="67"/>
  <c r="BW775" i="67"/>
  <c r="BX747" i="67"/>
  <c r="BW808" i="67"/>
  <c r="BX701" i="67"/>
  <c r="BW762" i="67"/>
  <c r="BW1754" i="67"/>
  <c r="BX1693" i="67"/>
  <c r="BX1391" i="67"/>
  <c r="BW1452" i="67"/>
  <c r="BW1765" i="67"/>
  <c r="BX819" i="67"/>
  <c r="BW880" i="67"/>
  <c r="BX880" i="67" s="1"/>
  <c r="BW1733" i="67"/>
  <c r="BX1672" i="67"/>
  <c r="BX1435" i="67"/>
  <c r="BW1496" i="67"/>
  <c r="BX1496" i="67" s="1"/>
  <c r="BX345" i="67"/>
  <c r="BW406" i="67"/>
  <c r="BW1386" i="67"/>
  <c r="BX1325" i="67"/>
  <c r="BW542" i="67"/>
  <c r="BX481" i="67"/>
  <c r="DO7" i="69"/>
  <c r="DN6" i="69"/>
  <c r="E33" i="68"/>
  <c r="E8" i="68"/>
  <c r="BW577" i="67"/>
  <c r="BX577" i="67" s="1"/>
  <c r="BX516" i="67"/>
  <c r="BX1729" i="67"/>
  <c r="BW1790" i="67"/>
  <c r="BW1188" i="67"/>
  <c r="BX1188" i="67" s="1"/>
  <c r="BX1127" i="67"/>
  <c r="BW1497" i="67"/>
  <c r="BX1497" i="67" s="1"/>
  <c r="BX1436" i="67"/>
  <c r="BW1486" i="67"/>
  <c r="BX1486" i="67" s="1"/>
  <c r="BX1425" i="67"/>
  <c r="BW491" i="67"/>
  <c r="BX430" i="67"/>
  <c r="BW238" i="67"/>
  <c r="BX238" i="67" s="1"/>
  <c r="BX177" i="67"/>
  <c r="BW1077" i="67"/>
  <c r="BX1016" i="67"/>
  <c r="BW1092" i="67"/>
  <c r="BX1031" i="67"/>
  <c r="BW1376" i="67"/>
  <c r="BX1315" i="67"/>
  <c r="BX1337" i="67"/>
  <c r="BW1398" i="67"/>
  <c r="BW1469" i="67"/>
  <c r="BX1408" i="67"/>
  <c r="BW1718" i="67"/>
  <c r="BX1657" i="67"/>
  <c r="BX1165" i="67"/>
  <c r="BW1226" i="67"/>
  <c r="BX1226" i="67" s="1"/>
  <c r="BX459" i="67"/>
  <c r="BX329" i="67"/>
  <c r="BW390" i="67"/>
  <c r="BW514" i="67"/>
  <c r="BX453" i="67"/>
  <c r="BX815" i="67"/>
  <c r="BW876" i="67"/>
  <c r="BX876" i="67" s="1"/>
  <c r="BX478" i="67"/>
  <c r="BW539" i="67"/>
  <c r="BX161" i="67"/>
  <c r="BW222" i="67"/>
  <c r="BX222" i="67" s="1"/>
  <c r="BX1045" i="67"/>
  <c r="BW1106" i="67"/>
  <c r="BW414" i="67"/>
  <c r="BX353" i="67"/>
  <c r="BX835" i="67"/>
  <c r="BW896" i="67"/>
  <c r="BX896" i="67" s="1"/>
  <c r="BW1205" i="67"/>
  <c r="BX1205" i="67" s="1"/>
  <c r="BX1144" i="67"/>
  <c r="BX1395" i="67"/>
  <c r="BW1456" i="67"/>
  <c r="BW1393" i="67"/>
  <c r="BX1332" i="67"/>
  <c r="BX449" i="67"/>
  <c r="BW510" i="67"/>
  <c r="BX393" i="67"/>
  <c r="BW476" i="67"/>
  <c r="BX415" i="67"/>
  <c r="BX472" i="67"/>
  <c r="BW490" i="67"/>
  <c r="BX429" i="67"/>
  <c r="BX1743" i="67"/>
  <c r="BW625" i="67"/>
  <c r="BX625" i="67" s="1"/>
  <c r="BX564" i="67"/>
  <c r="BW234" i="67"/>
  <c r="BX234" i="67" s="1"/>
  <c r="BX173" i="67"/>
  <c r="BW257" i="67"/>
  <c r="BX257" i="67" s="1"/>
  <c r="BX196" i="67"/>
  <c r="BX727" i="67"/>
  <c r="BW788" i="67"/>
  <c r="BW796" i="67"/>
  <c r="BX735" i="67"/>
  <c r="BX1157" i="67"/>
  <c r="BW1218" i="67"/>
  <c r="BX1218" i="67" s="1"/>
  <c r="BW1164" i="67"/>
  <c r="BX1103" i="67"/>
  <c r="BW1387" i="67"/>
  <c r="BX1326" i="67"/>
  <c r="BW1405" i="67"/>
  <c r="BX1344" i="67"/>
  <c r="BW228" i="67"/>
  <c r="BX228" i="67" s="1"/>
  <c r="BW465" i="67"/>
  <c r="BX404" i="67"/>
  <c r="BX717" i="67"/>
  <c r="BW778" i="67"/>
  <c r="BW1481" i="67"/>
  <c r="BX157" i="67"/>
  <c r="BW218" i="67"/>
  <c r="BX218" i="67" s="1"/>
  <c r="BX1017" i="67"/>
  <c r="BW1078" i="67"/>
  <c r="BX702" i="67"/>
  <c r="BW763" i="67"/>
  <c r="BW1691" i="67"/>
  <c r="BX1630" i="67"/>
  <c r="BX800" i="67"/>
  <c r="BW861" i="67"/>
  <c r="BX722" i="67"/>
  <c r="BW783" i="67"/>
  <c r="BX428" i="67"/>
  <c r="BW489" i="67"/>
  <c r="BW1697" i="67"/>
  <c r="BX1636" i="67"/>
  <c r="BW1782" i="67"/>
  <c r="BW1137" i="67"/>
  <c r="BX1076" i="67"/>
  <c r="BX1121" i="67"/>
  <c r="BW1182" i="67"/>
  <c r="BX1182" i="67" s="1"/>
  <c r="BX843" i="67"/>
  <c r="BW904" i="67"/>
  <c r="BX904" i="67" s="1"/>
  <c r="BX1415" i="67"/>
  <c r="BX342" i="67"/>
  <c r="BW403" i="67"/>
  <c r="BW436" i="67"/>
  <c r="BX375" i="67"/>
  <c r="BX1051" i="67"/>
  <c r="BW1112" i="67"/>
  <c r="BX1307" i="67"/>
  <c r="BW1368" i="67"/>
  <c r="BW759" i="67"/>
  <c r="BX698" i="67"/>
  <c r="BW457" i="67"/>
  <c r="BX396" i="67"/>
  <c r="BX146" i="67"/>
  <c r="BW207" i="67"/>
  <c r="BX207" i="67" s="1"/>
  <c r="BW213" i="67"/>
  <c r="BX213" i="67" s="1"/>
  <c r="BX152" i="67"/>
  <c r="BW530" i="67"/>
  <c r="BX469" i="67"/>
  <c r="BX1390" i="67"/>
  <c r="BW1451" i="67"/>
  <c r="BW1824" i="67"/>
  <c r="BX1824" i="67" s="1"/>
  <c r="BX1763" i="67"/>
  <c r="BW242" i="67"/>
  <c r="BX242" i="67" s="1"/>
  <c r="BX181" i="67"/>
  <c r="BW419" i="67"/>
  <c r="BX358" i="67"/>
  <c r="BW777" i="67"/>
  <c r="BX716" i="67"/>
  <c r="BX750" i="67"/>
  <c r="BW811" i="67"/>
  <c r="BX1055" i="67"/>
  <c r="BW1116" i="67"/>
  <c r="BW1412" i="67"/>
  <c r="BX1351" i="67"/>
  <c r="BX818" i="67"/>
  <c r="BW879" i="67"/>
  <c r="BX879" i="67" s="1"/>
  <c r="BX1115" i="67"/>
  <c r="BW1176" i="67"/>
  <c r="BW1692" i="67"/>
  <c r="BX1631" i="67"/>
  <c r="BX795" i="67"/>
  <c r="BW856" i="67"/>
  <c r="BX862" i="67"/>
  <c r="BW923" i="67"/>
  <c r="BX923" i="67" s="1"/>
  <c r="BW582" i="67"/>
  <c r="BX582" i="67" s="1"/>
  <c r="BW1122" i="67"/>
  <c r="BX385" i="67"/>
  <c r="BX433" i="67"/>
  <c r="BW494" i="67"/>
  <c r="BX695" i="67"/>
  <c r="BW756" i="67"/>
  <c r="BW232" i="67"/>
  <c r="BX232" i="67" s="1"/>
  <c r="BX171" i="67"/>
  <c r="BX1419" i="67"/>
  <c r="BW1480" i="67"/>
  <c r="BX1639" i="67"/>
  <c r="BW1700" i="67"/>
  <c r="BW1128" i="67"/>
  <c r="BX1067" i="67"/>
  <c r="BX1328" i="67"/>
  <c r="BW1389" i="67"/>
  <c r="BX1619" i="67"/>
  <c r="BW1680" i="67"/>
  <c r="BX1714" i="67"/>
  <c r="BW1775" i="67"/>
  <c r="BX1088" i="67"/>
  <c r="BW1149" i="67"/>
  <c r="BW1705" i="67"/>
  <c r="BX1644" i="67"/>
  <c r="BX405" i="67"/>
  <c r="BW466" i="67"/>
  <c r="BX744" i="67"/>
  <c r="BW805" i="67"/>
  <c r="BW1735" i="67"/>
  <c r="BX1720" i="67"/>
  <c r="BW1781" i="67"/>
  <c r="BX434" i="67"/>
  <c r="BW495" i="67"/>
  <c r="BW793" i="67"/>
  <c r="BX732" i="67"/>
  <c r="BW1175" i="67"/>
  <c r="BX1114" i="67"/>
  <c r="BW779" i="67"/>
  <c r="BX718" i="67"/>
  <c r="BX1044" i="67"/>
  <c r="BW1105" i="67"/>
  <c r="BX1311" i="67"/>
  <c r="BW1372" i="67"/>
  <c r="BX1650" i="67"/>
  <c r="BW1711" i="67"/>
  <c r="BW1812" i="67"/>
  <c r="BX1812" i="67" s="1"/>
  <c r="BW1831" i="67"/>
  <c r="BX1831" i="67" s="1"/>
  <c r="BX1770" i="67"/>
  <c r="BX1755" i="67"/>
  <c r="BW1816" i="67"/>
  <c r="BX1816" i="67" s="1"/>
  <c r="BW553" i="67"/>
  <c r="BX492" i="67"/>
  <c r="BX1011" i="67"/>
  <c r="BW1072" i="67"/>
  <c r="BX1020" i="67"/>
  <c r="BW1081" i="67"/>
  <c r="BW1838" i="67"/>
  <c r="BX1838" i="67" s="1"/>
  <c r="BX1777" i="67"/>
  <c r="BX484" i="67"/>
  <c r="BW545" i="67"/>
  <c r="BX441" i="67"/>
  <c r="BW502" i="67"/>
  <c r="BW867" i="67"/>
  <c r="BX806" i="67"/>
  <c r="BX1037" i="67"/>
  <c r="BW1098" i="67"/>
  <c r="BW1444" i="67"/>
  <c r="BX1383" i="67"/>
  <c r="BX1768" i="67"/>
  <c r="BW1829" i="67"/>
  <c r="BX1829" i="67" s="1"/>
  <c r="BX1647" i="67"/>
  <c r="BW1708" i="67"/>
  <c r="BX1411" i="67"/>
  <c r="BW1472" i="67"/>
  <c r="BX422" i="67"/>
  <c r="BW483" i="67"/>
  <c r="BW769" i="67"/>
  <c r="BX708" i="67"/>
  <c r="BX1379" i="67"/>
  <c r="BW1440" i="67"/>
  <c r="BX159" i="67"/>
  <c r="BW220" i="67"/>
  <c r="BX220" i="67" s="1"/>
  <c r="BX175" i="67"/>
  <c r="BW236" i="67"/>
  <c r="BX236" i="67" s="1"/>
  <c r="BW1686" i="67"/>
  <c r="BX1625" i="67"/>
  <c r="BW1703" i="67"/>
  <c r="BX1642" i="67"/>
  <c r="BW1193" i="67"/>
  <c r="BX1193" i="67" s="1"/>
  <c r="BX1132" i="67"/>
  <c r="BX1409" i="67"/>
  <c r="BW1470" i="67"/>
  <c r="BX1623" i="67"/>
  <c r="BW1684" i="67"/>
  <c r="BW1773" i="67"/>
  <c r="BW1120" i="67"/>
  <c r="BX1059" i="67"/>
  <c r="BX1135" i="67"/>
  <c r="BX1610" i="67"/>
  <c r="BW1671" i="67"/>
  <c r="BW822" i="67"/>
  <c r="BX761" i="67"/>
  <c r="BX871" i="67"/>
  <c r="BX1422" i="67" l="1"/>
  <c r="BX752" i="67"/>
  <c r="BW813" i="67"/>
  <c r="BX868" i="67"/>
  <c r="BW929" i="67"/>
  <c r="BX929" i="67" s="1"/>
  <c r="BX1471" i="67"/>
  <c r="BW566" i="67"/>
  <c r="BW860" i="67"/>
  <c r="BX799" i="67"/>
  <c r="BX402" i="67"/>
  <c r="BW463" i="67"/>
  <c r="BW909" i="67"/>
  <c r="BX909" i="67" s="1"/>
  <c r="BX1736" i="67"/>
  <c r="BX764" i="67"/>
  <c r="BX427" i="67"/>
  <c r="BX789" i="67"/>
  <c r="BX409" i="67"/>
  <c r="BW470" i="67"/>
  <c r="BW1463" i="67"/>
  <c r="BX1402" i="67"/>
  <c r="BW1151" i="67"/>
  <c r="BX1090" i="67"/>
  <c r="BW1482" i="67"/>
  <c r="BX1421" i="67"/>
  <c r="BW1453" i="67"/>
  <c r="BX1392" i="67"/>
  <c r="BW845" i="67"/>
  <c r="BX784" i="67"/>
  <c r="BW1734" i="67"/>
  <c r="BX1673" i="67"/>
  <c r="BW1197" i="67"/>
  <c r="BX1197" i="67" s="1"/>
  <c r="BX1136" i="67"/>
  <c r="BX493" i="67"/>
  <c r="BW554" i="67"/>
  <c r="BW1539" i="67"/>
  <c r="BX1539" i="67" s="1"/>
  <c r="BX1478" i="67"/>
  <c r="BX1701" i="67"/>
  <c r="BW1762" i="67"/>
  <c r="BW920" i="67"/>
  <c r="BX920" i="67" s="1"/>
  <c r="BX859" i="67"/>
  <c r="BW858" i="67"/>
  <c r="BX797" i="67"/>
  <c r="BW498" i="67"/>
  <c r="BX437" i="67"/>
  <c r="BX1681" i="67"/>
  <c r="BW1742" i="67"/>
  <c r="BW1457" i="67"/>
  <c r="BX1396" i="67"/>
  <c r="BW1848" i="67"/>
  <c r="BX1848" i="67" s="1"/>
  <c r="BX1787" i="67"/>
  <c r="BW1465" i="67"/>
  <c r="BX1404" i="67"/>
  <c r="BW1528" i="67"/>
  <c r="BX1528" i="67" s="1"/>
  <c r="BX1467" i="67"/>
  <c r="BX1403" i="67"/>
  <c r="BW1464" i="67"/>
  <c r="BX1757" i="67"/>
  <c r="BW534" i="67"/>
  <c r="BX473" i="67"/>
  <c r="BX1371" i="67"/>
  <c r="BW1432" i="67"/>
  <c r="BX1689" i="67"/>
  <c r="BW1750" i="67"/>
  <c r="BX424" i="67"/>
  <c r="BW485" i="67"/>
  <c r="BX1445" i="67"/>
  <c r="BW1506" i="67"/>
  <c r="BX1506" i="67" s="1"/>
  <c r="BW1145" i="67"/>
  <c r="BX1084" i="67"/>
  <c r="BW626" i="67"/>
  <c r="BX626" i="67" s="1"/>
  <c r="BX565" i="67"/>
  <c r="BW1443" i="67"/>
  <c r="BX1382" i="67"/>
  <c r="BW841" i="67"/>
  <c r="BX780" i="67"/>
  <c r="BW1538" i="67"/>
  <c r="BX1538" i="67" s="1"/>
  <c r="BX1477" i="67"/>
  <c r="BX1788" i="67"/>
  <c r="BW1849" i="67"/>
  <c r="BX1849" i="67" s="1"/>
  <c r="BW479" i="67"/>
  <c r="BX418" i="67"/>
  <c r="BX1117" i="67"/>
  <c r="BW1178" i="67"/>
  <c r="BX1719" i="67"/>
  <c r="BW1780" i="67"/>
  <c r="BW471" i="67"/>
  <c r="BX410" i="67"/>
  <c r="BX566" i="67"/>
  <c r="BW627" i="67"/>
  <c r="BX627" i="67" s="1"/>
  <c r="BX1434" i="67"/>
  <c r="BW1495" i="67"/>
  <c r="BX1495" i="67" s="1"/>
  <c r="BX1102" i="67"/>
  <c r="BW1163" i="67"/>
  <c r="BW1146" i="67"/>
  <c r="BX1085" i="67"/>
  <c r="BW562" i="67"/>
  <c r="BX501" i="67"/>
  <c r="BX1725" i="67"/>
  <c r="BW1786" i="67"/>
  <c r="BX416" i="67"/>
  <c r="BW477" i="67"/>
  <c r="BX1428" i="67"/>
  <c r="BX1407" i="67"/>
  <c r="BX1385" i="67"/>
  <c r="BW1446" i="67"/>
  <c r="BW814" i="67"/>
  <c r="BX753" i="67"/>
  <c r="BX1439" i="67"/>
  <c r="BW1500" i="67"/>
  <c r="BX1500" i="67" s="1"/>
  <c r="BX1064" i="67"/>
  <c r="BW1125" i="67"/>
  <c r="BX1462" i="67"/>
  <c r="BW1523" i="67"/>
  <c r="BX1523" i="67" s="1"/>
  <c r="BW1438" i="67"/>
  <c r="BX1377" i="67"/>
  <c r="BW1148" i="67"/>
  <c r="BX1087" i="67"/>
  <c r="BW1503" i="67"/>
  <c r="BX1503" i="67" s="1"/>
  <c r="BX1442" i="67"/>
  <c r="BX776" i="67"/>
  <c r="BW837" i="67"/>
  <c r="BW913" i="67"/>
  <c r="BX913" i="67" s="1"/>
  <c r="BX852" i="67"/>
  <c r="BX1400" i="67"/>
  <c r="BW1461" i="67"/>
  <c r="BX1162" i="67"/>
  <c r="BW1223" i="67"/>
  <c r="BX1223" i="67" s="1"/>
  <c r="BW1784" i="67"/>
  <c r="BX1784" i="67" s="1"/>
  <c r="BW1156" i="67"/>
  <c r="BX1095" i="67"/>
  <c r="BX1774" i="67"/>
  <c r="BW1835" i="67"/>
  <c r="BX1835" i="67" s="1"/>
  <c r="BW1744" i="67"/>
  <c r="BX1683" i="67"/>
  <c r="BX1131" i="67"/>
  <c r="BW1192" i="67"/>
  <c r="BX1192" i="67" s="1"/>
  <c r="BW816" i="67"/>
  <c r="BX755" i="67"/>
  <c r="BW450" i="67"/>
  <c r="BX389" i="67"/>
  <c r="BX1760" i="67"/>
  <c r="BW1821" i="67"/>
  <c r="BX1821" i="67" s="1"/>
  <c r="BX1715" i="67"/>
  <c r="BW1776" i="67"/>
  <c r="BW462" i="67"/>
  <c r="BX401" i="67"/>
  <c r="BX865" i="67"/>
  <c r="BW926" i="67"/>
  <c r="BX926" i="67" s="1"/>
  <c r="BX487" i="67"/>
  <c r="BW548" i="67"/>
  <c r="BW447" i="67"/>
  <c r="BX386" i="67"/>
  <c r="BX1778" i="67"/>
  <c r="BW1839" i="67"/>
  <c r="BX1839" i="67" s="1"/>
  <c r="BW834" i="67"/>
  <c r="BX773" i="67"/>
  <c r="BW1536" i="67"/>
  <c r="BX1536" i="67" s="1"/>
  <c r="BX1475" i="67"/>
  <c r="BW829" i="67"/>
  <c r="BX768" i="67"/>
  <c r="BX1687" i="67"/>
  <c r="BW1748" i="67"/>
  <c r="BW1843" i="67"/>
  <c r="BX1843" i="67" s="1"/>
  <c r="BX1782" i="67"/>
  <c r="BW1542" i="67"/>
  <c r="BX1542" i="67" s="1"/>
  <c r="BX1481" i="67"/>
  <c r="BW600" i="67"/>
  <c r="BX600" i="67" s="1"/>
  <c r="BX539" i="67"/>
  <c r="BX488" i="67"/>
  <c r="BW549" i="67"/>
  <c r="BW1851" i="67"/>
  <c r="BX1851" i="67" s="1"/>
  <c r="BX1790" i="67"/>
  <c r="BX1107" i="67"/>
  <c r="BW1168" i="67"/>
  <c r="BW1516" i="67"/>
  <c r="BX1516" i="67" s="1"/>
  <c r="BX1455" i="67"/>
  <c r="BW1177" i="67"/>
  <c r="BX1116" i="67"/>
  <c r="BW1173" i="67"/>
  <c r="BX1112" i="67"/>
  <c r="BX403" i="67"/>
  <c r="BW464" i="67"/>
  <c r="BW1537" i="67"/>
  <c r="BX1537" i="67" s="1"/>
  <c r="BX1476" i="67"/>
  <c r="BW1544" i="67"/>
  <c r="BX1544" i="67" s="1"/>
  <c r="BX1483" i="67"/>
  <c r="BW922" i="67"/>
  <c r="BX922" i="67" s="1"/>
  <c r="BX861" i="67"/>
  <c r="BX763" i="67"/>
  <c r="BW824" i="67"/>
  <c r="BX778" i="67"/>
  <c r="BW839" i="67"/>
  <c r="BW1448" i="67"/>
  <c r="BX1387" i="67"/>
  <c r="BX490" i="67"/>
  <c r="BW551" i="67"/>
  <c r="BW537" i="67"/>
  <c r="BX476" i="67"/>
  <c r="BW575" i="67"/>
  <c r="BX575" i="67" s="1"/>
  <c r="BX514" i="67"/>
  <c r="BX1469" i="67"/>
  <c r="BW1530" i="67"/>
  <c r="BX1530" i="67" s="1"/>
  <c r="BW1437" i="67"/>
  <c r="BX1376" i="67"/>
  <c r="BX1077" i="67"/>
  <c r="BW1138" i="67"/>
  <c r="BX491" i="67"/>
  <c r="BW552" i="67"/>
  <c r="BW603" i="67"/>
  <c r="BX603" i="67" s="1"/>
  <c r="BX542" i="67"/>
  <c r="BX1386" i="67"/>
  <c r="BW1447" i="67"/>
  <c r="BW1191" i="67"/>
  <c r="BX1191" i="67" s="1"/>
  <c r="BX1130" i="67"/>
  <c r="BX1365" i="67"/>
  <c r="BW1426" i="67"/>
  <c r="BW461" i="67"/>
  <c r="BX400" i="67"/>
  <c r="BW1789" i="67"/>
  <c r="BX1728" i="67"/>
  <c r="BX530" i="67"/>
  <c r="BW591" i="67"/>
  <c r="BX591" i="67" s="1"/>
  <c r="BX1691" i="67"/>
  <c r="BW1752" i="67"/>
  <c r="BW526" i="67"/>
  <c r="BX465" i="67"/>
  <c r="BW1517" i="67"/>
  <c r="BX1517" i="67" s="1"/>
  <c r="BX1456" i="67"/>
  <c r="BX1452" i="67"/>
  <c r="BW1513" i="67"/>
  <c r="BX1513" i="67" s="1"/>
  <c r="BX775" i="67"/>
  <c r="BW836" i="67"/>
  <c r="BX1765" i="67"/>
  <c r="BW1826" i="67"/>
  <c r="BX1826" i="67" s="1"/>
  <c r="BX808" i="67"/>
  <c r="BW869" i="67"/>
  <c r="BW496" i="67"/>
  <c r="BX435" i="67"/>
  <c r="BX560" i="67"/>
  <c r="BW621" i="67"/>
  <c r="BX621" i="67" s="1"/>
  <c r="BX842" i="67"/>
  <c r="BW903" i="67"/>
  <c r="BX903" i="67" s="1"/>
  <c r="BW1213" i="67"/>
  <c r="BX1213" i="67" s="1"/>
  <c r="BX1152" i="67"/>
  <c r="BX425" i="67"/>
  <c r="BW486" i="67"/>
  <c r="BX1073" i="67"/>
  <c r="BW1134" i="67"/>
  <c r="BX809" i="67"/>
  <c r="BW870" i="67"/>
  <c r="BX1427" i="67"/>
  <c r="BW1488" i="67"/>
  <c r="BX1488" i="67" s="1"/>
  <c r="BX1412" i="67"/>
  <c r="BW1473" i="67"/>
  <c r="BX419" i="67"/>
  <c r="BW480" i="67"/>
  <c r="BW497" i="67"/>
  <c r="BX436" i="67"/>
  <c r="BX1137" i="67"/>
  <c r="BW1198" i="67"/>
  <c r="BX1198" i="67" s="1"/>
  <c r="BW849" i="67"/>
  <c r="BX788" i="67"/>
  <c r="BX510" i="67"/>
  <c r="BW571" i="67"/>
  <c r="BX571" i="67" s="1"/>
  <c r="BX1106" i="67"/>
  <c r="BW1167" i="67"/>
  <c r="BX762" i="67"/>
  <c r="BW823" i="67"/>
  <c r="BX850" i="67"/>
  <c r="BW911" i="67"/>
  <c r="BX911" i="67" s="1"/>
  <c r="BW853" i="67"/>
  <c r="BX792" i="67"/>
  <c r="BW1535" i="67"/>
  <c r="BX1535" i="67" s="1"/>
  <c r="BX1474" i="67"/>
  <c r="BX1685" i="67"/>
  <c r="BW1746" i="67"/>
  <c r="BX777" i="67"/>
  <c r="BW838" i="67"/>
  <c r="BX457" i="67"/>
  <c r="BW518" i="67"/>
  <c r="BW820" i="67"/>
  <c r="BX759" i="67"/>
  <c r="BX1697" i="67"/>
  <c r="BW1758" i="67"/>
  <c r="BW1529" i="67"/>
  <c r="BX1529" i="67" s="1"/>
  <c r="BX1468" i="67"/>
  <c r="BX533" i="67"/>
  <c r="BW594" i="67"/>
  <c r="BX594" i="67" s="1"/>
  <c r="BW515" i="67"/>
  <c r="BX454" i="67"/>
  <c r="BW451" i="67"/>
  <c r="BX390" i="67"/>
  <c r="BX520" i="67"/>
  <c r="BW581" i="67"/>
  <c r="BX581" i="67" s="1"/>
  <c r="BW1459" i="67"/>
  <c r="BX1398" i="67"/>
  <c r="BX406" i="67"/>
  <c r="BW467" i="67"/>
  <c r="BX1176" i="67"/>
  <c r="BW1237" i="67"/>
  <c r="BX1237" i="67" s="1"/>
  <c r="BX811" i="67"/>
  <c r="BW872" i="67"/>
  <c r="BW1512" i="67"/>
  <c r="BX1512" i="67" s="1"/>
  <c r="BX1451" i="67"/>
  <c r="BX1368" i="67"/>
  <c r="BW1429" i="67"/>
  <c r="BX825" i="67"/>
  <c r="BW886" i="67"/>
  <c r="BX886" i="67" s="1"/>
  <c r="BX489" i="67"/>
  <c r="BW550" i="67"/>
  <c r="BW844" i="67"/>
  <c r="BX783" i="67"/>
  <c r="BW1139" i="67"/>
  <c r="BX1078" i="67"/>
  <c r="BW1466" i="67"/>
  <c r="BX1405" i="67"/>
  <c r="BX1164" i="67"/>
  <c r="BW1225" i="67"/>
  <c r="BX1225" i="67" s="1"/>
  <c r="BW857" i="67"/>
  <c r="BX796" i="67"/>
  <c r="BX1393" i="67"/>
  <c r="BW1454" i="67"/>
  <c r="BW475" i="67"/>
  <c r="BX414" i="67"/>
  <c r="BW1779" i="67"/>
  <c r="BX1718" i="67"/>
  <c r="BW1153" i="67"/>
  <c r="BX1092" i="67"/>
  <c r="BX1733" i="67"/>
  <c r="BW1794" i="67"/>
  <c r="BX1794" i="67" s="1"/>
  <c r="BX1754" i="67"/>
  <c r="BW1815" i="67"/>
  <c r="BX1815" i="67" s="1"/>
  <c r="BX500" i="67"/>
  <c r="BW561" i="67"/>
  <c r="BX1100" i="67"/>
  <c r="BW1161" i="67"/>
  <c r="BX1113" i="67"/>
  <c r="BW1174" i="67"/>
  <c r="BX1458" i="67"/>
  <c r="BW1519" i="67"/>
  <c r="BX1519" i="67" s="1"/>
  <c r="BX1171" i="67"/>
  <c r="BW1232" i="67"/>
  <c r="BX1232" i="67" s="1"/>
  <c r="BW1181" i="67"/>
  <c r="BX1181" i="67" s="1"/>
  <c r="BX1120" i="67"/>
  <c r="BW1764" i="67"/>
  <c r="BX1703" i="67"/>
  <c r="BX553" i="67"/>
  <c r="BW614" i="67"/>
  <c r="BX614" i="67" s="1"/>
  <c r="BW1745" i="67"/>
  <c r="BX1684" i="67"/>
  <c r="BX1472" i="67"/>
  <c r="BW1533" i="67"/>
  <c r="BX1533" i="67" s="1"/>
  <c r="BX1711" i="67"/>
  <c r="BW1772" i="67"/>
  <c r="BW1166" i="67"/>
  <c r="BX1105" i="67"/>
  <c r="BX495" i="67"/>
  <c r="BW556" i="67"/>
  <c r="BX1781" i="67"/>
  <c r="BW1842" i="67"/>
  <c r="BX1842" i="67" s="1"/>
  <c r="BX805" i="67"/>
  <c r="BW866" i="67"/>
  <c r="BX1775" i="67"/>
  <c r="BW1836" i="67"/>
  <c r="BX1836" i="67" s="1"/>
  <c r="BX1389" i="67"/>
  <c r="BW1450" i="67"/>
  <c r="BW1761" i="67"/>
  <c r="BX1700" i="67"/>
  <c r="BW555" i="67"/>
  <c r="BX494" i="67"/>
  <c r="BW1753" i="67"/>
  <c r="BX1692" i="67"/>
  <c r="BW1159" i="67"/>
  <c r="BX1098" i="67"/>
  <c r="BX822" i="67"/>
  <c r="BW883" i="67"/>
  <c r="BX883" i="67" s="1"/>
  <c r="BW1747" i="67"/>
  <c r="BX1686" i="67"/>
  <c r="BX769" i="67"/>
  <c r="BW830" i="67"/>
  <c r="BW1769" i="67"/>
  <c r="BX1708" i="67"/>
  <c r="BX502" i="67"/>
  <c r="BW563" i="67"/>
  <c r="BW606" i="67"/>
  <c r="BX606" i="67" s="1"/>
  <c r="BX545" i="67"/>
  <c r="BX1081" i="67"/>
  <c r="BW1142" i="67"/>
  <c r="BW840" i="67"/>
  <c r="BX779" i="67"/>
  <c r="BX1175" i="67"/>
  <c r="BW1236" i="67"/>
  <c r="BX1236" i="67" s="1"/>
  <c r="BX1705" i="67"/>
  <c r="BW1766" i="67"/>
  <c r="BW917" i="67"/>
  <c r="BX917" i="67" s="1"/>
  <c r="BX856" i="67"/>
  <c r="BX1072" i="67"/>
  <c r="BW1133" i="67"/>
  <c r="BW854" i="67"/>
  <c r="BX793" i="67"/>
  <c r="BW1189" i="67"/>
  <c r="BX1189" i="67" s="1"/>
  <c r="BX1128" i="67"/>
  <c r="BW507" i="67"/>
  <c r="BX446" i="67"/>
  <c r="BX1122" i="67"/>
  <c r="BW1183" i="67"/>
  <c r="BX1183" i="67" s="1"/>
  <c r="BX1671" i="67"/>
  <c r="BW1732" i="67"/>
  <c r="BX1773" i="67"/>
  <c r="BW1834" i="67"/>
  <c r="BX1834" i="67" s="1"/>
  <c r="BW1531" i="67"/>
  <c r="BX1531" i="67" s="1"/>
  <c r="BX1470" i="67"/>
  <c r="BW1501" i="67"/>
  <c r="BX1501" i="67" s="1"/>
  <c r="BX1440" i="67"/>
  <c r="BX483" i="67"/>
  <c r="BW544" i="67"/>
  <c r="BW1505" i="67"/>
  <c r="BX1505" i="67" s="1"/>
  <c r="BX1444" i="67"/>
  <c r="BX867" i="67"/>
  <c r="BW928" i="67"/>
  <c r="BX928" i="67" s="1"/>
  <c r="BX1372" i="67"/>
  <c r="BW1433" i="67"/>
  <c r="BX1735" i="67"/>
  <c r="BW1796" i="67"/>
  <c r="BX1796" i="67" s="1"/>
  <c r="BX466" i="67"/>
  <c r="BW527" i="67"/>
  <c r="BW1210" i="67"/>
  <c r="BX1210" i="67" s="1"/>
  <c r="BX1149" i="67"/>
  <c r="BW1741" i="67"/>
  <c r="BX1680" i="67"/>
  <c r="BX1480" i="67"/>
  <c r="BW1541" i="67"/>
  <c r="BX1541" i="67" s="1"/>
  <c r="BW817" i="67"/>
  <c r="BX756" i="67"/>
  <c r="BX813" i="67" l="1"/>
  <c r="BW874" i="67"/>
  <c r="BX874" i="67" s="1"/>
  <c r="BW921" i="67"/>
  <c r="BX921" i="67" s="1"/>
  <c r="BX860" i="67"/>
  <c r="BW1845" i="67"/>
  <c r="BX1845" i="67" s="1"/>
  <c r="BW524" i="67"/>
  <c r="BX463" i="67"/>
  <c r="BX470" i="67"/>
  <c r="BW531" i="67"/>
  <c r="BX1151" i="67"/>
  <c r="BW1212" i="67"/>
  <c r="BX1212" i="67" s="1"/>
  <c r="BW1543" i="67"/>
  <c r="BX1543" i="67" s="1"/>
  <c r="BX1482" i="67"/>
  <c r="BX1463" i="67"/>
  <c r="BW1524" i="67"/>
  <c r="BX1524" i="67" s="1"/>
  <c r="BX1750" i="67"/>
  <c r="BW1811" i="67"/>
  <c r="BX1811" i="67" s="1"/>
  <c r="BW1526" i="67"/>
  <c r="BX1526" i="67" s="1"/>
  <c r="BX1465" i="67"/>
  <c r="BW1518" i="67"/>
  <c r="BX1518" i="67" s="1"/>
  <c r="BX1457" i="67"/>
  <c r="BW559" i="67"/>
  <c r="BX498" i="67"/>
  <c r="BX845" i="67"/>
  <c r="BW906" i="67"/>
  <c r="BX906" i="67" s="1"/>
  <c r="BX1464" i="67"/>
  <c r="BW1525" i="67"/>
  <c r="BX1525" i="67" s="1"/>
  <c r="BW595" i="67"/>
  <c r="BX595" i="67" s="1"/>
  <c r="BX534" i="67"/>
  <c r="BW1803" i="67"/>
  <c r="BX1803" i="67" s="1"/>
  <c r="BX1742" i="67"/>
  <c r="BW1823" i="67"/>
  <c r="BX1823" i="67" s="1"/>
  <c r="BX1762" i="67"/>
  <c r="BW615" i="67"/>
  <c r="BX615" i="67" s="1"/>
  <c r="BX554" i="67"/>
  <c r="BX485" i="67"/>
  <c r="BW546" i="67"/>
  <c r="BW1493" i="67"/>
  <c r="BX1493" i="67" s="1"/>
  <c r="BX1432" i="67"/>
  <c r="BW919" i="67"/>
  <c r="BX919" i="67" s="1"/>
  <c r="BX858" i="67"/>
  <c r="BX1734" i="67"/>
  <c r="BW1795" i="67"/>
  <c r="BX1795" i="67" s="1"/>
  <c r="BW1514" i="67"/>
  <c r="BX1514" i="67" s="1"/>
  <c r="BX1453" i="67"/>
  <c r="BX829" i="67"/>
  <c r="BW890" i="67"/>
  <c r="BX890" i="67" s="1"/>
  <c r="BW895" i="67"/>
  <c r="BX895" i="67" s="1"/>
  <c r="BX834" i="67"/>
  <c r="BX447" i="67"/>
  <c r="BW508" i="67"/>
  <c r="BW511" i="67"/>
  <c r="BX450" i="67"/>
  <c r="BW1186" i="67"/>
  <c r="BX1186" i="67" s="1"/>
  <c r="BX1125" i="67"/>
  <c r="BX1786" i="67"/>
  <c r="BW1847" i="67"/>
  <c r="BX1847" i="67" s="1"/>
  <c r="BW1239" i="67"/>
  <c r="BX1239" i="67" s="1"/>
  <c r="BX1178" i="67"/>
  <c r="BW1809" i="67"/>
  <c r="BX1809" i="67" s="1"/>
  <c r="BX1748" i="67"/>
  <c r="BW609" i="67"/>
  <c r="BX609" i="67" s="1"/>
  <c r="BX548" i="67"/>
  <c r="BW1499" i="67"/>
  <c r="BX1499" i="67" s="1"/>
  <c r="BX1438" i="67"/>
  <c r="BX814" i="67"/>
  <c r="BW875" i="67"/>
  <c r="BX875" i="67" s="1"/>
  <c r="BW1207" i="67"/>
  <c r="BX1207" i="67" s="1"/>
  <c r="BX1146" i="67"/>
  <c r="BX471" i="67"/>
  <c r="BW532" i="67"/>
  <c r="BX841" i="67"/>
  <c r="BW902" i="67"/>
  <c r="BX902" i="67" s="1"/>
  <c r="BW523" i="67"/>
  <c r="BX462" i="67"/>
  <c r="BW877" i="67"/>
  <c r="BX877" i="67" s="1"/>
  <c r="BX816" i="67"/>
  <c r="BX1744" i="67"/>
  <c r="BW1805" i="67"/>
  <c r="BX1805" i="67" s="1"/>
  <c r="BX1156" i="67"/>
  <c r="BW1217" i="67"/>
  <c r="BX1217" i="67" s="1"/>
  <c r="BW1522" i="67"/>
  <c r="BX1522" i="67" s="1"/>
  <c r="BX1461" i="67"/>
  <c r="BW898" i="67"/>
  <c r="BX898" i="67" s="1"/>
  <c r="BX837" i="67"/>
  <c r="BX1446" i="67"/>
  <c r="BW1507" i="67"/>
  <c r="BX1507" i="67" s="1"/>
  <c r="BX477" i="67"/>
  <c r="BW538" i="67"/>
  <c r="BW1224" i="67"/>
  <c r="BX1224" i="67" s="1"/>
  <c r="BX1163" i="67"/>
  <c r="BW1841" i="67"/>
  <c r="BX1841" i="67" s="1"/>
  <c r="BX1780" i="67"/>
  <c r="BX1776" i="67"/>
  <c r="BW1837" i="67"/>
  <c r="BX1837" i="67" s="1"/>
  <c r="BW1209" i="67"/>
  <c r="BX1209" i="67" s="1"/>
  <c r="BX1148" i="67"/>
  <c r="BW623" i="67"/>
  <c r="BX623" i="67" s="1"/>
  <c r="BX562" i="67"/>
  <c r="BX479" i="67"/>
  <c r="BW540" i="67"/>
  <c r="BX1443" i="67"/>
  <c r="BW1504" i="67"/>
  <c r="BX1504" i="67" s="1"/>
  <c r="BW1206" i="67"/>
  <c r="BX1206" i="67" s="1"/>
  <c r="BX1145" i="67"/>
  <c r="BW1235" i="67"/>
  <c r="BX1235" i="67" s="1"/>
  <c r="BX1174" i="67"/>
  <c r="BX1161" i="67"/>
  <c r="BW1222" i="67"/>
  <c r="BX1222" i="67" s="1"/>
  <c r="BX1758" i="67"/>
  <c r="BW1819" i="67"/>
  <c r="BX1819" i="67" s="1"/>
  <c r="BX480" i="67"/>
  <c r="BW541" i="67"/>
  <c r="BX1134" i="67"/>
  <c r="BW1195" i="67"/>
  <c r="BX1195" i="67" s="1"/>
  <c r="BW930" i="67"/>
  <c r="BX930" i="67" s="1"/>
  <c r="BX869" i="67"/>
  <c r="BX1752" i="67"/>
  <c r="BW1813" i="67"/>
  <c r="BX1813" i="67" s="1"/>
  <c r="BX1138" i="67"/>
  <c r="BW1199" i="67"/>
  <c r="BX1199" i="67" s="1"/>
  <c r="BX824" i="67"/>
  <c r="BW885" i="67"/>
  <c r="BX885" i="67" s="1"/>
  <c r="BW525" i="67"/>
  <c r="BX464" i="67"/>
  <c r="BX1168" i="67"/>
  <c r="BW1229" i="67"/>
  <c r="BX1229" i="67" s="1"/>
  <c r="BW610" i="67"/>
  <c r="BX610" i="67" s="1"/>
  <c r="BX549" i="67"/>
  <c r="BW579" i="67"/>
  <c r="BX579" i="67" s="1"/>
  <c r="BX518" i="67"/>
  <c r="BW1807" i="67"/>
  <c r="BX1807" i="67" s="1"/>
  <c r="BX1746" i="67"/>
  <c r="BX823" i="67"/>
  <c r="BW884" i="67"/>
  <c r="BX884" i="67" s="1"/>
  <c r="BX836" i="67"/>
  <c r="BW897" i="67"/>
  <c r="BX897" i="67" s="1"/>
  <c r="BW1214" i="67"/>
  <c r="BX1214" i="67" s="1"/>
  <c r="BX1153" i="67"/>
  <c r="BW536" i="67"/>
  <c r="BX475" i="67"/>
  <c r="BX857" i="67"/>
  <c r="BW918" i="67"/>
  <c r="BX918" i="67" s="1"/>
  <c r="BW1527" i="67"/>
  <c r="BX1527" i="67" s="1"/>
  <c r="BX1466" i="67"/>
  <c r="BW905" i="67"/>
  <c r="BX905" i="67" s="1"/>
  <c r="BX844" i="67"/>
  <c r="BW1520" i="67"/>
  <c r="BX1520" i="67" s="1"/>
  <c r="BX1459" i="67"/>
  <c r="BX451" i="67"/>
  <c r="BW512" i="67"/>
  <c r="BX853" i="67"/>
  <c r="BW914" i="67"/>
  <c r="BX914" i="67" s="1"/>
  <c r="BW522" i="67"/>
  <c r="BX461" i="67"/>
  <c r="BW598" i="67"/>
  <c r="BX598" i="67" s="1"/>
  <c r="BX537" i="67"/>
  <c r="BX1448" i="67"/>
  <c r="BW1509" i="67"/>
  <c r="BX1509" i="67" s="1"/>
  <c r="BW1238" i="67"/>
  <c r="BX1238" i="67" s="1"/>
  <c r="BX1177" i="67"/>
  <c r="BX561" i="67"/>
  <c r="BW622" i="67"/>
  <c r="BX622" i="67" s="1"/>
  <c r="BX1454" i="67"/>
  <c r="BW1515" i="67"/>
  <c r="BX1515" i="67" s="1"/>
  <c r="BX550" i="67"/>
  <c r="BW611" i="67"/>
  <c r="BX611" i="67" s="1"/>
  <c r="BW1490" i="67"/>
  <c r="BX1490" i="67" s="1"/>
  <c r="BX1429" i="67"/>
  <c r="BX872" i="67"/>
  <c r="BW933" i="67"/>
  <c r="BX933" i="67" s="1"/>
  <c r="BX467" i="67"/>
  <c r="BW528" i="67"/>
  <c r="BW899" i="67"/>
  <c r="BX899" i="67" s="1"/>
  <c r="BX838" i="67"/>
  <c r="BW1228" i="67"/>
  <c r="BX1228" i="67" s="1"/>
  <c r="BX1167" i="67"/>
  <c r="BX1473" i="67"/>
  <c r="BW1534" i="67"/>
  <c r="BX1534" i="67" s="1"/>
  <c r="BX870" i="67"/>
  <c r="BW931" i="67"/>
  <c r="BX931" i="67" s="1"/>
  <c r="BX486" i="67"/>
  <c r="BW547" i="67"/>
  <c r="BW1487" i="67"/>
  <c r="BX1487" i="67" s="1"/>
  <c r="BX1426" i="67"/>
  <c r="BW1508" i="67"/>
  <c r="BX1508" i="67" s="1"/>
  <c r="BX1447" i="67"/>
  <c r="BX552" i="67"/>
  <c r="BW613" i="67"/>
  <c r="BX613" i="67" s="1"/>
  <c r="BX551" i="67"/>
  <c r="BW612" i="67"/>
  <c r="BX612" i="67" s="1"/>
  <c r="BW900" i="67"/>
  <c r="BX900" i="67" s="1"/>
  <c r="BX839" i="67"/>
  <c r="BW1840" i="67"/>
  <c r="BX1840" i="67" s="1"/>
  <c r="BX1779" i="67"/>
  <c r="BW1200" i="67"/>
  <c r="BX1200" i="67" s="1"/>
  <c r="BX1139" i="67"/>
  <c r="BX515" i="67"/>
  <c r="BW576" i="67"/>
  <c r="BX576" i="67" s="1"/>
  <c r="BW881" i="67"/>
  <c r="BX881" i="67" s="1"/>
  <c r="BX820" i="67"/>
  <c r="BW910" i="67"/>
  <c r="BX910" i="67" s="1"/>
  <c r="BX849" i="67"/>
  <c r="BX497" i="67"/>
  <c r="BW558" i="67"/>
  <c r="BW557" i="67"/>
  <c r="BX496" i="67"/>
  <c r="BW587" i="67"/>
  <c r="BX587" i="67" s="1"/>
  <c r="BX526" i="67"/>
  <c r="BX1789" i="67"/>
  <c r="BW1850" i="67"/>
  <c r="BX1850" i="67" s="1"/>
  <c r="BX1437" i="67"/>
  <c r="BW1498" i="67"/>
  <c r="BX1498" i="67" s="1"/>
  <c r="BX1173" i="67"/>
  <c r="BW1234" i="67"/>
  <c r="BX1234" i="67" s="1"/>
  <c r="BW605" i="67"/>
  <c r="BX605" i="67" s="1"/>
  <c r="BX544" i="67"/>
  <c r="BW1793" i="67"/>
  <c r="BX1793" i="67" s="1"/>
  <c r="BX1732" i="67"/>
  <c r="BX1142" i="67"/>
  <c r="BW1203" i="67"/>
  <c r="BX1203" i="67" s="1"/>
  <c r="BW624" i="67"/>
  <c r="BX624" i="67" s="1"/>
  <c r="BX563" i="67"/>
  <c r="BW891" i="67"/>
  <c r="BX891" i="67" s="1"/>
  <c r="BX830" i="67"/>
  <c r="BW1511" i="67"/>
  <c r="BX1511" i="67" s="1"/>
  <c r="BX1450" i="67"/>
  <c r="BW927" i="67"/>
  <c r="BX927" i="67" s="1"/>
  <c r="BX866" i="67"/>
  <c r="BW617" i="67"/>
  <c r="BX617" i="67" s="1"/>
  <c r="BX556" i="67"/>
  <c r="BW1833" i="67"/>
  <c r="BX1833" i="67" s="1"/>
  <c r="BX1772" i="67"/>
  <c r="BW568" i="67"/>
  <c r="BX568" i="67" s="1"/>
  <c r="BX507" i="67"/>
  <c r="BX854" i="67"/>
  <c r="BW915" i="67"/>
  <c r="BX915" i="67" s="1"/>
  <c r="BX1159" i="67"/>
  <c r="BW1220" i="67"/>
  <c r="BX1220" i="67" s="1"/>
  <c r="BX555" i="67"/>
  <c r="BW616" i="67"/>
  <c r="BX616" i="67" s="1"/>
  <c r="BW1806" i="67"/>
  <c r="BX1806" i="67" s="1"/>
  <c r="BX1745" i="67"/>
  <c r="BX1764" i="67"/>
  <c r="BW1825" i="67"/>
  <c r="BX1825" i="67" s="1"/>
  <c r="BW588" i="67"/>
  <c r="BX588" i="67" s="1"/>
  <c r="BX527" i="67"/>
  <c r="BW1494" i="67"/>
  <c r="BX1494" i="67" s="1"/>
  <c r="BX1433" i="67"/>
  <c r="BX1133" i="67"/>
  <c r="BW1194" i="67"/>
  <c r="BX1194" i="67" s="1"/>
  <c r="BX1766" i="67"/>
  <c r="BW1827" i="67"/>
  <c r="BX1827" i="67" s="1"/>
  <c r="BX817" i="67"/>
  <c r="BW878" i="67"/>
  <c r="BX878" i="67" s="1"/>
  <c r="BX1741" i="67"/>
  <c r="BW1802" i="67"/>
  <c r="BX1802" i="67" s="1"/>
  <c r="BX840" i="67"/>
  <c r="BW901" i="67"/>
  <c r="BX901" i="67" s="1"/>
  <c r="BX1769" i="67"/>
  <c r="BW1830" i="67"/>
  <c r="BX1830" i="67" s="1"/>
  <c r="BW1808" i="67"/>
  <c r="BX1808" i="67" s="1"/>
  <c r="BX1747" i="67"/>
  <c r="BX1753" i="67"/>
  <c r="BW1814" i="67"/>
  <c r="BX1814" i="67" s="1"/>
  <c r="BW1822" i="67"/>
  <c r="BX1822" i="67" s="1"/>
  <c r="BX1761" i="67"/>
  <c r="BX1166" i="67"/>
  <c r="BW1227" i="67"/>
  <c r="BX1227" i="67" s="1"/>
  <c r="BW585" i="67" l="1"/>
  <c r="BX585" i="67" s="1"/>
  <c r="BX524" i="67"/>
  <c r="BX531" i="67"/>
  <c r="BW592" i="67"/>
  <c r="BX592" i="67" s="1"/>
  <c r="BW620" i="67"/>
  <c r="BX620" i="67" s="1"/>
  <c r="BX559" i="67"/>
  <c r="BX546" i="67"/>
  <c r="BW607" i="67"/>
  <c r="BX607" i="67" s="1"/>
  <c r="BX540" i="67"/>
  <c r="BW601" i="67"/>
  <c r="BX601" i="67" s="1"/>
  <c r="BX538" i="67"/>
  <c r="BW599" i="67"/>
  <c r="BX599" i="67" s="1"/>
  <c r="BX511" i="67"/>
  <c r="BW572" i="67"/>
  <c r="BX572" i="67" s="1"/>
  <c r="BW593" i="67"/>
  <c r="BX593" i="67" s="1"/>
  <c r="BX532" i="67"/>
  <c r="BW569" i="67"/>
  <c r="BX569" i="67" s="1"/>
  <c r="BX508" i="67"/>
  <c r="BX523" i="67"/>
  <c r="BW584" i="67"/>
  <c r="BX584" i="67" s="1"/>
  <c r="BW619" i="67"/>
  <c r="BX619" i="67" s="1"/>
  <c r="BX558" i="67"/>
  <c r="BX528" i="67"/>
  <c r="BW589" i="67"/>
  <c r="BX589" i="67" s="1"/>
  <c r="BX541" i="67"/>
  <c r="BW602" i="67"/>
  <c r="BX602" i="67" s="1"/>
  <c r="BX547" i="67"/>
  <c r="BW608" i="67"/>
  <c r="BX608" i="67" s="1"/>
  <c r="BW573" i="67"/>
  <c r="BX573" i="67" s="1"/>
  <c r="BX512" i="67"/>
  <c r="BX536" i="67"/>
  <c r="BW597" i="67"/>
  <c r="BX597" i="67" s="1"/>
  <c r="BX525" i="67"/>
  <c r="BW586" i="67"/>
  <c r="BX586" i="67" s="1"/>
  <c r="BX557" i="67"/>
  <c r="BW618" i="67"/>
  <c r="BX618" i="67" s="1"/>
  <c r="BX522" i="67"/>
  <c r="BW583" i="67"/>
  <c r="BX583" i="67" s="1"/>
</calcChain>
</file>

<file path=xl/sharedStrings.xml><?xml version="1.0" encoding="utf-8"?>
<sst xmlns="http://schemas.openxmlformats.org/spreadsheetml/2006/main" count="11846" uniqueCount="640">
  <si>
    <t>YoY Growth ($000)</t>
  </si>
  <si>
    <t>YoY Growth (%)</t>
  </si>
  <si>
    <t>116383|||0|5|False|False|!</t>
  </si>
  <si>
    <t>Group Stat Key</t>
  </si>
  <si>
    <t>Top Tier?</t>
  </si>
  <si>
    <t>Group DPW</t>
  </si>
  <si>
    <t>Filter</t>
  </si>
  <si>
    <t>2008Y</t>
  </si>
  <si>
    <t>0,3,;1,1,;2,1,;</t>
  </si>
  <si>
    <t>Assets</t>
  </si>
  <si>
    <t>PH Surplus</t>
  </si>
  <si>
    <t>Entity Name</t>
  </si>
  <si>
    <t>SNL Statutory Entity Key</t>
  </si>
  <si>
    <t>SNL_CoVsInd</t>
  </si>
  <si>
    <t>Growth Summary</t>
  </si>
  <si>
    <t>Geography:  Grand Totals</t>
  </si>
  <si>
    <t>Direct Adjusted Incurred Loss Ratio (%)</t>
  </si>
  <si>
    <t>Growth ($000)</t>
  </si>
  <si>
    <t>Growth (%)</t>
  </si>
  <si>
    <t>PP Change</t>
  </si>
  <si>
    <t>-</t>
  </si>
  <si>
    <t>xSNLTable(287,Table_Growth_Codes,Table_Growth_KF)</t>
  </si>
  <si>
    <t>SNL_Growth</t>
  </si>
  <si>
    <t>xSNLQuery("SNL_Growth",Query_Growth_KF)</t>
  </si>
  <si>
    <t>Direct Adj Incurred Loss Ratio (%)</t>
  </si>
  <si>
    <t>Direct Premiums Earned ($000)</t>
  </si>
  <si>
    <t>Direct Losses Incurred ($000)</t>
  </si>
  <si>
    <t>Dividends Paid on Direct Business ($000)</t>
  </si>
  <si>
    <t>SNL_MarketShare_GT</t>
  </si>
  <si>
    <t>SNL_PC_Second_Tier</t>
  </si>
  <si>
    <t>SNL_PC_Individuals</t>
  </si>
  <si>
    <t>0,3,;1,5,;2,1,;</t>
  </si>
  <si>
    <t>0,3,;1,2,;2,1,;</t>
  </si>
  <si>
    <t>Instructions</t>
  </si>
  <si>
    <t>x</t>
  </si>
  <si>
    <t>Co Rank</t>
  </si>
  <si>
    <t>Growth Rates</t>
  </si>
  <si>
    <t>5 Yr CAGR</t>
  </si>
  <si>
    <t>1 Yr</t>
  </si>
  <si>
    <t>Geo-graphy</t>
  </si>
  <si>
    <t>DPW ($000)</t>
  </si>
  <si>
    <t>Dir Adj Incur LR (%)</t>
  </si>
  <si>
    <t>Company Totals by State</t>
  </si>
  <si>
    <t>Oth Alien</t>
  </si>
  <si>
    <t>xSNLTable(287,Table_CoVsInd_Codes,Table_CoVsInd_KF,Table_CoVsInd_Per)</t>
  </si>
  <si>
    <t>SNL_PC_List</t>
  </si>
  <si>
    <t>Grand Totals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</si>
  <si>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</si>
  <si>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</si>
  <si>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</si>
  <si>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</si>
  <si>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</si>
  <si>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</si>
  <si>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</si>
  <si>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</si>
  <si>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</si>
  <si>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</si>
  <si>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</si>
  <si>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</si>
  <si>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</si>
  <si>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</si>
  <si>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</si>
  <si>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</si>
  <si>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</si>
  <si>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</si>
  <si>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</si>
  <si>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</si>
  <si>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</si>
  <si>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</si>
  <si>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</si>
  <si>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</si>
  <si>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</si>
  <si>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</si>
  <si>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</si>
  <si>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</si>
  <si>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</si>
  <si>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</si>
  <si>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</si>
  <si>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</si>
  <si>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</si>
  <si>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</si>
  <si>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</si>
  <si>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</si>
  <si>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</si>
  <si>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</si>
  <si>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</si>
  <si>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</si>
  <si>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</si>
  <si>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</si>
  <si>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</si>
  <si>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</si>
  <si>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</si>
  <si>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</si>
  <si>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</si>
  <si>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</si>
  <si>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</si>
  <si>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</si>
  <si>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</si>
  <si>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AS</t>
  </si>
  <si>
    <t>GU</t>
  </si>
  <si>
    <t>MP</t>
  </si>
  <si>
    <t>PR</t>
  </si>
  <si>
    <t>VI</t>
  </si>
  <si>
    <t>Canada</t>
  </si>
  <si>
    <t>Other Alien</t>
  </si>
  <si>
    <t>Direct Premiums Written ($000)</t>
  </si>
  <si>
    <t>DPE</t>
  </si>
  <si>
    <t>Losses</t>
  </si>
  <si>
    <t>Dividends</t>
  </si>
  <si>
    <t>xSNLTable(287,Table_Roll_Codes,Table_Roll_KF2)</t>
  </si>
  <si>
    <t>SNL</t>
  </si>
  <si>
    <t>Stat Key</t>
  </si>
  <si>
    <t>Vert Count</t>
  </si>
  <si>
    <t>Horiz Count</t>
  </si>
  <si>
    <t>P&amp;C Industry</t>
  </si>
  <si>
    <t>I1</t>
  </si>
  <si>
    <t>Sum</t>
  </si>
  <si>
    <t>GP103247</t>
  </si>
  <si>
    <t>5 Yr CAGR (%)</t>
  </si>
  <si>
    <t>3 Yr Avg</t>
  </si>
  <si>
    <t>5 Yr Avg</t>
  </si>
  <si>
    <t>Market Share Report</t>
  </si>
  <si>
    <t>Rank</t>
  </si>
  <si>
    <t>Dollars in 000</t>
  </si>
  <si>
    <t>Net Total Assets</t>
  </si>
  <si>
    <t>Capital and Surplus</t>
  </si>
  <si>
    <t>National DPW</t>
  </si>
  <si>
    <t>SNL Stat Key</t>
  </si>
  <si>
    <t>Market Share (%)</t>
  </si>
  <si>
    <t>DPW</t>
  </si>
  <si>
    <t>Direct Premiums Written</t>
  </si>
  <si>
    <t>Dividends Paid on Direct Business</t>
  </si>
  <si>
    <t>Direct Losses Incurred</t>
  </si>
  <si>
    <t>Direct Premiums Earned</t>
  </si>
  <si>
    <t>3 Yr Avg (%)</t>
  </si>
  <si>
    <t>5 Yr Avg (%)</t>
  </si>
  <si>
    <t>--</t>
  </si>
  <si>
    <t>US excl Terr</t>
  </si>
  <si>
    <t>xSNLQuery("SNL_CoVsInd",Query_CoVsInd_KF)</t>
  </si>
  <si>
    <t>3,</t>
  </si>
  <si>
    <t>Advicare Corp.</t>
  </si>
  <si>
    <t>AlohaCare</t>
  </si>
  <si>
    <t>Boston Med Center Health Plan</t>
  </si>
  <si>
    <t>Care Wisconsin Health Plan Inc</t>
  </si>
  <si>
    <t>Children's Cmnty Hlth Plan Inc</t>
  </si>
  <si>
    <t>Columbia United Providers Inc.</t>
  </si>
  <si>
    <t>Community Health Choice Inc.</t>
  </si>
  <si>
    <t>Community Health Plan of WA</t>
  </si>
  <si>
    <t>Cook Children's Health Plan</t>
  </si>
  <si>
    <t>Driscoll Children's Hlth Plan</t>
  </si>
  <si>
    <t>El Paso First Health Plans Inc</t>
  </si>
  <si>
    <t>Elderplan Inc.</t>
  </si>
  <si>
    <t>Excellus Health Plan Inc.</t>
  </si>
  <si>
    <t>Group Hlth Coop of Eau Claire</t>
  </si>
  <si>
    <t>Grp Hlth Coop of South Central</t>
  </si>
  <si>
    <t>Hawaii Medical Service Assn.</t>
  </si>
  <si>
    <t>Health Partners Plans Inc.</t>
  </si>
  <si>
    <t>Health Tradition Health Plan</t>
  </si>
  <si>
    <t>HealthNow New York Inc.</t>
  </si>
  <si>
    <t>INTotal Health LLC</t>
  </si>
  <si>
    <t>Mercy Maricopa Integrated Care</t>
  </si>
  <si>
    <t>Metropolitan Health Plan</t>
  </si>
  <si>
    <t>Neighborhood Health Plan Inc.</t>
  </si>
  <si>
    <t>Neighborhood Health Plan of RI</t>
  </si>
  <si>
    <t>Parkland Cmnty Health Plan Inc</t>
  </si>
  <si>
    <t>Physicians Plus Insurance Corp</t>
  </si>
  <si>
    <t>Preferred Medical Plan Inc.</t>
  </si>
  <si>
    <t>Security Health Plan of WI Inc</t>
  </si>
  <si>
    <t>Sendero Health Plans Inc.</t>
  </si>
  <si>
    <t>Seton Health Plan Inc.</t>
  </si>
  <si>
    <t>Simply Healthcare Plans Inc.</t>
  </si>
  <si>
    <t>Texas Children's Hlth Plan Inc</t>
  </si>
  <si>
    <t>Trillium Cmnty Health Plan Inc</t>
  </si>
  <si>
    <t>Trilogy Health Insurance Inc.</t>
  </si>
  <si>
    <t>Trusted Health Plan</t>
  </si>
  <si>
    <t>Unity Health Plans Ins Corp.</t>
  </si>
  <si>
    <t>University Health Care Inc.</t>
  </si>
  <si>
    <t>Upper Peninsula Hlth Plan LLC</t>
  </si>
  <si>
    <t>Absolute Total Care Inc.</t>
  </si>
  <si>
    <t>Aetna Better Health Inc. (OH)</t>
  </si>
  <si>
    <t>Aetna Better Health Inc. (PA)</t>
  </si>
  <si>
    <t>Aetna Better Hlth Inc. (IL)</t>
  </si>
  <si>
    <t>Aetna Health Inc. (a TX corp.)</t>
  </si>
  <si>
    <t>Aids Hlthcr Fndtn MCO of FL</t>
  </si>
  <si>
    <t>AlphaCare of New York Inc.</t>
  </si>
  <si>
    <t>AmeriChoice of New Jersey Inc.</t>
  </si>
  <si>
    <t>AMERIGROUP Florida Inc.</t>
  </si>
  <si>
    <t>AMERIGROUP Insurance Co.</t>
  </si>
  <si>
    <t>AMERIGROUP Kansas Inc.</t>
  </si>
  <si>
    <t>AMERIGROUP Louisiana Inc.</t>
  </si>
  <si>
    <t>AMERIGROUP Maryland Inc.</t>
  </si>
  <si>
    <t>AMERIGROUP Nevada Inc.</t>
  </si>
  <si>
    <t>AMERIGROUP New Jersey Inc.</t>
  </si>
  <si>
    <t>AMERIGROUP Tennessee Inc.</t>
  </si>
  <si>
    <t>AMERIGROUP Texas Inc.</t>
  </si>
  <si>
    <t>AMERIGROUP Washington Inc.</t>
  </si>
  <si>
    <t>AmeriHealth Caritas LA Inc.</t>
  </si>
  <si>
    <t>AmeriHealth Nebraska Inc.</t>
  </si>
  <si>
    <t>AMGP Georgia Managed Care Co.</t>
  </si>
  <si>
    <t>Anthem Insurance Companies Inc</t>
  </si>
  <si>
    <t>Bankers Reserve Life Ins Co.</t>
  </si>
  <si>
    <t>Buckeye Cmnty Health Plan Inc.</t>
  </si>
  <si>
    <t>Cap District Physicians' Hlth</t>
  </si>
  <si>
    <t>CareSource</t>
  </si>
  <si>
    <t>CeltiCare Hlth Plan of MA Inc.</t>
  </si>
  <si>
    <t>Community First Hlth Plans Inc</t>
  </si>
  <si>
    <t>Compcare Health Svcs Ins Corp.</t>
  </si>
  <si>
    <t>Coordinated Care Corp.</t>
  </si>
  <si>
    <t>Coordinated Care of WA Inc.</t>
  </si>
  <si>
    <t>Coventry Health &amp; Life Ins Co.</t>
  </si>
  <si>
    <t>Coventry Health Care of DE Inc</t>
  </si>
  <si>
    <t>Coventry Health Care of NE Inc</t>
  </si>
  <si>
    <t>Coventry Health Care of WV Inc</t>
  </si>
  <si>
    <t>Coventry HlthCare of VA Inc.</t>
  </si>
  <si>
    <t>Fallon Community Hlth Plan Inc</t>
  </si>
  <si>
    <t>Florida MHS Inc.</t>
  </si>
  <si>
    <t>Florida True Health Inc.</t>
  </si>
  <si>
    <t>Gateway Health Plan Inc.</t>
  </si>
  <si>
    <t>Geisinger Health Plan</t>
  </si>
  <si>
    <t>Granite State Health Plan Inc.</t>
  </si>
  <si>
    <t>Gundersen Health Plan Inc.</t>
  </si>
  <si>
    <t>HCSC Insurance Services Co.</t>
  </si>
  <si>
    <t>Health Choice Utah Inc.</t>
  </si>
  <si>
    <t>Health New England Inc.</t>
  </si>
  <si>
    <t>Health Plan of Nevada Inc.</t>
  </si>
  <si>
    <t>Health Plan of the Upper OH</t>
  </si>
  <si>
    <t>HealthKeepers Inc.</t>
  </si>
  <si>
    <t>HealthPlus Partners Inc.</t>
  </si>
  <si>
    <t>HealthSpring L&amp;H Insurance Co.</t>
  </si>
  <si>
    <t>HealthSpring of Tennessee Inc.</t>
  </si>
  <si>
    <t>HlthCare Svc Corp. a Mutual</t>
  </si>
  <si>
    <t>Home State Health Plan Inc.</t>
  </si>
  <si>
    <t>Horizon Healthcare of NJ Inc.</t>
  </si>
  <si>
    <t>Humana Health Plan Inc.</t>
  </si>
  <si>
    <t>Humana Medical Plan Inc.</t>
  </si>
  <si>
    <t>Independent Care Health Plan</t>
  </si>
  <si>
    <t>Independent Health Assn.</t>
  </si>
  <si>
    <t>Kaiser Fndtn Hlth Plan Inc. HI</t>
  </si>
  <si>
    <t>Kaiser Fndtn Hlth Plan of NW</t>
  </si>
  <si>
    <t>Kaiser Foundation Health Plan</t>
  </si>
  <si>
    <t>LA Healthcare Connections Inc.</t>
  </si>
  <si>
    <t>Magnolia Health Plan Inc.</t>
  </si>
  <si>
    <t>Managed Health Svcs Ins Corp.</t>
  </si>
  <si>
    <t>McLaren Health Plan Inc.</t>
  </si>
  <si>
    <t>Medica Health Plans</t>
  </si>
  <si>
    <t>Meridian Health Plan of IA Inc</t>
  </si>
  <si>
    <t>Meridian Health Plan of IL Inc</t>
  </si>
  <si>
    <t>Meridian Hlth Plan of MI Inc.</t>
  </si>
  <si>
    <t>Merit Health Insurance Co.</t>
  </si>
  <si>
    <t>Missouri Care Inc.</t>
  </si>
  <si>
    <t>Molina Healthcare of FL Inc.</t>
  </si>
  <si>
    <t>Molina Healthcare of IL Inc</t>
  </si>
  <si>
    <t>Molina Healthcare of MI Inc.</t>
  </si>
  <si>
    <t>Molina Healthcare of NM Inc.</t>
  </si>
  <si>
    <t>Molina Healthcare of Ohio Inc.</t>
  </si>
  <si>
    <t>Molina Healthcare of Utah Inc.</t>
  </si>
  <si>
    <t>Molina Healthcare of WA Inc.</t>
  </si>
  <si>
    <t>Molina Healthcare of WI Inc.</t>
  </si>
  <si>
    <t>Molina Hlthcr of Texas Inc.</t>
  </si>
  <si>
    <t>MVP Health Plan Inc.</t>
  </si>
  <si>
    <t>Peach State Health Plan Inc.</t>
  </si>
  <si>
    <t>Presbyterian Health Plan Inc.</t>
  </si>
  <si>
    <t>Providence Health Assurance</t>
  </si>
  <si>
    <t>Rocky Mtn Hlth Maintenance Org</t>
  </si>
  <si>
    <t>Sanford Health Plan</t>
  </si>
  <si>
    <t>Scott &amp; White Health Plan</t>
  </si>
  <si>
    <t>Select Health of SC Inc.</t>
  </si>
  <si>
    <t>Sunflower State Hlth Plan Inc.</t>
  </si>
  <si>
    <t>Superior HealthPlan Inc.</t>
  </si>
  <si>
    <t>Total Health Care Inc.</t>
  </si>
  <si>
    <t>Tufts Assocd Hlth Maintenance</t>
  </si>
  <si>
    <t>UNICARE Health Plan of WV Inc.</t>
  </si>
  <si>
    <t>UnitedHealthcare</t>
  </si>
  <si>
    <t>UnitedHealthcare (Midlands)</t>
  </si>
  <si>
    <t>UnitedHealthcare (New England)</t>
  </si>
  <si>
    <t>UnitedHealthcare Cmnty (MI)</t>
  </si>
  <si>
    <t>UnitedHealthcare Cmnty (OH)</t>
  </si>
  <si>
    <t>UnitedHealthcare Cmnty (TX)</t>
  </si>
  <si>
    <t>UnitedHealthcare of FL Inc.</t>
  </si>
  <si>
    <t>UnitedHealthcare of LA Inc.</t>
  </si>
  <si>
    <t>UnitedHealthCare of MS Inc.</t>
  </si>
  <si>
    <t>UnitedHealthcare of New Mexico</t>
  </si>
  <si>
    <t>UnitedHealthcare of NY Inc.</t>
  </si>
  <si>
    <t>UnitedHealthcare of PA Inc.</t>
  </si>
  <si>
    <t>UnitedHealthcare of the MW Inc</t>
  </si>
  <si>
    <t>UnitedHealthcare of WA Inc.</t>
  </si>
  <si>
    <t>UnitedHealthcare of WI Inc.</t>
  </si>
  <si>
    <t>UnitedHealthcare Plan</t>
  </si>
  <si>
    <t>Vista Health Plan (PA)</t>
  </si>
  <si>
    <t>WellCare Health Ins of AZ Inc.</t>
  </si>
  <si>
    <t>WellCare Hlth Ins Co. of KY</t>
  </si>
  <si>
    <t>WellCare Hlth Plans of NJ Inc.</t>
  </si>
  <si>
    <t>WellCare of Florida Inc.</t>
  </si>
  <si>
    <t>WellCare of Georgia Inc.</t>
  </si>
  <si>
    <t>WellCare of Ohio Inc.</t>
  </si>
  <si>
    <t>WellCare of South Carolina Inc</t>
  </si>
  <si>
    <t>State</t>
  </si>
  <si>
    <t>Total Health Enrollment (actual)</t>
  </si>
  <si>
    <t>Member Months (actual)</t>
  </si>
  <si>
    <t>Member Physician Ambulatory Encounters (actual)</t>
  </si>
  <si>
    <t>Hospital Patient Days (days)</t>
  </si>
  <si>
    <t>Inpatient Admissions (actual)</t>
  </si>
  <si>
    <t>PMPM ($)</t>
  </si>
  <si>
    <t>MLR (%)</t>
  </si>
  <si>
    <t>Phys Visits/ MM</t>
  </si>
  <si>
    <t>Bed Days/ 000</t>
  </si>
  <si>
    <t>Health State Pg Health Premiums Earned</t>
  </si>
  <si>
    <t>Provision of Heath Care Services Incurred</t>
  </si>
  <si>
    <t>Provision of Heath Care Services Paid</t>
  </si>
  <si>
    <t>Cmnty Care Hlth Plan Inc (WI)</t>
  </si>
  <si>
    <t>Aetna Better Health Inc. (LA)</t>
  </si>
  <si>
    <t>Aetna Better Health Inc. (NJ)</t>
  </si>
  <si>
    <t>Aetna Better Health of MI Inc.</t>
  </si>
  <si>
    <t>Aetna Better Health of MO LLC</t>
  </si>
  <si>
    <t>Aetna Better Health of TX Inc.</t>
  </si>
  <si>
    <t>AmeriHealth Caritas District</t>
  </si>
  <si>
    <t>Anthem KY Mngd Care Plan Inc.</t>
  </si>
  <si>
    <t>Better Health Inc.</t>
  </si>
  <si>
    <t>HAP Midwest Health Plan Inc.</t>
  </si>
  <si>
    <t>Harmony Health Plan of IL Inc.</t>
  </si>
  <si>
    <t>IlliniCare Health Plan Inc.</t>
  </si>
  <si>
    <t>Molina Healthcare of SC LLC</t>
  </si>
  <si>
    <t>Sparrow PHP</t>
  </si>
  <si>
    <t>Sunshine State Health Plan Inc</t>
  </si>
  <si>
    <t>Tufts Health Public Plans Inc.</t>
  </si>
  <si>
    <t>Care 1st Health Plan Inc,</t>
  </si>
  <si>
    <t xml:space="preserve">UCare Minnesota </t>
  </si>
  <si>
    <t xml:space="preserve">HealthPartners Inc. </t>
  </si>
  <si>
    <t xml:space="preserve">Family Health Network Inc. </t>
  </si>
  <si>
    <t xml:space="preserve">UPMC For You Inc./University of Pittsburgh Med </t>
  </si>
  <si>
    <t>Volunteer State Hlth Plan Inc./BCBS-TN</t>
  </si>
  <si>
    <t>Health Ins Plan of Greater NY/Emblem</t>
  </si>
  <si>
    <t>BlueChoice HealthPlan of SC/BCBS-SC</t>
  </si>
  <si>
    <t xml:space="preserve">WV Family Hlth Plan Inc./Highmark Insurance Group </t>
  </si>
  <si>
    <t xml:space="preserve">Keystone Hlth Plan Central Inc/Capital Blue Cross </t>
  </si>
  <si>
    <t>Medicaid Data</t>
  </si>
  <si>
    <t>Company Level Data</t>
  </si>
  <si>
    <t>Net Income</t>
  </si>
  <si>
    <t>General Administrative Expenses Incurred</t>
  </si>
  <si>
    <t>Net Margin (%)</t>
  </si>
  <si>
    <t>ACL Risk Based Capital Ratio (%)</t>
  </si>
  <si>
    <t>Total Revenue</t>
  </si>
  <si>
    <t>Net Premiums Written</t>
  </si>
  <si>
    <t>Chg in Unearned Premiums</t>
  </si>
  <si>
    <t>Fee for Service Net Medical Exp</t>
  </si>
  <si>
    <t>Risk Revenue</t>
  </si>
  <si>
    <t>Revenue: WI for Other Health Care Related</t>
  </si>
  <si>
    <t>Revenue: WI for Other Non Health Related</t>
  </si>
  <si>
    <t>Benefits for Hospital &amp; Medical Services</t>
  </si>
  <si>
    <t>Other Hospital Professional Svcs Exp</t>
  </si>
  <si>
    <t>Medical: Outside Referrals Exp</t>
  </si>
  <si>
    <t>Emergency Room &amp; Out of Area Exp</t>
  </si>
  <si>
    <t>Prescription Drugs Expense</t>
  </si>
  <si>
    <t>Other Hospital &amp; Medical Exp WI</t>
  </si>
  <si>
    <t>Hospital &amp; Medical Incentives</t>
  </si>
  <si>
    <t>Medical Losses Incurred</t>
  </si>
  <si>
    <t>Medical Reinsurance Recovery</t>
  </si>
  <si>
    <t>Medical Losses Less Reinsurance</t>
  </si>
  <si>
    <t>Non Health Claims</t>
  </si>
  <si>
    <t>Loss Adj Exp Incurred</t>
  </si>
  <si>
    <t>Increase in Aggregate Reserve</t>
  </si>
  <si>
    <t>Increase in Reserves for Life only</t>
  </si>
  <si>
    <t>Underwriting Deductions</t>
  </si>
  <si>
    <t>Net Underwriting Gains</t>
  </si>
  <si>
    <t>Days/ Admissions</t>
  </si>
  <si>
    <t>Cost Details</t>
  </si>
  <si>
    <t>Provider Owned?</t>
  </si>
  <si>
    <t>Non-Profit (NP or For-Profit (FP)</t>
  </si>
  <si>
    <t>General</t>
  </si>
  <si>
    <t>Year</t>
  </si>
  <si>
    <t>Medica Health Plans of FL Inc.</t>
  </si>
  <si>
    <t>Preferred Care Partners Inc.</t>
  </si>
  <si>
    <t>Unison Health Plan of the Cap</t>
  </si>
  <si>
    <t xml:space="preserve">IN </t>
  </si>
  <si>
    <t>Kentucky Spirit Hlth Plan Inc</t>
  </si>
  <si>
    <t>Anthem Health Plans of KY Inc.</t>
  </si>
  <si>
    <t>AMERIGROUP Ohio Inc.</t>
  </si>
  <si>
    <t>AMERIGROUP Cmnty Care of NM</t>
  </si>
  <si>
    <t>UNICARE Health Plan of KS Inc.</t>
  </si>
  <si>
    <t>UNICARE Health Plans of TX Inc</t>
  </si>
  <si>
    <t>FA</t>
  </si>
  <si>
    <t>HealthAmerica Pennsylvania Inc</t>
  </si>
  <si>
    <t>Coventry Health Care of FL Inc</t>
  </si>
  <si>
    <t>Coventry Health Plan of FL Inc</t>
  </si>
  <si>
    <t>Coventry Health Care of KS Inc</t>
  </si>
  <si>
    <t>Granite Care-Meridian Health</t>
  </si>
  <si>
    <t>Priority Ptnrs Mngd Care Org.</t>
  </si>
  <si>
    <t>Maryland Care Inc.</t>
  </si>
  <si>
    <t>Virginia Premier Hlth Plan Inc</t>
  </si>
  <si>
    <t>Paramount Advantage (ProMedica)</t>
  </si>
  <si>
    <t>Optima Health Plan (Sentara)</t>
  </si>
  <si>
    <t>MDwise Inc. (Indiana University Health)</t>
  </si>
  <si>
    <t>MedStar Family Choice Inc.</t>
  </si>
  <si>
    <t>HealthSpring L&amp;H Insurance Co. (Cigna)</t>
  </si>
  <si>
    <t>HMO Minnesota (BCBS-MN)</t>
  </si>
  <si>
    <t>Priority Health Choice Inc. (Spectrum Health System)</t>
  </si>
  <si>
    <t>St. Joseph Health System (SHA)</t>
  </si>
  <si>
    <t>SelectHealth Inc. (Intermountain)</t>
  </si>
  <si>
    <t>Blue Cross Complete of MI LLC (BCBS-MI)</t>
  </si>
  <si>
    <t>Jai Med Sys Mngd Care Org. Inc</t>
  </si>
  <si>
    <t>Health Alliance Med Plans Inc.</t>
  </si>
  <si>
    <t>Health Alliance Connect Inc.</t>
  </si>
  <si>
    <t>Colorado Access</t>
  </si>
  <si>
    <t>Healthfirst Health Plan of NJ</t>
  </si>
  <si>
    <t>Network Health Plan (Ministry Health Care)</t>
  </si>
  <si>
    <t>Dean Health Plan Inc. (SSM Health Care)</t>
  </si>
  <si>
    <t>Carilion Clinic Medicare Rsrc</t>
  </si>
  <si>
    <t>Freedom Health Inc. (America's 1st Choice)</t>
  </si>
  <si>
    <t>Harbor Health Plan Inc. (Tenet)</t>
  </si>
  <si>
    <t>MercyCare HMO Inc. (Mercy Alliance)</t>
  </si>
  <si>
    <t>CHRISTUS Health Plan</t>
  </si>
  <si>
    <t>Healthy Palm Beaches Inc.</t>
  </si>
  <si>
    <t>Public Health Tr of Dade Cnty</t>
  </si>
  <si>
    <t>Colorado Choice Health Plans</t>
  </si>
  <si>
    <t>Lovelace Health System Inc.</t>
  </si>
  <si>
    <t>DC Chartered Health Plan Inc.</t>
  </si>
  <si>
    <t>Florida Healthcare Plus Inc.</t>
  </si>
  <si>
    <t>Coporate Entity</t>
  </si>
  <si>
    <t xml:space="preserve">UnitedHealth Group Inc. </t>
  </si>
  <si>
    <t xml:space="preserve">Centene Corp. </t>
  </si>
  <si>
    <t>Anthem</t>
  </si>
  <si>
    <t>Molina</t>
  </si>
  <si>
    <t xml:space="preserve">WellCare Health Plans Inc. </t>
  </si>
  <si>
    <t xml:space="preserve">Independence Health Group Inc. </t>
  </si>
  <si>
    <t>Aetna</t>
  </si>
  <si>
    <t xml:space="preserve">Meridian Health Plan Group </t>
  </si>
  <si>
    <t xml:space="preserve">Humana Inc. </t>
  </si>
  <si>
    <t>Kaiser</t>
  </si>
  <si>
    <t>Rev</t>
  </si>
  <si>
    <t>For Profit</t>
  </si>
  <si>
    <t>No</t>
  </si>
  <si>
    <t>NFP</t>
  </si>
  <si>
    <t>Non-Profit (NFP or For-Profit (FP)</t>
  </si>
  <si>
    <t>FP</t>
  </si>
  <si>
    <t>NA</t>
  </si>
  <si>
    <t>Yes</t>
  </si>
  <si>
    <t>Plan Ranking (on Member Months)</t>
  </si>
  <si>
    <t>Corporate ranking (By rev.)</t>
  </si>
  <si>
    <t>MM</t>
  </si>
  <si>
    <t>category</t>
  </si>
  <si>
    <t>Implied margin</t>
  </si>
  <si>
    <t>Admin % (all lobs)</t>
  </si>
  <si>
    <t>Implied Margin</t>
  </si>
  <si>
    <t>Row Labels</t>
  </si>
  <si>
    <t>Grand Total</t>
  </si>
  <si>
    <t>Below -10%</t>
  </si>
  <si>
    <t>-7.5% to -5%</t>
  </si>
  <si>
    <t>-10% to -7.5%</t>
  </si>
  <si>
    <t>5% to 7.5%</t>
  </si>
  <si>
    <t>7.5% to 10%</t>
  </si>
  <si>
    <t>Count of Bucket</t>
  </si>
  <si>
    <t>Other Data</t>
  </si>
  <si>
    <t>State Margin Assumptions</t>
  </si>
  <si>
    <t>State Admin Assumptions</t>
  </si>
  <si>
    <t>Calculations</t>
  </si>
  <si>
    <t>No Data</t>
  </si>
  <si>
    <t>Medicaid Margin Study</t>
  </si>
  <si>
    <t>-5% to -2.5%</t>
  </si>
  <si>
    <t>0% to 2.5%</t>
  </si>
  <si>
    <t>2.5% to 5%</t>
  </si>
  <si>
    <t>10% to 12.5%</t>
  </si>
  <si>
    <t>12.5% to 15%</t>
  </si>
  <si>
    <t>15% to 17.5%</t>
  </si>
  <si>
    <t>17.5% to 20%</t>
  </si>
  <si>
    <t>Over 20%</t>
  </si>
  <si>
    <t>-2.5% to 0%</t>
  </si>
  <si>
    <t>Medicaid Dominant</t>
  </si>
  <si>
    <t>Count of Implied Margin2</t>
  </si>
  <si>
    <t>Not Dominant</t>
  </si>
  <si>
    <t>Y</t>
  </si>
  <si>
    <t>Summary of State Provisions of Margin, Admin and Risk Adjustment Pulled from Actuarial Ratebooks</t>
  </si>
  <si>
    <t>Ratebook Date</t>
  </si>
  <si>
    <t>Data Risk Adjusted</t>
  </si>
  <si>
    <t>Notes</t>
  </si>
  <si>
    <t>Alabama</t>
  </si>
  <si>
    <t>N/A</t>
  </si>
  <si>
    <t>Alaska</t>
  </si>
  <si>
    <t>Arizona</t>
  </si>
  <si>
    <t>2015-2016</t>
  </si>
  <si>
    <t>Arkansas</t>
  </si>
  <si>
    <t>California</t>
  </si>
  <si>
    <t>Colorado</t>
  </si>
  <si>
    <t>Ranges 4-12% depending on Population</t>
  </si>
  <si>
    <t>Connecticut</t>
  </si>
  <si>
    <t>Delaware</t>
  </si>
  <si>
    <t>Florida</t>
  </si>
  <si>
    <t>Georgia</t>
  </si>
  <si>
    <t>2014-2015</t>
  </si>
  <si>
    <t>2% (included in the admin %)</t>
  </si>
  <si>
    <t>LIM (Medicaid) &amp; BCC(Breast and Cervical Cancer): Low - 11.5%  High - 14.5%
PeachCare (CHIP): Low - 11.5%  High - 14.5%
Maternity and NICU: Low - 9% High - 12%
Average: Low - 11.2%  High - 14.2%</t>
  </si>
  <si>
    <t>Hawaii</t>
  </si>
  <si>
    <t>Idaho</t>
  </si>
  <si>
    <t>Illinois</t>
  </si>
  <si>
    <t>12.85% for Mananged TANF (FHP)
11.25% for SSI and ABD</t>
  </si>
  <si>
    <t>Indiana</t>
  </si>
  <si>
    <t>$17 PMPM + 6% of Rate</t>
  </si>
  <si>
    <t>Iowa</t>
  </si>
  <si>
    <t>2016-2017</t>
  </si>
  <si>
    <t>0.5% for All poplulations (included in Admin %)</t>
  </si>
  <si>
    <t>10.5% TANF, Family Planning, H&amp;W
2% Maternity
 7.25% ABD Non-Dual
 6.25% Dual Community</t>
  </si>
  <si>
    <t>Kansas</t>
  </si>
  <si>
    <t>Kentucky</t>
  </si>
  <si>
    <t>7% low estimate
8.9% high estimate
Average over all age and regions to create fixed PMPM of $23.89 and $24.96</t>
  </si>
  <si>
    <t>Louisiana</t>
  </si>
  <si>
    <t>Maine</t>
  </si>
  <si>
    <t>Maryland</t>
  </si>
  <si>
    <t>Michigan</t>
  </si>
  <si>
    <t>1.75% TANF and Disabled 
1.25% Maternity Case Rate</t>
  </si>
  <si>
    <t>9% TANF and Disabled 
1.5% Maternity Case Rate</t>
  </si>
  <si>
    <t>Minnesota</t>
  </si>
  <si>
    <t>0-1.7%</t>
  </si>
  <si>
    <t>Ranges 7-12%</t>
  </si>
  <si>
    <t>Mississippi</t>
  </si>
  <si>
    <t>Original Medicaid - 8%
Expansion Medicaid and Newborns-10%</t>
  </si>
  <si>
    <t>Missouri</t>
  </si>
  <si>
    <t>2% (1.5% cost of capital .5% risk margin)</t>
  </si>
  <si>
    <t>Ranges by region and population 7%-11%</t>
  </si>
  <si>
    <t>Montana</t>
  </si>
  <si>
    <t>Nebraska</t>
  </si>
  <si>
    <t>Nevada</t>
  </si>
  <si>
    <t>New Hampshire</t>
  </si>
  <si>
    <t>New Jersey</t>
  </si>
  <si>
    <t>2014-15</t>
  </si>
  <si>
    <t>New Mexico</t>
  </si>
  <si>
    <t>New York</t>
  </si>
  <si>
    <t>North Carolina</t>
  </si>
  <si>
    <t>North Dakota</t>
  </si>
  <si>
    <t>Ohio</t>
  </si>
  <si>
    <t>1.75% Included in Admin %</t>
  </si>
  <si>
    <t>Oklahoma</t>
  </si>
  <si>
    <t>Oregon</t>
  </si>
  <si>
    <t>8% or 10% depending on region</t>
  </si>
  <si>
    <t>Pennsylvania</t>
  </si>
  <si>
    <t>Rhode Island</t>
  </si>
  <si>
    <t>South Carolina</t>
  </si>
  <si>
    <t>11.5%: TANF Age 14-18 Female and TANF 19-44 Female
9.5% For all other TANF ages/sexes</t>
  </si>
  <si>
    <t>South Dakota</t>
  </si>
  <si>
    <t>Tennessee</t>
  </si>
  <si>
    <t>Texas</t>
  </si>
  <si>
    <t>$8.00 PMPM plus 5.75% of gross premium</t>
  </si>
  <si>
    <t>Utah</t>
  </si>
  <si>
    <t>Vermont</t>
  </si>
  <si>
    <t>Virginia</t>
  </si>
  <si>
    <t>9.1% LIFC Child
7.6% LIFC Adult
7.0% ABAD</t>
  </si>
  <si>
    <t>Washington</t>
  </si>
  <si>
    <t>West Virginia</t>
  </si>
  <si>
    <t>Wisconsin</t>
  </si>
  <si>
    <t>Wyoming</t>
  </si>
  <si>
    <t xml:space="preserve">Health Choice Arizona/IASIS </t>
  </si>
  <si>
    <t>VHS Phoenix Health Plan</t>
  </si>
  <si>
    <t xml:space="preserve">Comp. Medical, Dental </t>
  </si>
  <si>
    <t>50 to 99k</t>
  </si>
  <si>
    <t xml:space="preserve">250k + </t>
  </si>
  <si>
    <t>0 to 24k</t>
  </si>
  <si>
    <t>25 to 49k</t>
  </si>
  <si>
    <t xml:space="preserve">100 to 249k </t>
  </si>
  <si>
    <t>Non-ABD - 10%
ABD - 7%
Expansion - 10%</t>
  </si>
  <si>
    <t>(All)</t>
  </si>
  <si>
    <t>Under 100k Lives</t>
  </si>
  <si>
    <t>Over 100k Lives</t>
  </si>
  <si>
    <t>Not For Profit</t>
  </si>
  <si>
    <t>Mercy Care Plan</t>
  </si>
  <si>
    <t>Arizona Physicians IPA</t>
  </si>
  <si>
    <t>University Family Care</t>
  </si>
  <si>
    <t>Maricopa Health Plan</t>
  </si>
  <si>
    <t>Care1st Health Plan of Arizona</t>
  </si>
  <si>
    <t>Health Net Access</t>
  </si>
  <si>
    <t>N</t>
  </si>
  <si>
    <t>(Multiple Items)</t>
  </si>
  <si>
    <t>-10 to -7.5%</t>
  </si>
  <si>
    <t>-7.5 to -5%</t>
  </si>
  <si>
    <t>-5 to -2.5%</t>
  </si>
  <si>
    <t>-2.5 to 0%</t>
  </si>
  <si>
    <t>0 to 2.5%</t>
  </si>
  <si>
    <t>2.5 to 5%</t>
  </si>
  <si>
    <t>5 to 7.5%</t>
  </si>
  <si>
    <t>7.5 to 10%</t>
  </si>
  <si>
    <t>Notes:</t>
  </si>
  <si>
    <t>CA and AZ not available</t>
  </si>
  <si>
    <t>-15 to -10%</t>
  </si>
  <si>
    <t>Below -15%</t>
  </si>
  <si>
    <t>10 to 15%</t>
  </si>
  <si>
    <t>Over 15%</t>
  </si>
  <si>
    <t>University of Arizona Health Plans</t>
  </si>
  <si>
    <t xml:space="preserve">  Health Net of California, Inc.</t>
  </si>
  <si>
    <t xml:space="preserve">  Health Net Community Solutions, Inc.</t>
  </si>
  <si>
    <t>L.A. Care</t>
  </si>
  <si>
    <t>WellPoint/Anthem Blue Cross of California</t>
  </si>
  <si>
    <t>Inland Empire Health Plan</t>
  </si>
  <si>
    <t>CalOPTIMA</t>
  </si>
  <si>
    <t>Partnership Health Plan of California</t>
  </si>
  <si>
    <t>Molina Healthcare of California</t>
  </si>
  <si>
    <t>Santa Cruz - Monterey - Merced MMC Commission</t>
  </si>
  <si>
    <t>Care1st Health Plan</t>
  </si>
  <si>
    <t>Fresno-Kings-Madera Regional Health Authority</t>
  </si>
  <si>
    <t>Health Plan of San Joaquin</t>
  </si>
  <si>
    <t xml:space="preserve">Community Health Group </t>
  </si>
  <si>
    <t>Alameda Alliance for Health</t>
  </si>
  <si>
    <t>Santa Clara Family Health Plan</t>
  </si>
  <si>
    <t>Kern Health Systems</t>
  </si>
  <si>
    <t>Centene/California Health &amp; Wellness</t>
  </si>
  <si>
    <t>Santa Barbara San Luis Obispo Regional Health Auth.</t>
  </si>
  <si>
    <t>Contra Costa Health Plan</t>
  </si>
  <si>
    <t>San Mateo Health Commission</t>
  </si>
  <si>
    <t>Kaiser Foundation Health Plan, Inc.</t>
  </si>
  <si>
    <t>San Francisco Community Health Authority</t>
  </si>
  <si>
    <t>Scan Health Plan</t>
  </si>
  <si>
    <t>Universal Care, Inc.</t>
  </si>
  <si>
    <t>AIDS Healthcare Foundation</t>
  </si>
  <si>
    <t>On Lok Senior Health Services</t>
  </si>
  <si>
    <t>Health Net Community Solutions, Inc.</t>
  </si>
  <si>
    <t>Health Net of California, Inc.</t>
  </si>
  <si>
    <t>Health Net</t>
  </si>
  <si>
    <t>Heath Net</t>
  </si>
  <si>
    <t>Outlier</t>
  </si>
  <si>
    <t>Massachusetts</t>
  </si>
  <si>
    <t>Ranges by region and population 5%-11%</t>
  </si>
  <si>
    <t>Unknown</t>
  </si>
  <si>
    <t>7.4%-8.6% depending on region</t>
  </si>
  <si>
    <r>
      <rPr>
        <vertAlign val="superscript"/>
        <sz val="12"/>
        <rFont val="Arial"/>
        <family val="2"/>
      </rPr>
      <t>1</t>
    </r>
    <r>
      <rPr>
        <sz val="8"/>
        <rFont val="Arial"/>
        <family val="2"/>
      </rPr>
      <t xml:space="preserve"> No mainstream Managed Care Medicaid</t>
    </r>
  </si>
  <si>
    <r>
      <t>N/A</t>
    </r>
    <r>
      <rPr>
        <vertAlign val="superscript"/>
        <sz val="10"/>
        <rFont val="Arial"/>
        <family val="2"/>
      </rPr>
      <t>1</t>
    </r>
  </si>
  <si>
    <r>
      <t>1.5%</t>
    </r>
    <r>
      <rPr>
        <vertAlign val="superscript"/>
        <sz val="10"/>
        <rFont val="Arial"/>
        <family val="2"/>
      </rPr>
      <t>3</t>
    </r>
  </si>
  <si>
    <r>
      <t>~10%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</si>
  <si>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1"/>
        <rFont val="Arial"/>
        <family val="2"/>
      </rPr>
      <t>3</t>
    </r>
    <r>
      <rPr>
        <sz val="8"/>
        <rFont val="Arial"/>
        <family val="2"/>
      </rPr>
      <t xml:space="preserve"> Percentages were calculated from rates</t>
    </r>
  </si>
  <si>
    <r>
      <t>Unknown</t>
    </r>
    <r>
      <rPr>
        <vertAlign val="superscript"/>
        <sz val="11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</si>
  <si>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8"/>
        <rFont val="Arial"/>
        <family val="2"/>
      </rPr>
      <t xml:space="preserve"> Data was incomplete or missing</t>
    </r>
  </si>
  <si>
    <t>Yes for some populations</t>
  </si>
  <si>
    <t>Margin Category</t>
  </si>
  <si>
    <t>Margin Category w/ Outlier Flag</t>
  </si>
  <si>
    <t>Membership Category</t>
  </si>
  <si>
    <r>
      <t>3.8% - 5.2% depending on population</t>
    </r>
    <r>
      <rPr>
        <vertAlign val="superscript"/>
        <sz val="11"/>
        <rFont val="Arial"/>
        <family val="2"/>
      </rPr>
      <t>4</t>
    </r>
  </si>
  <si>
    <r>
      <rPr>
        <vertAlign val="superscript"/>
        <sz val="12"/>
        <rFont val="Arial"/>
        <family val="2"/>
      </rPr>
      <t>4</t>
    </r>
    <r>
      <rPr>
        <sz val="8"/>
        <rFont val="Arial"/>
        <family val="2"/>
      </rPr>
      <t xml:space="preserve"> Admin is a fixed PMPM that varies by population. Percentages represent admin portion of the total capitated rate</t>
    </r>
  </si>
  <si>
    <r>
      <rPr>
        <vertAlign val="superscript"/>
        <sz val="12"/>
        <rFont val="Arial"/>
        <family val="2"/>
      </rPr>
      <t>5</t>
    </r>
    <r>
      <rPr>
        <sz val="8"/>
        <rFont val="Arial"/>
        <family val="2"/>
      </rPr>
      <t xml:space="preserve"> Community Based Adult Services Population</t>
    </r>
  </si>
  <si>
    <r>
      <t>2.0%</t>
    </r>
    <r>
      <rPr>
        <vertAlign val="superscript"/>
        <sz val="10"/>
        <rFont val="Arial"/>
        <family val="2"/>
      </rPr>
      <t>5</t>
    </r>
  </si>
  <si>
    <r>
      <t>7%</t>
    </r>
    <r>
      <rPr>
        <vertAlign val="superscript"/>
        <sz val="10"/>
        <rFont val="Arial"/>
        <family val="2"/>
      </rPr>
      <t>5</t>
    </r>
  </si>
  <si>
    <t>Margin Percent</t>
  </si>
  <si>
    <t>Admin Percent</t>
  </si>
  <si>
    <t>All data provided by Health management Associates.  HMA is an independent national research and consulting firm, providing technical assistance, resources, decision support and expertise to publicly funded healthcare entities.</t>
  </si>
  <si>
    <t>Source of California data: California Dept. of Managed Health Care, Health Management Associates</t>
  </si>
  <si>
    <t>Source of Arizona data: Arizona Health Care Cost Containment System, Health Management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</si>
</sst>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#,##0.0_);\(#,##0.0\)"/>
    <numFmt numFmtId="166" formatCode="&quot;$&quot;_(#,##0.00_);&quot;$&quot;\(#,##0.00\)"/>
    <numFmt numFmtId="167" formatCode="#,##0.0_)\x;\(#,##0.0\)\x"/>
    <numFmt numFmtId="168" formatCode="#,##0.0_)_x;\(#,##0.0\)_x"/>
    <numFmt numFmtId="169" formatCode="0.0_)\%;\(0.0\)\%"/>
    <numFmt numFmtId="170" formatCode="#,##0.0_)_%;\(#,##0.0\)_%"/>
    <numFmt numFmtId="171" formatCode="#,##0;\(#,##0\)"/>
    <numFmt numFmtId="172" formatCode="0\A"/>
    <numFmt numFmtId="173" formatCode="&quot;$&quot;\ #,##0.00_);[Red]\(&quot;$&quot;\ #,##0.00\)"/>
    <numFmt numFmtId="174" formatCode="_(&quot;$&quot;\ * #,##0_);_(&quot;$&quot;\ * \(#,##0\);_(&quot;$&quot;\ * &quot;-&quot;_);_(@_)"/>
    <numFmt numFmtId="175" formatCode="&quot;$&quot;\ #,##0_);\(&quot;$&quot;\ #,##0\)"/>
    <numFmt numFmtId="176" formatCode="&quot;$&quot;\ #,##0.00_);\(&quot;$&quot;\ #,##0.00\)"/>
    <numFmt numFmtId="177" formatCode="&quot;$&quot;#,##0.0\ \ \ ;\(&quot;$&quot;#,##0.0\)\ \ "/>
    <numFmt numFmtId="178" formatCode="0.000"/>
    <numFmt numFmtId="179" formatCode="0.0000000"/>
    <numFmt numFmtId="180" formatCode="0.0&quot;  &quot;"/>
    <numFmt numFmtId="181" formatCode="_-* #,##0_-;\(#,##0\);_-* &quot;–&quot;_-;_-@_-"/>
    <numFmt numFmtId="182" formatCode="_-&quot;$&quot;* #,##0.00_-;\-&quot;$&quot;* #,##0.00_-;_-&quot;$&quot;* &quot;-&quot;??_-;_-@_-"/>
    <numFmt numFmtId="183" formatCode="&quot;\&quot;#,##0.00;[Red]\-&quot;\&quot;#,##0.00"/>
    <numFmt numFmtId="184" formatCode="#,##0.00;[Red]\(#,##0.00\)"/>
    <numFmt numFmtId="185" formatCode="0.0"/>
    <numFmt numFmtId="186" formatCode="#,###,;\(#,###,\)"/>
    <numFmt numFmtId="187" formatCode="0.0000"/>
    <numFmt numFmtId="188" formatCode="#,##0;\(#,##0\);\–;@"/>
    <numFmt numFmtId="189" formatCode="0.00_)"/>
    <numFmt numFmtId="190" formatCode="#,##0.0"/>
    <numFmt numFmtId="191" formatCode="_(&quot;$&quot;* #,##0_);_(&quot;$&quot;* \(#,##0\);_(&quot;$&quot;* &quot;-&quot;??_);_(@_)"/>
    <numFmt numFmtId="192" formatCode="_([$$-409]* #,##0_);_([$$-409]* \(#,##0\);_([$$-409]* &quot;-&quot;??_);_(@_)"/>
    <numFmt numFmtId="193" formatCode="_(* #,##0_);_(* \(#,##0\);_(* &quot;-&quot;??_);_(@_)"/>
    <numFmt numFmtId="194" formatCode="0.0%"/>
    <numFmt numFmtId="195" formatCode="0.000%"/>
    <numFmt numFmtId="196" formatCode="_(&quot;$&quot;* #,##0.00000_);_(&quot;$&quot;* \(#,##0.00000\);_(&quot;$&quot;* &quot;-&quot;??_);_(@_)"/>
  </numFmts>
  <fonts count="11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b/>
      <sz val="9"/>
      <color indexed="8"/>
      <name val="Helvetica 65"/>
    </font>
    <font>
      <sz val="7"/>
      <color indexed="8"/>
      <name val="Helvetica 45"/>
      <family val="2"/>
    </font>
    <font>
      <sz val="7"/>
      <color indexed="8"/>
      <name val="Helvetica 65"/>
      <family val="2"/>
    </font>
    <font>
      <sz val="6"/>
      <color indexed="8"/>
      <name val="Helvetica 65"/>
      <family val="2"/>
    </font>
    <font>
      <sz val="8"/>
      <color indexed="20"/>
      <name val="Arial"/>
      <family val="2"/>
    </font>
    <font>
      <sz val="9"/>
      <color indexed="9"/>
      <name val="Times New Roman"/>
      <family val="1"/>
    </font>
    <font>
      <sz val="1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Courier New"/>
      <family val="3"/>
    </font>
    <font>
      <b/>
      <sz val="24"/>
      <name val="Times New Roman"/>
      <family val="1"/>
    </font>
    <font>
      <b/>
      <i/>
      <strike/>
      <sz val="12"/>
      <color indexed="4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Helv"/>
    </font>
    <font>
      <i/>
      <strike/>
      <sz val="12"/>
      <color indexed="40"/>
      <name val="Arial"/>
      <family val="2"/>
    </font>
    <font>
      <i/>
      <sz val="8"/>
      <color indexed="23"/>
      <name val="Arial"/>
      <family val="2"/>
    </font>
    <font>
      <b/>
      <sz val="8.5"/>
      <color indexed="17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indexed="12"/>
      <name val="Arial"/>
      <family val="2"/>
    </font>
    <font>
      <sz val="8"/>
      <color indexed="62"/>
      <name val="Arial"/>
      <family val="2"/>
    </font>
    <font>
      <sz val="10"/>
      <name val="MS Sans Serif"/>
      <family val="2"/>
    </font>
    <font>
      <sz val="8"/>
      <color indexed="52"/>
      <name val="Arial"/>
      <family val="2"/>
    </font>
    <font>
      <b/>
      <sz val="14"/>
      <name val="Arial"/>
      <family val="2"/>
    </font>
    <font>
      <sz val="8"/>
      <color indexed="60"/>
      <name val="Arial"/>
      <family val="2"/>
    </font>
    <font>
      <sz val="11"/>
      <color indexed="8"/>
      <name val="Calibri"/>
      <family val="2"/>
    </font>
    <font>
      <b/>
      <sz val="9"/>
      <color indexed="8"/>
      <name val="Helvetica 65"/>
      <family val="2"/>
    </font>
    <font>
      <sz val="9"/>
      <color indexed="8"/>
      <name val="Helvetica 45"/>
      <family val="2"/>
    </font>
    <font>
      <b/>
      <sz val="8"/>
      <color indexed="8"/>
      <name val="Helvetica 65"/>
    </font>
    <font>
      <sz val="8"/>
      <name val="Helvetica 65"/>
      <family val="2"/>
    </font>
    <font>
      <i/>
      <strike/>
      <sz val="12"/>
      <color indexed="10"/>
      <name val="Arial"/>
      <family val="2"/>
    </font>
    <font>
      <b/>
      <sz val="8"/>
      <color indexed="72"/>
      <name val="Arial"/>
      <family val="2"/>
    </font>
    <font>
      <b/>
      <sz val="8"/>
      <color indexed="63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trike/>
      <sz val="12"/>
      <color indexed="46"/>
      <name val="Arial"/>
      <family val="2"/>
    </font>
    <font>
      <sz val="12"/>
      <name val="Helvetica"/>
    </font>
    <font>
      <sz val="12"/>
      <color indexed="17"/>
      <name val="Arial"/>
      <family val="2"/>
    </font>
    <font>
      <sz val="12"/>
      <color indexed="17"/>
      <name val="MS Sans Serif"/>
      <family val="2"/>
    </font>
    <font>
      <sz val="9"/>
      <color indexed="8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8.5"/>
      <color indexed="8"/>
      <name val="Arial"/>
      <family val="2"/>
    </font>
    <font>
      <b/>
      <sz val="8.5"/>
      <color indexed="17"/>
      <name val="Arial"/>
      <family val="2"/>
    </font>
    <font>
      <sz val="7"/>
      <color indexed="16"/>
      <name val="Arial"/>
      <family val="2"/>
    </font>
    <font>
      <b/>
      <sz val="10"/>
      <name val="Courier New"/>
      <family val="3"/>
    </font>
    <font>
      <i/>
      <sz val="10"/>
      <name val="Courier New"/>
      <family val="3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8"/>
      <color indexed="10"/>
      <name val="Arial"/>
      <family val="2"/>
    </font>
    <font>
      <b/>
      <sz val="10"/>
      <name val="Times New Roman"/>
      <family val="1"/>
    </font>
    <font>
      <b/>
      <sz val="8"/>
      <color indexed="17"/>
      <name val="Arial"/>
      <family val="2"/>
    </font>
    <font>
      <b/>
      <sz val="14"/>
      <color indexed="56"/>
      <name val="Arial"/>
      <family val="2"/>
    </font>
    <font>
      <b/>
      <sz val="8"/>
      <color indexed="56"/>
      <name val="Arial"/>
      <family val="2"/>
    </font>
    <font>
      <sz val="8"/>
      <name val="Arial"/>
      <family val="2"/>
    </font>
    <font>
      <sz val="8"/>
      <color indexed="17"/>
      <name val="Arial"/>
      <family val="2"/>
    </font>
    <font>
      <i/>
      <sz val="8"/>
      <color indexed="56"/>
      <name val="Arial"/>
      <family val="2"/>
    </font>
    <font>
      <i/>
      <sz val="8"/>
      <name val="Arial"/>
      <family val="2"/>
    </font>
    <font>
      <sz val="8"/>
      <color indexed="56"/>
      <name val="Arial"/>
      <family val="2"/>
    </font>
    <font>
      <u/>
      <sz val="8"/>
      <color indexed="12"/>
      <name val="Arial"/>
      <family val="2"/>
    </font>
    <font>
      <b/>
      <sz val="8"/>
      <color indexed="17"/>
      <name val="Arial"/>
      <family val="2"/>
    </font>
    <font>
      <sz val="8"/>
      <color indexed="56"/>
      <name val="Arial"/>
      <family val="2"/>
    </font>
    <font>
      <b/>
      <sz val="11"/>
      <color indexed="10"/>
      <name val="Arial"/>
      <family val="2"/>
    </font>
    <font>
      <b/>
      <sz val="16"/>
      <color indexed="16"/>
      <name val="Arial"/>
      <family val="2"/>
    </font>
    <font>
      <b/>
      <sz val="11"/>
      <color indexed="56"/>
      <name val="Arial"/>
      <family val="2"/>
    </font>
    <font>
      <b/>
      <sz val="8"/>
      <color indexed="56"/>
      <name val="Arial"/>
      <family val="2"/>
    </font>
    <font>
      <sz val="8"/>
      <name val="Arial"/>
      <family val="2"/>
    </font>
    <font>
      <sz val="11"/>
      <color indexed="56"/>
      <name val="Arial"/>
      <family val="2"/>
    </font>
    <font>
      <b/>
      <sz val="14"/>
      <color indexed="56"/>
      <name val="Arial"/>
      <family val="2"/>
    </font>
    <font>
      <sz val="14"/>
      <color indexed="56"/>
      <name val="Arial"/>
      <family val="2"/>
    </font>
    <font>
      <sz val="8"/>
      <color indexed="23"/>
      <name val="Arial"/>
      <family val="2"/>
    </font>
    <font>
      <b/>
      <sz val="8"/>
      <color rgb="FF00336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vertAlign val="superscript"/>
      <sz val="12"/>
      <name val="Arial"/>
      <family val="2"/>
    </font>
    <font>
      <b/>
      <sz val="12"/>
      <color theme="0"/>
      <name val="Calibri"/>
      <family val="2"/>
      <scheme val="minor"/>
    </font>
    <font>
      <vertAlign val="superscript"/>
      <sz val="10"/>
      <name val="Arial"/>
      <family val="2"/>
    </font>
    <font>
      <b/>
      <sz val="12"/>
      <color theme="1"/>
      <name val="Calibri"/>
      <family val="2"/>
      <scheme val="minor"/>
    </font>
    <font>
      <vertAlign val="superscript"/>
      <sz val="1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lightGray">
        <fgColor indexed="14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Gray">
        <fgColor indexed="12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8"/>
      </patternFill>
    </fill>
    <fill>
      <patternFill patternType="solid">
        <fgColor indexed="26"/>
      </patternFill>
    </fill>
    <fill>
      <patternFill patternType="gray0625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17"/>
      </patternFill>
    </fill>
    <fill>
      <patternFill patternType="solid">
        <fgColor indexed="1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1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5"/>
      </left>
      <right style="thin">
        <color indexed="64"/>
      </right>
      <top/>
      <bottom style="double">
        <color indexed="64"/>
      </bottom>
      <diagonal/>
    </border>
    <border>
      <left style="thin">
        <color indexed="55"/>
      </left>
      <right style="hair">
        <color indexed="64"/>
      </right>
      <top/>
      <bottom style="double">
        <color indexed="64"/>
      </bottom>
      <diagonal/>
    </border>
    <border>
      <left style="thin">
        <color indexed="55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55"/>
      </right>
      <top style="thin">
        <color indexed="64"/>
      </top>
      <bottom/>
      <diagonal/>
    </border>
    <border>
      <left style="hair">
        <color indexed="64"/>
      </left>
      <right style="thin">
        <color indexed="55"/>
      </right>
      <top/>
      <bottom/>
      <diagonal/>
    </border>
    <border>
      <left style="hair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55"/>
      </bottom>
      <diagonal/>
    </border>
    <border>
      <left style="hair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hair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5"/>
      </left>
      <right style="hair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hair">
        <color indexed="64"/>
      </right>
      <top style="thin">
        <color indexed="64"/>
      </top>
      <bottom/>
      <diagonal/>
    </border>
    <border>
      <left style="thin">
        <color indexed="55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thin">
        <color indexed="64"/>
      </top>
      <bottom style="double">
        <color indexed="64"/>
      </bottom>
      <diagonal/>
    </border>
    <border>
      <left style="hair">
        <color indexed="22"/>
      </left>
      <right/>
      <top style="double">
        <color indexed="64"/>
      </top>
      <bottom/>
      <diagonal/>
    </border>
    <border>
      <left style="hair">
        <color indexed="22"/>
      </left>
      <right/>
      <top/>
      <bottom/>
      <diagonal/>
    </border>
    <border>
      <left style="hair">
        <color indexed="22"/>
      </left>
      <right/>
      <top style="hair">
        <color indexed="64"/>
      </top>
      <bottom/>
      <diagonal/>
    </border>
    <border>
      <left style="hair">
        <color indexed="22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8">
    <xf numFmtId="0" fontId="0" fillId="0" borderId="0"/>
    <xf numFmtId="164" fontId="5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0" borderId="0">
      <alignment vertical="top"/>
    </xf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171" fontId="9" fillId="20" borderId="0" applyNumberFormat="0" applyFont="0" applyBorder="0" applyAlignment="0">
      <alignment horizontal="right"/>
    </xf>
    <xf numFmtId="172" fontId="10" fillId="20" borderId="1" applyFont="0">
      <alignment horizontal="right"/>
    </xf>
    <xf numFmtId="0" fontId="11" fillId="0" borderId="0" applyNumberFormat="0" applyFill="0" applyBorder="0" applyAlignment="0" applyProtection="0"/>
    <xf numFmtId="0" fontId="12" fillId="0" borderId="0" applyNumberFormat="0" applyAlignment="0"/>
    <xf numFmtId="0" fontId="13" fillId="0" borderId="0" applyNumberFormat="0" applyAlignment="0"/>
    <xf numFmtId="0" fontId="14" fillId="0" borderId="0" applyNumberFormat="0" applyAlignment="0"/>
    <xf numFmtId="0" fontId="15" fillId="0" borderId="0" applyNumberFormat="0" applyAlignment="0"/>
    <xf numFmtId="0" fontId="16" fillId="3" borderId="0" applyNumberFormat="0" applyBorder="0" applyAlignment="0" applyProtection="0"/>
    <xf numFmtId="0" fontId="17" fillId="0" borderId="0" applyNumberFormat="0" applyFill="0" applyBorder="0" applyAlignment="0"/>
    <xf numFmtId="2" fontId="11" fillId="21" borderId="0" applyNumberFormat="0" applyFont="0" applyBorder="0" applyAlignment="0" applyProtection="0"/>
    <xf numFmtId="173" fontId="18" fillId="0" borderId="0" applyFill="0" applyBorder="0" applyAlignment="0"/>
    <xf numFmtId="174" fontId="18" fillId="0" borderId="0" applyFill="0" applyBorder="0" applyAlignment="0"/>
    <xf numFmtId="173" fontId="18" fillId="0" borderId="0" applyFill="0" applyBorder="0" applyAlignment="0"/>
    <xf numFmtId="175" fontId="5" fillId="0" borderId="0" applyFill="0" applyBorder="0" applyAlignment="0"/>
    <xf numFmtId="176" fontId="18" fillId="0" borderId="0" applyFill="0" applyBorder="0" applyAlignment="0"/>
    <xf numFmtId="173" fontId="18" fillId="0" borderId="0" applyFill="0" applyBorder="0" applyAlignment="0"/>
    <xf numFmtId="173" fontId="18" fillId="0" borderId="0" applyFill="0" applyBorder="0" applyAlignment="0"/>
    <xf numFmtId="174" fontId="18" fillId="0" borderId="0" applyFill="0" applyBorder="0" applyAlignment="0"/>
    <xf numFmtId="0" fontId="19" fillId="22" borderId="2" applyNumberFormat="0" applyAlignment="0" applyProtection="0"/>
    <xf numFmtId="0" fontId="20" fillId="23" borderId="3" applyNumberFormat="0" applyAlignment="0" applyProtection="0"/>
    <xf numFmtId="0" fontId="21" fillId="0" borderId="0" applyNumberFormat="0" applyFill="0" applyBorder="0" applyAlignment="0" applyProtection="0"/>
    <xf numFmtId="173" fontId="18" fillId="0" borderId="0" applyFont="0" applyFill="0" applyBorder="0" applyAlignment="0" applyProtection="0"/>
    <xf numFmtId="0" fontId="22" fillId="0" borderId="0" applyNumberFormat="0" applyFill="0" applyBorder="0">
      <alignment horizontal="right"/>
    </xf>
    <xf numFmtId="44" fontId="4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3" fillId="0" borderId="0"/>
    <xf numFmtId="0" fontId="8" fillId="0" borderId="0" applyNumberFormat="0" applyAlignment="0"/>
    <xf numFmtId="14" fontId="24" fillId="0" borderId="0" applyFill="0" applyBorder="0" applyAlignment="0"/>
    <xf numFmtId="38" fontId="25" fillId="0" borderId="4">
      <alignment vertical="center"/>
    </xf>
    <xf numFmtId="177" fontId="26" fillId="0" borderId="0"/>
    <xf numFmtId="178" fontId="18" fillId="0" borderId="0">
      <alignment horizontal="right"/>
    </xf>
    <xf numFmtId="1" fontId="18" fillId="0" borderId="0">
      <alignment horizontal="right"/>
    </xf>
    <xf numFmtId="1" fontId="18" fillId="0" borderId="0">
      <alignment horizontal="right"/>
    </xf>
    <xf numFmtId="179" fontId="18" fillId="0" borderId="0">
      <alignment horizontal="right"/>
    </xf>
    <xf numFmtId="49" fontId="18" fillId="0" borderId="0">
      <alignment horizontal="left"/>
    </xf>
    <xf numFmtId="49" fontId="18" fillId="0" borderId="0">
      <alignment horizontal="right"/>
    </xf>
    <xf numFmtId="173" fontId="18" fillId="0" borderId="0" applyFill="0" applyBorder="0" applyAlignment="0"/>
    <xf numFmtId="174" fontId="18" fillId="0" borderId="0" applyFill="0" applyBorder="0" applyAlignment="0"/>
    <xf numFmtId="173" fontId="18" fillId="0" borderId="0" applyFill="0" applyBorder="0" applyAlignment="0"/>
    <xf numFmtId="173" fontId="18" fillId="0" borderId="0" applyFill="0" applyBorder="0" applyAlignment="0"/>
    <xf numFmtId="174" fontId="18" fillId="0" borderId="0" applyFill="0" applyBorder="0" applyAlignment="0"/>
    <xf numFmtId="0" fontId="27" fillId="0" borderId="0"/>
    <xf numFmtId="0" fontId="28" fillId="0" borderId="0" applyNumberFormat="0" applyFill="0" applyBorder="0" applyAlignment="0" applyProtection="0"/>
    <xf numFmtId="180" fontId="11" fillId="24" borderId="5" applyNumberFormat="0" applyFont="0" applyBorder="0" applyAlignment="0" applyProtection="0">
      <alignment horizontal="right"/>
    </xf>
    <xf numFmtId="40" fontId="18" fillId="0" borderId="0" applyNumberFormat="0">
      <alignment horizontal="right"/>
    </xf>
    <xf numFmtId="1" fontId="11" fillId="0" borderId="0" applyNumberFormat="0" applyBorder="0" applyAlignment="0" applyProtection="0"/>
    <xf numFmtId="181" fontId="29" fillId="0" borderId="0">
      <alignment vertical="center"/>
    </xf>
    <xf numFmtId="0" fontId="30" fillId="4" borderId="0" applyNumberFormat="0" applyBorder="0" applyAlignment="0" applyProtection="0"/>
    <xf numFmtId="49" fontId="31" fillId="0" borderId="0">
      <alignment horizontal="right"/>
    </xf>
    <xf numFmtId="49" fontId="32" fillId="0" borderId="0">
      <alignment horizontal="right"/>
    </xf>
    <xf numFmtId="181" fontId="33" fillId="0" borderId="0">
      <alignment vertical="center"/>
    </xf>
    <xf numFmtId="0" fontId="34" fillId="0" borderId="6" applyNumberFormat="0" applyAlignment="0" applyProtection="0">
      <alignment horizontal="left" vertical="center"/>
    </xf>
    <xf numFmtId="0" fontId="34" fillId="0" borderId="1">
      <alignment horizontal="left" vertical="center"/>
    </xf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0"/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horizontal="justify" vertical="top" wrapText="1"/>
    </xf>
    <xf numFmtId="0" fontId="38" fillId="0" borderId="0" applyNumberFormat="0" applyFill="0" applyBorder="0" applyAlignment="0" applyProtection="0">
      <alignment vertical="top"/>
      <protection locked="0"/>
    </xf>
    <xf numFmtId="0" fontId="39" fillId="7" borderId="2" applyNumberFormat="0" applyAlignment="0" applyProtection="0"/>
    <xf numFmtId="0" fontId="40" fillId="25" borderId="0" applyNumberFormat="0" applyFont="0" applyBorder="0" applyAlignment="0" applyProtection="0"/>
    <xf numFmtId="173" fontId="18" fillId="0" borderId="0" applyFill="0" applyBorder="0" applyAlignment="0"/>
    <xf numFmtId="174" fontId="18" fillId="0" borderId="0" applyFill="0" applyBorder="0" applyAlignment="0"/>
    <xf numFmtId="173" fontId="18" fillId="0" borderId="0" applyFill="0" applyBorder="0" applyAlignment="0"/>
    <xf numFmtId="173" fontId="18" fillId="0" borderId="0" applyFill="0" applyBorder="0" applyAlignment="0"/>
    <xf numFmtId="174" fontId="18" fillId="0" borderId="0" applyFill="0" applyBorder="0" applyAlignment="0"/>
    <xf numFmtId="0" fontId="41" fillId="0" borderId="10" applyNumberFormat="0" applyFill="0" applyAlignment="0" applyProtection="0"/>
    <xf numFmtId="0" fontId="18" fillId="26" borderId="0"/>
    <xf numFmtId="0" fontId="42" fillId="0" borderId="0"/>
    <xf numFmtId="182" fontId="5" fillId="0" borderId="0"/>
    <xf numFmtId="0" fontId="43" fillId="27" borderId="0" applyNumberFormat="0" applyBorder="0" applyAlignment="0" applyProtection="0"/>
    <xf numFmtId="0" fontId="20" fillId="28" borderId="0"/>
    <xf numFmtId="0" fontId="44" fillId="0" borderId="0"/>
    <xf numFmtId="0" fontId="44" fillId="0" borderId="0"/>
    <xf numFmtId="0" fontId="18" fillId="0" borderId="0"/>
    <xf numFmtId="0" fontId="44" fillId="0" borderId="0"/>
    <xf numFmtId="2" fontId="40" fillId="0" borderId="0" applyBorder="0" applyProtection="0"/>
    <xf numFmtId="0" fontId="4" fillId="29" borderId="11" applyNumberFormat="0" applyFont="0" applyAlignment="0" applyProtection="0"/>
    <xf numFmtId="0" fontId="45" fillId="0" borderId="0" applyNumberFormat="0" applyAlignment="0"/>
    <xf numFmtId="0" fontId="46" fillId="0" borderId="0" applyNumberFormat="0" applyAlignment="0"/>
    <xf numFmtId="0" fontId="47" fillId="0" borderId="0" applyNumberFormat="0" applyAlignment="0"/>
    <xf numFmtId="0" fontId="48" fillId="0" borderId="0"/>
    <xf numFmtId="0" fontId="49" fillId="0" borderId="0"/>
    <xf numFmtId="0" fontId="50" fillId="0" borderId="0">
      <alignment horizontal="left" vertical="top"/>
      <protection locked="0"/>
    </xf>
    <xf numFmtId="0" fontId="51" fillId="22" borderId="12" applyNumberFormat="0" applyAlignment="0" applyProtection="0"/>
    <xf numFmtId="0" fontId="4" fillId="0" borderId="0"/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>
      <alignment horizontal="left"/>
    </xf>
    <xf numFmtId="176" fontId="18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54" fillId="0" borderId="0"/>
    <xf numFmtId="173" fontId="18" fillId="0" borderId="0" applyFill="0" applyBorder="0" applyAlignment="0"/>
    <xf numFmtId="174" fontId="18" fillId="0" borderId="0" applyFill="0" applyBorder="0" applyAlignment="0"/>
    <xf numFmtId="173" fontId="18" fillId="0" borderId="0" applyFill="0" applyBorder="0" applyAlignment="0"/>
    <xf numFmtId="173" fontId="18" fillId="0" borderId="0" applyFill="0" applyBorder="0" applyAlignment="0"/>
    <xf numFmtId="174" fontId="18" fillId="0" borderId="0" applyFill="0" applyBorder="0" applyAlignment="0"/>
    <xf numFmtId="0" fontId="55" fillId="0" borderId="0"/>
    <xf numFmtId="39" fontId="56" fillId="0" borderId="0" applyNumberFormat="0">
      <alignment horizontal="right"/>
    </xf>
    <xf numFmtId="184" fontId="18" fillId="0" borderId="13" applyBorder="0">
      <alignment horizontal="right"/>
    </xf>
    <xf numFmtId="185" fontId="40" fillId="17" borderId="14" applyNumberFormat="0" applyFont="0" applyBorder="0" applyAlignment="0" applyProtection="0">
      <alignment horizontal="center"/>
    </xf>
    <xf numFmtId="38" fontId="57" fillId="30" borderId="15" applyNumberFormat="0" applyFont="0" applyBorder="0" applyAlignment="0" applyProtection="0"/>
    <xf numFmtId="1" fontId="55" fillId="31" borderId="0" applyNumberFormat="0" applyFont="0" applyBorder="0" applyAlignment="0">
      <alignment horizontal="left"/>
    </xf>
    <xf numFmtId="186" fontId="58" fillId="0" borderId="0" applyFont="0" applyFill="0" applyBorder="0" applyAlignment="0" applyProtection="0"/>
    <xf numFmtId="0" fontId="15" fillId="0" borderId="0" applyNumberFormat="0" applyAlignment="0"/>
    <xf numFmtId="0" fontId="4" fillId="0" borderId="0" applyFont="0" applyFill="0" applyBorder="0" applyAlignment="0" applyProtection="0"/>
    <xf numFmtId="0" fontId="59" fillId="32" borderId="0" applyNumberFormat="0" applyBorder="0" applyAlignment="0" applyProtection="0"/>
    <xf numFmtId="0" fontId="42" fillId="0" borderId="0" applyNumberFormat="0" applyFill="0" applyBorder="0" applyAlignment="0" applyProtection="0"/>
    <xf numFmtId="0" fontId="60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Protection="0">
      <alignment horizontal="center"/>
    </xf>
    <xf numFmtId="0" fontId="63" fillId="33" borderId="0" applyNumberFormat="0" applyBorder="0" applyAlignment="0" applyProtection="0"/>
    <xf numFmtId="0" fontId="18" fillId="0" borderId="0" applyNumberFormat="0" applyFont="0" applyFill="0" applyBorder="0" applyProtection="0">
      <alignment horizontal="right"/>
    </xf>
    <xf numFmtId="0" fontId="18" fillId="0" borderId="0" applyNumberFormat="0" applyFon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34" borderId="0" applyNumberFormat="0" applyFont="0" applyBorder="0" applyAlignment="0" applyProtection="0"/>
    <xf numFmtId="187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16" applyNumberFormat="0" applyFont="0" applyFill="0" applyAlignment="0" applyProtection="0"/>
    <xf numFmtId="188" fontId="65" fillId="0" borderId="0" applyNumberFormat="0" applyFill="0" applyBorder="0" applyAlignment="0" applyProtection="0">
      <alignment horizontal="right" vertical="center" wrapText="1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protection locked="0"/>
    </xf>
    <xf numFmtId="0" fontId="68" fillId="0" borderId="5" applyNumberFormat="0" applyFill="0" applyProtection="0">
      <alignment horizontal="right"/>
    </xf>
    <xf numFmtId="0" fontId="18" fillId="0" borderId="17" applyAlignment="0"/>
    <xf numFmtId="0" fontId="68" fillId="0" borderId="18" applyNumberFormat="0" applyProtection="0">
      <alignment horizontal="right"/>
    </xf>
    <xf numFmtId="0" fontId="69" fillId="0" borderId="19" applyNumberFormat="0" applyFill="0" applyProtection="0"/>
    <xf numFmtId="0" fontId="70" fillId="0" borderId="0">
      <alignment vertical="center"/>
    </xf>
    <xf numFmtId="0" fontId="71" fillId="0" borderId="0">
      <alignment vertical="center"/>
    </xf>
    <xf numFmtId="0" fontId="33" fillId="0" borderId="0">
      <alignment vertical="center"/>
    </xf>
    <xf numFmtId="0" fontId="72" fillId="0" borderId="0" applyNumberFormat="0">
      <alignment horizontal="left"/>
    </xf>
    <xf numFmtId="0" fontId="73" fillId="0" borderId="0" applyNumberFormat="0" applyFill="0" applyBorder="0">
      <alignment horizontal="left" wrapText="1"/>
    </xf>
    <xf numFmtId="0" fontId="21" fillId="0" borderId="0" applyNumberFormat="0" applyFill="0" applyBorder="0">
      <alignment horizontal="right" wrapText="1"/>
    </xf>
    <xf numFmtId="0" fontId="74" fillId="0" borderId="0" applyNumberFormat="0" applyFill="0" applyBorder="0">
      <alignment horizontal="left" wrapText="1"/>
    </xf>
    <xf numFmtId="0" fontId="21" fillId="0" borderId="0" applyNumberFormat="0" applyBorder="0">
      <alignment horizontal="left" wrapText="1"/>
    </xf>
    <xf numFmtId="49" fontId="24" fillId="0" borderId="0" applyFill="0" applyBorder="0" applyAlignment="0"/>
    <xf numFmtId="174" fontId="18" fillId="0" borderId="0" applyFill="0" applyBorder="0" applyAlignment="0"/>
    <xf numFmtId="176" fontId="18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18" fillId="35" borderId="0"/>
    <xf numFmtId="0" fontId="77" fillId="35" borderId="0" applyFill="0"/>
    <xf numFmtId="0" fontId="78" fillId="0" borderId="0"/>
    <xf numFmtId="0" fontId="79" fillId="0" borderId="0" applyNumberFormat="0" applyFill="0" applyBorder="0" applyAlignment="0" applyProtection="0"/>
    <xf numFmtId="189" fontId="5" fillId="0" borderId="0"/>
    <xf numFmtId="1" fontId="80" fillId="0" borderId="1" applyFill="0" applyProtection="0">
      <alignment horizontal="right"/>
    </xf>
    <xf numFmtId="43" fontId="102" fillId="0" borderId="0" applyFont="0" applyFill="0" applyBorder="0" applyAlignment="0" applyProtection="0"/>
    <xf numFmtId="0" fontId="3" fillId="0" borderId="0"/>
    <xf numFmtId="9" fontId="102" fillId="0" borderId="0" applyFont="0" applyFill="0" applyBorder="0" applyAlignment="0" applyProtection="0"/>
    <xf numFmtId="173" fontId="4" fillId="0" borderId="0" applyFill="0" applyBorder="0" applyAlignment="0"/>
    <xf numFmtId="174" fontId="4" fillId="0" borderId="0" applyFill="0" applyBorder="0" applyAlignment="0"/>
    <xf numFmtId="173" fontId="4" fillId="0" borderId="0" applyFill="0" applyBorder="0" applyAlignment="0"/>
    <xf numFmtId="176" fontId="4" fillId="0" borderId="0" applyFill="0" applyBorder="0" applyAlignment="0"/>
    <xf numFmtId="173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4" fontId="6" fillId="0" borderId="0" applyFill="0" applyBorder="0" applyAlignment="0"/>
    <xf numFmtId="178" fontId="4" fillId="0" borderId="0">
      <alignment horizontal="right"/>
    </xf>
    <xf numFmtId="1" fontId="4" fillId="0" borderId="0">
      <alignment horizontal="right"/>
    </xf>
    <xf numFmtId="1" fontId="4" fillId="0" borderId="0">
      <alignment horizontal="right"/>
    </xf>
    <xf numFmtId="179" fontId="4" fillId="0" borderId="0">
      <alignment horizontal="right"/>
    </xf>
    <xf numFmtId="49" fontId="4" fillId="0" borderId="0">
      <alignment horizontal="left"/>
    </xf>
    <xf numFmtId="49" fontId="4" fillId="0" borderId="0">
      <alignment horizontal="right"/>
    </xf>
    <xf numFmtId="173" fontId="4" fillId="0" borderId="0" applyFill="0" applyBorder="0" applyAlignment="0"/>
    <xf numFmtId="174" fontId="4" fillId="0" borderId="0" applyFill="0" applyBorder="0" applyAlignment="0"/>
    <xf numFmtId="173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justify" vertical="top" wrapText="1"/>
    </xf>
    <xf numFmtId="0" fontId="25" fillId="25" borderId="0" applyNumberFormat="0" applyFont="0" applyBorder="0" applyAlignment="0" applyProtection="0"/>
    <xf numFmtId="173" fontId="4" fillId="0" borderId="0" applyFill="0" applyBorder="0" applyAlignment="0"/>
    <xf numFmtId="174" fontId="4" fillId="0" borderId="0" applyFill="0" applyBorder="0" applyAlignment="0"/>
    <xf numFmtId="173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0" fontId="4" fillId="26" borderId="0"/>
    <xf numFmtId="0" fontId="4" fillId="0" borderId="0"/>
    <xf numFmtId="2" fontId="25" fillId="0" borderId="0" applyBorder="0" applyProtection="0"/>
    <xf numFmtId="176" fontId="4" fillId="0" borderId="0" applyFont="0" applyFill="0" applyBorder="0" applyAlignment="0" applyProtection="0"/>
    <xf numFmtId="173" fontId="4" fillId="0" borderId="0" applyFill="0" applyBorder="0" applyAlignment="0"/>
    <xf numFmtId="174" fontId="4" fillId="0" borderId="0" applyFill="0" applyBorder="0" applyAlignment="0"/>
    <xf numFmtId="173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184" fontId="4" fillId="0" borderId="13" applyBorder="0">
      <alignment horizontal="right"/>
    </xf>
    <xf numFmtId="185" fontId="25" fillId="17" borderId="14" applyNumberFormat="0" applyFont="0" applyBorder="0" applyAlignment="0" applyProtection="0">
      <alignment horizontal="center"/>
    </xf>
    <xf numFmtId="186" fontId="9" fillId="0" borderId="0" applyFont="0" applyFill="0" applyBorder="0" applyAlignment="0" applyProtection="0"/>
    <xf numFmtId="0" fontId="4" fillId="0" borderId="0" applyNumberFormat="0" applyFont="0" applyFill="0" applyBorder="0" applyProtection="0">
      <alignment horizontal="right"/>
    </xf>
    <xf numFmtId="0" fontId="4" fillId="0" borderId="0" applyNumberFormat="0" applyFont="0" applyFill="0" applyBorder="0" applyProtection="0">
      <alignment horizontal="left"/>
    </xf>
    <xf numFmtId="0" fontId="4" fillId="34" borderId="0" applyNumberFormat="0" applyFont="0" applyBorder="0" applyAlignment="0" applyProtection="0"/>
    <xf numFmtId="187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16" applyNumberFormat="0" applyFont="0" applyFill="0" applyAlignment="0" applyProtection="0"/>
    <xf numFmtId="0" fontId="4" fillId="0" borderId="17" applyAlignment="0"/>
    <xf numFmtId="0" fontId="29" fillId="0" borderId="0">
      <alignment vertical="center"/>
    </xf>
    <xf numFmtId="49" fontId="6" fillId="0" borderId="0" applyFill="0" applyBorder="0" applyAlignment="0"/>
    <xf numFmtId="174" fontId="4" fillId="0" borderId="0" applyFill="0" applyBorder="0" applyAlignment="0"/>
    <xf numFmtId="176" fontId="4" fillId="0" borderId="0" applyFill="0" applyBorder="0" applyAlignment="0"/>
    <xf numFmtId="0" fontId="4" fillId="35" borderId="0"/>
    <xf numFmtId="43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105" fillId="0" borderId="0"/>
    <xf numFmtId="0" fontId="1" fillId="0" borderId="0"/>
  </cellStyleXfs>
  <cellXfs count="731">
    <xf numFmtId="0" fontId="0" fillId="0" borderId="0" xfId="0"/>
    <xf numFmtId="0" fontId="84" fillId="0" borderId="0" xfId="0" applyFont="1"/>
    <xf numFmtId="0" fontId="84" fillId="0" borderId="0" xfId="0" applyFont="1" applyAlignment="1">
      <alignment horizontal="right"/>
    </xf>
    <xf numFmtId="0" fontId="84" fillId="0" borderId="0" xfId="0" applyFont="1" applyAlignment="1">
      <alignment vertical="center" wrapText="1"/>
    </xf>
    <xf numFmtId="0" fontId="85" fillId="0" borderId="0" xfId="0" applyFont="1"/>
    <xf numFmtId="0" fontId="85" fillId="36" borderId="21" xfId="0" applyFont="1" applyFill="1" applyBorder="1" applyAlignment="1">
      <alignment horizontal="right" vertical="center" wrapText="1"/>
    </xf>
    <xf numFmtId="0" fontId="85" fillId="36" borderId="22" xfId="0" applyFont="1" applyFill="1" applyBorder="1" applyAlignment="1">
      <alignment horizontal="right" vertical="center" wrapText="1"/>
    </xf>
    <xf numFmtId="0" fontId="85" fillId="36" borderId="23" xfId="0" applyFont="1" applyFill="1" applyBorder="1" applyAlignment="1">
      <alignment horizontal="right" vertical="center" wrapText="1"/>
    </xf>
    <xf numFmtId="0" fontId="85" fillId="36" borderId="24" xfId="0" applyFont="1" applyFill="1" applyBorder="1" applyAlignment="1">
      <alignment horizontal="right" vertical="center" wrapText="1"/>
    </xf>
    <xf numFmtId="0" fontId="85" fillId="36" borderId="25" xfId="0" applyFont="1" applyFill="1" applyBorder="1" applyAlignment="1">
      <alignment horizontal="right" vertical="center" wrapText="1"/>
    </xf>
    <xf numFmtId="0" fontId="82" fillId="0" borderId="0" xfId="0" applyFont="1"/>
    <xf numFmtId="0" fontId="82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right"/>
    </xf>
    <xf numFmtId="0" fontId="37" fillId="0" borderId="16" xfId="0" applyFont="1" applyBorder="1"/>
    <xf numFmtId="0" fontId="37" fillId="0" borderId="16" xfId="0" applyFont="1" applyBorder="1" applyAlignment="1">
      <alignment horizontal="right"/>
    </xf>
    <xf numFmtId="0" fontId="86" fillId="0" borderId="0" xfId="0" applyFont="1"/>
    <xf numFmtId="0" fontId="83" fillId="36" borderId="26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horizontal="centerContinuous" vertical="center" wrapText="1"/>
    </xf>
    <xf numFmtId="0" fontId="83" fillId="36" borderId="1" xfId="0" applyFont="1" applyFill="1" applyBorder="1" applyAlignment="1">
      <alignment horizontal="centerContinuous" vertical="center" wrapText="1"/>
    </xf>
    <xf numFmtId="0" fontId="83" fillId="36" borderId="13" xfId="0" applyFont="1" applyFill="1" applyBorder="1" applyAlignment="1">
      <alignment horizontal="centerContinuous" vertical="center" wrapText="1"/>
    </xf>
    <xf numFmtId="0" fontId="83" fillId="36" borderId="28" xfId="0" applyFont="1" applyFill="1" applyBorder="1" applyAlignment="1">
      <alignment horizontal="right" vertical="center" wrapText="1"/>
    </xf>
    <xf numFmtId="0" fontId="83" fillId="36" borderId="29" xfId="0" applyFont="1" applyFill="1" applyBorder="1" applyAlignment="1">
      <alignment horizontal="right" vertical="center" wrapText="1"/>
    </xf>
    <xf numFmtId="0" fontId="83" fillId="36" borderId="30" xfId="0" applyFont="1" applyFill="1" applyBorder="1" applyAlignment="1">
      <alignment horizontal="right" vertical="center" wrapText="1"/>
    </xf>
    <xf numFmtId="0" fontId="84" fillId="0" borderId="31" xfId="0" applyFont="1" applyBorder="1"/>
    <xf numFmtId="0" fontId="84" fillId="0" borderId="14" xfId="0" applyFont="1" applyBorder="1"/>
    <xf numFmtId="0" fontId="83" fillId="0" borderId="0" xfId="0" applyFont="1" applyFill="1" applyBorder="1" applyAlignment="1">
      <alignment horizontal="right" vertical="center" wrapText="1"/>
    </xf>
    <xf numFmtId="0" fontId="84" fillId="0" borderId="0" xfId="0" applyFont="1" applyFill="1" applyBorder="1" applyAlignment="1">
      <alignment vertical="center" wrapText="1"/>
    </xf>
    <xf numFmtId="0" fontId="83" fillId="36" borderId="32" xfId="0" applyFont="1" applyFill="1" applyBorder="1" applyAlignment="1">
      <alignment vertical="center" wrapText="1"/>
    </xf>
    <xf numFmtId="0" fontId="83" fillId="36" borderId="33" xfId="0" applyFont="1" applyFill="1" applyBorder="1" applyAlignment="1">
      <alignment horizontal="right" vertical="center" wrapText="1"/>
    </xf>
    <xf numFmtId="0" fontId="83" fillId="36" borderId="34" xfId="0" applyFont="1" applyFill="1" applyBorder="1" applyAlignment="1">
      <alignment horizontal="right" vertical="center" wrapText="1"/>
    </xf>
    <xf numFmtId="0" fontId="83" fillId="36" borderId="35" xfId="0" applyFont="1" applyFill="1" applyBorder="1" applyAlignment="1">
      <alignment horizontal="right" vertical="center" wrapText="1"/>
    </xf>
    <xf numFmtId="0" fontId="83" fillId="36" borderId="36" xfId="0" applyFont="1" applyFill="1" applyBorder="1" applyAlignment="1">
      <alignment horizontal="right" vertical="center" wrapText="1"/>
    </xf>
    <xf numFmtId="0" fontId="84" fillId="36" borderId="31" xfId="0" applyFont="1" applyFill="1" applyBorder="1"/>
    <xf numFmtId="0" fontId="84" fillId="36" borderId="37" xfId="0" applyFont="1" applyFill="1" applyBorder="1"/>
    <xf numFmtId="0" fontId="84" fillId="36" borderId="14" xfId="0" applyFont="1" applyFill="1" applyBorder="1"/>
    <xf numFmtId="0" fontId="84" fillId="36" borderId="37" xfId="0" applyFont="1" applyFill="1" applyBorder="1" applyAlignment="1">
      <alignment vertical="center" wrapText="1"/>
    </xf>
    <xf numFmtId="0" fontId="85" fillId="36" borderId="38" xfId="0" applyFont="1" applyFill="1" applyBorder="1" applyAlignment="1">
      <alignment vertical="center" wrapText="1"/>
    </xf>
    <xf numFmtId="0" fontId="85" fillId="36" borderId="38" xfId="0" applyFont="1" applyFill="1" applyBorder="1" applyAlignment="1">
      <alignment horizontal="right" vertical="center" wrapText="1"/>
    </xf>
    <xf numFmtId="0" fontId="85" fillId="36" borderId="39" xfId="0" applyFont="1" applyFill="1" applyBorder="1" applyAlignment="1">
      <alignment horizontal="right" vertical="center" wrapText="1"/>
    </xf>
    <xf numFmtId="0" fontId="85" fillId="36" borderId="40" xfId="0" applyFont="1" applyFill="1" applyBorder="1" applyAlignment="1">
      <alignment vertical="center" wrapText="1"/>
    </xf>
    <xf numFmtId="0" fontId="85" fillId="36" borderId="41" xfId="0" applyFont="1" applyFill="1" applyBorder="1" applyAlignment="1">
      <alignment vertical="center" wrapText="1"/>
    </xf>
    <xf numFmtId="0" fontId="85" fillId="36" borderId="41" xfId="0" applyFont="1" applyFill="1" applyBorder="1" applyAlignment="1">
      <alignment horizontal="right" vertical="center" wrapText="1"/>
    </xf>
    <xf numFmtId="0" fontId="85" fillId="36" borderId="42" xfId="0" applyFont="1" applyFill="1" applyBorder="1" applyAlignment="1">
      <alignment horizontal="right" vertical="center" wrapText="1"/>
    </xf>
    <xf numFmtId="0" fontId="85" fillId="0" borderId="31" xfId="0" applyFont="1" applyBorder="1"/>
    <xf numFmtId="0" fontId="85" fillId="0" borderId="14" xfId="0" applyFont="1" applyBorder="1"/>
    <xf numFmtId="0" fontId="83" fillId="36" borderId="43" xfId="0" applyFont="1" applyFill="1" applyBorder="1" applyAlignment="1">
      <alignment horizontal="right" vertical="center" wrapText="1"/>
    </xf>
    <xf numFmtId="0" fontId="83" fillId="36" borderId="44" xfId="0" applyFont="1" applyFill="1" applyBorder="1" applyAlignment="1">
      <alignment horizontal="right" vertical="center" wrapText="1"/>
    </xf>
    <xf numFmtId="3" fontId="84" fillId="0" borderId="45" xfId="0" applyNumberFormat="1" applyFont="1" applyBorder="1" applyAlignment="1">
      <alignment horizontal="right"/>
    </xf>
    <xf numFmtId="3" fontId="84" fillId="0" borderId="46" xfId="0" applyNumberFormat="1" applyFont="1" applyBorder="1" applyAlignment="1">
      <alignment horizontal="right"/>
    </xf>
    <xf numFmtId="0" fontId="83" fillId="36" borderId="47" xfId="0" applyFont="1" applyFill="1" applyBorder="1" applyAlignment="1">
      <alignment horizontal="right" vertical="center" wrapText="1"/>
    </xf>
    <xf numFmtId="0" fontId="83" fillId="36" borderId="48" xfId="0" applyFont="1" applyFill="1" applyBorder="1" applyAlignment="1">
      <alignment horizontal="right" vertical="center" wrapText="1"/>
    </xf>
    <xf numFmtId="0" fontId="83" fillId="36" borderId="49" xfId="0" applyFont="1" applyFill="1" applyBorder="1" applyAlignment="1">
      <alignment horizontal="right" vertical="center" wrapText="1"/>
    </xf>
    <xf numFmtId="0" fontId="85" fillId="36" borderId="50" xfId="0" applyFont="1" applyFill="1" applyBorder="1" applyAlignment="1">
      <alignment horizontal="right" vertical="center" wrapText="1"/>
    </xf>
    <xf numFmtId="3" fontId="84" fillId="0" borderId="51" xfId="0" applyNumberFormat="1" applyFont="1" applyBorder="1" applyAlignment="1">
      <alignment horizontal="right"/>
    </xf>
    <xf numFmtId="3" fontId="84" fillId="0" borderId="52" xfId="0" applyNumberFormat="1" applyFont="1" applyBorder="1" applyAlignment="1">
      <alignment horizontal="right"/>
    </xf>
    <xf numFmtId="3" fontId="84" fillId="0" borderId="53" xfId="0" applyNumberFormat="1" applyFont="1" applyBorder="1" applyAlignment="1">
      <alignment horizontal="right"/>
    </xf>
    <xf numFmtId="3" fontId="84" fillId="0" borderId="54" xfId="0" applyNumberFormat="1" applyFont="1" applyBorder="1" applyAlignment="1">
      <alignment horizontal="right"/>
    </xf>
    <xf numFmtId="3" fontId="84" fillId="0" borderId="55" xfId="0" applyNumberFormat="1" applyFont="1" applyBorder="1" applyAlignment="1">
      <alignment horizontal="right"/>
    </xf>
    <xf numFmtId="3" fontId="84" fillId="0" borderId="56" xfId="0" applyNumberFormat="1" applyFont="1" applyBorder="1" applyAlignment="1">
      <alignment horizontal="right"/>
    </xf>
    <xf numFmtId="3" fontId="84" fillId="0" borderId="57" xfId="0" applyNumberFormat="1" applyFont="1" applyBorder="1" applyAlignment="1">
      <alignment horizontal="right"/>
    </xf>
    <xf numFmtId="3" fontId="84" fillId="0" borderId="58" xfId="0" applyNumberFormat="1" applyFont="1" applyBorder="1" applyAlignment="1">
      <alignment horizontal="right"/>
    </xf>
    <xf numFmtId="0" fontId="85" fillId="36" borderId="37" xfId="0" applyFont="1" applyFill="1" applyBorder="1"/>
    <xf numFmtId="3" fontId="84" fillId="36" borderId="59" xfId="0" applyNumberFormat="1" applyFont="1" applyFill="1" applyBorder="1" applyAlignment="1">
      <alignment horizontal="right"/>
    </xf>
    <xf numFmtId="0" fontId="84" fillId="0" borderId="60" xfId="0" applyFont="1" applyBorder="1"/>
    <xf numFmtId="0" fontId="84" fillId="0" borderId="27" xfId="0" applyFont="1" applyBorder="1" applyAlignment="1">
      <alignment horizontal="right"/>
    </xf>
    <xf numFmtId="0" fontId="84" fillId="0" borderId="1" xfId="0" applyFont="1" applyBorder="1" applyAlignment="1">
      <alignment horizontal="right"/>
    </xf>
    <xf numFmtId="0" fontId="84" fillId="0" borderId="13" xfId="0" applyFont="1" applyBorder="1" applyAlignment="1">
      <alignment horizontal="right"/>
    </xf>
    <xf numFmtId="0" fontId="83" fillId="0" borderId="61" xfId="0" applyFont="1" applyFill="1" applyBorder="1" applyAlignment="1">
      <alignment vertical="center" wrapText="1"/>
    </xf>
    <xf numFmtId="3" fontId="84" fillId="36" borderId="62" xfId="0" applyNumberFormat="1" applyFont="1" applyFill="1" applyBorder="1" applyAlignment="1">
      <alignment horizontal="right"/>
    </xf>
    <xf numFmtId="3" fontId="84" fillId="36" borderId="63" xfId="0" applyNumberFormat="1" applyFont="1" applyFill="1" applyBorder="1" applyAlignment="1">
      <alignment horizontal="right"/>
    </xf>
    <xf numFmtId="3" fontId="84" fillId="36" borderId="64" xfId="0" applyNumberFormat="1" applyFont="1" applyFill="1" applyBorder="1" applyAlignment="1">
      <alignment horizontal="right"/>
    </xf>
    <xf numFmtId="3" fontId="84" fillId="36" borderId="65" xfId="0" applyNumberFormat="1" applyFont="1" applyFill="1" applyBorder="1" applyAlignment="1">
      <alignment horizontal="right"/>
    </xf>
    <xf numFmtId="3" fontId="84" fillId="0" borderId="66" xfId="0" applyNumberFormat="1" applyFont="1" applyBorder="1" applyAlignment="1">
      <alignment horizontal="right"/>
    </xf>
    <xf numFmtId="3" fontId="84" fillId="36" borderId="67" xfId="0" applyNumberFormat="1" applyFont="1" applyFill="1" applyBorder="1" applyAlignment="1">
      <alignment horizontal="right"/>
    </xf>
    <xf numFmtId="3" fontId="84" fillId="0" borderId="68" xfId="0" applyNumberFormat="1" applyFont="1" applyBorder="1" applyAlignment="1">
      <alignment horizontal="right"/>
    </xf>
    <xf numFmtId="0" fontId="85" fillId="36" borderId="31" xfId="0" applyFont="1" applyFill="1" applyBorder="1"/>
    <xf numFmtId="3" fontId="84" fillId="36" borderId="52" xfId="0" applyNumberFormat="1" applyFont="1" applyFill="1" applyBorder="1" applyAlignment="1">
      <alignment horizontal="right"/>
    </xf>
    <xf numFmtId="0" fontId="85" fillId="36" borderId="14" xfId="0" applyFont="1" applyFill="1" applyBorder="1"/>
    <xf numFmtId="3" fontId="84" fillId="36" borderId="56" xfId="0" applyNumberFormat="1" applyFont="1" applyFill="1" applyBorder="1" applyAlignment="1">
      <alignment horizontal="right"/>
    </xf>
    <xf numFmtId="0" fontId="84" fillId="0" borderId="0" xfId="0" applyFont="1" applyFill="1"/>
    <xf numFmtId="0" fontId="84" fillId="0" borderId="37" xfId="0" applyFont="1" applyFill="1" applyBorder="1"/>
    <xf numFmtId="0" fontId="85" fillId="0" borderId="37" xfId="0" applyFont="1" applyFill="1" applyBorder="1"/>
    <xf numFmtId="3" fontId="84" fillId="0" borderId="63" xfId="0" applyNumberFormat="1" applyFont="1" applyFill="1" applyBorder="1" applyAlignment="1">
      <alignment horizontal="right"/>
    </xf>
    <xf numFmtId="0" fontId="84" fillId="36" borderId="69" xfId="0" applyFont="1" applyFill="1" applyBorder="1" applyAlignment="1">
      <alignment horizontal="center"/>
    </xf>
    <xf numFmtId="0" fontId="84" fillId="0" borderId="70" xfId="0" applyFont="1" applyFill="1" applyBorder="1" applyAlignment="1">
      <alignment horizontal="center"/>
    </xf>
    <xf numFmtId="0" fontId="84" fillId="36" borderId="70" xfId="0" applyFont="1" applyFill="1" applyBorder="1" applyAlignment="1">
      <alignment horizontal="center"/>
    </xf>
    <xf numFmtId="0" fontId="84" fillId="36" borderId="71" xfId="0" applyFont="1" applyFill="1" applyBorder="1" applyAlignment="1">
      <alignment horizontal="center"/>
    </xf>
    <xf numFmtId="0" fontId="83" fillId="36" borderId="72" xfId="0" applyFont="1" applyFill="1" applyBorder="1" applyAlignment="1">
      <alignment horizontal="centerContinuous" vertical="center" wrapText="1"/>
    </xf>
    <xf numFmtId="0" fontId="83" fillId="36" borderId="69" xfId="0" applyFont="1" applyFill="1" applyBorder="1" applyAlignment="1">
      <alignment horizontal="center" vertical="center" wrapText="1"/>
    </xf>
    <xf numFmtId="0" fontId="83" fillId="36" borderId="73" xfId="0" applyFont="1" applyFill="1" applyBorder="1" applyAlignment="1">
      <alignment horizontal="centerContinuous" vertical="center" wrapText="1"/>
    </xf>
    <xf numFmtId="0" fontId="83" fillId="36" borderId="74" xfId="0" applyFont="1" applyFill="1" applyBorder="1" applyAlignment="1">
      <alignment horizontal="centerContinuous" vertical="center" wrapText="1"/>
    </xf>
    <xf numFmtId="0" fontId="83" fillId="36" borderId="75" xfId="0" applyFont="1" applyFill="1" applyBorder="1" applyAlignment="1">
      <alignment horizontal="centerContinuous" vertical="center" wrapText="1"/>
    </xf>
    <xf numFmtId="0" fontId="83" fillId="36" borderId="76" xfId="0" applyFont="1" applyFill="1" applyBorder="1" applyAlignment="1">
      <alignment horizontal="center" vertical="top" wrapText="1"/>
    </xf>
    <xf numFmtId="0" fontId="83" fillId="36" borderId="31" xfId="0" applyFont="1" applyFill="1" applyBorder="1" applyAlignment="1">
      <alignment wrapText="1"/>
    </xf>
    <xf numFmtId="0" fontId="83" fillId="36" borderId="77" xfId="0" applyFont="1" applyFill="1" applyBorder="1" applyAlignment="1">
      <alignment vertical="top" wrapText="1"/>
    </xf>
    <xf numFmtId="0" fontId="84" fillId="0" borderId="69" xfId="0" applyFont="1" applyBorder="1" applyAlignment="1">
      <alignment horizontal="center"/>
    </xf>
    <xf numFmtId="0" fontId="85" fillId="36" borderId="60" xfId="0" applyFont="1" applyFill="1" applyBorder="1" applyAlignment="1">
      <alignment horizontal="center" vertical="center" wrapText="1"/>
    </xf>
    <xf numFmtId="0" fontId="85" fillId="26" borderId="50" xfId="0" applyFont="1" applyFill="1" applyBorder="1" applyAlignment="1">
      <alignment horizontal="right" vertical="center" wrapText="1"/>
    </xf>
    <xf numFmtId="0" fontId="85" fillId="26" borderId="22" xfId="0" applyFont="1" applyFill="1" applyBorder="1" applyAlignment="1">
      <alignment horizontal="right" vertical="center" wrapText="1"/>
    </xf>
    <xf numFmtId="0" fontId="64" fillId="37" borderId="60" xfId="0" applyFont="1" applyFill="1" applyBorder="1" applyAlignment="1">
      <alignment horizontal="center"/>
    </xf>
    <xf numFmtId="0" fontId="88" fillId="0" borderId="0" xfId="0" applyFont="1" applyAlignment="1">
      <alignment horizontal="right"/>
    </xf>
    <xf numFmtId="0" fontId="84" fillId="0" borderId="71" xfId="0" applyFont="1" applyBorder="1" applyAlignment="1">
      <alignment horizontal="center"/>
    </xf>
    <xf numFmtId="0" fontId="81" fillId="36" borderId="78" xfId="0" applyFont="1" applyFill="1" applyBorder="1" applyAlignment="1">
      <alignment vertical="center"/>
    </xf>
    <xf numFmtId="0" fontId="64" fillId="37" borderId="60" xfId="0" applyFont="1" applyFill="1" applyBorder="1" applyAlignment="1">
      <alignment horizontal="center" vertical="center"/>
    </xf>
    <xf numFmtId="0" fontId="85" fillId="36" borderId="79" xfId="0" applyFont="1" applyFill="1" applyBorder="1" applyAlignment="1">
      <alignment horizontal="right" vertical="center"/>
    </xf>
    <xf numFmtId="0" fontId="85" fillId="36" borderId="80" xfId="0" applyFont="1" applyFill="1" applyBorder="1" applyAlignment="1">
      <alignment horizontal="right" vertical="center"/>
    </xf>
    <xf numFmtId="0" fontId="85" fillId="36" borderId="81" xfId="0" applyFont="1" applyFill="1" applyBorder="1" applyAlignment="1">
      <alignment horizontal="right" vertical="center"/>
    </xf>
    <xf numFmtId="0" fontId="85" fillId="36" borderId="82" xfId="0" applyFont="1" applyFill="1" applyBorder="1" applyAlignment="1">
      <alignment horizontal="right" vertical="center"/>
    </xf>
    <xf numFmtId="0" fontId="85" fillId="36" borderId="83" xfId="0" applyFont="1" applyFill="1" applyBorder="1" applyAlignment="1">
      <alignment horizontal="right" vertical="center"/>
    </xf>
    <xf numFmtId="0" fontId="85" fillId="36" borderId="84" xfId="0" applyFont="1" applyFill="1" applyBorder="1" applyAlignment="1">
      <alignment horizontal="right" vertical="center"/>
    </xf>
    <xf numFmtId="0" fontId="84" fillId="0" borderId="0" xfId="0" applyFont="1" applyAlignment="1">
      <alignment vertical="center"/>
    </xf>
    <xf numFmtId="0" fontId="83" fillId="36" borderId="70" xfId="0" applyFont="1" applyFill="1" applyBorder="1" applyAlignment="1">
      <alignment horizontal="center" vertical="top" wrapText="1"/>
    </xf>
    <xf numFmtId="0" fontId="81" fillId="36" borderId="85" xfId="0" applyFont="1" applyFill="1" applyBorder="1" applyAlignment="1">
      <alignment horizontal="center" vertical="center"/>
    </xf>
    <xf numFmtId="0" fontId="83" fillId="0" borderId="71" xfId="0" applyFont="1" applyFill="1" applyBorder="1" applyAlignment="1">
      <alignment horizontal="right" vertical="center" wrapText="1"/>
    </xf>
    <xf numFmtId="0" fontId="83" fillId="0" borderId="86" xfId="0" applyFont="1" applyFill="1" applyBorder="1" applyAlignment="1">
      <alignment horizontal="right" vertical="center" wrapText="1"/>
    </xf>
    <xf numFmtId="0" fontId="85" fillId="36" borderId="87" xfId="0" applyFont="1" applyFill="1" applyBorder="1" applyAlignment="1">
      <alignment horizontal="right" vertical="center" wrapText="1"/>
    </xf>
    <xf numFmtId="0" fontId="85" fillId="36" borderId="88" xfId="0" applyFont="1" applyFill="1" applyBorder="1" applyAlignment="1">
      <alignment horizontal="right" vertical="center" wrapText="1"/>
    </xf>
    <xf numFmtId="0" fontId="85" fillId="36" borderId="89" xfId="0" applyFont="1" applyFill="1" applyBorder="1" applyAlignment="1">
      <alignment horizontal="right" vertical="center" wrapText="1"/>
    </xf>
    <xf numFmtId="0" fontId="85" fillId="36" borderId="90" xfId="0" applyFont="1" applyFill="1" applyBorder="1" applyAlignment="1">
      <alignment horizontal="right" vertical="center" wrapText="1"/>
    </xf>
    <xf numFmtId="0" fontId="85" fillId="26" borderId="91" xfId="0" applyFont="1" applyFill="1" applyBorder="1" applyAlignment="1">
      <alignment horizontal="right" vertical="center" wrapText="1"/>
    </xf>
    <xf numFmtId="0" fontId="85" fillId="26" borderId="92" xfId="0" applyFont="1" applyFill="1" applyBorder="1" applyAlignment="1">
      <alignment horizontal="right" vertical="center" wrapText="1"/>
    </xf>
    <xf numFmtId="0" fontId="83" fillId="36" borderId="70" xfId="0" applyFont="1" applyFill="1" applyBorder="1" applyAlignment="1">
      <alignment horizontal="center" vertical="center" wrapText="1"/>
    </xf>
    <xf numFmtId="0" fontId="89" fillId="36" borderId="60" xfId="94" applyFont="1" applyFill="1" applyBorder="1" applyAlignment="1" applyProtection="1">
      <alignment horizontal="center"/>
    </xf>
    <xf numFmtId="0" fontId="84" fillId="0" borderId="71" xfId="0" applyFont="1" applyFill="1" applyBorder="1" applyAlignment="1">
      <alignment horizontal="center"/>
    </xf>
    <xf numFmtId="0" fontId="84" fillId="0" borderId="14" xfId="0" applyFont="1" applyFill="1" applyBorder="1"/>
    <xf numFmtId="0" fontId="85" fillId="0" borderId="14" xfId="0" applyFont="1" applyFill="1" applyBorder="1"/>
    <xf numFmtId="3" fontId="84" fillId="0" borderId="56" xfId="0" applyNumberFormat="1" applyFont="1" applyFill="1" applyBorder="1" applyAlignment="1">
      <alignment horizontal="right"/>
    </xf>
    <xf numFmtId="190" fontId="84" fillId="36" borderId="52" xfId="0" applyNumberFormat="1" applyFont="1" applyFill="1" applyBorder="1" applyAlignment="1">
      <alignment horizontal="right"/>
    </xf>
    <xf numFmtId="190" fontId="84" fillId="36" borderId="53" xfId="0" applyNumberFormat="1" applyFont="1" applyFill="1" applyBorder="1" applyAlignment="1">
      <alignment horizontal="right"/>
    </xf>
    <xf numFmtId="190" fontId="84" fillId="0" borderId="63" xfId="0" applyNumberFormat="1" applyFont="1" applyFill="1" applyBorder="1" applyAlignment="1">
      <alignment horizontal="right"/>
    </xf>
    <xf numFmtId="190" fontId="84" fillId="0" borderId="64" xfId="0" applyNumberFormat="1" applyFont="1" applyFill="1" applyBorder="1" applyAlignment="1">
      <alignment horizontal="right"/>
    </xf>
    <xf numFmtId="190" fontId="84" fillId="36" borderId="62" xfId="0" applyNumberFormat="1" applyFont="1" applyFill="1" applyBorder="1" applyAlignment="1">
      <alignment horizontal="right"/>
    </xf>
    <xf numFmtId="190" fontId="84" fillId="36" borderId="63" xfId="0" applyNumberFormat="1" applyFont="1" applyFill="1" applyBorder="1" applyAlignment="1">
      <alignment horizontal="right"/>
    </xf>
    <xf numFmtId="190" fontId="84" fillId="36" borderId="64" xfId="0" applyNumberFormat="1" applyFont="1" applyFill="1" applyBorder="1" applyAlignment="1">
      <alignment horizontal="right"/>
    </xf>
    <xf numFmtId="190" fontId="84" fillId="36" borderId="56" xfId="0" applyNumberFormat="1" applyFont="1" applyFill="1" applyBorder="1" applyAlignment="1">
      <alignment horizontal="right"/>
    </xf>
    <xf numFmtId="190" fontId="84" fillId="36" borderId="57" xfId="0" applyNumberFormat="1" applyFont="1" applyFill="1" applyBorder="1" applyAlignment="1">
      <alignment horizontal="right"/>
    </xf>
    <xf numFmtId="190" fontId="84" fillId="0" borderId="56" xfId="0" applyNumberFormat="1" applyFont="1" applyFill="1" applyBorder="1" applyAlignment="1">
      <alignment horizontal="right"/>
    </xf>
    <xf numFmtId="190" fontId="84" fillId="0" borderId="57" xfId="0" applyNumberFormat="1" applyFont="1" applyFill="1" applyBorder="1" applyAlignment="1">
      <alignment horizontal="right"/>
    </xf>
    <xf numFmtId="190" fontId="84" fillId="36" borderId="93" xfId="0" applyNumberFormat="1" applyFont="1" applyFill="1" applyBorder="1" applyAlignment="1">
      <alignment horizontal="right"/>
    </xf>
    <xf numFmtId="190" fontId="84" fillId="36" borderId="94" xfId="0" applyNumberFormat="1" applyFont="1" applyFill="1" applyBorder="1" applyAlignment="1">
      <alignment horizontal="right"/>
    </xf>
    <xf numFmtId="190" fontId="84" fillId="0" borderId="95" xfId="0" applyNumberFormat="1" applyFont="1" applyFill="1" applyBorder="1" applyAlignment="1">
      <alignment horizontal="right"/>
    </xf>
    <xf numFmtId="190" fontId="84" fillId="0" borderId="96" xfId="0" applyNumberFormat="1" applyFont="1" applyFill="1" applyBorder="1" applyAlignment="1">
      <alignment horizontal="right"/>
    </xf>
    <xf numFmtId="190" fontId="84" fillId="36" borderId="95" xfId="0" applyNumberFormat="1" applyFont="1" applyFill="1" applyBorder="1" applyAlignment="1">
      <alignment horizontal="right"/>
    </xf>
    <xf numFmtId="190" fontId="84" fillId="36" borderId="96" xfId="0" applyNumberFormat="1" applyFont="1" applyFill="1" applyBorder="1" applyAlignment="1">
      <alignment horizontal="right"/>
    </xf>
    <xf numFmtId="190" fontId="84" fillId="36" borderId="97" xfId="0" applyNumberFormat="1" applyFont="1" applyFill="1" applyBorder="1" applyAlignment="1">
      <alignment horizontal="right"/>
    </xf>
    <xf numFmtId="190" fontId="84" fillId="36" borderId="98" xfId="0" applyNumberFormat="1" applyFont="1" applyFill="1" applyBorder="1" applyAlignment="1">
      <alignment horizontal="right"/>
    </xf>
    <xf numFmtId="190" fontId="84" fillId="36" borderId="99" xfId="0" applyNumberFormat="1" applyFont="1" applyFill="1" applyBorder="1" applyAlignment="1">
      <alignment horizontal="right"/>
    </xf>
    <xf numFmtId="190" fontId="84" fillId="0" borderId="98" xfId="0" applyNumberFormat="1" applyFont="1" applyFill="1" applyBorder="1" applyAlignment="1">
      <alignment horizontal="right"/>
    </xf>
    <xf numFmtId="190" fontId="84" fillId="0" borderId="99" xfId="0" applyNumberFormat="1" applyFont="1" applyFill="1" applyBorder="1" applyAlignment="1">
      <alignment horizontal="right"/>
    </xf>
    <xf numFmtId="190" fontId="84" fillId="0" borderId="51" xfId="0" applyNumberFormat="1" applyFont="1" applyBorder="1" applyAlignment="1">
      <alignment horizontal="right"/>
    </xf>
    <xf numFmtId="190" fontId="84" fillId="0" borderId="52" xfId="0" applyNumberFormat="1" applyFont="1" applyBorder="1" applyAlignment="1">
      <alignment horizontal="right"/>
    </xf>
    <xf numFmtId="190" fontId="84" fillId="0" borderId="53" xfId="0" applyNumberFormat="1" applyFont="1" applyBorder="1" applyAlignment="1">
      <alignment horizontal="right"/>
    </xf>
    <xf numFmtId="190" fontId="84" fillId="0" borderId="55" xfId="0" applyNumberFormat="1" applyFont="1" applyBorder="1" applyAlignment="1">
      <alignment horizontal="right"/>
    </xf>
    <xf numFmtId="190" fontId="84" fillId="0" borderId="56" xfId="0" applyNumberFormat="1" applyFont="1" applyBorder="1" applyAlignment="1">
      <alignment horizontal="right"/>
    </xf>
    <xf numFmtId="190" fontId="84" fillId="0" borderId="57" xfId="0" applyNumberFormat="1" applyFont="1" applyBorder="1" applyAlignment="1">
      <alignment horizontal="right"/>
    </xf>
    <xf numFmtId="190" fontId="84" fillId="0" borderId="93" xfId="0" applyNumberFormat="1" applyFont="1" applyBorder="1" applyAlignment="1">
      <alignment horizontal="right"/>
    </xf>
    <xf numFmtId="190" fontId="84" fillId="0" borderId="94" xfId="0" applyNumberFormat="1" applyFont="1" applyBorder="1" applyAlignment="1">
      <alignment horizontal="right"/>
    </xf>
    <xf numFmtId="190" fontId="84" fillId="0" borderId="100" xfId="0" applyNumberFormat="1" applyFont="1" applyBorder="1" applyAlignment="1">
      <alignment horizontal="right"/>
    </xf>
    <xf numFmtId="190" fontId="84" fillId="0" borderId="98" xfId="0" applyNumberFormat="1" applyFont="1" applyBorder="1" applyAlignment="1">
      <alignment horizontal="right"/>
    </xf>
    <xf numFmtId="190" fontId="84" fillId="0" borderId="99" xfId="0" applyNumberFormat="1" applyFont="1" applyBorder="1" applyAlignment="1">
      <alignment horizontal="right"/>
    </xf>
    <xf numFmtId="190" fontId="84" fillId="0" borderId="10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7" xfId="0" applyBorder="1" applyAlignment="1"/>
    <xf numFmtId="0" fontId="81" fillId="36" borderId="27" xfId="0" applyFont="1" applyFill="1" applyBorder="1" applyAlignment="1"/>
    <xf numFmtId="0" fontId="81" fillId="36" borderId="1" xfId="0" applyFont="1" applyFill="1" applyBorder="1" applyAlignment="1">
      <alignment horizontal="left"/>
    </xf>
    <xf numFmtId="190" fontId="0" fillId="0" borderId="70" xfId="0" applyNumberFormat="1" applyBorder="1" applyAlignment="1">
      <alignment horizontal="right"/>
    </xf>
    <xf numFmtId="190" fontId="0" fillId="0" borderId="102" xfId="0" applyNumberFormat="1" applyBorder="1" applyAlignment="1">
      <alignment horizontal="right"/>
    </xf>
    <xf numFmtId="0" fontId="81" fillId="36" borderId="28" xfId="0" applyFont="1" applyFill="1" applyBorder="1" applyAlignment="1">
      <alignment horizontal="right"/>
    </xf>
    <xf numFmtId="0" fontId="81" fillId="36" borderId="29" xfId="0" applyFont="1" applyFill="1" applyBorder="1" applyAlignment="1">
      <alignment horizontal="right"/>
    </xf>
    <xf numFmtId="0" fontId="0" fillId="0" borderId="62" xfId="0" applyBorder="1" applyAlignment="1">
      <alignment horizontal="right"/>
    </xf>
    <xf numFmtId="0" fontId="0" fillId="0" borderId="64" xfId="0" applyBorder="1" applyAlignment="1">
      <alignment horizontal="right"/>
    </xf>
    <xf numFmtId="190" fontId="0" fillId="0" borderId="62" xfId="0" applyNumberFormat="1" applyBorder="1" applyAlignment="1">
      <alignment horizontal="right"/>
    </xf>
    <xf numFmtId="190" fontId="0" fillId="0" borderId="64" xfId="0" applyNumberFormat="1" applyBorder="1" applyAlignment="1">
      <alignment horizontal="right"/>
    </xf>
    <xf numFmtId="190" fontId="64" fillId="0" borderId="62" xfId="0" applyNumberFormat="1" applyFont="1" applyBorder="1" applyAlignment="1">
      <alignment horizontal="right"/>
    </xf>
    <xf numFmtId="190" fontId="64" fillId="0" borderId="64" xfId="0" applyNumberFormat="1" applyFont="1" applyBorder="1" applyAlignment="1">
      <alignment horizontal="right"/>
    </xf>
    <xf numFmtId="185" fontId="0" fillId="0" borderId="62" xfId="0" applyNumberFormat="1" applyBorder="1" applyAlignment="1">
      <alignment horizontal="right"/>
    </xf>
    <xf numFmtId="185" fontId="0" fillId="0" borderId="64" xfId="0" applyNumberFormat="1" applyBorder="1" applyAlignment="1">
      <alignment horizontal="right"/>
    </xf>
    <xf numFmtId="0" fontId="83" fillId="36" borderId="27" xfId="0" applyFont="1" applyFill="1" applyBorder="1" applyAlignment="1"/>
    <xf numFmtId="0" fontId="83" fillId="36" borderId="1" xfId="0" applyFont="1" applyFill="1" applyBorder="1" applyAlignment="1"/>
    <xf numFmtId="0" fontId="83" fillId="36" borderId="1" xfId="0" applyFont="1" applyFill="1" applyBorder="1" applyAlignment="1">
      <alignment horizontal="left"/>
    </xf>
    <xf numFmtId="0" fontId="83" fillId="36" borderId="28" xfId="0" applyFont="1" applyFill="1" applyBorder="1" applyAlignment="1">
      <alignment horizontal="right"/>
    </xf>
    <xf numFmtId="0" fontId="0" fillId="0" borderId="69" xfId="0" applyBorder="1"/>
    <xf numFmtId="190" fontId="0" fillId="0" borderId="51" xfId="0" applyNumberFormat="1" applyBorder="1" applyAlignment="1">
      <alignment horizontal="right"/>
    </xf>
    <xf numFmtId="190" fontId="0" fillId="0" borderId="53" xfId="0" applyNumberFormat="1" applyBorder="1" applyAlignment="1">
      <alignment horizontal="right"/>
    </xf>
    <xf numFmtId="0" fontId="0" fillId="0" borderId="70" xfId="0" applyBorder="1"/>
    <xf numFmtId="0" fontId="0" fillId="0" borderId="0" xfId="0" applyBorder="1" applyAlignment="1">
      <alignment horizontal="left"/>
    </xf>
    <xf numFmtId="0" fontId="64" fillId="0" borderId="70" xfId="0" applyFont="1" applyBorder="1"/>
    <xf numFmtId="0" fontId="64" fillId="0" borderId="71" xfId="0" applyFont="1" applyBorder="1" applyAlignment="1"/>
    <xf numFmtId="190" fontId="64" fillId="0" borderId="55" xfId="0" applyNumberFormat="1" applyFont="1" applyBorder="1" applyAlignment="1">
      <alignment horizontal="right"/>
    </xf>
    <xf numFmtId="190" fontId="64" fillId="0" borderId="57" xfId="0" applyNumberFormat="1" applyFont="1" applyBorder="1" applyAlignment="1">
      <alignment horizontal="right"/>
    </xf>
    <xf numFmtId="0" fontId="85" fillId="36" borderId="51" xfId="0" applyFont="1" applyFill="1" applyBorder="1" applyAlignment="1">
      <alignment horizontal="left"/>
    </xf>
    <xf numFmtId="0" fontId="85" fillId="36" borderId="52" xfId="0" applyFont="1" applyFill="1" applyBorder="1" applyAlignment="1">
      <alignment horizontal="left"/>
    </xf>
    <xf numFmtId="0" fontId="85" fillId="36" borderId="53" xfId="0" applyFont="1" applyFill="1" applyBorder="1" applyAlignment="1">
      <alignment horizontal="left"/>
    </xf>
    <xf numFmtId="0" fontId="85" fillId="36" borderId="62" xfId="0" applyFont="1" applyFill="1" applyBorder="1" applyAlignment="1">
      <alignment horizontal="left"/>
    </xf>
    <xf numFmtId="0" fontId="85" fillId="36" borderId="63" xfId="0" applyFont="1" applyFill="1" applyBorder="1" applyAlignment="1">
      <alignment horizontal="left"/>
    </xf>
    <xf numFmtId="0" fontId="85" fillId="36" borderId="64" xfId="0" applyFont="1" applyFill="1" applyBorder="1" applyAlignment="1">
      <alignment horizontal="left"/>
    </xf>
    <xf numFmtId="0" fontId="90" fillId="36" borderId="62" xfId="0" applyFont="1" applyFill="1" applyBorder="1" applyAlignment="1">
      <alignment horizontal="left"/>
    </xf>
    <xf numFmtId="0" fontId="90" fillId="36" borderId="63" xfId="0" applyFont="1" applyFill="1" applyBorder="1" applyAlignment="1">
      <alignment horizontal="left"/>
    </xf>
    <xf numFmtId="0" fontId="90" fillId="36" borderId="64" xfId="0" applyFont="1" applyFill="1" applyBorder="1" applyAlignment="1">
      <alignment horizontal="left"/>
    </xf>
    <xf numFmtId="0" fontId="90" fillId="36" borderId="55" xfId="0" applyFont="1" applyFill="1" applyBorder="1" applyAlignment="1">
      <alignment horizontal="left"/>
    </xf>
    <xf numFmtId="0" fontId="90" fillId="36" borderId="56" xfId="0" applyFont="1" applyFill="1" applyBorder="1" applyAlignment="1">
      <alignment horizontal="left"/>
    </xf>
    <xf numFmtId="0" fontId="90" fillId="36" borderId="57" xfId="0" applyFont="1" applyFill="1" applyBorder="1" applyAlignment="1">
      <alignment horizontal="left"/>
    </xf>
    <xf numFmtId="0" fontId="30" fillId="36" borderId="28" xfId="0" applyFont="1" applyFill="1" applyBorder="1" applyAlignment="1">
      <alignment horizontal="left"/>
    </xf>
    <xf numFmtId="0" fontId="30" fillId="36" borderId="30" xfId="0" applyFont="1" applyFill="1" applyBorder="1" applyAlignment="1">
      <alignment horizontal="left"/>
    </xf>
    <xf numFmtId="0" fontId="30" fillId="36" borderId="29" xfId="0" applyFont="1" applyFill="1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51" xfId="0" applyBorder="1" applyAlignment="1">
      <alignment horizontal="left"/>
    </xf>
    <xf numFmtId="0" fontId="0" fillId="0" borderId="53" xfId="0" applyBorder="1" applyAlignment="1">
      <alignment horizontal="left"/>
    </xf>
    <xf numFmtId="3" fontId="0" fillId="0" borderId="51" xfId="0" applyNumberFormat="1" applyBorder="1" applyAlignment="1">
      <alignment horizontal="right"/>
    </xf>
    <xf numFmtId="3" fontId="0" fillId="0" borderId="53" xfId="0" applyNumberFormat="1" applyBorder="1" applyAlignment="1">
      <alignment horizontal="right"/>
    </xf>
    <xf numFmtId="3" fontId="0" fillId="0" borderId="62" xfId="0" applyNumberFormat="1" applyBorder="1" applyAlignment="1">
      <alignment horizontal="right"/>
    </xf>
    <xf numFmtId="3" fontId="0" fillId="0" borderId="64" xfId="0" applyNumberFormat="1" applyBorder="1" applyAlignment="1">
      <alignment horizontal="right"/>
    </xf>
    <xf numFmtId="3" fontId="64" fillId="0" borderId="62" xfId="0" applyNumberFormat="1" applyFont="1" applyBorder="1" applyAlignment="1">
      <alignment horizontal="right"/>
    </xf>
    <xf numFmtId="3" fontId="64" fillId="0" borderId="64" xfId="0" applyNumberFormat="1" applyFont="1" applyBorder="1" applyAlignment="1">
      <alignment horizontal="right"/>
    </xf>
    <xf numFmtId="3" fontId="64" fillId="0" borderId="55" xfId="0" applyNumberFormat="1" applyFont="1" applyBorder="1" applyAlignment="1">
      <alignment horizontal="right"/>
    </xf>
    <xf numFmtId="3" fontId="64" fillId="0" borderId="57" xfId="0" applyNumberFormat="1" applyFont="1" applyBorder="1" applyAlignment="1">
      <alignment horizontal="right"/>
    </xf>
    <xf numFmtId="0" fontId="0" fillId="0" borderId="60" xfId="0" applyBorder="1"/>
    <xf numFmtId="0" fontId="0" fillId="0" borderId="31" xfId="0" applyBorder="1"/>
    <xf numFmtId="0" fontId="0" fillId="0" borderId="14" xfId="0" applyBorder="1"/>
    <xf numFmtId="3" fontId="0" fillId="0" borderId="54" xfId="0" applyNumberFormat="1" applyBorder="1" applyAlignment="1">
      <alignment horizontal="right"/>
    </xf>
    <xf numFmtId="3" fontId="83" fillId="36" borderId="28" xfId="0" applyNumberFormat="1" applyFont="1" applyFill="1" applyBorder="1" applyAlignment="1">
      <alignment horizontal="right"/>
    </xf>
    <xf numFmtId="3" fontId="83" fillId="36" borderId="29" xfId="0" applyNumberFormat="1" applyFont="1" applyFill="1" applyBorder="1" applyAlignment="1">
      <alignment horizontal="right"/>
    </xf>
    <xf numFmtId="0" fontId="30" fillId="0" borderId="28" xfId="0" applyFont="1" applyFill="1" applyBorder="1" applyAlignment="1">
      <alignment horizontal="left"/>
    </xf>
    <xf numFmtId="0" fontId="30" fillId="0" borderId="29" xfId="0" applyFont="1" applyFill="1" applyBorder="1" applyAlignment="1">
      <alignment horizontal="left"/>
    </xf>
    <xf numFmtId="0" fontId="83" fillId="36" borderId="29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/>
    </xf>
    <xf numFmtId="0" fontId="83" fillId="36" borderId="31" xfId="0" applyFont="1" applyFill="1" applyBorder="1" applyAlignment="1">
      <alignment horizontal="center" vertical="center"/>
    </xf>
    <xf numFmtId="0" fontId="83" fillId="36" borderId="14" xfId="0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horizontal="centerContinuous" vertical="center"/>
    </xf>
    <xf numFmtId="0" fontId="83" fillId="36" borderId="1" xfId="0" applyFont="1" applyFill="1" applyBorder="1" applyAlignment="1">
      <alignment horizontal="centerContinuous" vertical="center"/>
    </xf>
    <xf numFmtId="0" fontId="83" fillId="36" borderId="13" xfId="0" applyFont="1" applyFill="1" applyBorder="1" applyAlignment="1">
      <alignment horizontal="centerContinuous" vertical="center"/>
    </xf>
    <xf numFmtId="0" fontId="83" fillId="36" borderId="103" xfId="0" applyFont="1" applyFill="1" applyBorder="1" applyAlignment="1">
      <alignment horizontal="centerContinuous" vertical="center" wrapText="1"/>
    </xf>
    <xf numFmtId="0" fontId="91" fillId="36" borderId="1" xfId="0" applyFont="1" applyFill="1" applyBorder="1" applyAlignment="1">
      <alignment horizontal="centerContinuous" vertical="center"/>
    </xf>
    <xf numFmtId="0" fontId="91" fillId="36" borderId="13" xfId="0" applyFont="1" applyFill="1" applyBorder="1" applyAlignment="1">
      <alignment horizontal="centerContinuous" vertical="center"/>
    </xf>
    <xf numFmtId="190" fontId="0" fillId="36" borderId="70" xfId="0" applyNumberFormat="1" applyFill="1" applyBorder="1" applyAlignment="1">
      <alignment horizontal="right"/>
    </xf>
    <xf numFmtId="190" fontId="0" fillId="36" borderId="0" xfId="0" applyNumberFormat="1" applyFill="1" applyBorder="1" applyAlignment="1">
      <alignment horizontal="right"/>
    </xf>
    <xf numFmtId="190" fontId="0" fillId="36" borderId="102" xfId="0" applyNumberFormat="1" applyFill="1" applyBorder="1" applyAlignment="1">
      <alignment horizontal="right"/>
    </xf>
    <xf numFmtId="190" fontId="0" fillId="0" borderId="0" xfId="0" applyNumberFormat="1" applyBorder="1" applyAlignment="1">
      <alignment horizontal="right"/>
    </xf>
    <xf numFmtId="190" fontId="0" fillId="36" borderId="104" xfId="0" applyNumberFormat="1" applyFill="1" applyBorder="1" applyAlignment="1">
      <alignment horizontal="right"/>
    </xf>
    <xf numFmtId="190" fontId="0" fillId="36" borderId="105" xfId="0" applyNumberFormat="1" applyFill="1" applyBorder="1" applyAlignment="1">
      <alignment horizontal="right"/>
    </xf>
    <xf numFmtId="190" fontId="0" fillId="36" borderId="106" xfId="0" applyNumberFormat="1" applyFill="1" applyBorder="1" applyAlignment="1">
      <alignment horizontal="right"/>
    </xf>
    <xf numFmtId="3" fontId="0" fillId="36" borderId="70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102" xfId="0" applyNumberFormat="1" applyFill="1" applyBorder="1" applyAlignment="1">
      <alignment horizontal="right"/>
    </xf>
    <xf numFmtId="3" fontId="0" fillId="0" borderId="7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02" xfId="0" applyNumberFormat="1" applyBorder="1" applyAlignment="1">
      <alignment horizontal="right"/>
    </xf>
    <xf numFmtId="3" fontId="0" fillId="36" borderId="104" xfId="0" applyNumberFormat="1" applyFill="1" applyBorder="1" applyAlignment="1">
      <alignment horizontal="right"/>
    </xf>
    <xf numFmtId="3" fontId="0" fillId="36" borderId="105" xfId="0" applyNumberFormat="1" applyFill="1" applyBorder="1" applyAlignment="1">
      <alignment horizontal="right"/>
    </xf>
    <xf numFmtId="3" fontId="0" fillId="36" borderId="106" xfId="0" applyNumberFormat="1" applyFill="1" applyBorder="1" applyAlignment="1">
      <alignment horizontal="right"/>
    </xf>
    <xf numFmtId="0" fontId="83" fillId="36" borderId="107" xfId="0" applyFont="1" applyFill="1" applyBorder="1" applyAlignment="1">
      <alignment horizontal="centerContinuous" vertical="center" wrapText="1"/>
    </xf>
    <xf numFmtId="3" fontId="0" fillId="36" borderId="65" xfId="0" applyNumberFormat="1" applyFill="1" applyBorder="1" applyAlignment="1">
      <alignment horizontal="right"/>
    </xf>
    <xf numFmtId="3" fontId="0" fillId="36" borderId="96" xfId="0" applyNumberFormat="1" applyFill="1" applyBorder="1" applyAlignment="1">
      <alignment horizontal="right"/>
    </xf>
    <xf numFmtId="3" fontId="0" fillId="0" borderId="65" xfId="0" applyNumberForma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3" fontId="0" fillId="36" borderId="108" xfId="0" applyNumberFormat="1" applyFill="1" applyBorder="1" applyAlignment="1">
      <alignment horizontal="right"/>
    </xf>
    <xf numFmtId="3" fontId="0" fillId="36" borderId="109" xfId="0" applyNumberFormat="1" applyFill="1" applyBorder="1" applyAlignment="1">
      <alignment horizontal="right"/>
    </xf>
    <xf numFmtId="0" fontId="83" fillId="36" borderId="110" xfId="0" applyFont="1" applyFill="1" applyBorder="1" applyAlignment="1">
      <alignment horizontal="center" vertical="center" wrapText="1"/>
    </xf>
    <xf numFmtId="0" fontId="83" fillId="36" borderId="73" xfId="0" applyFont="1" applyFill="1" applyBorder="1" applyAlignment="1">
      <alignment horizontal="right" vertical="center" wrapText="1"/>
    </xf>
    <xf numFmtId="0" fontId="83" fillId="36" borderId="74" xfId="0" applyFont="1" applyFill="1" applyBorder="1" applyAlignment="1">
      <alignment horizontal="right" vertical="center" wrapText="1"/>
    </xf>
    <xf numFmtId="0" fontId="83" fillId="36" borderId="111" xfId="0" applyFont="1" applyFill="1" applyBorder="1" applyAlignment="1">
      <alignment horizontal="right" vertical="center" wrapText="1"/>
    </xf>
    <xf numFmtId="0" fontId="83" fillId="36" borderId="75" xfId="0" applyFont="1" applyFill="1" applyBorder="1" applyAlignment="1">
      <alignment horizontal="right" vertical="center" wrapText="1"/>
    </xf>
    <xf numFmtId="0" fontId="83" fillId="36" borderId="112" xfId="0" applyFont="1" applyFill="1" applyBorder="1" applyAlignment="1">
      <alignment horizontal="right" vertical="center" wrapText="1"/>
    </xf>
    <xf numFmtId="0" fontId="0" fillId="0" borderId="70" xfId="0" applyBorder="1" applyAlignment="1">
      <alignment horizontal="center"/>
    </xf>
    <xf numFmtId="0" fontId="0" fillId="36" borderId="70" xfId="0" applyFill="1" applyBorder="1" applyAlignment="1">
      <alignment horizontal="center"/>
    </xf>
    <xf numFmtId="0" fontId="0" fillId="36" borderId="104" xfId="0" applyFill="1" applyBorder="1" applyAlignment="1">
      <alignment horizontal="center"/>
    </xf>
    <xf numFmtId="0" fontId="83" fillId="36" borderId="77" xfId="0" applyFont="1" applyFill="1" applyBorder="1" applyAlignment="1">
      <alignment horizontal="center" vertical="top" wrapText="1"/>
    </xf>
    <xf numFmtId="0" fontId="83" fillId="36" borderId="27" xfId="0" applyFont="1" applyFill="1" applyBorder="1" applyAlignment="1">
      <alignment horizontal="left" vertical="center"/>
    </xf>
    <xf numFmtId="0" fontId="91" fillId="36" borderId="13" xfId="0" applyFont="1" applyFill="1" applyBorder="1" applyAlignment="1">
      <alignment horizontal="centerContinuous" vertical="center" wrapText="1"/>
    </xf>
    <xf numFmtId="0" fontId="91" fillId="36" borderId="107" xfId="0" applyFont="1" applyFill="1" applyBorder="1" applyAlignment="1">
      <alignment horizontal="centerContinuous" vertical="center" wrapText="1"/>
    </xf>
    <xf numFmtId="190" fontId="0" fillId="0" borderId="113" xfId="0" applyNumberFormat="1" applyBorder="1" applyAlignment="1">
      <alignment horizontal="right"/>
    </xf>
    <xf numFmtId="190" fontId="0" fillId="0" borderId="114" xfId="0" applyNumberFormat="1" applyBorder="1" applyAlignment="1">
      <alignment horizontal="right"/>
    </xf>
    <xf numFmtId="190" fontId="0" fillId="0" borderId="115" xfId="0" applyNumberFormat="1" applyBorder="1" applyAlignment="1">
      <alignment horizontal="right"/>
    </xf>
    <xf numFmtId="190" fontId="0" fillId="36" borderId="96" xfId="0" applyNumberFormat="1" applyFill="1" applyBorder="1" applyAlignment="1">
      <alignment horizontal="right"/>
    </xf>
    <xf numFmtId="190" fontId="0" fillId="0" borderId="96" xfId="0" applyNumberFormat="1" applyBorder="1" applyAlignment="1">
      <alignment horizontal="right"/>
    </xf>
    <xf numFmtId="190" fontId="0" fillId="36" borderId="109" xfId="0" applyNumberFormat="1" applyFill="1" applyBorder="1" applyAlignment="1">
      <alignment horizontal="right"/>
    </xf>
    <xf numFmtId="3" fontId="0" fillId="0" borderId="113" xfId="0" applyNumberFormat="1" applyBorder="1" applyAlignment="1">
      <alignment horizontal="right"/>
    </xf>
    <xf numFmtId="3" fontId="0" fillId="0" borderId="114" xfId="0" applyNumberFormat="1" applyBorder="1" applyAlignment="1">
      <alignment horizontal="right"/>
    </xf>
    <xf numFmtId="3" fontId="0" fillId="0" borderId="116" xfId="0" applyNumberFormat="1" applyBorder="1" applyAlignment="1">
      <alignment horizontal="right"/>
    </xf>
    <xf numFmtId="3" fontId="0" fillId="0" borderId="115" xfId="0" applyNumberFormat="1" applyBorder="1" applyAlignment="1">
      <alignment horizontal="right"/>
    </xf>
    <xf numFmtId="3" fontId="0" fillId="0" borderId="117" xfId="0" applyNumberFormat="1" applyBorder="1" applyAlignment="1">
      <alignment horizontal="right"/>
    </xf>
    <xf numFmtId="0" fontId="83" fillId="36" borderId="37" xfId="0" applyFont="1" applyFill="1" applyBorder="1" applyAlignment="1">
      <alignment horizontal="center" vertical="center" wrapText="1"/>
    </xf>
    <xf numFmtId="0" fontId="0" fillId="36" borderId="118" xfId="0" applyFill="1" applyBorder="1" applyAlignment="1">
      <alignment horizontal="center"/>
    </xf>
    <xf numFmtId="190" fontId="0" fillId="36" borderId="118" xfId="0" applyNumberFormat="1" applyFill="1" applyBorder="1" applyAlignment="1">
      <alignment horizontal="right"/>
    </xf>
    <xf numFmtId="190" fontId="0" fillId="36" borderId="119" xfId="0" applyNumberFormat="1" applyFill="1" applyBorder="1" applyAlignment="1">
      <alignment horizontal="right"/>
    </xf>
    <xf numFmtId="190" fontId="0" fillId="36" borderId="120" xfId="0" applyNumberFormat="1" applyFill="1" applyBorder="1" applyAlignment="1">
      <alignment horizontal="right"/>
    </xf>
    <xf numFmtId="190" fontId="0" fillId="36" borderId="121" xfId="0" applyNumberFormat="1" applyFill="1" applyBorder="1" applyAlignment="1">
      <alignment horizontal="right"/>
    </xf>
    <xf numFmtId="3" fontId="0" fillId="36" borderId="118" xfId="0" applyNumberFormat="1" applyFill="1" applyBorder="1" applyAlignment="1">
      <alignment horizontal="right"/>
    </xf>
    <xf numFmtId="3" fontId="0" fillId="36" borderId="119" xfId="0" applyNumberFormat="1" applyFill="1" applyBorder="1" applyAlignment="1">
      <alignment horizontal="right"/>
    </xf>
    <xf numFmtId="3" fontId="0" fillId="36" borderId="122" xfId="0" applyNumberFormat="1" applyFill="1" applyBorder="1" applyAlignment="1">
      <alignment horizontal="right"/>
    </xf>
    <xf numFmtId="3" fontId="0" fillId="36" borderId="120" xfId="0" applyNumberFormat="1" applyFill="1" applyBorder="1" applyAlignment="1">
      <alignment horizontal="right"/>
    </xf>
    <xf numFmtId="3" fontId="0" fillId="36" borderId="121" xfId="0" applyNumberFormat="1" applyFill="1" applyBorder="1" applyAlignment="1">
      <alignment horizontal="right"/>
    </xf>
    <xf numFmtId="0" fontId="0" fillId="0" borderId="104" xfId="0" applyBorder="1" applyAlignment="1">
      <alignment horizontal="center"/>
    </xf>
    <xf numFmtId="190" fontId="0" fillId="0" borderId="104" xfId="0" applyNumberFormat="1" applyBorder="1" applyAlignment="1">
      <alignment horizontal="right"/>
    </xf>
    <xf numFmtId="190" fontId="0" fillId="0" borderId="105" xfId="0" applyNumberFormat="1" applyBorder="1" applyAlignment="1">
      <alignment horizontal="right"/>
    </xf>
    <xf numFmtId="190" fontId="0" fillId="0" borderId="109" xfId="0" applyNumberFormat="1" applyBorder="1" applyAlignment="1">
      <alignment horizontal="right"/>
    </xf>
    <xf numFmtId="190" fontId="0" fillId="0" borderId="106" xfId="0" applyNumberFormat="1" applyBorder="1" applyAlignment="1">
      <alignment horizontal="right"/>
    </xf>
    <xf numFmtId="3" fontId="0" fillId="0" borderId="104" xfId="0" applyNumberFormat="1" applyBorder="1" applyAlignment="1">
      <alignment horizontal="right"/>
    </xf>
    <xf numFmtId="3" fontId="0" fillId="0" borderId="105" xfId="0" applyNumberFormat="1" applyBorder="1" applyAlignment="1">
      <alignment horizontal="right"/>
    </xf>
    <xf numFmtId="3" fontId="0" fillId="0" borderId="108" xfId="0" applyNumberFormat="1" applyBorder="1" applyAlignment="1">
      <alignment horizontal="right"/>
    </xf>
    <xf numFmtId="3" fontId="0" fillId="0" borderId="109" xfId="0" applyNumberFormat="1" applyBorder="1" applyAlignment="1">
      <alignment horizontal="right"/>
    </xf>
    <xf numFmtId="3" fontId="0" fillId="0" borderId="106" xfId="0" applyNumberFormat="1" applyBorder="1" applyAlignment="1">
      <alignment horizontal="right"/>
    </xf>
    <xf numFmtId="190" fontId="0" fillId="0" borderId="116" xfId="0" applyNumberFormat="1" applyBorder="1" applyAlignment="1">
      <alignment horizontal="right"/>
    </xf>
    <xf numFmtId="190" fontId="0" fillId="36" borderId="65" xfId="0" applyNumberFormat="1" applyFill="1" applyBorder="1" applyAlignment="1">
      <alignment horizontal="right"/>
    </xf>
    <xf numFmtId="190" fontId="0" fillId="0" borderId="65" xfId="0" applyNumberFormat="1" applyBorder="1" applyAlignment="1">
      <alignment horizontal="right"/>
    </xf>
    <xf numFmtId="190" fontId="0" fillId="36" borderId="108" xfId="0" applyNumberFormat="1" applyFill="1" applyBorder="1" applyAlignment="1">
      <alignment horizontal="right"/>
    </xf>
    <xf numFmtId="190" fontId="0" fillId="36" borderId="122" xfId="0" applyNumberFormat="1" applyFill="1" applyBorder="1" applyAlignment="1">
      <alignment horizontal="right"/>
    </xf>
    <xf numFmtId="190" fontId="0" fillId="0" borderId="108" xfId="0" applyNumberFormat="1" applyBorder="1" applyAlignment="1">
      <alignment horizontal="right"/>
    </xf>
    <xf numFmtId="0" fontId="82" fillId="0" borderId="0" xfId="0" applyFont="1" applyAlignment="1">
      <alignment horizontal="left"/>
    </xf>
    <xf numFmtId="0" fontId="82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16" xfId="0" applyFont="1" applyBorder="1" applyAlignment="1">
      <alignment horizontal="left"/>
    </xf>
    <xf numFmtId="0" fontId="37" fillId="0" borderId="16" xfId="0" applyFont="1" applyBorder="1" applyAlignment="1">
      <alignment horizontal="center"/>
    </xf>
    <xf numFmtId="190" fontId="0" fillId="0" borderId="117" xfId="0" applyNumberFormat="1" applyBorder="1" applyAlignment="1">
      <alignment horizontal="right"/>
    </xf>
    <xf numFmtId="0" fontId="83" fillId="36" borderId="123" xfId="0" applyFont="1" applyFill="1" applyBorder="1" applyAlignment="1">
      <alignment horizontal="right" vertical="center" wrapText="1"/>
    </xf>
    <xf numFmtId="190" fontId="0" fillId="0" borderId="124" xfId="0" applyNumberFormat="1" applyBorder="1" applyAlignment="1">
      <alignment horizontal="right"/>
    </xf>
    <xf numFmtId="190" fontId="0" fillId="36" borderId="125" xfId="0" applyNumberFormat="1" applyFill="1" applyBorder="1" applyAlignment="1">
      <alignment horizontal="right"/>
    </xf>
    <xf numFmtId="190" fontId="0" fillId="0" borderId="125" xfId="0" applyNumberFormat="1" applyBorder="1" applyAlignment="1">
      <alignment horizontal="right"/>
    </xf>
    <xf numFmtId="190" fontId="0" fillId="36" borderId="126" xfId="0" applyNumberFormat="1" applyFill="1" applyBorder="1" applyAlignment="1">
      <alignment horizontal="right"/>
    </xf>
    <xf numFmtId="190" fontId="0" fillId="36" borderId="127" xfId="0" applyNumberFormat="1" applyFill="1" applyBorder="1" applyAlignment="1">
      <alignment horizontal="right"/>
    </xf>
    <xf numFmtId="190" fontId="0" fillId="0" borderId="126" xfId="0" applyNumberFormat="1" applyBorder="1" applyAlignment="1">
      <alignment horizontal="right"/>
    </xf>
    <xf numFmtId="0" fontId="92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93" fillId="0" borderId="0" xfId="0" applyFont="1"/>
    <xf numFmtId="0" fontId="91" fillId="36" borderId="73" xfId="0" applyFont="1" applyFill="1" applyBorder="1" applyAlignment="1">
      <alignment horizontal="center" vertical="center" wrapText="1"/>
    </xf>
    <xf numFmtId="190" fontId="91" fillId="36" borderId="73" xfId="0" applyNumberFormat="1" applyFont="1" applyFill="1" applyBorder="1" applyAlignment="1">
      <alignment horizontal="right" vertical="center"/>
    </xf>
    <xf numFmtId="190" fontId="91" fillId="36" borderId="74" xfId="0" applyNumberFormat="1" applyFont="1" applyFill="1" applyBorder="1" applyAlignment="1">
      <alignment horizontal="right" vertical="center"/>
    </xf>
    <xf numFmtId="190" fontId="91" fillId="36" borderId="111" xfId="0" applyNumberFormat="1" applyFont="1" applyFill="1" applyBorder="1" applyAlignment="1">
      <alignment horizontal="right" vertical="center"/>
    </xf>
    <xf numFmtId="190" fontId="91" fillId="36" borderId="75" xfId="0" applyNumberFormat="1" applyFont="1" applyFill="1" applyBorder="1" applyAlignment="1">
      <alignment horizontal="right" vertical="center"/>
    </xf>
    <xf numFmtId="3" fontId="91" fillId="36" borderId="73" xfId="0" applyNumberFormat="1" applyFont="1" applyFill="1" applyBorder="1" applyAlignment="1">
      <alignment horizontal="right" vertical="center"/>
    </xf>
    <xf numFmtId="3" fontId="91" fillId="36" borderId="74" xfId="0" applyNumberFormat="1" applyFont="1" applyFill="1" applyBorder="1" applyAlignment="1">
      <alignment horizontal="right" vertical="center"/>
    </xf>
    <xf numFmtId="3" fontId="91" fillId="36" borderId="112" xfId="0" applyNumberFormat="1" applyFont="1" applyFill="1" applyBorder="1" applyAlignment="1">
      <alignment horizontal="right" vertical="center"/>
    </xf>
    <xf numFmtId="3" fontId="91" fillId="36" borderId="111" xfId="0" applyNumberFormat="1" applyFont="1" applyFill="1" applyBorder="1" applyAlignment="1">
      <alignment horizontal="right" vertical="center"/>
    </xf>
    <xf numFmtId="3" fontId="91" fillId="36" borderId="75" xfId="0" applyNumberFormat="1" applyFont="1" applyFill="1" applyBorder="1" applyAlignment="1">
      <alignment horizontal="right" vertical="center"/>
    </xf>
    <xf numFmtId="190" fontId="91" fillId="36" borderId="123" xfId="0" applyNumberFormat="1" applyFont="1" applyFill="1" applyBorder="1" applyAlignment="1">
      <alignment horizontal="right" vertical="center"/>
    </xf>
    <xf numFmtId="190" fontId="91" fillId="36" borderId="112" xfId="0" applyNumberFormat="1" applyFont="1" applyFill="1" applyBorder="1" applyAlignment="1">
      <alignment horizontal="right" vertical="center"/>
    </xf>
    <xf numFmtId="0" fontId="85" fillId="36" borderId="79" xfId="0" applyFont="1" applyFill="1" applyBorder="1"/>
    <xf numFmtId="0" fontId="85" fillId="36" borderId="82" xfId="0" applyFont="1" applyFill="1" applyBorder="1"/>
    <xf numFmtId="0" fontId="85" fillId="36" borderId="23" xfId="0" applyFont="1" applyFill="1" applyBorder="1" applyAlignment="1"/>
    <xf numFmtId="0" fontId="85" fillId="36" borderId="21" xfId="0" applyFont="1" applyFill="1" applyBorder="1" applyAlignment="1"/>
    <xf numFmtId="0" fontId="85" fillId="36" borderId="21" xfId="0" applyFont="1" applyFill="1" applyBorder="1" applyAlignment="1">
      <alignment horizontal="right"/>
    </xf>
    <xf numFmtId="0" fontId="90" fillId="36" borderId="21" xfId="0" applyFont="1" applyFill="1" applyBorder="1" applyAlignment="1">
      <alignment horizontal="right"/>
    </xf>
    <xf numFmtId="0" fontId="90" fillId="36" borderId="22" xfId="0" applyFont="1" applyFill="1" applyBorder="1" applyAlignment="1">
      <alignment horizontal="right"/>
    </xf>
    <xf numFmtId="0" fontId="85" fillId="36" borderId="23" xfId="0" applyFont="1" applyFill="1" applyBorder="1" applyAlignment="1">
      <alignment horizontal="right"/>
    </xf>
    <xf numFmtId="0" fontId="85" fillId="36" borderId="87" xfId="0" applyFont="1" applyFill="1" applyBorder="1" applyAlignment="1">
      <alignment horizontal="right"/>
    </xf>
    <xf numFmtId="0" fontId="85" fillId="36" borderId="88" xfId="0" applyFont="1" applyFill="1" applyBorder="1" applyAlignment="1">
      <alignment horizontal="right"/>
    </xf>
    <xf numFmtId="0" fontId="90" fillId="36" borderId="88" xfId="0" applyFont="1" applyFill="1" applyBorder="1" applyAlignment="1">
      <alignment horizontal="right"/>
    </xf>
    <xf numFmtId="0" fontId="90" fillId="36" borderId="92" xfId="0" applyFont="1" applyFill="1" applyBorder="1" applyAlignment="1">
      <alignment horizontal="right"/>
    </xf>
    <xf numFmtId="0" fontId="81" fillId="36" borderId="78" xfId="0" applyFont="1" applyFill="1" applyBorder="1" applyAlignment="1"/>
    <xf numFmtId="0" fontId="85" fillId="36" borderId="128" xfId="0" applyFont="1" applyFill="1" applyBorder="1" applyAlignment="1"/>
    <xf numFmtId="0" fontId="85" fillId="0" borderId="0" xfId="0" applyFont="1" applyAlignment="1">
      <alignment horizontal="left"/>
    </xf>
    <xf numFmtId="0" fontId="0" fillId="37" borderId="31" xfId="0" applyFill="1" applyBorder="1"/>
    <xf numFmtId="0" fontId="0" fillId="37" borderId="37" xfId="0" applyFill="1" applyBorder="1"/>
    <xf numFmtId="0" fontId="0" fillId="37" borderId="14" xfId="0" applyFill="1" applyBorder="1"/>
    <xf numFmtId="3" fontId="0" fillId="0" borderId="37" xfId="0" applyNumberFormat="1" applyBorder="1" applyAlignment="1">
      <alignment horizontal="center"/>
    </xf>
    <xf numFmtId="3" fontId="0" fillId="36" borderId="37" xfId="0" applyNumberFormat="1" applyFill="1" applyBorder="1" applyAlignment="1">
      <alignment horizontal="center"/>
    </xf>
    <xf numFmtId="3" fontId="0" fillId="36" borderId="129" xfId="0" applyNumberFormat="1" applyFill="1" applyBorder="1" applyAlignment="1">
      <alignment horizontal="center"/>
    </xf>
    <xf numFmtId="3" fontId="0" fillId="36" borderId="130" xfId="0" applyNumberFormat="1" applyFill="1" applyBorder="1" applyAlignment="1">
      <alignment horizontal="center"/>
    </xf>
    <xf numFmtId="3" fontId="0" fillId="0" borderId="129" xfId="0" applyNumberFormat="1" applyBorder="1" applyAlignment="1">
      <alignment horizontal="center"/>
    </xf>
    <xf numFmtId="3" fontId="91" fillId="36" borderId="11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88" fillId="0" borderId="0" xfId="0" applyFont="1" applyBorder="1"/>
    <xf numFmtId="0" fontId="94" fillId="0" borderId="0" xfId="0" applyFont="1" applyBorder="1"/>
    <xf numFmtId="0" fontId="94" fillId="0" borderId="0" xfId="0" applyFont="1" applyBorder="1" applyAlignment="1">
      <alignment horizontal="right"/>
    </xf>
    <xf numFmtId="0" fontId="64" fillId="26" borderId="110" xfId="0" applyFont="1" applyFill="1" applyBorder="1" applyAlignment="1">
      <alignment horizontal="center" vertical="center" wrapText="1"/>
    </xf>
    <xf numFmtId="0" fontId="85" fillId="36" borderId="131" xfId="0" applyFont="1" applyFill="1" applyBorder="1" applyAlignment="1">
      <alignment horizontal="right" vertical="center" wrapText="1"/>
    </xf>
    <xf numFmtId="0" fontId="85" fillId="36" borderId="32" xfId="0" applyFont="1" applyFill="1" applyBorder="1" applyAlignment="1">
      <alignment horizontal="right" vertical="center" wrapText="1"/>
    </xf>
    <xf numFmtId="3" fontId="84" fillId="0" borderId="94" xfId="0" applyNumberFormat="1" applyFont="1" applyBorder="1" applyAlignment="1">
      <alignment horizontal="right"/>
    </xf>
    <xf numFmtId="3" fontId="84" fillId="36" borderId="96" xfId="0" applyNumberFormat="1" applyFont="1" applyFill="1" applyBorder="1" applyAlignment="1">
      <alignment horizontal="right"/>
    </xf>
    <xf numFmtId="3" fontId="84" fillId="0" borderId="99" xfId="0" applyNumberFormat="1" applyFont="1" applyBorder="1" applyAlignment="1">
      <alignment horizontal="right"/>
    </xf>
    <xf numFmtId="3" fontId="84" fillId="36" borderId="94" xfId="0" applyNumberFormat="1" applyFont="1" applyFill="1" applyBorder="1" applyAlignment="1">
      <alignment horizontal="right"/>
    </xf>
    <xf numFmtId="3" fontId="84" fillId="0" borderId="96" xfId="0" applyNumberFormat="1" applyFont="1" applyFill="1" applyBorder="1" applyAlignment="1">
      <alignment horizontal="right"/>
    </xf>
    <xf numFmtId="3" fontId="84" fillId="36" borderId="99" xfId="0" applyNumberFormat="1" applyFont="1" applyFill="1" applyBorder="1" applyAlignment="1">
      <alignment horizontal="right"/>
    </xf>
    <xf numFmtId="3" fontId="84" fillId="0" borderId="99" xfId="0" applyNumberFormat="1" applyFont="1" applyFill="1" applyBorder="1" applyAlignment="1">
      <alignment horizontal="right"/>
    </xf>
    <xf numFmtId="0" fontId="83" fillId="36" borderId="132" xfId="0" applyFont="1" applyFill="1" applyBorder="1" applyAlignment="1">
      <alignment horizontal="right" vertical="center" wrapText="1"/>
    </xf>
    <xf numFmtId="0" fontId="83" fillId="36" borderId="133" xfId="0" applyFont="1" applyFill="1" applyBorder="1" applyAlignment="1">
      <alignment horizontal="right" vertical="center" wrapText="1"/>
    </xf>
    <xf numFmtId="0" fontId="85" fillId="26" borderId="24" xfId="0" applyFont="1" applyFill="1" applyBorder="1" applyAlignment="1">
      <alignment horizontal="right" vertical="center" wrapText="1"/>
    </xf>
    <xf numFmtId="0" fontId="85" fillId="26" borderId="89" xfId="0" applyFont="1" applyFill="1" applyBorder="1" applyAlignment="1">
      <alignment horizontal="right" vertical="center" wrapText="1"/>
    </xf>
    <xf numFmtId="3" fontId="84" fillId="0" borderId="100" xfId="0" applyNumberFormat="1" applyFont="1" applyBorder="1" applyAlignment="1">
      <alignment horizontal="right"/>
    </xf>
    <xf numFmtId="3" fontId="84" fillId="36" borderId="97" xfId="0" applyNumberFormat="1" applyFont="1" applyFill="1" applyBorder="1" applyAlignment="1">
      <alignment horizontal="right"/>
    </xf>
    <xf numFmtId="3" fontId="84" fillId="0" borderId="101" xfId="0" applyNumberFormat="1" applyFont="1" applyBorder="1" applyAlignment="1">
      <alignment horizontal="right"/>
    </xf>
    <xf numFmtId="3" fontId="84" fillId="36" borderId="100" xfId="0" applyNumberFormat="1" applyFont="1" applyFill="1" applyBorder="1" applyAlignment="1">
      <alignment horizontal="right"/>
    </xf>
    <xf numFmtId="3" fontId="84" fillId="0" borderId="97" xfId="0" applyNumberFormat="1" applyFont="1" applyFill="1" applyBorder="1" applyAlignment="1">
      <alignment horizontal="right"/>
    </xf>
    <xf numFmtId="3" fontId="84" fillId="36" borderId="101" xfId="0" applyNumberFormat="1" applyFont="1" applyFill="1" applyBorder="1" applyAlignment="1">
      <alignment horizontal="right"/>
    </xf>
    <xf numFmtId="3" fontId="84" fillId="0" borderId="101" xfId="0" applyNumberFormat="1" applyFont="1" applyFill="1" applyBorder="1" applyAlignment="1">
      <alignment horizontal="right"/>
    </xf>
    <xf numFmtId="0" fontId="85" fillId="36" borderId="134" xfId="0" applyFont="1" applyFill="1" applyBorder="1" applyAlignment="1">
      <alignment horizontal="right" vertical="center"/>
    </xf>
    <xf numFmtId="0" fontId="83" fillId="36" borderId="135" xfId="0" applyFont="1" applyFill="1" applyBorder="1" applyAlignment="1">
      <alignment horizontal="right" vertical="center" wrapText="1"/>
    </xf>
    <xf numFmtId="0" fontId="85" fillId="36" borderId="136" xfId="0" applyFont="1" applyFill="1" applyBorder="1" applyAlignment="1">
      <alignment horizontal="right" vertical="center"/>
    </xf>
    <xf numFmtId="0" fontId="85" fillId="36" borderId="137" xfId="0" applyFont="1" applyFill="1" applyBorder="1" applyAlignment="1">
      <alignment horizontal="right" vertical="center" wrapText="1"/>
    </xf>
    <xf numFmtId="0" fontId="85" fillId="26" borderId="137" xfId="0" applyFont="1" applyFill="1" applyBorder="1" applyAlignment="1">
      <alignment horizontal="right" vertical="center" wrapText="1"/>
    </xf>
    <xf numFmtId="0" fontId="85" fillId="26" borderId="138" xfId="0" applyFont="1" applyFill="1" applyBorder="1" applyAlignment="1">
      <alignment horizontal="right" vertical="center" wrapText="1"/>
    </xf>
    <xf numFmtId="0" fontId="11" fillId="36" borderId="60" xfId="0" applyFont="1" applyFill="1" applyBorder="1" applyAlignment="1">
      <alignment horizontal="center" vertical="center" wrapText="1"/>
    </xf>
    <xf numFmtId="0" fontId="95" fillId="0" borderId="0" xfId="0" applyFont="1" applyBorder="1"/>
    <xf numFmtId="0" fontId="95" fillId="0" borderId="0" xfId="0" applyFont="1" applyBorder="1" applyAlignment="1">
      <alignment horizontal="right"/>
    </xf>
    <xf numFmtId="0" fontId="95" fillId="0" borderId="16" xfId="0" applyFont="1" applyBorder="1"/>
    <xf numFmtId="0" fontId="95" fillId="0" borderId="16" xfId="0" applyFont="1" applyBorder="1" applyAlignment="1">
      <alignment horizontal="right"/>
    </xf>
    <xf numFmtId="0" fontId="96" fillId="0" borderId="0" xfId="0" applyFont="1"/>
    <xf numFmtId="0" fontId="97" fillId="0" borderId="0" xfId="0" applyFont="1" applyBorder="1"/>
    <xf numFmtId="0" fontId="98" fillId="0" borderId="0" xfId="0" applyFont="1" applyBorder="1"/>
    <xf numFmtId="0" fontId="98" fillId="0" borderId="0" xfId="0" applyFont="1" applyBorder="1" applyAlignment="1">
      <alignment horizontal="right"/>
    </xf>
    <xf numFmtId="0" fontId="99" fillId="0" borderId="0" xfId="0" applyFont="1" applyBorder="1"/>
    <xf numFmtId="0" fontId="85" fillId="36" borderId="24" xfId="0" applyFont="1" applyFill="1" applyBorder="1" applyAlignment="1">
      <alignment horizontal="right"/>
    </xf>
    <xf numFmtId="3" fontId="84" fillId="0" borderId="0" xfId="0" applyNumberFormat="1" applyFont="1"/>
    <xf numFmtId="3" fontId="84" fillId="0" borderId="0" xfId="0" applyNumberFormat="1" applyFont="1" applyAlignment="1">
      <alignment horizontal="right"/>
    </xf>
    <xf numFmtId="0" fontId="85" fillId="36" borderId="22" xfId="0" applyFont="1" applyFill="1" applyBorder="1" applyAlignment="1">
      <alignment horizontal="right"/>
    </xf>
    <xf numFmtId="0" fontId="85" fillId="36" borderId="139" xfId="0" applyFont="1" applyFill="1" applyBorder="1" applyAlignment="1">
      <alignment horizontal="right"/>
    </xf>
    <xf numFmtId="0" fontId="85" fillId="36" borderId="140" xfId="0" applyFont="1" applyFill="1" applyBorder="1" applyAlignment="1">
      <alignment horizontal="right"/>
    </xf>
    <xf numFmtId="0" fontId="85" fillId="36" borderId="141" xfId="0" applyFont="1" applyFill="1" applyBorder="1" applyAlignment="1">
      <alignment horizontal="right"/>
    </xf>
    <xf numFmtId="0" fontId="85" fillId="36" borderId="142" xfId="0" applyFont="1" applyFill="1" applyBorder="1" applyAlignment="1">
      <alignment horizontal="right"/>
    </xf>
    <xf numFmtId="0" fontId="85" fillId="36" borderId="141" xfId="0" applyFont="1" applyFill="1" applyBorder="1" applyAlignment="1">
      <alignment vertical="center" wrapText="1"/>
    </xf>
    <xf numFmtId="0" fontId="90" fillId="36" borderId="143" xfId="0" applyFont="1" applyFill="1" applyBorder="1"/>
    <xf numFmtId="0" fontId="64" fillId="37" borderId="28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left" vertical="center" wrapText="1"/>
    </xf>
    <xf numFmtId="0" fontId="84" fillId="0" borderId="1" xfId="0" applyFont="1" applyBorder="1" applyAlignment="1">
      <alignment horizontal="left"/>
    </xf>
    <xf numFmtId="0" fontId="84" fillId="0" borderId="0" xfId="0" applyFont="1" applyAlignment="1">
      <alignment horizontal="left"/>
    </xf>
    <xf numFmtId="1" fontId="83" fillId="0" borderId="0" xfId="0" applyNumberFormat="1" applyFont="1" applyFill="1" applyBorder="1" applyAlignment="1">
      <alignment horizontal="right" vertical="center" wrapText="1"/>
    </xf>
    <xf numFmtId="1" fontId="84" fillId="0" borderId="1" xfId="0" applyNumberFormat="1" applyFont="1" applyBorder="1" applyAlignment="1">
      <alignment horizontal="right"/>
    </xf>
    <xf numFmtId="0" fontId="84" fillId="0" borderId="13" xfId="0" applyFont="1" applyBorder="1" applyAlignment="1">
      <alignment horizontal="left"/>
    </xf>
    <xf numFmtId="0" fontId="83" fillId="0" borderId="71" xfId="0" applyFont="1" applyFill="1" applyBorder="1" applyAlignment="1">
      <alignment horizontal="left" vertical="center" wrapText="1"/>
    </xf>
    <xf numFmtId="0" fontId="84" fillId="0" borderId="27" xfId="0" applyFont="1" applyBorder="1" applyAlignment="1">
      <alignment horizontal="left"/>
    </xf>
    <xf numFmtId="3" fontId="83" fillId="0" borderId="0" xfId="0" applyNumberFormat="1" applyFont="1" applyFill="1" applyBorder="1" applyAlignment="1">
      <alignment horizontal="right" vertical="center" wrapText="1"/>
    </xf>
    <xf numFmtId="3" fontId="84" fillId="0" borderId="1" xfId="0" applyNumberFormat="1" applyFont="1" applyBorder="1" applyAlignment="1">
      <alignment horizontal="right"/>
    </xf>
    <xf numFmtId="3" fontId="84" fillId="0" borderId="13" xfId="0" applyNumberFormat="1" applyFont="1" applyBorder="1" applyAlignment="1">
      <alignment horizontal="right"/>
    </xf>
    <xf numFmtId="3" fontId="83" fillId="0" borderId="71" xfId="0" applyNumberFormat="1" applyFont="1" applyFill="1" applyBorder="1" applyAlignment="1">
      <alignment horizontal="right" vertical="center" wrapText="1"/>
    </xf>
    <xf numFmtId="3" fontId="84" fillId="0" borderId="27" xfId="0" applyNumberFormat="1" applyFont="1" applyBorder="1" applyAlignment="1">
      <alignment horizontal="right"/>
    </xf>
    <xf numFmtId="3" fontId="83" fillId="0" borderId="86" xfId="0" applyNumberFormat="1" applyFont="1" applyFill="1" applyBorder="1" applyAlignment="1">
      <alignment horizontal="right" vertical="center" wrapText="1"/>
    </xf>
    <xf numFmtId="0" fontId="85" fillId="36" borderId="25" xfId="0" applyFont="1" applyFill="1" applyBorder="1" applyAlignment="1">
      <alignment horizontal="right"/>
    </xf>
    <xf numFmtId="0" fontId="85" fillId="36" borderId="144" xfId="0" applyFont="1" applyFill="1" applyBorder="1" applyAlignment="1">
      <alignment horizontal="right"/>
    </xf>
    <xf numFmtId="0" fontId="84" fillId="0" borderId="60" xfId="0" applyFont="1" applyFill="1" applyBorder="1" applyAlignment="1">
      <alignment horizontal="right" vertical="center" wrapText="1"/>
    </xf>
    <xf numFmtId="0" fontId="85" fillId="36" borderId="81" xfId="0" applyFont="1" applyFill="1" applyBorder="1" applyAlignment="1">
      <alignment horizontal="right" vertical="center" wrapText="1"/>
    </xf>
    <xf numFmtId="0" fontId="85" fillId="36" borderId="79" xfId="0" applyFont="1" applyFill="1" applyBorder="1" applyAlignment="1">
      <alignment horizontal="right" vertical="center" wrapText="1"/>
    </xf>
    <xf numFmtId="0" fontId="85" fillId="36" borderId="82" xfId="0" applyFont="1" applyFill="1" applyBorder="1" applyAlignment="1">
      <alignment horizontal="right" vertical="center" wrapText="1"/>
    </xf>
    <xf numFmtId="0" fontId="85" fillId="36" borderId="38" xfId="0" applyFont="1" applyFill="1" applyBorder="1"/>
    <xf numFmtId="0" fontId="100" fillId="26" borderId="60" xfId="0" applyFont="1" applyFill="1" applyBorder="1"/>
    <xf numFmtId="0" fontId="84" fillId="0" borderId="41" xfId="0" applyFont="1" applyBorder="1" applyAlignment="1">
      <alignment vertical="center" wrapText="1"/>
    </xf>
    <xf numFmtId="0" fontId="84" fillId="0" borderId="42" xfId="0" applyFont="1" applyBorder="1" applyAlignment="1">
      <alignment vertical="center" wrapText="1"/>
    </xf>
    <xf numFmtId="0" fontId="84" fillId="0" borderId="69" xfId="0" applyFont="1" applyFill="1" applyBorder="1" applyAlignment="1">
      <alignment vertical="center" wrapText="1"/>
    </xf>
    <xf numFmtId="0" fontId="84" fillId="0" borderId="5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 wrapText="1"/>
    </xf>
    <xf numFmtId="0" fontId="84" fillId="0" borderId="71" xfId="0" applyFont="1" applyBorder="1"/>
    <xf numFmtId="0" fontId="85" fillId="0" borderId="19" xfId="0" applyFont="1" applyBorder="1"/>
    <xf numFmtId="0" fontId="84" fillId="0" borderId="0" xfId="0" applyFont="1" applyAlignment="1">
      <alignment horizontal="right" vertical="center" wrapText="1"/>
    </xf>
    <xf numFmtId="3" fontId="84" fillId="0" borderId="0" xfId="0" applyNumberFormat="1" applyFont="1" applyBorder="1" applyAlignment="1">
      <alignment horizontal="right"/>
    </xf>
    <xf numFmtId="0" fontId="84" fillId="0" borderId="0" xfId="0" applyFont="1" applyBorder="1" applyAlignment="1">
      <alignment horizontal="left"/>
    </xf>
    <xf numFmtId="0" fontId="84" fillId="0" borderId="102" xfId="0" applyFont="1" applyBorder="1" applyAlignment="1">
      <alignment horizontal="left"/>
    </xf>
    <xf numFmtId="0" fontId="84" fillId="0" borderId="0" xfId="0" applyNumberFormat="1" applyFont="1" applyBorder="1" applyAlignment="1">
      <alignment horizontal="left"/>
    </xf>
    <xf numFmtId="0" fontId="84" fillId="0" borderId="102" xfId="0" applyNumberFormat="1" applyFont="1" applyBorder="1" applyAlignment="1">
      <alignment horizontal="left"/>
    </xf>
    <xf numFmtId="0" fontId="84" fillId="0" borderId="19" xfId="0" applyNumberFormat="1" applyFont="1" applyBorder="1" applyAlignment="1">
      <alignment horizontal="right"/>
    </xf>
    <xf numFmtId="0" fontId="84" fillId="0" borderId="19" xfId="0" applyNumberFormat="1" applyFont="1" applyBorder="1" applyAlignment="1">
      <alignment horizontal="left"/>
    </xf>
    <xf numFmtId="0" fontId="84" fillId="0" borderId="86" xfId="0" applyNumberFormat="1" applyFont="1" applyBorder="1" applyAlignment="1">
      <alignment horizontal="left"/>
    </xf>
    <xf numFmtId="0" fontId="85" fillId="36" borderId="81" xfId="0" applyFont="1" applyFill="1" applyBorder="1" applyAlignment="1">
      <alignment horizontal="center" vertical="center" wrapText="1"/>
    </xf>
    <xf numFmtId="0" fontId="84" fillId="0" borderId="0" xfId="0" applyFont="1" applyAlignment="1"/>
    <xf numFmtId="3" fontId="84" fillId="26" borderId="0" xfId="0" applyNumberFormat="1" applyFont="1" applyFill="1" applyBorder="1"/>
    <xf numFmtId="3" fontId="100" fillId="26" borderId="0" xfId="0" applyNumberFormat="1" applyFont="1" applyFill="1" applyBorder="1" applyAlignment="1">
      <alignment horizontal="right"/>
    </xf>
    <xf numFmtId="3" fontId="100" fillId="26" borderId="0" xfId="0" applyNumberFormat="1" applyFont="1" applyFill="1" applyBorder="1"/>
    <xf numFmtId="3" fontId="100" fillId="26" borderId="102" xfId="0" applyNumberFormat="1" applyFont="1" applyFill="1" applyBorder="1" applyAlignment="1">
      <alignment horizontal="right"/>
    </xf>
    <xf numFmtId="0" fontId="37" fillId="26" borderId="27" xfId="0" applyFont="1" applyFill="1" applyBorder="1"/>
    <xf numFmtId="0" fontId="37" fillId="26" borderId="1" xfId="0" applyFont="1" applyFill="1" applyBorder="1"/>
    <xf numFmtId="0" fontId="37" fillId="26" borderId="13" xfId="0" applyFont="1" applyFill="1" applyBorder="1"/>
    <xf numFmtId="0" fontId="84" fillId="0" borderId="60" xfId="0" applyFont="1" applyFill="1" applyBorder="1" applyAlignment="1">
      <alignment horizontal="left" vertical="center" wrapText="1"/>
    </xf>
    <xf numFmtId="0" fontId="87" fillId="0" borderId="0" xfId="0" applyFont="1" applyAlignment="1">
      <alignment horizontal="left" indent="2"/>
    </xf>
    <xf numFmtId="0" fontId="87" fillId="0" borderId="0" xfId="0" applyFont="1" applyFill="1" applyAlignment="1">
      <alignment horizontal="left" indent="2"/>
    </xf>
    <xf numFmtId="0" fontId="84" fillId="37" borderId="60" xfId="0" applyFont="1" applyFill="1" applyBorder="1" applyAlignment="1">
      <alignment horizontal="center" vertical="center" wrapText="1"/>
    </xf>
    <xf numFmtId="0" fontId="95" fillId="0" borderId="0" xfId="0" applyFont="1"/>
    <xf numFmtId="0" fontId="96" fillId="0" borderId="0" xfId="0" applyFont="1" applyAlignment="1">
      <alignment vertical="center" wrapText="1"/>
    </xf>
    <xf numFmtId="0" fontId="96" fillId="0" borderId="0" xfId="0" applyFont="1" applyFill="1" applyBorder="1" applyAlignment="1">
      <alignment vertical="center" wrapText="1"/>
    </xf>
    <xf numFmtId="3" fontId="84" fillId="0" borderId="19" xfId="0" applyNumberFormat="1" applyFont="1" applyBorder="1" applyAlignment="1">
      <alignment horizontal="left"/>
    </xf>
    <xf numFmtId="0" fontId="83" fillId="0" borderId="0" xfId="0" applyFont="1" applyAlignment="1">
      <alignment horizontal="right"/>
    </xf>
    <xf numFmtId="0" fontId="83" fillId="0" borderId="0" xfId="0" applyFont="1"/>
    <xf numFmtId="0" fontId="83" fillId="37" borderId="60" xfId="0" applyFont="1" applyFill="1" applyBorder="1" applyAlignment="1">
      <alignment horizontal="center"/>
    </xf>
    <xf numFmtId="0" fontId="83" fillId="37" borderId="60" xfId="0" applyFont="1" applyFill="1" applyBorder="1" applyAlignment="1">
      <alignment horizontal="right"/>
    </xf>
    <xf numFmtId="0" fontId="91" fillId="0" borderId="60" xfId="0" applyFont="1" applyBorder="1" applyAlignment="1">
      <alignment vertical="center" wrapText="1"/>
    </xf>
    <xf numFmtId="0" fontId="83" fillId="37" borderId="27" xfId="0" applyFont="1" applyFill="1" applyBorder="1" applyAlignment="1">
      <alignment horizontal="center" vertical="center" wrapText="1"/>
    </xf>
    <xf numFmtId="0" fontId="91" fillId="0" borderId="27" xfId="0" applyFont="1" applyFill="1" applyBorder="1" applyAlignment="1">
      <alignment horizontal="right" vertical="center" wrapText="1"/>
    </xf>
    <xf numFmtId="0" fontId="91" fillId="0" borderId="60" xfId="0" applyFont="1" applyFill="1" applyBorder="1" applyAlignment="1">
      <alignment horizontal="right" vertical="center" wrapText="1"/>
    </xf>
    <xf numFmtId="0" fontId="91" fillId="37" borderId="107" xfId="0" applyFont="1" applyFill="1" applyBorder="1" applyAlignment="1">
      <alignment horizontal="right" vertical="center" wrapText="1"/>
    </xf>
    <xf numFmtId="0" fontId="91" fillId="37" borderId="30" xfId="0" applyFont="1" applyFill="1" applyBorder="1" applyAlignment="1">
      <alignment horizontal="right" vertical="center" wrapText="1"/>
    </xf>
    <xf numFmtId="0" fontId="91" fillId="37" borderId="29" xfId="0" applyFont="1" applyFill="1" applyBorder="1" applyAlignment="1">
      <alignment horizontal="right" vertical="center" wrapText="1"/>
    </xf>
    <xf numFmtId="0" fontId="91" fillId="0" borderId="0" xfId="0" applyFont="1" applyFill="1" applyBorder="1" applyAlignment="1">
      <alignment vertical="center" wrapText="1"/>
    </xf>
    <xf numFmtId="0" fontId="84" fillId="0" borderId="0" xfId="0" applyFont="1" applyAlignment="1">
      <alignment horizontal="center"/>
    </xf>
    <xf numFmtId="0" fontId="84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4" fillId="0" borderId="146" xfId="0" applyFont="1" applyBorder="1" applyAlignment="1">
      <alignment horizontal="center" vertical="center" wrapText="1"/>
    </xf>
    <xf numFmtId="0" fontId="84" fillId="0" borderId="14" xfId="0" applyFont="1" applyBorder="1" applyAlignment="1">
      <alignment horizontal="center" vertical="center" wrapText="1"/>
    </xf>
    <xf numFmtId="0" fontId="83" fillId="0" borderId="71" xfId="0" applyFont="1" applyFill="1" applyBorder="1" applyAlignment="1">
      <alignment horizontal="center" vertical="center" wrapText="1"/>
    </xf>
    <xf numFmtId="0" fontId="84" fillId="0" borderId="60" xfId="0" applyFont="1" applyBorder="1" applyAlignment="1">
      <alignment horizontal="center"/>
    </xf>
    <xf numFmtId="0" fontId="85" fillId="36" borderId="38" xfId="0" applyFont="1" applyFill="1" applyBorder="1" applyAlignment="1">
      <alignment horizontal="left" vertical="center" wrapText="1"/>
    </xf>
    <xf numFmtId="0" fontId="83" fillId="36" borderId="69" xfId="0" applyFont="1" applyFill="1" applyBorder="1" applyAlignment="1">
      <alignment vertical="center" wrapText="1"/>
    </xf>
    <xf numFmtId="0" fontId="83" fillId="36" borderId="76" xfId="0" applyFont="1" applyFill="1" applyBorder="1" applyAlignment="1">
      <alignment vertical="center" wrapText="1"/>
    </xf>
    <xf numFmtId="0" fontId="85" fillId="36" borderId="51" xfId="0" applyFont="1" applyFill="1" applyBorder="1" applyAlignment="1">
      <alignment horizontal="right" vertical="center" wrapText="1"/>
    </xf>
    <xf numFmtId="0" fontId="85" fillId="36" borderId="143" xfId="0" applyFont="1" applyFill="1" applyBorder="1" applyAlignment="1">
      <alignment horizontal="right"/>
    </xf>
    <xf numFmtId="0" fontId="85" fillId="36" borderId="38" xfId="0" applyFont="1" applyFill="1" applyBorder="1" applyAlignment="1">
      <alignment horizontal="right"/>
    </xf>
    <xf numFmtId="0" fontId="83" fillId="0" borderId="71" xfId="0" applyFont="1" applyFill="1" applyBorder="1" applyAlignment="1">
      <alignment vertical="center" wrapText="1"/>
    </xf>
    <xf numFmtId="0" fontId="85" fillId="0" borderId="69" xfId="0" applyFont="1" applyBorder="1"/>
    <xf numFmtId="0" fontId="85" fillId="36" borderId="70" xfId="0" applyFont="1" applyFill="1" applyBorder="1"/>
    <xf numFmtId="0" fontId="85" fillId="0" borderId="71" xfId="0" applyFont="1" applyBorder="1"/>
    <xf numFmtId="0" fontId="84" fillId="0" borderId="27" xfId="0" applyFont="1" applyBorder="1"/>
    <xf numFmtId="0" fontId="0" fillId="41" borderId="0" xfId="0" applyFill="1"/>
    <xf numFmtId="0" fontId="86" fillId="41" borderId="0" xfId="0" applyFont="1" applyFill="1"/>
    <xf numFmtId="0" fontId="84" fillId="41" borderId="0" xfId="0" applyFont="1" applyFill="1"/>
    <xf numFmtId="0" fontId="84" fillId="41" borderId="70" xfId="0" applyFont="1" applyFill="1" applyBorder="1"/>
    <xf numFmtId="0" fontId="11" fillId="41" borderId="70" xfId="0" applyFont="1" applyFill="1" applyBorder="1"/>
    <xf numFmtId="0" fontId="11" fillId="41" borderId="71" xfId="0" applyFont="1" applyFill="1" applyBorder="1"/>
    <xf numFmtId="0" fontId="0" fillId="41" borderId="70" xfId="0" applyFill="1" applyBorder="1"/>
    <xf numFmtId="0" fontId="0" fillId="41" borderId="102" xfId="0" applyFill="1" applyBorder="1"/>
    <xf numFmtId="0" fontId="0" fillId="41" borderId="0" xfId="0" applyFill="1" applyAlignment="1">
      <alignment horizontal="center"/>
    </xf>
    <xf numFmtId="0" fontId="0" fillId="41" borderId="70" xfId="0" applyFill="1" applyBorder="1" applyAlignment="1">
      <alignment horizontal="center"/>
    </xf>
    <xf numFmtId="0" fontId="0" fillId="41" borderId="37" xfId="0" applyFill="1" applyBorder="1" applyAlignment="1">
      <alignment horizontal="left"/>
    </xf>
    <xf numFmtId="1" fontId="0" fillId="41" borderId="0" xfId="0" applyNumberFormat="1" applyFill="1" applyAlignment="1">
      <alignment horizontal="center"/>
    </xf>
    <xf numFmtId="191" fontId="0" fillId="41" borderId="0" xfId="57" applyNumberFormat="1" applyFont="1" applyFill="1" applyAlignment="1">
      <alignment horizontal="center"/>
    </xf>
    <xf numFmtId="3" fontId="0" fillId="41" borderId="0" xfId="0" applyNumberFormat="1" applyFill="1" applyAlignment="1">
      <alignment horizontal="center"/>
    </xf>
    <xf numFmtId="0" fontId="0" fillId="41" borderId="0" xfId="0" applyFill="1" applyBorder="1" applyAlignment="1">
      <alignment horizontal="center"/>
    </xf>
    <xf numFmtId="44" fontId="0" fillId="41" borderId="0" xfId="57" applyNumberFormat="1" applyFont="1" applyFill="1" applyAlignment="1">
      <alignment horizontal="center"/>
    </xf>
    <xf numFmtId="185" fontId="0" fillId="41" borderId="0" xfId="0" applyNumberFormat="1" applyFill="1" applyAlignment="1">
      <alignment horizontal="center"/>
    </xf>
    <xf numFmtId="191" fontId="0" fillId="41" borderId="0" xfId="57" applyNumberFormat="1" applyFont="1" applyFill="1"/>
    <xf numFmtId="191" fontId="0" fillId="41" borderId="70" xfId="57" applyNumberFormat="1" applyFont="1" applyFill="1" applyBorder="1" applyAlignment="1">
      <alignment horizontal="center"/>
    </xf>
    <xf numFmtId="191" fontId="0" fillId="41" borderId="102" xfId="57" applyNumberFormat="1" applyFont="1" applyFill="1" applyBorder="1" applyAlignment="1">
      <alignment horizontal="center"/>
    </xf>
    <xf numFmtId="2" fontId="0" fillId="41" borderId="0" xfId="0" applyNumberFormat="1" applyFill="1" applyAlignment="1">
      <alignment horizontal="center"/>
    </xf>
    <xf numFmtId="0" fontId="11" fillId="41" borderId="60" xfId="0" applyFont="1" applyFill="1" applyBorder="1" applyAlignment="1">
      <alignment horizontal="center"/>
    </xf>
    <xf numFmtId="0" fontId="0" fillId="41" borderId="0" xfId="0" applyFill="1" applyAlignment="1"/>
    <xf numFmtId="0" fontId="11" fillId="41" borderId="14" xfId="0" applyFont="1" applyFill="1" applyBorder="1" applyAlignment="1">
      <alignment horizontal="center"/>
    </xf>
    <xf numFmtId="0" fontId="11" fillId="41" borderId="60" xfId="0" applyFont="1" applyFill="1" applyBorder="1"/>
    <xf numFmtId="0" fontId="84" fillId="41" borderId="60" xfId="0" applyFont="1" applyFill="1" applyBorder="1" applyAlignment="1">
      <alignment horizontal="center"/>
    </xf>
    <xf numFmtId="192" fontId="4" fillId="41" borderId="0" xfId="0" applyNumberFormat="1" applyFont="1" applyFill="1"/>
    <xf numFmtId="0" fontId="103" fillId="41" borderId="150" xfId="0" applyFont="1" applyFill="1" applyBorder="1"/>
    <xf numFmtId="0" fontId="4" fillId="41" borderId="151" xfId="0" applyFont="1" applyFill="1" applyBorder="1" applyAlignment="1">
      <alignment vertical="center"/>
    </xf>
    <xf numFmtId="192" fontId="4" fillId="41" borderId="0" xfId="0" quotePrefix="1" applyNumberFormat="1" applyFont="1" applyFill="1" applyBorder="1"/>
    <xf numFmtId="193" fontId="4" fillId="41" borderId="152" xfId="186" applyNumberFormat="1" applyFont="1" applyFill="1" applyBorder="1" applyAlignment="1">
      <alignment horizontal="center" vertical="center"/>
    </xf>
    <xf numFmtId="0" fontId="4" fillId="41" borderId="153" xfId="0" applyFont="1" applyFill="1" applyBorder="1" applyAlignment="1">
      <alignment vertical="center"/>
    </xf>
    <xf numFmtId="192" fontId="4" fillId="41" borderId="0" xfId="0" applyNumberFormat="1" applyFont="1" applyFill="1" applyBorder="1"/>
    <xf numFmtId="0" fontId="4" fillId="41" borderId="154" xfId="0" applyFont="1" applyFill="1" applyBorder="1" applyAlignment="1">
      <alignment vertical="center"/>
    </xf>
    <xf numFmtId="192" fontId="4" fillId="41" borderId="16" xfId="0" applyNumberFormat="1" applyFont="1" applyFill="1" applyBorder="1"/>
    <xf numFmtId="193" fontId="4" fillId="41" borderId="155" xfId="186" applyNumberFormat="1" applyFont="1" applyFill="1" applyBorder="1" applyAlignment="1">
      <alignment horizontal="center" vertical="center"/>
    </xf>
    <xf numFmtId="0" fontId="103" fillId="41" borderId="156" xfId="0" applyFont="1" applyFill="1" applyBorder="1" applyAlignment="1">
      <alignment horizontal="center"/>
    </xf>
    <xf numFmtId="0" fontId="103" fillId="41" borderId="6" xfId="0" applyFont="1" applyFill="1" applyBorder="1" applyAlignment="1">
      <alignment horizontal="center"/>
    </xf>
    <xf numFmtId="0" fontId="103" fillId="41" borderId="157" xfId="0" applyFont="1" applyFill="1" applyBorder="1" applyAlignment="1">
      <alignment horizontal="center"/>
    </xf>
    <xf numFmtId="0" fontId="103" fillId="41" borderId="157" xfId="0" applyFont="1" applyFill="1" applyBorder="1"/>
    <xf numFmtId="191" fontId="11" fillId="41" borderId="60" xfId="57" applyNumberFormat="1" applyFont="1" applyFill="1" applyBorder="1" applyAlignment="1">
      <alignment horizontal="center"/>
    </xf>
    <xf numFmtId="2" fontId="11" fillId="41" borderId="60" xfId="0" applyNumberFormat="1" applyFont="1" applyFill="1" applyBorder="1" applyAlignment="1">
      <alignment horizontal="center"/>
    </xf>
    <xf numFmtId="3" fontId="84" fillId="41" borderId="60" xfId="0" applyNumberFormat="1" applyFont="1" applyFill="1" applyBorder="1" applyAlignment="1">
      <alignment horizontal="center"/>
    </xf>
    <xf numFmtId="44" fontId="84" fillId="41" borderId="60" xfId="57" applyNumberFormat="1" applyFont="1" applyFill="1" applyBorder="1" applyAlignment="1">
      <alignment horizontal="center"/>
    </xf>
    <xf numFmtId="191" fontId="84" fillId="41" borderId="60" xfId="57" applyNumberFormat="1" applyFont="1" applyFill="1" applyBorder="1" applyAlignment="1">
      <alignment horizontal="center"/>
    </xf>
    <xf numFmtId="190" fontId="84" fillId="41" borderId="60" xfId="0" applyNumberFormat="1" applyFont="1" applyFill="1" applyBorder="1" applyAlignment="1">
      <alignment horizontal="center"/>
    </xf>
    <xf numFmtId="3" fontId="11" fillId="41" borderId="60" xfId="0" applyNumberFormat="1" applyFont="1" applyFill="1" applyBorder="1" applyAlignment="1">
      <alignment horizontal="center"/>
    </xf>
    <xf numFmtId="44" fontId="11" fillId="41" borderId="60" xfId="57" applyNumberFormat="1" applyFont="1" applyFill="1" applyBorder="1" applyAlignment="1">
      <alignment horizontal="center"/>
    </xf>
    <xf numFmtId="0" fontId="0" fillId="41" borderId="60" xfId="0" applyFill="1" applyBorder="1"/>
    <xf numFmtId="3" fontId="11" fillId="41" borderId="60" xfId="0" applyNumberFormat="1" applyFont="1" applyFill="1" applyBorder="1" applyAlignment="1">
      <alignment horizontal="right"/>
    </xf>
    <xf numFmtId="190" fontId="11" fillId="41" borderId="60" xfId="0" applyNumberFormat="1" applyFont="1" applyFill="1" applyBorder="1" applyAlignment="1">
      <alignment horizontal="right"/>
    </xf>
    <xf numFmtId="191" fontId="84" fillId="41" borderId="60" xfId="57" applyNumberFormat="1" applyFont="1" applyFill="1" applyBorder="1" applyAlignment="1">
      <alignment horizontal="right"/>
    </xf>
    <xf numFmtId="0" fontId="84" fillId="41" borderId="60" xfId="0" applyFont="1" applyFill="1" applyBorder="1"/>
    <xf numFmtId="191" fontId="0" fillId="41" borderId="60" xfId="57" applyNumberFormat="1" applyFont="1" applyFill="1" applyBorder="1"/>
    <xf numFmtId="3" fontId="84" fillId="41" borderId="60" xfId="0" applyNumberFormat="1" applyFont="1" applyFill="1" applyBorder="1" applyAlignment="1">
      <alignment horizontal="right"/>
    </xf>
    <xf numFmtId="190" fontId="84" fillId="41" borderId="60" xfId="0" applyNumberFormat="1" applyFont="1" applyFill="1" applyBorder="1" applyAlignment="1">
      <alignment horizontal="right"/>
    </xf>
    <xf numFmtId="191" fontId="84" fillId="41" borderId="60" xfId="57" applyNumberFormat="1" applyFont="1" applyFill="1" applyBorder="1"/>
    <xf numFmtId="4" fontId="11" fillId="41" borderId="60" xfId="0" applyNumberFormat="1" applyFont="1" applyFill="1" applyBorder="1" applyAlignment="1">
      <alignment horizontal="center"/>
    </xf>
    <xf numFmtId="190" fontId="11" fillId="41" borderId="60" xfId="0" applyNumberFormat="1" applyFont="1" applyFill="1" applyBorder="1" applyAlignment="1">
      <alignment horizontal="center"/>
    </xf>
    <xf numFmtId="0" fontId="0" fillId="41" borderId="60" xfId="0" applyFill="1" applyBorder="1" applyAlignment="1">
      <alignment horizontal="center"/>
    </xf>
    <xf numFmtId="0" fontId="84" fillId="41" borderId="14" xfId="0" applyFont="1" applyFill="1" applyBorder="1" applyAlignment="1">
      <alignment horizontal="center"/>
    </xf>
    <xf numFmtId="0" fontId="11" fillId="41" borderId="14" xfId="0" applyFont="1" applyFill="1" applyBorder="1"/>
    <xf numFmtId="191" fontId="11" fillId="41" borderId="14" xfId="57" applyNumberFormat="1" applyFont="1" applyFill="1" applyBorder="1" applyAlignment="1">
      <alignment horizontal="center"/>
    </xf>
    <xf numFmtId="191" fontId="84" fillId="41" borderId="14" xfId="57" applyNumberFormat="1" applyFont="1" applyFill="1" applyBorder="1" applyAlignment="1">
      <alignment horizontal="center"/>
    </xf>
    <xf numFmtId="2" fontId="11" fillId="41" borderId="14" xfId="0" applyNumberFormat="1" applyFont="1" applyFill="1" applyBorder="1" applyAlignment="1">
      <alignment horizontal="center"/>
    </xf>
    <xf numFmtId="3" fontId="84" fillId="41" borderId="14" xfId="0" applyNumberFormat="1" applyFont="1" applyFill="1" applyBorder="1" applyAlignment="1">
      <alignment horizontal="center"/>
    </xf>
    <xf numFmtId="44" fontId="84" fillId="41" borderId="14" xfId="57" applyNumberFormat="1" applyFont="1" applyFill="1" applyBorder="1" applyAlignment="1">
      <alignment horizontal="center"/>
    </xf>
    <xf numFmtId="190" fontId="84" fillId="41" borderId="14" xfId="0" applyNumberFormat="1" applyFont="1" applyFill="1" applyBorder="1" applyAlignment="1">
      <alignment horizontal="center"/>
    </xf>
    <xf numFmtId="191" fontId="84" fillId="41" borderId="14" xfId="57" applyNumberFormat="1" applyFont="1" applyFill="1" applyBorder="1" applyAlignment="1">
      <alignment horizontal="right"/>
    </xf>
    <xf numFmtId="3" fontId="84" fillId="41" borderId="14" xfId="0" applyNumberFormat="1" applyFont="1" applyFill="1" applyBorder="1" applyAlignment="1">
      <alignment horizontal="right"/>
    </xf>
    <xf numFmtId="190" fontId="84" fillId="41" borderId="14" xfId="0" applyNumberFormat="1" applyFont="1" applyFill="1" applyBorder="1" applyAlignment="1">
      <alignment horizontal="right"/>
    </xf>
    <xf numFmtId="191" fontId="84" fillId="41" borderId="14" xfId="57" applyNumberFormat="1" applyFont="1" applyFill="1" applyBorder="1"/>
    <xf numFmtId="0" fontId="84" fillId="41" borderId="14" xfId="0" applyFont="1" applyFill="1" applyBorder="1"/>
    <xf numFmtId="193" fontId="4" fillId="41" borderId="0" xfId="186" quotePrefix="1" applyNumberFormat="1" applyFont="1" applyFill="1" applyBorder="1"/>
    <xf numFmtId="0" fontId="104" fillId="41" borderId="60" xfId="0" applyFont="1" applyFill="1" applyBorder="1" applyAlignment="1">
      <alignment horizontal="center"/>
    </xf>
    <xf numFmtId="0" fontId="104" fillId="41" borderId="14" xfId="0" applyFont="1" applyFill="1" applyBorder="1" applyAlignment="1">
      <alignment horizontal="center"/>
    </xf>
    <xf numFmtId="0" fontId="0" fillId="0" borderId="0" xfId="0" applyAlignment="1">
      <alignment wrapText="1"/>
    </xf>
    <xf numFmtId="194" fontId="84" fillId="41" borderId="14" xfId="188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9" fontId="0" fillId="0" borderId="60" xfId="188" applyFont="1" applyBorder="1"/>
    <xf numFmtId="0" fontId="83" fillId="43" borderId="69" xfId="0" applyFont="1" applyFill="1" applyBorder="1" applyAlignment="1">
      <alignment horizontal="center" vertical="center" wrapText="1"/>
    </xf>
    <xf numFmtId="0" fontId="83" fillId="43" borderId="60" xfId="0" applyFont="1" applyFill="1" applyBorder="1" applyAlignment="1">
      <alignment horizontal="center" vertical="center" wrapText="1"/>
    </xf>
    <xf numFmtId="0" fontId="83" fillId="43" borderId="60" xfId="0" applyFont="1" applyFill="1" applyBorder="1" applyAlignment="1">
      <alignment horizontal="left" vertical="center" wrapText="1"/>
    </xf>
    <xf numFmtId="191" fontId="83" fillId="43" borderId="60" xfId="57" applyNumberFormat="1" applyFont="1" applyFill="1" applyBorder="1" applyAlignment="1">
      <alignment horizontal="center" vertical="center" wrapText="1"/>
    </xf>
    <xf numFmtId="2" fontId="83" fillId="43" borderId="60" xfId="0" applyNumberFormat="1" applyFont="1" applyFill="1" applyBorder="1" applyAlignment="1">
      <alignment horizontal="center" vertical="center" wrapText="1"/>
    </xf>
    <xf numFmtId="1" fontId="83" fillId="43" borderId="60" xfId="0" applyNumberFormat="1" applyFont="1" applyFill="1" applyBorder="1" applyAlignment="1">
      <alignment horizontal="center" vertical="center" wrapText="1"/>
    </xf>
    <xf numFmtId="44" fontId="83" fillId="43" borderId="60" xfId="57" applyNumberFormat="1" applyFont="1" applyFill="1" applyBorder="1" applyAlignment="1">
      <alignment horizontal="center" vertical="center" wrapText="1"/>
    </xf>
    <xf numFmtId="185" fontId="83" fillId="43" borderId="60" xfId="0" applyNumberFormat="1" applyFont="1" applyFill="1" applyBorder="1" applyAlignment="1">
      <alignment horizontal="center" vertical="center" wrapText="1"/>
    </xf>
    <xf numFmtId="3" fontId="83" fillId="43" borderId="60" xfId="0" applyNumberFormat="1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/>
    </xf>
    <xf numFmtId="0" fontId="11" fillId="0" borderId="60" xfId="0" applyFont="1" applyFill="1" applyBorder="1" applyAlignment="1"/>
    <xf numFmtId="0" fontId="11" fillId="0" borderId="60" xfId="0" applyFont="1" applyFill="1" applyBorder="1" applyAlignment="1">
      <alignment horizontal="left"/>
    </xf>
    <xf numFmtId="191" fontId="11" fillId="0" borderId="60" xfId="57" applyNumberFormat="1" applyFont="1" applyFill="1" applyBorder="1" applyAlignment="1">
      <alignment horizontal="center"/>
    </xf>
    <xf numFmtId="2" fontId="11" fillId="0" borderId="60" xfId="0" applyNumberFormat="1" applyFont="1" applyFill="1" applyBorder="1" applyAlignment="1">
      <alignment horizontal="center"/>
    </xf>
    <xf numFmtId="1" fontId="11" fillId="0" borderId="60" xfId="0" applyNumberFormat="1" applyFont="1" applyFill="1" applyBorder="1" applyAlignment="1">
      <alignment horizontal="center"/>
    </xf>
    <xf numFmtId="3" fontId="84" fillId="0" borderId="60" xfId="0" applyNumberFormat="1" applyFont="1" applyFill="1" applyBorder="1" applyAlignment="1">
      <alignment horizontal="center"/>
    </xf>
    <xf numFmtId="44" fontId="84" fillId="0" borderId="60" xfId="57" applyNumberFormat="1" applyFont="1" applyFill="1" applyBorder="1" applyAlignment="1">
      <alignment horizontal="center"/>
    </xf>
    <xf numFmtId="191" fontId="84" fillId="0" borderId="60" xfId="57" applyNumberFormat="1" applyFont="1" applyFill="1" applyBorder="1" applyAlignment="1">
      <alignment horizontal="center"/>
    </xf>
    <xf numFmtId="185" fontId="84" fillId="0" borderId="60" xfId="0" applyNumberFormat="1" applyFont="1" applyFill="1" applyBorder="1" applyAlignment="1">
      <alignment horizontal="center"/>
    </xf>
    <xf numFmtId="190" fontId="84" fillId="0" borderId="60" xfId="0" applyNumberFormat="1" applyFont="1" applyFill="1" applyBorder="1" applyAlignment="1">
      <alignment horizontal="center"/>
    </xf>
    <xf numFmtId="0" fontId="84" fillId="0" borderId="60" xfId="0" applyFont="1" applyFill="1" applyBorder="1" applyAlignment="1">
      <alignment horizontal="center"/>
    </xf>
    <xf numFmtId="0" fontId="0" fillId="0" borderId="60" xfId="0" applyFill="1" applyBorder="1"/>
    <xf numFmtId="9" fontId="0" fillId="0" borderId="60" xfId="188" applyFont="1" applyFill="1" applyBorder="1"/>
    <xf numFmtId="2" fontId="84" fillId="0" borderId="60" xfId="57" applyNumberFormat="1" applyFont="1" applyFill="1" applyBorder="1" applyAlignment="1">
      <alignment horizontal="center"/>
    </xf>
    <xf numFmtId="1" fontId="84" fillId="0" borderId="60" xfId="57" applyNumberFormat="1" applyFont="1" applyFill="1" applyBorder="1" applyAlignment="1">
      <alignment horizontal="center"/>
    </xf>
    <xf numFmtId="3" fontId="84" fillId="0" borderId="60" xfId="57" applyNumberFormat="1" applyFont="1" applyFill="1" applyBorder="1" applyAlignment="1">
      <alignment horizontal="center"/>
    </xf>
    <xf numFmtId="185" fontId="84" fillId="0" borderId="60" xfId="57" applyNumberFormat="1" applyFont="1" applyFill="1" applyBorder="1" applyAlignment="1">
      <alignment horizontal="center"/>
    </xf>
    <xf numFmtId="44" fontId="11" fillId="0" borderId="60" xfId="57" applyFont="1" applyFill="1" applyBorder="1" applyAlignment="1">
      <alignment horizontal="center"/>
    </xf>
    <xf numFmtId="3" fontId="11" fillId="0" borderId="60" xfId="0" applyNumberFormat="1" applyFont="1" applyFill="1" applyBorder="1" applyAlignment="1">
      <alignment horizontal="center"/>
    </xf>
    <xf numFmtId="44" fontId="11" fillId="0" borderId="60" xfId="57" applyNumberFormat="1" applyFont="1" applyFill="1" applyBorder="1" applyAlignment="1">
      <alignment horizontal="center"/>
    </xf>
    <xf numFmtId="185" fontId="11" fillId="0" borderId="60" xfId="0" applyNumberFormat="1" applyFont="1" applyFill="1" applyBorder="1" applyAlignment="1">
      <alignment horizontal="center"/>
    </xf>
    <xf numFmtId="0" fontId="11" fillId="0" borderId="60" xfId="0" applyFont="1" applyFill="1" applyBorder="1"/>
    <xf numFmtId="191" fontId="11" fillId="0" borderId="60" xfId="57" applyNumberFormat="1" applyFont="1" applyFill="1" applyBorder="1"/>
    <xf numFmtId="191" fontId="84" fillId="0" borderId="60" xfId="57" applyNumberFormat="1" applyFont="1" applyFill="1" applyBorder="1" applyAlignment="1">
      <alignment horizontal="right"/>
    </xf>
    <xf numFmtId="2" fontId="11" fillId="0" borderId="60" xfId="0" applyNumberFormat="1" applyFont="1" applyFill="1" applyBorder="1"/>
    <xf numFmtId="3" fontId="84" fillId="0" borderId="60" xfId="0" applyNumberFormat="1" applyFont="1" applyFill="1" applyBorder="1" applyAlignment="1">
      <alignment horizontal="right"/>
    </xf>
    <xf numFmtId="44" fontId="84" fillId="0" borderId="60" xfId="57" applyNumberFormat="1" applyFont="1" applyFill="1" applyBorder="1" applyAlignment="1">
      <alignment horizontal="right"/>
    </xf>
    <xf numFmtId="190" fontId="84" fillId="0" borderId="60" xfId="0" applyNumberFormat="1" applyFont="1" applyFill="1" applyBorder="1" applyAlignment="1">
      <alignment horizontal="right"/>
    </xf>
    <xf numFmtId="191" fontId="84" fillId="0" borderId="60" xfId="57" applyNumberFormat="1" applyFont="1" applyFill="1" applyBorder="1" applyAlignment="1">
      <alignment horizontal="center" vertical="center"/>
    </xf>
    <xf numFmtId="191" fontId="11" fillId="0" borderId="60" xfId="57" applyNumberFormat="1" applyFont="1" applyFill="1" applyBorder="1" applyAlignment="1">
      <alignment horizontal="right"/>
    </xf>
    <xf numFmtId="3" fontId="11" fillId="0" borderId="60" xfId="0" applyNumberFormat="1" applyFont="1" applyFill="1" applyBorder="1" applyAlignment="1">
      <alignment horizontal="right"/>
    </xf>
    <xf numFmtId="190" fontId="11" fillId="0" borderId="60" xfId="0" applyNumberFormat="1" applyFont="1" applyFill="1" applyBorder="1" applyAlignment="1">
      <alignment horizontal="right"/>
    </xf>
    <xf numFmtId="4" fontId="11" fillId="0" borderId="60" xfId="0" applyNumberFormat="1" applyFont="1" applyFill="1" applyBorder="1" applyAlignment="1">
      <alignment horizontal="right"/>
    </xf>
    <xf numFmtId="44" fontId="11" fillId="0" borderId="60" xfId="57" applyNumberFormat="1" applyFont="1" applyFill="1" applyBorder="1" applyAlignment="1">
      <alignment horizontal="right"/>
    </xf>
    <xf numFmtId="191" fontId="0" fillId="0" borderId="60" xfId="57" applyNumberFormat="1" applyFont="1" applyFill="1" applyBorder="1"/>
    <xf numFmtId="0" fontId="104" fillId="0" borderId="60" xfId="0" applyFont="1" applyFill="1" applyBorder="1" applyAlignment="1">
      <alignment horizontal="center"/>
    </xf>
    <xf numFmtId="0" fontId="83" fillId="43" borderId="73" xfId="0" applyFont="1" applyFill="1" applyBorder="1" applyAlignment="1">
      <alignment horizontal="center" vertical="center" wrapText="1"/>
    </xf>
    <xf numFmtId="0" fontId="83" fillId="43" borderId="110" xfId="0" applyFont="1" applyFill="1" applyBorder="1" applyAlignment="1">
      <alignment vertical="center" wrapText="1"/>
    </xf>
    <xf numFmtId="0" fontId="83" fillId="43" borderId="110" xfId="0" applyFont="1" applyFill="1" applyBorder="1" applyAlignment="1">
      <alignment horizontal="center" vertical="center" wrapText="1"/>
    </xf>
    <xf numFmtId="191" fontId="83" fillId="43" borderId="110" xfId="57" applyNumberFormat="1" applyFont="1" applyFill="1" applyBorder="1" applyAlignment="1">
      <alignment horizontal="center" vertical="center" wrapText="1"/>
    </xf>
    <xf numFmtId="44" fontId="83" fillId="43" borderId="110" xfId="57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0" xfId="0" applyFont="1"/>
    <xf numFmtId="0" fontId="64" fillId="0" borderId="0" xfId="0" applyFont="1"/>
    <xf numFmtId="44" fontId="0" fillId="41" borderId="0" xfId="0" applyNumberFormat="1" applyFill="1" applyAlignment="1">
      <alignment horizontal="center"/>
    </xf>
    <xf numFmtId="9" fontId="11" fillId="0" borderId="60" xfId="188" applyFont="1" applyFill="1" applyBorder="1"/>
    <xf numFmtId="0" fontId="34" fillId="41" borderId="0" xfId="0" applyFont="1" applyFill="1" applyAlignment="1">
      <alignment horizontal="center"/>
    </xf>
    <xf numFmtId="0" fontId="11" fillId="41" borderId="0" xfId="0" applyFont="1" applyFill="1"/>
    <xf numFmtId="0" fontId="11" fillId="41" borderId="0" xfId="0" applyFont="1" applyFill="1" applyAlignment="1">
      <alignment horizontal="center"/>
    </xf>
    <xf numFmtId="0" fontId="11" fillId="41" borderId="0" xfId="0" applyFont="1" applyFill="1" applyAlignment="1">
      <alignment horizontal="left"/>
    </xf>
    <xf numFmtId="194" fontId="0" fillId="0" borderId="60" xfId="188" applyNumberFormat="1" applyFont="1" applyFill="1" applyBorder="1"/>
    <xf numFmtId="194" fontId="0" fillId="0" borderId="60" xfId="188" applyNumberFormat="1" applyFont="1" applyBorder="1"/>
    <xf numFmtId="0" fontId="11" fillId="0" borderId="70" xfId="0" applyFont="1" applyFill="1" applyBorder="1" applyAlignment="1">
      <alignment horizontal="center"/>
    </xf>
    <xf numFmtId="191" fontId="0" fillId="0" borderId="0" xfId="0" applyNumberForma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37" xfId="0" applyFont="1" applyFill="1" applyBorder="1" applyAlignment="1">
      <alignment horizontal="left"/>
    </xf>
    <xf numFmtId="191" fontId="11" fillId="0" borderId="0" xfId="57" applyNumberFormat="1" applyFont="1" applyFill="1" applyBorder="1" applyAlignment="1">
      <alignment horizontal="center"/>
    </xf>
    <xf numFmtId="191" fontId="84" fillId="0" borderId="0" xfId="57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3" fontId="84" fillId="0" borderId="0" xfId="0" applyNumberFormat="1" applyFont="1" applyFill="1" applyBorder="1" applyAlignment="1">
      <alignment horizontal="center"/>
    </xf>
    <xf numFmtId="44" fontId="84" fillId="0" borderId="0" xfId="57" applyNumberFormat="1" applyFont="1" applyFill="1" applyBorder="1" applyAlignment="1">
      <alignment horizontal="center"/>
    </xf>
    <xf numFmtId="185" fontId="84" fillId="0" borderId="0" xfId="0" applyNumberFormat="1" applyFont="1" applyFill="1" applyBorder="1" applyAlignment="1">
      <alignment horizontal="center"/>
    </xf>
    <xf numFmtId="190" fontId="84" fillId="0" borderId="0" xfId="0" applyNumberFormat="1" applyFont="1" applyFill="1" applyBorder="1" applyAlignment="1">
      <alignment horizontal="center"/>
    </xf>
    <xf numFmtId="191" fontId="84" fillId="0" borderId="70" xfId="57" applyNumberFormat="1" applyFont="1" applyFill="1" applyBorder="1" applyAlignment="1">
      <alignment horizontal="center"/>
    </xf>
    <xf numFmtId="191" fontId="84" fillId="0" borderId="102" xfId="57" applyNumberFormat="1" applyFont="1" applyFill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0" fillId="0" borderId="0" xfId="0" applyFill="1" applyBorder="1"/>
    <xf numFmtId="9" fontId="0" fillId="0" borderId="0" xfId="188" applyFont="1" applyFill="1" applyBorder="1"/>
    <xf numFmtId="194" fontId="0" fillId="0" borderId="0" xfId="188" applyNumberFormat="1" applyFont="1" applyFill="1" applyBorder="1"/>
    <xf numFmtId="196" fontId="0" fillId="41" borderId="0" xfId="0" applyNumberFormat="1" applyFill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194" fontId="4" fillId="0" borderId="60" xfId="0" applyNumberFormat="1" applyFont="1" applyBorder="1" applyAlignment="1">
      <alignment horizontal="left" vertical="center" wrapText="1"/>
    </xf>
    <xf numFmtId="9" fontId="4" fillId="0" borderId="60" xfId="0" applyNumberFormat="1" applyFont="1" applyBorder="1" applyAlignment="1">
      <alignment horizontal="left" vertical="center" wrapText="1"/>
    </xf>
    <xf numFmtId="10" fontId="4" fillId="0" borderId="60" xfId="0" applyNumberFormat="1" applyFont="1" applyBorder="1" applyAlignment="1">
      <alignment horizontal="left" vertical="center" wrapText="1"/>
    </xf>
    <xf numFmtId="0" fontId="109" fillId="0" borderId="0" xfId="0" applyFont="1"/>
    <xf numFmtId="9" fontId="4" fillId="0" borderId="60" xfId="188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195" fontId="4" fillId="0" borderId="60" xfId="0" applyNumberFormat="1" applyFont="1" applyBorder="1" applyAlignment="1">
      <alignment horizontal="left" vertical="center" wrapText="1"/>
    </xf>
    <xf numFmtId="0" fontId="4" fillId="0" borderId="151" xfId="0" applyFont="1" applyBorder="1" applyAlignment="1">
      <alignment horizontal="left" vertical="center"/>
    </xf>
    <xf numFmtId="0" fontId="4" fillId="0" borderId="164" xfId="0" applyFont="1" applyBorder="1" applyAlignment="1">
      <alignment horizontal="left" vertical="center"/>
    </xf>
    <xf numFmtId="0" fontId="4" fillId="0" borderId="153" xfId="0" applyFont="1" applyBorder="1" applyAlignment="1">
      <alignment horizontal="left" vertical="center"/>
    </xf>
    <xf numFmtId="0" fontId="4" fillId="0" borderId="165" xfId="0" applyFont="1" applyBorder="1" applyAlignment="1">
      <alignment horizontal="left" vertical="center"/>
    </xf>
    <xf numFmtId="194" fontId="4" fillId="0" borderId="165" xfId="0" applyNumberFormat="1" applyFont="1" applyBorder="1" applyAlignment="1">
      <alignment horizontal="left" vertical="center" wrapText="1"/>
    </xf>
    <xf numFmtId="0" fontId="4" fillId="0" borderId="154" xfId="0" applyFont="1" applyBorder="1" applyAlignment="1">
      <alignment horizontal="left" vertical="center"/>
    </xf>
    <xf numFmtId="0" fontId="4" fillId="0" borderId="166" xfId="0" applyFont="1" applyBorder="1" applyAlignment="1">
      <alignment horizontal="left" vertical="center"/>
    </xf>
    <xf numFmtId="0" fontId="4" fillId="0" borderId="167" xfId="0" applyFont="1" applyBorder="1" applyAlignment="1">
      <alignment horizontal="left" vertical="center"/>
    </xf>
    <xf numFmtId="0" fontId="86" fillId="41" borderId="0" xfId="0" applyFont="1" applyFill="1" applyBorder="1"/>
    <xf numFmtId="0" fontId="84" fillId="41" borderId="0" xfId="0" applyFont="1" applyFill="1" applyBorder="1"/>
    <xf numFmtId="0" fontId="86" fillId="41" borderId="0" xfId="0" applyFont="1" applyFill="1" applyBorder="1" applyAlignment="1"/>
    <xf numFmtId="0" fontId="84" fillId="41" borderId="0" xfId="0" applyFont="1" applyFill="1" applyBorder="1" applyAlignment="1">
      <alignment horizontal="left"/>
    </xf>
    <xf numFmtId="0" fontId="83" fillId="43" borderId="60" xfId="0" applyFont="1" applyFill="1" applyBorder="1" applyAlignment="1">
      <alignment vertical="center" wrapText="1"/>
    </xf>
    <xf numFmtId="0" fontId="4" fillId="0" borderId="165" xfId="0" applyFont="1" applyBorder="1" applyAlignment="1">
      <alignment horizontal="left" vertical="center" wrapText="1"/>
    </xf>
    <xf numFmtId="0" fontId="107" fillId="45" borderId="158" xfId="0" applyFont="1" applyFill="1" applyBorder="1" applyAlignment="1">
      <alignment horizontal="center" vertical="center"/>
    </xf>
    <xf numFmtId="0" fontId="107" fillId="45" borderId="159" xfId="0" applyFont="1" applyFill="1" applyBorder="1" applyAlignment="1">
      <alignment horizontal="center" vertical="center" wrapText="1"/>
    </xf>
    <xf numFmtId="0" fontId="107" fillId="45" borderId="159" xfId="0" applyFont="1" applyFill="1" applyBorder="1" applyAlignment="1">
      <alignment horizontal="center" vertical="center"/>
    </xf>
    <xf numFmtId="0" fontId="107" fillId="45" borderId="160" xfId="0" applyFont="1" applyFill="1" applyBorder="1" applyAlignment="1">
      <alignment horizontal="center" vertical="center" wrapText="1"/>
    </xf>
    <xf numFmtId="0" fontId="64" fillId="41" borderId="0" xfId="0" applyFont="1" applyFill="1" applyAlignment="1">
      <alignment horizontal="left"/>
    </xf>
    <xf numFmtId="0" fontId="83" fillId="0" borderId="0" xfId="0" applyFont="1" applyAlignment="1">
      <alignment horizontal="left" vertical="center" wrapText="1"/>
    </xf>
    <xf numFmtId="0" fontId="83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4" fillId="44" borderId="60" xfId="0" applyFont="1" applyFill="1" applyBorder="1" applyAlignment="1">
      <alignment horizontal="center"/>
    </xf>
    <xf numFmtId="0" fontId="101" fillId="38" borderId="13" xfId="0" applyFont="1" applyFill="1" applyBorder="1" applyAlignment="1">
      <alignment horizontal="center"/>
    </xf>
    <xf numFmtId="0" fontId="101" fillId="38" borderId="60" xfId="0" applyFont="1" applyFill="1" applyBorder="1" applyAlignment="1">
      <alignment horizontal="center"/>
    </xf>
    <xf numFmtId="0" fontId="101" fillId="42" borderId="60" xfId="0" applyFont="1" applyFill="1" applyBorder="1" applyAlignment="1">
      <alignment horizontal="center"/>
    </xf>
    <xf numFmtId="191" fontId="64" fillId="40" borderId="60" xfId="57" applyNumberFormat="1" applyFont="1" applyFill="1" applyBorder="1" applyAlignment="1">
      <alignment horizontal="center"/>
    </xf>
    <xf numFmtId="0" fontId="64" fillId="39" borderId="60" xfId="0" applyFont="1" applyFill="1" applyBorder="1" applyAlignment="1">
      <alignment horizontal="center"/>
    </xf>
    <xf numFmtId="0" fontId="101" fillId="38" borderId="161" xfId="0" applyFont="1" applyFill="1" applyBorder="1" applyAlignment="1">
      <alignment horizontal="center"/>
    </xf>
    <xf numFmtId="0" fontId="101" fillId="38" borderId="163" xfId="0" applyFont="1" applyFill="1" applyBorder="1" applyAlignment="1">
      <alignment horizontal="center"/>
    </xf>
    <xf numFmtId="0" fontId="101" fillId="42" borderId="162" xfId="0" applyFont="1" applyFill="1" applyBorder="1" applyAlignment="1">
      <alignment horizontal="center"/>
    </xf>
    <xf numFmtId="0" fontId="101" fillId="42" borderId="161" xfId="0" applyFont="1" applyFill="1" applyBorder="1" applyAlignment="1">
      <alignment horizontal="center"/>
    </xf>
    <xf numFmtId="0" fontId="101" fillId="42" borderId="163" xfId="0" applyFont="1" applyFill="1" applyBorder="1" applyAlignment="1">
      <alignment horizontal="center"/>
    </xf>
    <xf numFmtId="0" fontId="64" fillId="40" borderId="31" xfId="0" applyFont="1" applyFill="1" applyBorder="1" applyAlignment="1">
      <alignment horizontal="center"/>
    </xf>
    <xf numFmtId="0" fontId="64" fillId="39" borderId="31" xfId="0" applyFont="1" applyFill="1" applyBorder="1" applyAlignment="1">
      <alignment horizontal="center"/>
    </xf>
    <xf numFmtId="0" fontId="64" fillId="44" borderId="27" xfId="0" applyFont="1" applyFill="1" applyBorder="1" applyAlignment="1">
      <alignment horizontal="center"/>
    </xf>
    <xf numFmtId="0" fontId="64" fillId="44" borderId="1" xfId="0" applyFont="1" applyFill="1" applyBorder="1" applyAlignment="1">
      <alignment horizontal="center"/>
    </xf>
    <xf numFmtId="0" fontId="64" fillId="44" borderId="13" xfId="0" applyFont="1" applyFill="1" applyBorder="1" applyAlignment="1">
      <alignment horizontal="center"/>
    </xf>
    <xf numFmtId="0" fontId="101" fillId="38" borderId="147" xfId="0" applyFont="1" applyFill="1" applyBorder="1" applyAlignment="1">
      <alignment horizontal="center"/>
    </xf>
    <xf numFmtId="0" fontId="101" fillId="38" borderId="148" xfId="0" applyFont="1" applyFill="1" applyBorder="1" applyAlignment="1">
      <alignment horizontal="center"/>
    </xf>
    <xf numFmtId="0" fontId="101" fillId="38" borderId="149" xfId="0" applyFont="1" applyFill="1" applyBorder="1" applyAlignment="1">
      <alignment horizontal="center"/>
    </xf>
    <xf numFmtId="0" fontId="101" fillId="42" borderId="147" xfId="0" applyFont="1" applyFill="1" applyBorder="1" applyAlignment="1">
      <alignment horizontal="center"/>
    </xf>
    <xf numFmtId="0" fontId="101" fillId="42" borderId="148" xfId="0" applyFont="1" applyFill="1" applyBorder="1" applyAlignment="1">
      <alignment horizontal="center"/>
    </xf>
    <xf numFmtId="0" fontId="101" fillId="42" borderId="149" xfId="0" applyFont="1" applyFill="1" applyBorder="1" applyAlignment="1">
      <alignment horizontal="center"/>
    </xf>
    <xf numFmtId="0" fontId="64" fillId="40" borderId="60" xfId="0" applyFont="1" applyFill="1" applyBorder="1" applyAlignment="1">
      <alignment horizontal="center"/>
    </xf>
    <xf numFmtId="0" fontId="64" fillId="44" borderId="71" xfId="0" applyFont="1" applyFill="1" applyBorder="1" applyAlignment="1">
      <alignment horizontal="center"/>
    </xf>
    <xf numFmtId="0" fontId="64" fillId="44" borderId="19" xfId="0" applyFont="1" applyFill="1" applyBorder="1" applyAlignment="1">
      <alignment horizontal="center"/>
    </xf>
  </cellXfs>
  <cellStyles count="248">
    <cellStyle name="$" xfId="1"/>
    <cellStyle name="_Comma" xfId="2"/>
    <cellStyle name="_Currency" xfId="3"/>
    <cellStyle name="_CurrencySpace" xfId="4"/>
    <cellStyle name="_Multiple" xfId="5"/>
    <cellStyle name="_MultipleSpace" xfId="6"/>
    <cellStyle name="_Och-Ziff_Capital_Stat_Download_Template_05.30.09" xfId="7"/>
    <cellStyle name="_Percent" xfId="8"/>
    <cellStyle name="_PercentSpace" xfId="9"/>
    <cellStyle name="20% - Accent1" xfId="10" builtinId="30" customBuiltin="1"/>
    <cellStyle name="20% - Accent2" xfId="11" builtinId="34" customBuiltin="1"/>
    <cellStyle name="20% - Accent3" xfId="12" builtinId="38" customBuiltin="1"/>
    <cellStyle name="20% - Accent4" xfId="13" builtinId="42" customBuiltin="1"/>
    <cellStyle name="20% - Accent5" xfId="14" builtinId="46" customBuiltin="1"/>
    <cellStyle name="20% - Accent6" xfId="15" builtinId="50" customBuiltin="1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60% - Accent1" xfId="22" builtinId="32" customBuiltin="1"/>
    <cellStyle name="60% - Accent2" xfId="23" builtinId="36" customBuiltin="1"/>
    <cellStyle name="60% - Accent3" xfId="24" builtinId="40" customBuiltin="1"/>
    <cellStyle name="60% - Accent4" xfId="25" builtinId="44" customBuiltin="1"/>
    <cellStyle name="60% - Accent5" xfId="26" builtinId="48" customBuiltin="1"/>
    <cellStyle name="60% - Accent6" xfId="27" builtinId="52" customBuiltin="1"/>
    <cellStyle name="Accent1" xfId="28" builtinId="29" customBuiltin="1"/>
    <cellStyle name="Accent2" xfId="29" builtinId="33" customBuiltin="1"/>
    <cellStyle name="Accent3" xfId="30" builtinId="37" customBuiltin="1"/>
    <cellStyle name="Accent4" xfId="31" builtinId="41" customBuiltin="1"/>
    <cellStyle name="Accent5" xfId="32" builtinId="45" customBuiltin="1"/>
    <cellStyle name="Accent6" xfId="33" builtinId="49" customBuiltin="1"/>
    <cellStyle name="Actual data" xfId="34"/>
    <cellStyle name="Actual year" xfId="35"/>
    <cellStyle name="Actuals Cells" xfId="36"/>
    <cellStyle name="Adj L1" xfId="37"/>
    <cellStyle name="Adj L2" xfId="38"/>
    <cellStyle name="Adj L3" xfId="39"/>
    <cellStyle name="Adj Space" xfId="40"/>
    <cellStyle name="Bad" xfId="41" builtinId="27" customBuiltin="1"/>
    <cellStyle name="Blank" xfId="42"/>
    <cellStyle name="Calc Cells" xfId="43"/>
    <cellStyle name="Calc Currency (0)" xfId="44"/>
    <cellStyle name="Calc Currency (0) 2" xfId="189"/>
    <cellStyle name="Calc Currency (2)" xfId="45"/>
    <cellStyle name="Calc Currency (2) 2" xfId="190"/>
    <cellStyle name="Calc Percent (0)" xfId="46"/>
    <cellStyle name="Calc Percent (0) 2" xfId="191"/>
    <cellStyle name="Calc Percent (1)" xfId="47"/>
    <cellStyle name="Calc Percent (2)" xfId="48"/>
    <cellStyle name="Calc Percent (2) 2" xfId="192"/>
    <cellStyle name="Calc Units (0)" xfId="49"/>
    <cellStyle name="Calc Units (0) 2" xfId="193"/>
    <cellStyle name="Calc Units (1)" xfId="50"/>
    <cellStyle name="Calc Units (1) 2" xfId="194"/>
    <cellStyle name="Calc Units (2)" xfId="51"/>
    <cellStyle name="Calc Units (2) 2" xfId="195"/>
    <cellStyle name="Calculation" xfId="52" builtinId="22" customBuiltin="1"/>
    <cellStyle name="Check Cell" xfId="53" builtinId="23" customBuiltin="1"/>
    <cellStyle name="Code" xfId="54"/>
    <cellStyle name="Comma" xfId="186" builtinId="3"/>
    <cellStyle name="Comma [00]" xfId="55"/>
    <cellStyle name="Comma [00] 2" xfId="196"/>
    <cellStyle name="Comma 2" xfId="243"/>
    <cellStyle name="Company name" xfId="56"/>
    <cellStyle name="Currency" xfId="57" builtinId="4"/>
    <cellStyle name="Currency [00]" xfId="58"/>
    <cellStyle name="Currency [00] 2" xfId="197"/>
    <cellStyle name="DataBases" xfId="59"/>
    <cellStyle name="DataToHide" xfId="60"/>
    <cellStyle name="Date Short" xfId="61"/>
    <cellStyle name="Date Short 2" xfId="198"/>
    <cellStyle name="DELTA" xfId="62"/>
    <cellStyle name="Dollar" xfId="63"/>
    <cellStyle name="DS 0" xfId="64"/>
    <cellStyle name="DS 0 2" xfId="199"/>
    <cellStyle name="DS 1" xfId="65"/>
    <cellStyle name="DS 1 2" xfId="200"/>
    <cellStyle name="DS 2" xfId="66"/>
    <cellStyle name="DS 2 2" xfId="201"/>
    <cellStyle name="DS 3" xfId="67"/>
    <cellStyle name="DS 3 2" xfId="202"/>
    <cellStyle name="DS 4" xfId="68"/>
    <cellStyle name="DS 4 2" xfId="203"/>
    <cellStyle name="DS 5" xfId="69"/>
    <cellStyle name="DS 5 2" xfId="204"/>
    <cellStyle name="Enter Currency (0)" xfId="70"/>
    <cellStyle name="Enter Currency (0) 2" xfId="205"/>
    <cellStyle name="Enter Currency (2)" xfId="71"/>
    <cellStyle name="Enter Currency (2) 2" xfId="206"/>
    <cellStyle name="Enter Units (0)" xfId="72"/>
    <cellStyle name="Enter Units (0) 2" xfId="207"/>
    <cellStyle name="Enter Units (1)" xfId="73"/>
    <cellStyle name="Enter Units (1) 2" xfId="208"/>
    <cellStyle name="Enter Units (2)" xfId="74"/>
    <cellStyle name="Enter Units (2) 2" xfId="209"/>
    <cellStyle name="Entities" xfId="75"/>
    <cellStyle name="Explanatory Text" xfId="76" builtinId="53" customBuiltin="1"/>
    <cellStyle name="External File Cells" xfId="77"/>
    <cellStyle name="Final_Data" xfId="78"/>
    <cellStyle name="Forecast Cells" xfId="79"/>
    <cellStyle name="G1_1999 figures" xfId="80"/>
    <cellStyle name="Good" xfId="81" builtinId="26" customBuiltin="1"/>
    <cellStyle name="H_1998_col_head" xfId="82"/>
    <cellStyle name="H_1999_col_head" xfId="83"/>
    <cellStyle name="H1_1998 figures" xfId="84"/>
    <cellStyle name="Header1" xfId="85"/>
    <cellStyle name="Header2" xfId="86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eading1" xfId="91"/>
    <cellStyle name="HeadlineStyle" xfId="92"/>
    <cellStyle name="HeadlineStyle 2" xfId="210"/>
    <cellStyle name="HeadlineStyleJustified" xfId="93"/>
    <cellStyle name="HeadlineStyleJustified 2" xfId="211"/>
    <cellStyle name="Hyperlink" xfId="94" builtinId="8"/>
    <cellStyle name="Input" xfId="95" builtinId="20" customBuiltin="1"/>
    <cellStyle name="Input Cells" xfId="96"/>
    <cellStyle name="Input Cells 2" xfId="212"/>
    <cellStyle name="Link Currency (0)" xfId="97"/>
    <cellStyle name="Link Currency (0) 2" xfId="213"/>
    <cellStyle name="Link Currency (2)" xfId="98"/>
    <cellStyle name="Link Currency (2) 2" xfId="214"/>
    <cellStyle name="Link Units (0)" xfId="99"/>
    <cellStyle name="Link Units (0) 2" xfId="215"/>
    <cellStyle name="Link Units (1)" xfId="100"/>
    <cellStyle name="Link Units (1) 2" xfId="216"/>
    <cellStyle name="Link Units (2)" xfId="101"/>
    <cellStyle name="Link Units (2) 2" xfId="217"/>
    <cellStyle name="Linked Cell" xfId="102" builtinId="24" customBuiltin="1"/>
    <cellStyle name="LookUpText" xfId="103"/>
    <cellStyle name="LookUpText 2" xfId="218"/>
    <cellStyle name="Mainhead" xfId="104"/>
    <cellStyle name="multiple" xfId="105"/>
    <cellStyle name="Neutral" xfId="106" builtinId="28" customBuiltin="1"/>
    <cellStyle name="NewStyle" xfId="107"/>
    <cellStyle name="Normal" xfId="0" builtinId="0"/>
    <cellStyle name="Normal 100" xfId="108"/>
    <cellStyle name="Normal 101" xfId="109"/>
    <cellStyle name="Normal 2" xfId="110"/>
    <cellStyle name="Normal 2 2" xfId="219"/>
    <cellStyle name="Normal 3" xfId="187"/>
    <cellStyle name="Normal 3 2" xfId="244"/>
    <cellStyle name="Normal 3 3" xfId="247"/>
    <cellStyle name="Normal 4" xfId="246"/>
    <cellStyle name="Normal 99" xfId="111"/>
    <cellStyle name="Normal Cells" xfId="112"/>
    <cellStyle name="Normal Cells 2" xfId="220"/>
    <cellStyle name="Note" xfId="113" builtinId="10" customBuiltin="1"/>
    <cellStyle name="Original L1" xfId="114"/>
    <cellStyle name="Original L2" xfId="115"/>
    <cellStyle name="Original L3" xfId="116"/>
    <cellStyle name="Original Space" xfId="117"/>
    <cellStyle name="OScommands" xfId="118"/>
    <cellStyle name="OSW_ColumnLabels" xfId="119"/>
    <cellStyle name="Output" xfId="120" builtinId="21" customBuiltin="1"/>
    <cellStyle name="p2_Normal" xfId="121"/>
    <cellStyle name="p3_Normal" xfId="122"/>
    <cellStyle name="p4_Normal" xfId="123"/>
    <cellStyle name="p5_Normal" xfId="124"/>
    <cellStyle name="Page header" xfId="125"/>
    <cellStyle name="Percent" xfId="188" builtinId="5"/>
    <cellStyle name="Percent [0]" xfId="126"/>
    <cellStyle name="Percent [0] 2" xfId="221"/>
    <cellStyle name="Percent [00]" xfId="127"/>
    <cellStyle name="Percent 2" xfId="245"/>
    <cellStyle name="Periods" xfId="128"/>
    <cellStyle name="PrePop Currency (0)" xfId="129"/>
    <cellStyle name="PrePop Currency (0) 2" xfId="222"/>
    <cellStyle name="PrePop Currency (2)" xfId="130"/>
    <cellStyle name="PrePop Currency (2) 2" xfId="223"/>
    <cellStyle name="PrePop Units (0)" xfId="131"/>
    <cellStyle name="PrePop Units (0) 2" xfId="224"/>
    <cellStyle name="PrePop Units (1)" xfId="132"/>
    <cellStyle name="PrePop Units (1) 2" xfId="225"/>
    <cellStyle name="PrePop Units (2)" xfId="133"/>
    <cellStyle name="PrePop Units (2) 2" xfId="226"/>
    <cellStyle name="Price" xfId="134"/>
    <cellStyle name="ReadInData" xfId="135"/>
    <cellStyle name="ReportNums" xfId="136"/>
    <cellStyle name="ReportNums 2" xfId="227"/>
    <cellStyle name="Reuters Cells" xfId="137"/>
    <cellStyle name="Reuters Cells 2" xfId="228"/>
    <cellStyle name="Shade" xfId="138"/>
    <cellStyle name="ShadedCells_Database" xfId="139"/>
    <cellStyle name="Short $" xfId="140"/>
    <cellStyle name="Short $ 2" xfId="229"/>
    <cellStyle name="Space" xfId="141"/>
    <cellStyle name="Style 1" xfId="142"/>
    <cellStyle name="Style 21" xfId="143"/>
    <cellStyle name="Style 22" xfId="144"/>
    <cellStyle name="Style 23" xfId="145"/>
    <cellStyle name="Style 24" xfId="146"/>
    <cellStyle name="Style 25" xfId="147"/>
    <cellStyle name="Style 26" xfId="148"/>
    <cellStyle name="Style 27" xfId="149"/>
    <cellStyle name="Style 28" xfId="150"/>
    <cellStyle name="Style 29" xfId="151"/>
    <cellStyle name="Style 29 2" xfId="230"/>
    <cellStyle name="Style 30" xfId="152"/>
    <cellStyle name="Style 30 2" xfId="231"/>
    <cellStyle name="Style 31" xfId="153"/>
    <cellStyle name="Style 32" xfId="154"/>
    <cellStyle name="Style 33" xfId="155"/>
    <cellStyle name="Style 33 2" xfId="232"/>
    <cellStyle name="Style 34" xfId="156"/>
    <cellStyle name="Style 34 2" xfId="233"/>
    <cellStyle name="Style 35" xfId="157"/>
    <cellStyle name="Style 35 2" xfId="234"/>
    <cellStyle name="Style 36" xfId="158"/>
    <cellStyle name="Style 36 2" xfId="235"/>
    <cellStyle name="Style 39" xfId="159"/>
    <cellStyle name="Style 39 2" xfId="236"/>
    <cellStyle name="Style D green" xfId="160"/>
    <cellStyle name="Style E" xfId="161"/>
    <cellStyle name="Style H" xfId="162"/>
    <cellStyle name="Sub total" xfId="163"/>
    <cellStyle name="Table" xfId="164"/>
    <cellStyle name="Table 2" xfId="237"/>
    <cellStyle name="Table end" xfId="165"/>
    <cellStyle name="Table head" xfId="166"/>
    <cellStyle name="table text bold" xfId="167"/>
    <cellStyle name="table text bold green" xfId="168"/>
    <cellStyle name="table text bold green 2" xfId="238"/>
    <cellStyle name="table text light" xfId="169"/>
    <cellStyle name="Table Units" xfId="170"/>
    <cellStyle name="TableColHeadLeft" xfId="171"/>
    <cellStyle name="TableData" xfId="172"/>
    <cellStyle name="TableSub" xfId="173"/>
    <cellStyle name="TableText1" xfId="174"/>
    <cellStyle name="Text Indent A" xfId="175"/>
    <cellStyle name="Text Indent A 2" xfId="239"/>
    <cellStyle name="Text Indent B" xfId="176"/>
    <cellStyle name="Text Indent B 2" xfId="240"/>
    <cellStyle name="Text Indent C" xfId="177"/>
    <cellStyle name="Text Indent C 2" xfId="241"/>
    <cellStyle name="Title" xfId="178" builtinId="15" customBuiltin="1"/>
    <cellStyle name="Total" xfId="179" builtinId="25" customBuiltin="1"/>
    <cellStyle name="UI Background" xfId="180"/>
    <cellStyle name="UI Background 2" xfId="242"/>
    <cellStyle name="UIScreenText" xfId="181"/>
    <cellStyle name="Variables" xfId="182"/>
    <cellStyle name="Warning Text" xfId="183" builtinId="11" customBuiltin="1"/>
    <cellStyle name="x" xfId="184"/>
    <cellStyle name="Year" xfId="185"/>
  </cellStyles>
  <dxfs count="1233"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  <dxf>
      <font>
        <color rgb="FFFF0000"/>
      </font>
    </dxf>
    <dxf>
      <font>
        <color auto="1"/>
      </font>
      <fill>
        <patternFill>
          <bgColor rgb="FFEAEAEA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AEAE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EAEAEA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Implied</a:t>
            </a:r>
            <a:r>
              <a:rPr lang="en-US" baseline="0"/>
              <a:t> Margin: 2015</a:t>
            </a:r>
            <a:endParaRPr lang="en-US"/>
          </a:p>
        </c:rich>
      </c:tx>
      <c:layout>
        <c:manualLayout>
          <c:xMode val="edge"/>
          <c:yMode val="edge"/>
          <c:x val="0.24994444444444444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'Margin breakdown graphs'!$X$4</c:f>
              <c:strCache>
                <c:ptCount val="1"/>
                <c:pt idx="0">
                  <c:v>Under 100k Lives</c:v>
                </c:pt>
              </c:strCache>
            </c:strRef>
          </c:tx>
          <c:invertIfNegative val="0"/>
          <c:cat>
            <c:strRef>
              <c:f>'Margin breakdown graphs'!$W$5:$W$18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graphs'!$X$5:$X$18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</c:numCache>
            </c:numRef>
          </c:val>
        </c:ser>
        <c:ser>
          <c:idx val="0"/>
          <c:order val="1"/>
          <c:tx>
            <c:strRef>
              <c:f>'Margin breakdown graphs'!$Y$4</c:f>
              <c:strCache>
                <c:ptCount val="1"/>
                <c:pt idx="0">
                  <c:v>Over 100k Lives</c:v>
                </c:pt>
              </c:strCache>
            </c:strRef>
          </c:tx>
          <c:invertIfNegative val="0"/>
          <c:cat>
            <c:strRef>
              <c:f>'Margin breakdown graphs'!$W$5:$W$18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graphs'!$Y$5:$Y$18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10</c:v>
                </c:pt>
                <c:pt idx="6">
                  <c:v>10</c:v>
                </c:pt>
                <c:pt idx="7">
                  <c:v>13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69336"/>
        <c:axId val="179769728"/>
      </c:barChart>
      <c:catAx>
        <c:axId val="179769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769728"/>
        <c:crosses val="autoZero"/>
        <c:auto val="1"/>
        <c:lblAlgn val="ctr"/>
        <c:lblOffset val="100"/>
        <c:noMultiLvlLbl val="0"/>
      </c:catAx>
      <c:valAx>
        <c:axId val="179769728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769336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Implied</a:t>
            </a:r>
            <a:r>
              <a:rPr lang="en-US" baseline="0"/>
              <a:t> Margin: 2014</a:t>
            </a:r>
            <a:endParaRPr lang="en-US"/>
          </a:p>
        </c:rich>
      </c:tx>
      <c:layout>
        <c:manualLayout>
          <c:xMode val="edge"/>
          <c:yMode val="edge"/>
          <c:x val="8.0500000000000016E-2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'Margin breakdown graphs'!$X$25</c:f>
              <c:strCache>
                <c:ptCount val="1"/>
                <c:pt idx="0">
                  <c:v>Under 100k Lives</c:v>
                </c:pt>
              </c:strCache>
            </c:strRef>
          </c:tx>
          <c:invertIfNegative val="0"/>
          <c:cat>
            <c:strRef>
              <c:f>'Margin breakdown graphs'!$W$26:$W$39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graphs'!$X$26:$X$39</c:f>
              <c:numCache>
                <c:formatCode>General</c:formatCode>
                <c:ptCount val="14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13</c:v>
                </c:pt>
                <c:pt idx="7">
                  <c:v>7</c:v>
                </c:pt>
                <c:pt idx="8">
                  <c:v>3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</c:numCache>
            </c:numRef>
          </c:val>
        </c:ser>
        <c:ser>
          <c:idx val="0"/>
          <c:order val="1"/>
          <c:tx>
            <c:strRef>
              <c:f>'Margin breakdown graphs'!$Y$25</c:f>
              <c:strCache>
                <c:ptCount val="1"/>
                <c:pt idx="0">
                  <c:v>Over 100k Lives</c:v>
                </c:pt>
              </c:strCache>
            </c:strRef>
          </c:tx>
          <c:invertIfNegative val="0"/>
          <c:cat>
            <c:strRef>
              <c:f>'Margin breakdown graphs'!$W$26:$W$39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graphs'!$Y$26:$Y$39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13</c:v>
                </c:pt>
                <c:pt idx="7">
                  <c:v>3</c:v>
                </c:pt>
                <c:pt idx="8">
                  <c:v>9</c:v>
                </c:pt>
                <c:pt idx="9">
                  <c:v>2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70512"/>
        <c:axId val="179770904"/>
      </c:barChart>
      <c:catAx>
        <c:axId val="179770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770904"/>
        <c:crosses val="autoZero"/>
        <c:auto val="1"/>
        <c:lblAlgn val="ctr"/>
        <c:lblOffset val="100"/>
        <c:noMultiLvlLbl val="0"/>
      </c:catAx>
      <c:valAx>
        <c:axId val="179770904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77051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Margin Medicaid Dominant: 2015</a:t>
            </a:r>
            <a:endParaRPr lang="en-US"/>
          </a:p>
        </c:rich>
      </c:tx>
      <c:layout>
        <c:manualLayout>
          <c:xMode val="edge"/>
          <c:yMode val="edge"/>
          <c:x val="0.24994444444444444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'Margin breakdown graphs'!$AA$4</c:f>
              <c:strCache>
                <c:ptCount val="1"/>
                <c:pt idx="0">
                  <c:v>Under 100k Lives</c:v>
                </c:pt>
              </c:strCache>
            </c:strRef>
          </c:tx>
          <c:invertIfNegative val="0"/>
          <c:cat>
            <c:strRef>
              <c:f>'Margin breakdown graphs'!$W$5:$W$18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graphs'!$AA$5:$AA$18</c:f>
              <c:numCache>
                <c:formatCode>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0"/>
          <c:order val="1"/>
          <c:tx>
            <c:strRef>
              <c:f>'Margin breakdown graphs'!$AB$4</c:f>
              <c:strCache>
                <c:ptCount val="1"/>
                <c:pt idx="0">
                  <c:v>Over 100k Lives</c:v>
                </c:pt>
              </c:strCache>
            </c:strRef>
          </c:tx>
          <c:invertIfNegative val="0"/>
          <c:cat>
            <c:strRef>
              <c:f>'Margin breakdown graphs'!$W$5:$W$18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graphs'!$AB$5:$AB$18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20</c:v>
                </c:pt>
                <c:pt idx="6">
                  <c:v>17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71688"/>
        <c:axId val="199839016"/>
      </c:barChart>
      <c:catAx>
        <c:axId val="179771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839016"/>
        <c:crosses val="autoZero"/>
        <c:auto val="1"/>
        <c:lblAlgn val="ctr"/>
        <c:lblOffset val="100"/>
        <c:noMultiLvlLbl val="0"/>
      </c:catAx>
      <c:valAx>
        <c:axId val="199839016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771688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/>
              <a:t>Margin Medicaid Dominant: 2014</a:t>
            </a:r>
            <a:endParaRPr lang="en-US" sz="1800"/>
          </a:p>
        </c:rich>
      </c:tx>
      <c:layout>
        <c:manualLayout>
          <c:xMode val="edge"/>
          <c:yMode val="edge"/>
          <c:x val="8.0500000000000016E-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164935904751041E-2"/>
          <c:y val="0.31593981127263454"/>
          <c:w val="0.59615547377230016"/>
          <c:h val="0.32804543272947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'Margin breakdown graphs'!$AA$25</c:f>
              <c:strCache>
                <c:ptCount val="1"/>
                <c:pt idx="0">
                  <c:v>Under 100k Lives</c:v>
                </c:pt>
              </c:strCache>
            </c:strRef>
          </c:tx>
          <c:invertIfNegative val="0"/>
          <c:cat>
            <c:strRef>
              <c:f>'Margin breakdown graphs'!$W$26:$W$39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graphs'!$AA$26:$AA$39</c:f>
              <c:numCache>
                <c:formatCode>General</c:formatCode>
                <c:ptCount val="14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ser>
          <c:idx val="0"/>
          <c:order val="1"/>
          <c:tx>
            <c:strRef>
              <c:f>'Margin breakdown graphs'!$AB$25</c:f>
              <c:strCache>
                <c:ptCount val="1"/>
                <c:pt idx="0">
                  <c:v>Over 100k Lives</c:v>
                </c:pt>
              </c:strCache>
            </c:strRef>
          </c:tx>
          <c:invertIfNegative val="0"/>
          <c:cat>
            <c:strRef>
              <c:f>'Margin breakdown graphs'!$W$26:$W$39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graphs'!$AB$26:$AB$39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11</c:v>
                </c:pt>
                <c:pt idx="5">
                  <c:v>14</c:v>
                </c:pt>
                <c:pt idx="6">
                  <c:v>18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39800"/>
        <c:axId val="199840192"/>
      </c:barChart>
      <c:catAx>
        <c:axId val="199839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840192"/>
        <c:crosses val="autoZero"/>
        <c:auto val="1"/>
        <c:lblAlgn val="ctr"/>
        <c:lblOffset val="100"/>
        <c:noMultiLvlLbl val="0"/>
      </c:catAx>
      <c:valAx>
        <c:axId val="19984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839800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Implied</a:t>
            </a:r>
            <a:r>
              <a:rPr lang="en-US" baseline="0"/>
              <a:t> Margin: 2015</a:t>
            </a:r>
            <a:endParaRPr lang="en-US"/>
          </a:p>
        </c:rich>
      </c:tx>
      <c:layout>
        <c:manualLayout>
          <c:xMode val="edge"/>
          <c:yMode val="edge"/>
          <c:x val="0.24994444444444444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'Margin breakdown graphs'!$X$55</c:f>
              <c:strCache>
                <c:ptCount val="1"/>
                <c:pt idx="0">
                  <c:v>For Profit</c:v>
                </c:pt>
              </c:strCache>
            </c:strRef>
          </c:tx>
          <c:invertIfNegative val="0"/>
          <c:cat>
            <c:strRef>
              <c:f>'Margin breakdown graphs'!$W$56:$W$69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graphs'!$X$56:$X$69</c:f>
              <c:numCache>
                <c:formatCode>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</c:numCache>
            </c:numRef>
          </c:val>
        </c:ser>
        <c:ser>
          <c:idx val="0"/>
          <c:order val="1"/>
          <c:tx>
            <c:strRef>
              <c:f>'Margin breakdown graphs'!$Y$55</c:f>
              <c:strCache>
                <c:ptCount val="1"/>
                <c:pt idx="0">
                  <c:v>Not For Profit</c:v>
                </c:pt>
              </c:strCache>
            </c:strRef>
          </c:tx>
          <c:invertIfNegative val="0"/>
          <c:cat>
            <c:strRef>
              <c:f>'Margin breakdown graphs'!$W$56:$W$69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graphs'!$Y$56:$Y$69</c:f>
              <c:numCache>
                <c:formatCode>General</c:formatCode>
                <c:ptCount val="1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12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54576"/>
        <c:axId val="199954968"/>
      </c:barChart>
      <c:catAx>
        <c:axId val="19995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954968"/>
        <c:crosses val="autoZero"/>
        <c:auto val="1"/>
        <c:lblAlgn val="ctr"/>
        <c:lblOffset val="100"/>
        <c:noMultiLvlLbl val="0"/>
      </c:catAx>
      <c:valAx>
        <c:axId val="199954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95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Margin Medicaid Dominant: 2015</a:t>
            </a:r>
            <a:endParaRPr lang="en-US"/>
          </a:p>
        </c:rich>
      </c:tx>
      <c:layout>
        <c:manualLayout>
          <c:xMode val="edge"/>
          <c:yMode val="edge"/>
          <c:x val="0.24994444444444444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'Margin breakdown graphs'!$AA$55</c:f>
              <c:strCache>
                <c:ptCount val="1"/>
                <c:pt idx="0">
                  <c:v>For Profit</c:v>
                </c:pt>
              </c:strCache>
            </c:strRef>
          </c:tx>
          <c:invertIfNegative val="0"/>
          <c:cat>
            <c:strRef>
              <c:f>'Margin breakdown graphs'!$W$56:$W$69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graphs'!$AA$56:$AA$69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13</c:v>
                </c:pt>
                <c:pt idx="6">
                  <c:v>10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0"/>
          <c:order val="1"/>
          <c:tx>
            <c:strRef>
              <c:f>'Margin breakdown graphs'!$AB$55</c:f>
              <c:strCache>
                <c:ptCount val="1"/>
                <c:pt idx="0">
                  <c:v>Not For Profit</c:v>
                </c:pt>
              </c:strCache>
            </c:strRef>
          </c:tx>
          <c:invertIfNegative val="0"/>
          <c:cat>
            <c:strRef>
              <c:f>'Margin breakdown graphs'!$W$56:$W$69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graphs'!$AB$56:$AB$69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55752"/>
        <c:axId val="199956144"/>
      </c:barChart>
      <c:catAx>
        <c:axId val="199955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956144"/>
        <c:crosses val="autoZero"/>
        <c:auto val="1"/>
        <c:lblAlgn val="ctr"/>
        <c:lblOffset val="100"/>
        <c:noMultiLvlLbl val="0"/>
      </c:catAx>
      <c:valAx>
        <c:axId val="19995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955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Implied</a:t>
            </a:r>
            <a:r>
              <a:rPr lang="en-US" baseline="0"/>
              <a:t> Margin: 2014</a:t>
            </a:r>
            <a:endParaRPr lang="en-US"/>
          </a:p>
        </c:rich>
      </c:tx>
      <c:layout>
        <c:manualLayout>
          <c:xMode val="edge"/>
          <c:yMode val="edge"/>
          <c:x val="0.24994444444444444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'Margin breakdown graphs'!$X$76</c:f>
              <c:strCache>
                <c:ptCount val="1"/>
                <c:pt idx="0">
                  <c:v>For Profit</c:v>
                </c:pt>
              </c:strCache>
            </c:strRef>
          </c:tx>
          <c:invertIfNegative val="0"/>
          <c:cat>
            <c:strRef>
              <c:f>'Margin breakdown graphs'!$W$77:$W$90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graphs'!$X$77:$X$90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14</c:v>
                </c:pt>
                <c:pt idx="7">
                  <c:v>4</c:v>
                </c:pt>
                <c:pt idx="8">
                  <c:v>10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ser>
          <c:idx val="0"/>
          <c:order val="1"/>
          <c:tx>
            <c:strRef>
              <c:f>'Margin breakdown graphs'!$Y$76</c:f>
              <c:strCache>
                <c:ptCount val="1"/>
                <c:pt idx="0">
                  <c:v>Not For Profit</c:v>
                </c:pt>
              </c:strCache>
            </c:strRef>
          </c:tx>
          <c:invertIfNegative val="0"/>
          <c:cat>
            <c:strRef>
              <c:f>'Margin breakdown graphs'!$W$77:$W$90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graphs'!$Y$77:$Y$90</c:f>
              <c:numCache>
                <c:formatCode>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9</c:v>
                </c:pt>
                <c:pt idx="6">
                  <c:v>12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42544"/>
        <c:axId val="199842152"/>
      </c:barChart>
      <c:catAx>
        <c:axId val="19984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842152"/>
        <c:crosses val="autoZero"/>
        <c:auto val="1"/>
        <c:lblAlgn val="ctr"/>
        <c:lblOffset val="100"/>
        <c:noMultiLvlLbl val="0"/>
      </c:catAx>
      <c:valAx>
        <c:axId val="199842152"/>
        <c:scaling>
          <c:orientation val="minMax"/>
          <c:max val="1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84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Margin Medicaid Dominant: 2014</a:t>
            </a:r>
            <a:endParaRPr lang="en-US"/>
          </a:p>
        </c:rich>
      </c:tx>
      <c:layout>
        <c:manualLayout>
          <c:xMode val="edge"/>
          <c:yMode val="edge"/>
          <c:x val="0.24994444444444444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'Margin breakdown graphs'!$AA$76</c:f>
              <c:strCache>
                <c:ptCount val="1"/>
                <c:pt idx="0">
                  <c:v>For Profit</c:v>
                </c:pt>
              </c:strCache>
            </c:strRef>
          </c:tx>
          <c:invertIfNegative val="0"/>
          <c:cat>
            <c:strRef>
              <c:f>'Margin breakdown graphs'!$W$77:$W$90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graphs'!$AA$77:$AA$90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</c:numCache>
            </c:numRef>
          </c:val>
        </c:ser>
        <c:ser>
          <c:idx val="0"/>
          <c:order val="1"/>
          <c:tx>
            <c:strRef>
              <c:f>'Margin breakdown graphs'!$AB$76</c:f>
              <c:strCache>
                <c:ptCount val="1"/>
                <c:pt idx="0">
                  <c:v>Not For Profit</c:v>
                </c:pt>
              </c:strCache>
            </c:strRef>
          </c:tx>
          <c:invertIfNegative val="0"/>
          <c:cat>
            <c:strRef>
              <c:f>'Margin breakdown graphs'!$W$77:$W$90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graphs'!$AB$77:$AB$90</c:f>
              <c:numCache>
                <c:formatCode>General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41368"/>
        <c:axId val="199840976"/>
      </c:barChart>
      <c:catAx>
        <c:axId val="199841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840976"/>
        <c:crosses val="autoZero"/>
        <c:auto val="1"/>
        <c:lblAlgn val="ctr"/>
        <c:lblOffset val="100"/>
        <c:noMultiLvlLbl val="0"/>
      </c:catAx>
      <c:valAx>
        <c:axId val="19984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841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Margin Medicaid Dominant: 2015</a:t>
            </a:r>
            <a:endParaRPr lang="en-US"/>
          </a:p>
        </c:rich>
      </c:tx>
      <c:layout>
        <c:manualLayout>
          <c:xMode val="edge"/>
          <c:yMode val="edge"/>
          <c:x val="0.10491704011275117"/>
          <c:y val="3.23978733427552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'Margin breakdown graphs'!$AA$55</c:f>
              <c:strCache>
                <c:ptCount val="1"/>
                <c:pt idx="0">
                  <c:v>For Profit</c:v>
                </c:pt>
              </c:strCache>
            </c:strRef>
          </c:tx>
          <c:invertIfNegative val="0"/>
          <c:cat>
            <c:strRef>
              <c:f>'Margin breakdown graphs'!$W$56:$W$69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graphs'!$AA$56:$AA$69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13</c:v>
                </c:pt>
                <c:pt idx="6">
                  <c:v>10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57320"/>
        <c:axId val="199957712"/>
      </c:barChart>
      <c:catAx>
        <c:axId val="199957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957712"/>
        <c:crosses val="autoZero"/>
        <c:auto val="1"/>
        <c:lblAlgn val="ctr"/>
        <c:lblOffset val="100"/>
        <c:noMultiLvlLbl val="0"/>
      </c:catAx>
      <c:valAx>
        <c:axId val="19995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957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Margin Medicaid Dominant: 2015</a:t>
            </a:r>
            <a:endParaRPr lang="en-US"/>
          </a:p>
        </c:rich>
      </c:tx>
      <c:layout>
        <c:manualLayout>
          <c:xMode val="edge"/>
          <c:yMode val="edge"/>
          <c:x val="0.10970334789232425"/>
          <c:y val="2.315786410274599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'Margin breakdown graphs'!$AB$55</c:f>
              <c:strCache>
                <c:ptCount val="1"/>
                <c:pt idx="0">
                  <c:v>Not For Profit</c:v>
                </c:pt>
              </c:strCache>
            </c:strRef>
          </c:tx>
          <c:invertIfNegative val="0"/>
          <c:cat>
            <c:strRef>
              <c:f>'Margin breakdown graphs'!$W$56:$W$69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graphs'!$AB$56:$AB$69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00984"/>
        <c:axId val="200101376"/>
      </c:barChart>
      <c:catAx>
        <c:axId val="200100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0101376"/>
        <c:crosses val="autoZero"/>
        <c:auto val="1"/>
        <c:lblAlgn val="ctr"/>
        <c:lblOffset val="100"/>
        <c:noMultiLvlLbl val="0"/>
      </c:catAx>
      <c:valAx>
        <c:axId val="20010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100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Margin Medicaid Dominant: 2014</a:t>
            </a:r>
            <a:endParaRPr lang="en-US"/>
          </a:p>
        </c:rich>
      </c:tx>
      <c:layout>
        <c:manualLayout>
          <c:xMode val="edge"/>
          <c:yMode val="edge"/>
          <c:x val="0.10223751170975011"/>
          <c:y val="2.777786872275061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'Margin breakdown graphs'!$AA$76</c:f>
              <c:strCache>
                <c:ptCount val="1"/>
                <c:pt idx="0">
                  <c:v>For Profit</c:v>
                </c:pt>
              </c:strCache>
            </c:strRef>
          </c:tx>
          <c:invertIfNegative val="0"/>
          <c:cat>
            <c:strRef>
              <c:f>'Margin breakdown graphs'!$W$77:$W$90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graphs'!$AA$77:$AA$90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02160"/>
        <c:axId val="200102552"/>
      </c:barChart>
      <c:catAx>
        <c:axId val="20010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0102552"/>
        <c:crosses val="autoZero"/>
        <c:auto val="1"/>
        <c:lblAlgn val="ctr"/>
        <c:lblOffset val="100"/>
        <c:noMultiLvlLbl val="0"/>
      </c:catAx>
      <c:valAx>
        <c:axId val="200102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10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Margin Medicaid Dominant: 2015</a:t>
            </a:r>
            <a:endParaRPr lang="en-US"/>
          </a:p>
        </c:rich>
      </c:tx>
      <c:layout>
        <c:manualLayout>
          <c:xMode val="edge"/>
          <c:yMode val="edge"/>
          <c:x val="0.10434084252981889"/>
          <c:y val="3.23978733427552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'Margin breakdown graphs'!$AB$76</c:f>
              <c:strCache>
                <c:ptCount val="1"/>
                <c:pt idx="0">
                  <c:v>Not For Profit</c:v>
                </c:pt>
              </c:strCache>
            </c:strRef>
          </c:tx>
          <c:invertIfNegative val="0"/>
          <c:cat>
            <c:strRef>
              <c:f>'Margin breakdown graphs'!$W$77:$W$90</c:f>
              <c:strCache>
                <c:ptCount val="14"/>
                <c:pt idx="0">
                  <c:v>Below -10%</c:v>
                </c:pt>
                <c:pt idx="1">
                  <c:v>-10% to -7.5%</c:v>
                </c:pt>
                <c:pt idx="2">
                  <c:v>-7.5% to -5%</c:v>
                </c:pt>
                <c:pt idx="3">
                  <c:v>-5% to -2.5%</c:v>
                </c:pt>
                <c:pt idx="4">
                  <c:v>-2.5% to 0%</c:v>
                </c:pt>
                <c:pt idx="5">
                  <c:v>0% to 2.5%</c:v>
                </c:pt>
                <c:pt idx="6">
                  <c:v>2.5% to 5%</c:v>
                </c:pt>
                <c:pt idx="7">
                  <c:v>5% to 7.5%</c:v>
                </c:pt>
                <c:pt idx="8">
                  <c:v>7.5% to 10%</c:v>
                </c:pt>
                <c:pt idx="9">
                  <c:v>10% to 12.5%</c:v>
                </c:pt>
                <c:pt idx="10">
                  <c:v>12.5% to 15%</c:v>
                </c:pt>
                <c:pt idx="11">
                  <c:v>15% to 17.5%</c:v>
                </c:pt>
                <c:pt idx="12">
                  <c:v>17.5% to 20%</c:v>
                </c:pt>
                <c:pt idx="13">
                  <c:v>Over 20%</c:v>
                </c:pt>
              </c:strCache>
            </c:strRef>
          </c:cat>
          <c:val>
            <c:numRef>
              <c:f>'Margin breakdown graphs'!$AB$77:$AB$90</c:f>
              <c:numCache>
                <c:formatCode>General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03336"/>
        <c:axId val="200103728"/>
      </c:barChart>
      <c:catAx>
        <c:axId val="200103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0103728"/>
        <c:crosses val="autoZero"/>
        <c:auto val="1"/>
        <c:lblAlgn val="ctr"/>
        <c:lblOffset val="100"/>
        <c:noMultiLvlLbl val="0"/>
      </c:catAx>
      <c:valAx>
        <c:axId val="200103728"/>
        <c:scaling>
          <c:orientation val="minMax"/>
          <c:max val="1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103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1</xdr:row>
      <xdr:rowOff>114300</xdr:rowOff>
    </xdr:from>
    <xdr:to>
      <xdr:col>10</xdr:col>
      <xdr:colOff>431292</xdr:colOff>
      <xdr:row>23</xdr:row>
      <xdr:rowOff>13335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</xdr:colOff>
      <xdr:row>23</xdr:row>
      <xdr:rowOff>91439</xdr:rowOff>
    </xdr:from>
    <xdr:to>
      <xdr:col>10</xdr:col>
      <xdr:colOff>416052</xdr:colOff>
      <xdr:row>45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</xdr:row>
      <xdr:rowOff>99060</xdr:rowOff>
    </xdr:from>
    <xdr:to>
      <xdr:col>20</xdr:col>
      <xdr:colOff>347472</xdr:colOff>
      <xdr:row>22</xdr:row>
      <xdr:rowOff>127635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15240</xdr:colOff>
      <xdr:row>23</xdr:row>
      <xdr:rowOff>83819</xdr:rowOff>
    </xdr:from>
    <xdr:to>
      <xdr:col>20</xdr:col>
      <xdr:colOff>362712</xdr:colOff>
      <xdr:row>44</xdr:row>
      <xdr:rowOff>115823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48</xdr:row>
      <xdr:rowOff>106680</xdr:rowOff>
    </xdr:from>
    <xdr:to>
      <xdr:col>10</xdr:col>
      <xdr:colOff>385572</xdr:colOff>
      <xdr:row>70</xdr:row>
      <xdr:rowOff>5715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15240</xdr:colOff>
      <xdr:row>48</xdr:row>
      <xdr:rowOff>106680</xdr:rowOff>
    </xdr:from>
    <xdr:to>
      <xdr:col>20</xdr:col>
      <xdr:colOff>362712</xdr:colOff>
      <xdr:row>70</xdr:row>
      <xdr:rowOff>5715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</xdr:colOff>
      <xdr:row>70</xdr:row>
      <xdr:rowOff>99060</xdr:rowOff>
    </xdr:from>
    <xdr:to>
      <xdr:col>10</xdr:col>
      <xdr:colOff>362712</xdr:colOff>
      <xdr:row>91</xdr:row>
      <xdr:rowOff>127635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30480</xdr:colOff>
      <xdr:row>70</xdr:row>
      <xdr:rowOff>106680</xdr:rowOff>
    </xdr:from>
    <xdr:to>
      <xdr:col>20</xdr:col>
      <xdr:colOff>377952</xdr:colOff>
      <xdr:row>92</xdr:row>
      <xdr:rowOff>5715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342900</xdr:colOff>
      <xdr:row>52</xdr:row>
      <xdr:rowOff>91440</xdr:rowOff>
    </xdr:from>
    <xdr:to>
      <xdr:col>33</xdr:col>
      <xdr:colOff>411480</xdr:colOff>
      <xdr:row>73</xdr:row>
      <xdr:rowOff>120015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144780</xdr:colOff>
      <xdr:row>52</xdr:row>
      <xdr:rowOff>106680</xdr:rowOff>
    </xdr:from>
    <xdr:to>
      <xdr:col>41</xdr:col>
      <xdr:colOff>65532</xdr:colOff>
      <xdr:row>74</xdr:row>
      <xdr:rowOff>5715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</xdr:col>
      <xdr:colOff>350520</xdr:colOff>
      <xdr:row>74</xdr:row>
      <xdr:rowOff>121920</xdr:rowOff>
    </xdr:from>
    <xdr:to>
      <xdr:col>33</xdr:col>
      <xdr:colOff>419100</xdr:colOff>
      <xdr:row>96</xdr:row>
      <xdr:rowOff>20955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175260</xdr:colOff>
      <xdr:row>74</xdr:row>
      <xdr:rowOff>99060</xdr:rowOff>
    </xdr:from>
    <xdr:to>
      <xdr:col>41</xdr:col>
      <xdr:colOff>96012</xdr:colOff>
      <xdr:row>95</xdr:row>
      <xdr:rowOff>127635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ra Teppema" refreshedDate="42608.538256828702" createdVersion="5" refreshedVersion="4" minRefreshableVersion="3" recordCount="219">
  <cacheSource type="worksheet">
    <worksheetSource ref="A3:BE222" sheet="2014"/>
  </cacheSource>
  <cacheFields count="57">
    <cacheField name="State" numFmtId="0">
      <sharedItems/>
    </cacheField>
    <cacheField name="Coporate Entity" numFmtId="0">
      <sharedItems/>
    </cacheField>
    <cacheField name="Corporate ranking (By rev.)" numFmtId="0">
      <sharedItems containsBlank="1" containsMixedTypes="1" containsNumber="1" containsInteger="1" minValue="1" maxValue="101"/>
    </cacheField>
    <cacheField name="Plan Ranking (on Member Months)" numFmtId="0">
      <sharedItems containsMixedTypes="1" containsNumber="1" containsInteger="1" minValue="1" maxValue="203"/>
    </cacheField>
    <cacheField name="Entity Name" numFmtId="0">
      <sharedItems/>
    </cacheField>
    <cacheField name="State2" numFmtId="0">
      <sharedItems/>
    </cacheField>
    <cacheField name="Medicaid Dominant" numFmtId="0">
      <sharedItems count="3">
        <s v="N"/>
        <s v="Y"/>
        <e v="#VALUE!" u="1"/>
      </sharedItems>
    </cacheField>
    <cacheField name="Year" numFmtId="0">
      <sharedItems containsSemiMixedTypes="0" containsString="0" containsNumber="1" containsInteger="1" minValue="2014" maxValue="2014"/>
    </cacheField>
    <cacheField name="Net Income" numFmtId="191">
      <sharedItems containsBlank="1" containsMixedTypes="1" containsNumber="1" minValue="-357238.29800000001" maxValue="389098.64799999999"/>
    </cacheField>
    <cacheField name="General Administrative Expenses Incurred" numFmtId="191">
      <sharedItems containsMixedTypes="1" containsNumber="1" minValue="-35.198999999999998" maxValue="2772043.8289999999"/>
    </cacheField>
    <cacheField name="Net Margin (%)" numFmtId="0">
      <sharedItems containsMixedTypes="1" containsNumber="1" minValue="-150.17577312747449" maxValue="56.062581100933158"/>
    </cacheField>
    <cacheField name="ACL Risk Based Capital Ratio (%)" numFmtId="0">
      <sharedItems containsBlank="1" containsMixedTypes="1" containsNumber="1" minValue="0" maxValue="32339.686956500002"/>
    </cacheField>
    <cacheField name="Total Revenue" numFmtId="191">
      <sharedItems containsBlank="1" containsMixedTypes="1" containsNumber="1" minValue="-1722.232" maxValue="27705479.809"/>
    </cacheField>
    <cacheField name="Total Health Enrollment (actual)" numFmtId="3">
      <sharedItems containsMixedTypes="1" containsNumber="1" minValue="0" maxValue="1226038"/>
    </cacheField>
    <cacheField name="Member Months (actual)" numFmtId="3">
      <sharedItems containsBlank="1" containsMixedTypes="1" containsNumber="1" containsInteger="1" minValue="0" maxValue="13002563"/>
    </cacheField>
    <cacheField name="PMPM ($)" numFmtId="44">
      <sharedItems containsBlank="1" containsMixedTypes="1" containsNumber="1" minValue="0" maxValue="4205.54426687861"/>
    </cacheField>
    <cacheField name="Direct Premiums Written" numFmtId="191">
      <sharedItems containsBlank="1" containsMixedTypes="1" containsNumber="1" minValue="-412.16899999999998" maxValue="5135745.5939999996"/>
    </cacheField>
    <cacheField name="Health State Pg Health Premiums Earned" numFmtId="191">
      <sharedItems containsMixedTypes="1" containsNumber="1" minValue="-1386.8309999999999" maxValue="5143882.3250000002"/>
    </cacheField>
    <cacheField name="Provision of Heath Care Services Incurred" numFmtId="191">
      <sharedItems containsMixedTypes="1" containsNumber="1" minValue="-2866.7440000000001" maxValue="4375061.6320000002"/>
    </cacheField>
    <cacheField name="MLR (%)" numFmtId="190">
      <sharedItems containsMixedTypes="1" containsNumber="1" minValue="-2353.3176684200689" maxValue="416.03591344406033"/>
    </cacheField>
    <cacheField name="Provision of Heath Care Services Paid" numFmtId="191">
      <sharedItems containsNonDate="0" containsString="0" containsBlank="1"/>
    </cacheField>
    <cacheField name="Member Physician Ambulatory Encounters (actual)" numFmtId="3">
      <sharedItems containsBlank="1" containsMixedTypes="1" containsNumber="1" containsInteger="1" minValue="0" maxValue="7026214"/>
    </cacheField>
    <cacheField name="Phys Visits/ MM" numFmtId="190">
      <sharedItems containsBlank="1" containsMixedTypes="1" containsNumber="1" minValue="0" maxValue="246349.0800596718"/>
    </cacheField>
    <cacheField name="Hospital Patient Days (days)" numFmtId="3">
      <sharedItems containsBlank="1" containsMixedTypes="1" containsNumber="1" containsInteger="1" minValue="0" maxValue="4350580"/>
    </cacheField>
    <cacheField name="Inpatient Admissions (actual)" numFmtId="3">
      <sharedItems containsBlank="1" containsMixedTypes="1" containsNumber="1" containsInteger="1" minValue="0" maxValue="280048"/>
    </cacheField>
    <cacheField name="Bed Days/ 000" numFmtId="190">
      <sharedItems containsBlank="1" containsMixedTypes="1" containsNumber="1" minValue="0" maxValue="22221.560607593474"/>
    </cacheField>
    <cacheField name="Days/ Admissions" numFmtId="190">
      <sharedItems containsBlank="1" containsMixedTypes="1" containsNumber="1" minValue="0" maxValue="36.928275862068965"/>
    </cacheField>
    <cacheField name="Net Premiums Written" numFmtId="191">
      <sharedItems containsBlank="1" containsMixedTypes="1" containsNumber="1" minValue="-412.16899999999998" maxValue="5115686.352"/>
    </cacheField>
    <cacheField name="Chg in Unearned Premiums" numFmtId="191">
      <sharedItems containsBlank="1" containsMixedTypes="1" containsNumber="1" minValue="-243184.872" maxValue="19298.954000000002"/>
    </cacheField>
    <cacheField name="Fee for Service Net Medical Exp" numFmtId="191">
      <sharedItems containsBlank="1" containsMixedTypes="1" containsNumber="1" minValue="0" maxValue="1739.1489999999999"/>
    </cacheField>
    <cacheField name="Risk Revenue" numFmtId="191">
      <sharedItems containsBlank="1" containsMixedTypes="1" containsNumber="1" minValue="0" maxValue="70131.862999999998"/>
    </cacheField>
    <cacheField name="Revenue: WI for Other Health Care Related" numFmtId="191">
      <sharedItems containsBlank="1" containsMixedTypes="1" containsNumber="1" minValue="-16675.692999999999" maxValue="24626.991000000002"/>
    </cacheField>
    <cacheField name="Revenue: WI for Other Non Health Related" numFmtId="191">
      <sharedItems containsBlank="1"/>
    </cacheField>
    <cacheField name="Total Revenue2" numFmtId="191">
      <sharedItems containsBlank="1" containsMixedTypes="1" containsNumber="1" minValue="-412.16899999999998" maxValue="5126403.0439999998"/>
    </cacheField>
    <cacheField name="Benefits for Hospital &amp; Medical Services" numFmtId="191">
      <sharedItems containsBlank="1" containsMixedTypes="1" containsNumber="1" minValue="-3334.0929999999998" maxValue="3132535.932"/>
    </cacheField>
    <cacheField name="Other Hospital Professional Svcs Exp" numFmtId="191">
      <sharedItems containsBlank="1" containsMixedTypes="1" containsNumber="1" minValue="-2.9000000000000001E-2" maxValue="413614.23599999998"/>
    </cacheField>
    <cacheField name="Medical: Outside Referrals Exp" numFmtId="191">
      <sharedItems containsBlank="1" containsMixedTypes="1" containsNumber="1" minValue="0" maxValue="95579.327000000005"/>
    </cacheField>
    <cacheField name="Emergency Room &amp; Out of Area Exp" numFmtId="191">
      <sharedItems containsBlank="1" containsMixedTypes="1" containsNumber="1" minValue="-877.83600000000001" maxValue="335624.39600000001"/>
    </cacheField>
    <cacheField name="Prescription Drugs Expense" numFmtId="191">
      <sharedItems containsBlank="1" containsMixedTypes="1" containsNumber="1" minValue="-193.40799999999999" maxValue="959008.08799999999"/>
    </cacheField>
    <cacheField name="Other Hospital &amp; Medical Exp WI" numFmtId="191">
      <sharedItems containsBlank="1" containsMixedTypes="1" containsNumber="1" minValue="-11630.084999999999" maxValue="213496.47899999999"/>
    </cacheField>
    <cacheField name="Hospital &amp; Medical Incentives" numFmtId="191">
      <sharedItems containsBlank="1" containsMixedTypes="1" containsNumber="1" minValue="-9353.8520000000008" maxValue="20629.588"/>
    </cacheField>
    <cacheField name="Medical Losses Incurred" numFmtId="191">
      <sharedItems containsBlank="1" containsMixedTypes="1" containsNumber="1" minValue="-2866.7440000000001" maxValue="4375061.6330000004"/>
    </cacheField>
    <cacheField name="Medical Reinsurance Recovery" numFmtId="191">
      <sharedItems containsBlank="1" containsMixedTypes="1" containsNumber="1" minValue="-40636.237999999998" maxValue="428519.70600000001"/>
    </cacheField>
    <cacheField name="Medical Losses Less Reinsurance" numFmtId="191">
      <sharedItems containsBlank="1" containsMixedTypes="1" containsNumber="1" minValue="-1794.711" maxValue="4364739.9359999998"/>
    </cacheField>
    <cacheField name="Non Health Claims" numFmtId="191">
      <sharedItems containsBlank="1"/>
    </cacheField>
    <cacheField name="Loss Adj Exp Incurred" numFmtId="191">
      <sharedItems containsBlank="1" containsMixedTypes="1" containsNumber="1" minValue="-1999.9369999999999" maxValue="121143.568"/>
    </cacheField>
    <cacheField name="General Administrative Expenses Incurred2" numFmtId="191">
      <sharedItems containsBlank="1" containsMixedTypes="1" containsNumber="1" minValue="-755.36" maxValue="573825.00300000003"/>
    </cacheField>
    <cacheField name="Increase in Aggregate Reserve" numFmtId="191">
      <sharedItems containsBlank="1" containsMixedTypes="1" containsNumber="1" minValue="-35280" maxValue="76798"/>
    </cacheField>
    <cacheField name="Increase in Reserves for Life only" numFmtId="191">
      <sharedItems containsBlank="1"/>
    </cacheField>
    <cacheField name="Underwriting Deductions" numFmtId="191">
      <sharedItems containsBlank="1" containsMixedTypes="1" containsNumber="1" minValue="-401.49900000000002" maxValue="5018141.0920000002"/>
    </cacheField>
    <cacheField name="Net Underwriting Gains" numFmtId="191">
      <sharedItems containsBlank="1" containsMixedTypes="1" containsNumber="1" minValue="-237675.88" maxValue="273838.81300000002"/>
    </cacheField>
    <cacheField name="Provider Owned?" numFmtId="0">
      <sharedItems containsBlank="1" containsMixedTypes="1" containsNumber="1" containsInteger="1" minValue="0" maxValue="0"/>
    </cacheField>
    <cacheField name="Non-Profit (NP or For-Profit (FP)" numFmtId="0">
      <sharedItems containsBlank="1" containsMixedTypes="1" containsNumber="1" containsInteger="1" minValue="0" maxValue="0" count="4">
        <s v="NFP"/>
        <s v="FP"/>
        <n v="0"/>
        <m/>
      </sharedItems>
    </cacheField>
    <cacheField name="category" numFmtId="0">
      <sharedItems count="6">
        <e v="#N/A"/>
        <s v="250k + "/>
        <s v="100 to 249k "/>
        <s v="50 to 99k"/>
        <s v="25 to 49k"/>
        <s v="0 to 24k"/>
      </sharedItems>
    </cacheField>
    <cacheField name="Admin % (all lobs)" numFmtId="9">
      <sharedItems containsSemiMixedTypes="0" containsString="0" containsNumber="1" minValue="0" maxValue="1.5798590648172919"/>
    </cacheField>
    <cacheField name="Implied margin" numFmtId="0">
      <sharedItems containsSemiMixedTypes="0" containsString="0" containsNumber="1" minValue="-100" maxValue="24.459032063566713"/>
    </cacheField>
    <cacheField name="Bucket" numFmtId="0">
      <sharedItems count="27">
        <s v="No Data"/>
        <s v="2.5 to 5%"/>
        <s v="5 to 7.5%"/>
        <s v="-5 to -2.5%"/>
        <s v="10 to 15%"/>
        <s v="7.5 to 10%"/>
        <s v="0 to 2.5%"/>
        <s v="-2.5 to 0%"/>
        <s v="-10 to -7.5%"/>
        <s v="-7.5 to -5%"/>
        <s v="Over 15%"/>
        <s v="Below -15%"/>
        <s v="-15 to -10%"/>
        <s v="10% to 12.5%" u="1"/>
        <s v="15% to 17.5%" u="1"/>
        <s v="-10% to -7.5%" u="1"/>
        <s v="5% to 7.5%" u="1"/>
        <s v="Below -10%" u="1"/>
        <s v="-2.5% to 0%" u="1"/>
        <s v="12.5% to 15%" u="1"/>
        <s v="17.5% to 20%" u="1"/>
        <s v="2.5% to 5%" u="1"/>
        <s v="-5% to -2.5%" u="1"/>
        <s v="Over 20%" u="1"/>
        <s v="0% to 2.5%" u="1"/>
        <s v="-7.5% to -5%" u="1"/>
        <s v="7.5% to 10%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uke Smith" refreshedDate="42628.551975231479" createdVersion="5" refreshedVersion="5" minRefreshableVersion="3" recordCount="202">
  <cacheSource type="worksheet">
    <worksheetSource ref="A3:BD205" sheet="2015"/>
  </cacheSource>
  <cacheFields count="56">
    <cacheField name="State" numFmtId="0">
      <sharedItems containsBlank="1"/>
    </cacheField>
    <cacheField name="Coporate Entity" numFmtId="0">
      <sharedItems/>
    </cacheField>
    <cacheField name="Corporate ranking (By rev.)" numFmtId="0">
      <sharedItems containsBlank="1" containsMixedTypes="1" containsNumber="1" containsInteger="1" minValue="1" maxValue="99"/>
    </cacheField>
    <cacheField name="Plan Ranking (on Member Months)" numFmtId="0">
      <sharedItems containsMixedTypes="1" containsNumber="1" containsInteger="1" minValue="1" maxValue="198"/>
    </cacheField>
    <cacheField name="Entity Name" numFmtId="0">
      <sharedItems/>
    </cacheField>
    <cacheField name="Year" numFmtId="0">
      <sharedItems containsSemiMixedTypes="0" containsString="0" containsNumber="1" containsInteger="1" minValue="2015" maxValue="2015"/>
    </cacheField>
    <cacheField name="Medicaid Dominant" numFmtId="0">
      <sharedItems count="3">
        <s v="N"/>
        <s v="Y"/>
        <e v="#VALUE!" u="1"/>
      </sharedItems>
    </cacheField>
    <cacheField name="Net Income" numFmtId="0">
      <sharedItems containsBlank="1" containsMixedTypes="1" containsNumber="1" minValue="-373979" maxValue="405548.07199999999"/>
    </cacheField>
    <cacheField name="General Administrative Expenses Incurred" numFmtId="191">
      <sharedItems containsBlank="1" containsMixedTypes="1" containsNumber="1" minValue="1475.354" maxValue="2986959.977"/>
    </cacheField>
    <cacheField name="Net Margin (%)" numFmtId="2">
      <sharedItems containsBlank="1" containsMixedTypes="1" containsNumber="1" minValue="-18.429796560645116" maxValue="17.476928620160134"/>
    </cacheField>
    <cacheField name="ACL Risk Based Capital Ratio (%)" numFmtId="1">
      <sharedItems containsBlank="1" containsMixedTypes="1" containsNumber="1" minValue="50.023051100000004" maxValue="1624.7237994"/>
    </cacheField>
    <cacheField name="Total Revenue" numFmtId="191">
      <sharedItems containsBlank="1" containsMixedTypes="1" containsNumber="1" minValue="17718.056" maxValue="31185323.708999999"/>
    </cacheField>
    <cacheField name="Total Health Enrollment (actual)" numFmtId="3">
      <sharedItems containsSemiMixedTypes="0" containsString="0" containsNumber="1" minValue="0" maxValue="1243447"/>
    </cacheField>
    <cacheField name="Member Months (actual)" numFmtId="3">
      <sharedItems containsSemiMixedTypes="0" containsString="0" containsNumber="1" containsInteger="1" minValue="0" maxValue="14790660"/>
    </cacheField>
    <cacheField name="PMPM ($)" numFmtId="44">
      <sharedItems containsBlank="1" containsMixedTypes="1" containsNumber="1" minValue="23.742449336252839" maxValue="6862.4100540716854"/>
    </cacheField>
    <cacheField name="Direct Premiums Written" numFmtId="191">
      <sharedItems containsString="0" containsBlank="1" containsNumber="1" minValue="546.49300000000005" maxValue="5806885.301"/>
    </cacheField>
    <cacheField name="Health State Pg Health Premiums Earned" numFmtId="191">
      <sharedItems containsSemiMixedTypes="0" containsString="0" containsNumber="1" minValue="546.49300000000005" maxValue="5815024.6770000001"/>
    </cacheField>
    <cacheField name="Provision of Heath Care Services Incurred" numFmtId="191">
      <sharedItems containsSemiMixedTypes="0" containsString="0" containsNumber="1" minValue="-100.589" maxValue="4901777.4000000004"/>
    </cacheField>
    <cacheField name="MLR (%)" numFmtId="185">
      <sharedItems containsSemiMixedTypes="0" containsString="0" containsNumber="1" minValue="-18.40627418832446" maxValue="392.71725482559521"/>
    </cacheField>
    <cacheField name="Provision of Heath Care Services Paid" numFmtId="191">
      <sharedItems containsString="0" containsBlank="1" containsNumber="1" minValue="-56.305999999999997" maxValue="5204408.17"/>
    </cacheField>
    <cacheField name="Member Physician Ambulatory Encounters (actual)" numFmtId="3">
      <sharedItems containsString="0" containsBlank="1" containsNumber="1" minValue="0" maxValue="28626543"/>
    </cacheField>
    <cacheField name="Phys Visits/ MM" numFmtId="3">
      <sharedItems containsBlank="1" containsMixedTypes="1" containsNumber="1" minValue="0" maxValue="151324"/>
    </cacheField>
    <cacheField name="Hospital Patient Days (days)" numFmtId="3">
      <sharedItems containsString="0" containsBlank="1" containsNumber="1" containsInteger="1" minValue="0" maxValue="3585778"/>
    </cacheField>
    <cacheField name="Inpatient Admissions (actual)" numFmtId="3">
      <sharedItems containsString="0" containsBlank="1" containsNumber="1" minValue="-309" maxValue="450941"/>
    </cacheField>
    <cacheField name="Bed Days/ 000" numFmtId="3">
      <sharedItems containsBlank="1" containsMixedTypes="1" containsNumber="1" minValue="0" maxValue="19709.602427203594"/>
    </cacheField>
    <cacheField name="Days/ Admissions" numFmtId="0">
      <sharedItems containsBlank="1" containsMixedTypes="1" containsNumber="1" minValue="-6.275080906148867" maxValue="40.129532180651132"/>
    </cacheField>
    <cacheField name="Net Premiums Written" numFmtId="191">
      <sharedItems containsBlank="1" containsMixedTypes="1" containsNumber="1" minValue="4161.7929999999997" maxValue="5787639.875"/>
    </cacheField>
    <cacheField name="Chg in Unearned Premiums" numFmtId="191">
      <sharedItems containsBlank="1" containsMixedTypes="1" containsNumber="1" minValue="-182324.45099999994" maxValue="62880.349999999977"/>
    </cacheField>
    <cacheField name="Fee for Service Net Medical Exp" numFmtId="191">
      <sharedItems containsNonDate="0" containsString="0" containsBlank="1"/>
    </cacheField>
    <cacheField name="Risk Revenue" numFmtId="191">
      <sharedItems containsNonDate="0" containsString="0" containsBlank="1"/>
    </cacheField>
    <cacheField name="Revenue: WI for Other Health Care Related" numFmtId="191">
      <sharedItems containsNonDate="0" containsString="0" containsBlank="1"/>
    </cacheField>
    <cacheField name="Revenue: WI for Other Non Health Related" numFmtId="191">
      <sharedItems containsNonDate="0" containsString="0" containsBlank="1"/>
    </cacheField>
    <cacheField name="Total Revenue2" numFmtId="191">
      <sharedItems containsNonDate="0" containsString="0" containsBlank="1"/>
    </cacheField>
    <cacheField name="Benefits for Hospital &amp; Medical Services" numFmtId="191">
      <sharedItems containsBlank="1" containsMixedTypes="1" containsNumber="1" minValue="-2361.634" maxValue="3362053.3330000001"/>
    </cacheField>
    <cacheField name="Other Hospital Professional Svcs Exp" numFmtId="191">
      <sharedItems containsBlank="1" containsMixedTypes="1" containsNumber="1" minValue="-5543.0159999999996" maxValue="840559.93700000003"/>
    </cacheField>
    <cacheField name="Medical: Outside Referrals Exp" numFmtId="191">
      <sharedItems containsBlank="1" containsMixedTypes="1" containsNumber="1" minValue="0" maxValue="108097.538"/>
    </cacheField>
    <cacheField name="Emergency Room &amp; Out of Area Exp" numFmtId="191">
      <sharedItems containsBlank="1" containsMixedTypes="1" containsNumber="1" minValue="-71.227000000000004" maxValue="289896.23499999999"/>
    </cacheField>
    <cacheField name="Prescription Drugs Expense" numFmtId="191">
      <sharedItems containsBlank="1" containsMixedTypes="1" containsNumber="1" minValue="-29.456" maxValue="1253926.1440000001"/>
    </cacheField>
    <cacheField name="Other Hospital &amp; Medical Exp WI" numFmtId="191">
      <sharedItems containsBlank="1" containsMixedTypes="1" containsNumber="1" minValue="-9072.7939999999999" maxValue="217853.34"/>
    </cacheField>
    <cacheField name="Hospital &amp; Medical Incentives" numFmtId="191">
      <sharedItems containsBlank="1" containsMixedTypes="1" containsNumber="1" minValue="-5885.2359999999999" maxValue="36192.701999999997"/>
    </cacheField>
    <cacheField name="Medical Losses Incurred" numFmtId="191">
      <sharedItems containsBlank="1" containsMixedTypes="1" containsNumber="1" minValue="-2714.71" maxValue="4901777.3990000002"/>
    </cacheField>
    <cacheField name="Medical Reinsurance Recovery" numFmtId="191">
      <sharedItems containsBlank="1" containsMixedTypes="1" containsNumber="1" minValue="-4216.1719999999996" maxValue="615065.80200000003"/>
    </cacheField>
    <cacheField name="Medical Losses Less Reinsurance" numFmtId="191">
      <sharedItems containsBlank="1" containsMixedTypes="1" containsNumber="1" minValue="-2714.71" maxValue="4888321.193"/>
    </cacheField>
    <cacheField name="Non Health Claims" numFmtId="191">
      <sharedItems containsBlank="1" containsMixedTypes="1" containsNumber="1" minValue="0.63955308783550591" maxValue="1.0843779135877867"/>
    </cacheField>
    <cacheField name="Loss Adj Exp Incurred" numFmtId="191">
      <sharedItems containsBlank="1" containsMixedTypes="1" containsNumber="1" minValue="0" maxValue="165608.285"/>
    </cacheField>
    <cacheField name="General Administrative Expenses Incurred2" numFmtId="191">
      <sharedItems containsBlank="1" containsMixedTypes="1" containsNumber="1" minValue="0" maxValue="655935.43400000001"/>
    </cacheField>
    <cacheField name="Increase in Aggregate Reserve" numFmtId="191">
      <sharedItems containsBlank="1" containsMixedTypes="1" containsNumber="1" minValue="0" maxValue="0.21310932029684562"/>
    </cacheField>
    <cacheField name="Increase in Reserves for Life only" numFmtId="191">
      <sharedItems containsBlank="1" containsMixedTypes="1" containsNumber="1" minValue="6476.6329999999998" maxValue="5625334.415"/>
    </cacheField>
    <cacheField name="Underwriting Deductions" numFmtId="191">
      <sharedItems containsBlank="1" containsMixedTypes="1" containsNumber="1" minValue="-159769.693" maxValue="206750.49900000001"/>
    </cacheField>
    <cacheField name="Net Underwriting Gains" numFmtId="191">
      <sharedItems containsBlank="1" containsMixedTypes="1" containsNumber="1" containsInteger="1" minValue="0" maxValue="0"/>
    </cacheField>
    <cacheField name="Provider Owned?" numFmtId="0">
      <sharedItems containsBlank="1"/>
    </cacheField>
    <cacheField name="Non-Profit (NFP or For-Profit (FP)" numFmtId="0">
      <sharedItems containsBlank="1" count="3">
        <s v="NFP"/>
        <s v="FP"/>
        <m/>
      </sharedItems>
    </cacheField>
    <cacheField name="category" numFmtId="0">
      <sharedItems count="5">
        <s v="250k + "/>
        <s v="0 to 24k"/>
        <s v="100 to 249k "/>
        <s v="50 to 99k"/>
        <s v="25 to 49k"/>
      </sharedItems>
    </cacheField>
    <cacheField name="Admin % (all lobs)" numFmtId="9">
      <sharedItems containsString="0" containsBlank="1" containsNumber="1" minValue="0" maxValue="0.23550182932010111"/>
    </cacheField>
    <cacheField name="Implied margin" numFmtId="0">
      <sharedItems containsSemiMixedTypes="0" containsString="0" containsNumber="1" minValue="-100" maxValue="0.99725761896711229"/>
    </cacheField>
    <cacheField name="Implied Margin2" numFmtId="0">
      <sharedItems count="25">
        <s v="2.5 to 5%"/>
        <s v="No Data"/>
        <s v="0 to 2.5%"/>
        <s v="7.5 to 10%"/>
        <s v="10 to 15%"/>
        <s v="5 to 7.5%"/>
        <s v="-2.5 to 0%"/>
        <s v="Below -15%"/>
        <s v="Over 15%"/>
        <s v="-5 to -2.5%"/>
        <s v="-7.5 to -5%"/>
        <s v="-15 to -10%"/>
        <s v="10% to 12.5%" u="1"/>
        <s v="15% to 17.5%" u="1"/>
        <s v="5% to 7.5%" u="1"/>
        <s v="Below -10%" u="1"/>
        <s v="-2.5% to 0%" u="1"/>
        <s v="12.5% to 15%" u="1"/>
        <s v="17.5% to 20%" u="1"/>
        <s v="2.5% to 5%" u="1"/>
        <s v="-5% to -2.5%" u="1"/>
        <s v="Over 20%" u="1"/>
        <s v="0% to 2.5%" u="1"/>
        <s v="-7.5% to -5%" u="1"/>
        <s v="7.5% to 10%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">
  <r>
    <s v="WV"/>
    <s v="WV Family Hlth Plan Inc./Highmark Insurance Group "/>
    <s v="-"/>
    <s v="-"/>
    <s v="WV Family Hlth Plan Inc./Highmark Insurance Group "/>
    <s v="WV"/>
    <x v="0"/>
    <n v="2014"/>
    <s v="-"/>
    <s v="-"/>
    <s v="-"/>
    <s v="-"/>
    <s v="-"/>
    <s v="-"/>
    <s v="-"/>
    <s v="-"/>
    <s v="-"/>
    <s v="-"/>
    <s v="-"/>
    <s v="-"/>
    <m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0"/>
    <x v="0"/>
    <n v="0"/>
    <n v="-100"/>
    <x v="0"/>
  </r>
  <r>
    <s v="OH"/>
    <s v="CareSource"/>
    <n v="12"/>
    <n v="1"/>
    <s v="CareSource"/>
    <s v="OH"/>
    <x v="1"/>
    <n v="2014"/>
    <n v="160663.60800000001"/>
    <n v="643130.41899999999"/>
    <n v="2.8649724741325708"/>
    <n v="421.96955680000002"/>
    <n v="5607858.6950000003"/>
    <n v="1226038"/>
    <n v="13002563"/>
    <n v="395.60526067053087"/>
    <n v="5135745.5939999996"/>
    <n v="5143882.3250000002"/>
    <n v="4375061.6320000002"/>
    <n v="85.053688159555634"/>
    <m/>
    <n v="7026214"/>
    <n v="6484.4575642509863"/>
    <n v="911171"/>
    <n v="184391"/>
    <n v="840.9151334240795"/>
    <n v="4.9415155837323947"/>
    <n v="5115686.352"/>
    <n v="0"/>
    <n v="0"/>
    <n v="0"/>
    <n v="10716.691999999999"/>
    <s v="NA"/>
    <n v="5126403.0439999998"/>
    <n v="3132535.932"/>
    <n v="33039.567000000003"/>
    <n v="0"/>
    <n v="246506.951"/>
    <n v="959008.08799999999"/>
    <n v="0"/>
    <n v="3971.0949999999998"/>
    <n v="4375061.6330000004"/>
    <n v="10321.697"/>
    <n v="4364739.9359999998"/>
    <s v="NA"/>
    <n v="79576.153000000006"/>
    <n v="573825.00300000003"/>
    <n v="0"/>
    <s v="NA"/>
    <n v="5018141.0920000002"/>
    <n v="108261.952"/>
    <s v="No"/>
    <x v="0"/>
    <x v="1"/>
    <n v="0.11468377753052494"/>
    <n v="2.8649724741325707E-2"/>
    <x v="1"/>
  </r>
  <r>
    <s v="NJ"/>
    <s v="Horizon Healthcare of NJ Inc."/>
    <n v="13"/>
    <n v="2"/>
    <s v="Horizon Healthcare of NJ Inc."/>
    <s v="NJ"/>
    <x v="0"/>
    <n v="2014"/>
    <n v="21373.629000000001"/>
    <n v="324248.71600000001"/>
    <n v="0.54572018516940746"/>
    <n v="437.73047380000003"/>
    <n v="3916591.2459999998"/>
    <n v="782408"/>
    <n v="8293707"/>
    <n v="384.32179048524381"/>
    <n v="3187994.9270000001"/>
    <n v="3187452.324"/>
    <n v="2761004.7110000001"/>
    <n v="86.621051245565241"/>
    <m/>
    <n v="6976363"/>
    <n v="10093.96112016014"/>
    <n v="292000"/>
    <n v="61796"/>
    <n v="422.48900280658575"/>
    <n v="4.7252249336526635"/>
    <n v="3187994.9270000001"/>
    <n v="-542.60299999999995"/>
    <n v="0"/>
    <n v="0"/>
    <n v="0"/>
    <s v="NA"/>
    <n v="3187452.324"/>
    <n v="1742609.8359999999"/>
    <n v="258411.342"/>
    <n v="0"/>
    <n v="197528.05900000001"/>
    <n v="555237.32999999996"/>
    <n v="0"/>
    <n v="7218.1450000000004"/>
    <n v="2761004.7119999998"/>
    <n v="0"/>
    <n v="2761004.7119999998"/>
    <s v="NA"/>
    <n v="118486.15700000001"/>
    <n v="255016.03200000001"/>
    <n v="0"/>
    <s v="NA"/>
    <n v="3134506.9010000001"/>
    <n v="52945.423000000003"/>
    <s v="No"/>
    <x v="0"/>
    <x v="1"/>
    <n v="8.2788500416313304E-2"/>
    <n v="5.1000987128034303E-2"/>
    <x v="2"/>
  </r>
  <r>
    <s v="FL"/>
    <s v="WellCare Health Plans Inc. "/>
    <n v="6"/>
    <n v="5"/>
    <s v="WellCare of Florida Inc."/>
    <s v="FL"/>
    <x v="0"/>
    <n v="2014"/>
    <n v="-55337.4"/>
    <n v="319644.59700000001"/>
    <n v="-1.9678720099236733"/>
    <n v="82.001330800000005"/>
    <n v="2812042.639"/>
    <n v="655142"/>
    <n v="6527204"/>
    <n v="250.35454215924614"/>
    <n v="1634115.169"/>
    <n v="1634115.169"/>
    <n v="1502339.4550000001"/>
    <n v="91.935959196765765"/>
    <m/>
    <n v="2465002"/>
    <n v="4531.8062680437133"/>
    <n v="293791"/>
    <n v="70353"/>
    <n v="540.12284586171961"/>
    <n v="4.1759555384987133"/>
    <n v="1633330.851"/>
    <n v="0"/>
    <n v="0"/>
    <n v="0"/>
    <n v="0"/>
    <s v="NA"/>
    <n v="1633330.851"/>
    <n v="900909.68500000006"/>
    <n v="106758.47100000001"/>
    <n v="0"/>
    <n v="149033.041"/>
    <n v="345638.25799999997"/>
    <n v="0"/>
    <n v="0"/>
    <n v="1502339.4550000001"/>
    <n v="7531.4769999999999"/>
    <n v="1494807.9779999999"/>
    <s v="NA"/>
    <n v="24772.749"/>
    <n v="170450.07800000001"/>
    <n v="0"/>
    <s v="NA"/>
    <n v="1690030.8049999999"/>
    <n v="-56699.953999999998"/>
    <s v="No"/>
    <x v="1"/>
    <x v="1"/>
    <n v="0.11366989695208531"/>
    <n v="-3.3029488919742903E-2"/>
    <x v="3"/>
  </r>
  <r>
    <s v="TN"/>
    <s v="UnitedHealth Group Inc. "/>
    <n v="1"/>
    <n v="3"/>
    <s v="UnitedHealthcare Plan"/>
    <s v="TN"/>
    <x v="0"/>
    <n v="2014"/>
    <n v="236985.815"/>
    <n v="409387.81199999998"/>
    <n v="5.581615942616823"/>
    <n v="491.87378890000002"/>
    <n v="4245828.0439999998"/>
    <n v="648719"/>
    <n v="7333034"/>
    <n v="375.67400137514704"/>
    <n v="2766600.4449999998"/>
    <n v="2754830.2250000001"/>
    <n v="2123435.0380000002"/>
    <n v="77.080431989234469"/>
    <m/>
    <n v="5689952"/>
    <n v="9311.2106121422585"/>
    <n v="4350580"/>
    <n v="280048"/>
    <n v="7119.4215109325824"/>
    <n v="15.535122550419928"/>
    <n v="2763841.378"/>
    <n v="-11770.22"/>
    <n v="0"/>
    <n v="0"/>
    <n v="1269.2950000000001"/>
    <s v="NA"/>
    <n v="2753340.4530000002"/>
    <n v="2109277.7480000001"/>
    <n v="10780.465"/>
    <n v="0"/>
    <n v="0"/>
    <n v="0"/>
    <n v="0"/>
    <n v="3376.8249999999998"/>
    <n v="2123435.0380000002"/>
    <n v="0"/>
    <n v="2123435.0380000002"/>
    <s v="NA"/>
    <n v="110287.754"/>
    <n v="283688.47100000002"/>
    <n v="0"/>
    <s v="NA"/>
    <n v="2517411.2629999998"/>
    <n v="235929.19"/>
    <s v="No"/>
    <x v="1"/>
    <x v="1"/>
    <n v="9.6421194583828515E-2"/>
    <n v="0.13277448552382681"/>
    <x v="4"/>
  </r>
  <r>
    <s v="TX"/>
    <s v="Anthem"/>
    <n v="3"/>
    <n v="4"/>
    <s v="AMERIGROUP Texas Inc."/>
    <s v="TX"/>
    <x v="0"/>
    <n v="2014"/>
    <n v="37668.978000000003"/>
    <n v="263947.467"/>
    <n v="1.3710145663523856"/>
    <n v="348.64599199999998"/>
    <n v="2747525.7319999998"/>
    <n v="601902"/>
    <n v="6570806"/>
    <n v="340.30317970124213"/>
    <n v="2235338.4789999998"/>
    <n v="2236066.1749999998"/>
    <n v="1827991.446"/>
    <n v="81.750328610019793"/>
    <m/>
    <n v="2898543"/>
    <n v="5293.4930661474409"/>
    <n v="261703"/>
    <n v="49355"/>
    <n v="477.93771418605269"/>
    <n v="5.302461756660926"/>
    <n v="2234981.6710000001"/>
    <n v="727.69600000000003"/>
    <n v="0"/>
    <n v="0"/>
    <n v="0"/>
    <s v="NA"/>
    <n v="2235709.3670000001"/>
    <n v="793120.821"/>
    <n v="42435.302000000003"/>
    <n v="0"/>
    <n v="335624.39600000001"/>
    <n v="439431.07500000001"/>
    <n v="213496.47899999999"/>
    <n v="3883.373"/>
    <n v="1827991.446"/>
    <n v="0.4"/>
    <n v="1827991.0460000001"/>
    <s v="NA"/>
    <n v="121143.568"/>
    <n v="212292.84899999999"/>
    <n v="0"/>
    <s v="NA"/>
    <n v="2161427.463"/>
    <n v="74281.903999999995"/>
    <s v="No"/>
    <x v="1"/>
    <x v="1"/>
    <n v="9.6067332118438556E-2"/>
    <n v="8.6429381781363487E-2"/>
    <x v="5"/>
  </r>
  <r>
    <s v="GA"/>
    <s v="WellCare Health Plans Inc. "/>
    <n v="6"/>
    <n v="6"/>
    <s v="WellCare of Georgia Inc."/>
    <s v="GA"/>
    <x v="0"/>
    <n v="2014"/>
    <n v="363.15199999999999"/>
    <n v="216300.95300000001"/>
    <n v="1.8409516467676763E-2"/>
    <n v="241.32392139999999"/>
    <n v="1972631.93"/>
    <n v="525928"/>
    <n v="5940848"/>
    <n v="248.56276528199342"/>
    <n v="1476673.6070000001"/>
    <n v="1476673.6070000001"/>
    <n v="1272023.99"/>
    <n v="86.141174594718677"/>
    <m/>
    <n v="2240649"/>
    <n v="4525.9175121127491"/>
    <n v="255995"/>
    <n v="52516"/>
    <n v="517.08779622033762"/>
    <n v="4.8746096427755354"/>
    <n v="1475561.0179999999"/>
    <n v="0"/>
    <n v="0"/>
    <n v="0"/>
    <n v="0"/>
    <s v="NA"/>
    <n v="1475561.0179999999"/>
    <n v="958671.31"/>
    <n v="46136.046999999999"/>
    <n v="0"/>
    <n v="84378.842000000004"/>
    <n v="182837.79199999999"/>
    <n v="0"/>
    <n v="0"/>
    <n v="1272023.9909999999"/>
    <n v="-66.210999999999999"/>
    <n v="1272090.202"/>
    <s v="NA"/>
    <n v="43886.77"/>
    <n v="162468.56200000001"/>
    <n v="0"/>
    <s v="NA"/>
    <n v="1478445.534"/>
    <n v="-2884.5160000000001"/>
    <s v="No"/>
    <x v="1"/>
    <x v="1"/>
    <n v="0.10965094385347399"/>
    <n v="2.8937310199339289E-2"/>
    <x v="1"/>
  </r>
  <r>
    <s v="PA"/>
    <s v="Independence Health Group Inc. "/>
    <n v="7"/>
    <n v="7"/>
    <s v="Vista Health Plan (PA)"/>
    <s v="PA"/>
    <x v="1"/>
    <n v="2014"/>
    <n v="2230.6570000000002"/>
    <n v="228131.54300000001"/>
    <n v="7.2445428351736479E-2"/>
    <n v="356.15136310000003"/>
    <n v="3079085.9419999998"/>
    <n v="506833"/>
    <n v="5819768"/>
    <n v="529.74701895333283"/>
    <n v="3083004.7489999998"/>
    <n v="3083004.7489999998"/>
    <n v="2833395.571"/>
    <n v="91.903704394845235"/>
    <m/>
    <n v="3533679"/>
    <n v="7286.226529992261"/>
    <n v="286342"/>
    <n v="58714"/>
    <n v="590.41941190782859"/>
    <n v="4.8768947780767791"/>
    <n v="3052257.1009999998"/>
    <n v="0"/>
    <n v="0"/>
    <n v="0"/>
    <n v="0"/>
    <s v="NA"/>
    <n v="3052257.1009999998"/>
    <n v="2833395.571"/>
    <n v="0"/>
    <n v="0"/>
    <n v="0"/>
    <n v="0"/>
    <n v="0"/>
    <n v="0"/>
    <n v="2833395.571"/>
    <n v="30747.648000000001"/>
    <n v="2802647.923"/>
    <s v="NA"/>
    <n v="0"/>
    <n v="228131.54300000001"/>
    <n v="0"/>
    <s v="NA"/>
    <n v="3030779.466"/>
    <n v="21477.634999999998"/>
    <s v="No"/>
    <x v="0"/>
    <x v="1"/>
    <n v="7.4090670834546013E-2"/>
    <n v="7.2445428351736478E-4"/>
    <x v="6"/>
  </r>
  <r>
    <s v="WA"/>
    <s v="Molina"/>
    <n v="4"/>
    <n v="8"/>
    <s v="Molina Healthcare of WA Inc."/>
    <s v="WA"/>
    <x v="1"/>
    <n v="2014"/>
    <n v="-24625.457999999999"/>
    <n v="154900.24"/>
    <n v="-1.8146479646028713"/>
    <n v="308.07381880000003"/>
    <n v="1357037.7549999999"/>
    <n v="474417"/>
    <n v="5255294"/>
    <n v="233.08376695956497"/>
    <n v="1468108.594"/>
    <n v="1224923.7220000001"/>
    <n v="1072172.648"/>
    <n v="87.529748076835759"/>
    <m/>
    <n v="2155834"/>
    <n v="4922.6566582193118"/>
    <n v="119103"/>
    <n v="28356"/>
    <n v="271.96118808957215"/>
    <n v="4.2002750740584007"/>
    <n v="1467580.919"/>
    <n v="-243184.872"/>
    <n v="0"/>
    <n v="0"/>
    <n v="0"/>
    <s v="NA"/>
    <n v="1224396.047"/>
    <n v="729632.88"/>
    <n v="5856.1949999999997"/>
    <n v="26893.503000000001"/>
    <n v="93931.615000000005"/>
    <n v="211340.283"/>
    <n v="0"/>
    <n v="4518.1710000000003"/>
    <n v="1072172.6470000001"/>
    <n v="1482.501"/>
    <n v="1070690.1459999999"/>
    <s v="NA"/>
    <n v="31492.725999999999"/>
    <n v="142007.85800000001"/>
    <n v="0"/>
    <s v="NA"/>
    <n v="1244190.73"/>
    <n v="-19794.683000000001"/>
    <s v="No"/>
    <x v="1"/>
    <x v="1"/>
    <n v="0.11414585882321307"/>
    <n v="-1.8146479646028713E-2"/>
    <x v="7"/>
  </r>
  <r>
    <s v="NJ"/>
    <s v="UnitedHealth Group Inc. "/>
    <n v="1"/>
    <n v="10"/>
    <s v="AmeriChoice of New Jersey Inc."/>
    <s v="NJ"/>
    <x v="1"/>
    <n v="2014"/>
    <n v="97135.59"/>
    <n v="160635.96599999999"/>
    <n v="4.8823703048050815"/>
    <n v="402.49655749999999"/>
    <n v="1989517.057"/>
    <n v="456999"/>
    <n v="4936926"/>
    <n v="390.92858633084637"/>
    <n v="1935510.23"/>
    <n v="1929985.5020000001"/>
    <n v="1563235.871"/>
    <n v="80.997285698781369"/>
    <m/>
    <n v="3246003"/>
    <n v="7889.937179532365"/>
    <n v="244241"/>
    <n v="38822"/>
    <n v="593.66739546025201"/>
    <n v="6.2913038998506003"/>
    <n v="1935510.23"/>
    <n v="-5524.7280000000001"/>
    <n v="0"/>
    <n v="0"/>
    <n v="0"/>
    <s v="NA"/>
    <n v="1929985.5020000001"/>
    <n v="1188379.9310000001"/>
    <n v="94899.210999999996"/>
    <n v="0"/>
    <n v="0"/>
    <n v="278502.48599999998"/>
    <n v="0"/>
    <n v="1454.242"/>
    <n v="1563235.87"/>
    <n v="0"/>
    <n v="1563235.87"/>
    <s v="NA"/>
    <n v="90003.887000000002"/>
    <n v="153036.76300000001"/>
    <n v="0"/>
    <s v="NA"/>
    <n v="1806276.52"/>
    <n v="123708.982"/>
    <s v="No"/>
    <x v="1"/>
    <x v="1"/>
    <n v="8.0741185623320832E-2"/>
    <n v="4.8823703048050816E-2"/>
    <x v="1"/>
  </r>
  <r>
    <s v="TX"/>
    <s v="Centene Corp. "/>
    <n v="2"/>
    <n v="9"/>
    <s v="Bankers Reserve Life Ins Co."/>
    <s v="TX"/>
    <x v="0"/>
    <n v="2014"/>
    <n v="11216.416999999999"/>
    <n v="226939.66899999999"/>
    <n v="0.47455065714286743"/>
    <n v="365.00340080000001"/>
    <n v="2363586.8650000002"/>
    <n v="440980"/>
    <n v="5115472"/>
    <n v="362.03036689478506"/>
    <n v="1878280.7109999999"/>
    <n v="1851956.2050000001"/>
    <n v="1575013.247"/>
    <n v="85.045922940710142"/>
    <m/>
    <n v="2490832"/>
    <n v="5843.0549517229301"/>
    <n v="170368"/>
    <n v="41341"/>
    <n v="399.65344351410778"/>
    <n v="4.1210420647783073"/>
    <n v="1926024.433"/>
    <n v="-26324.506000000001"/>
    <n v="0"/>
    <n v="0"/>
    <n v="0"/>
    <s v="NA"/>
    <n v="1899699.9269999999"/>
    <n v="1152447.902"/>
    <n v="65071.701999999997"/>
    <n v="0"/>
    <n v="64647.695"/>
    <n v="292781.19400000002"/>
    <n v="0"/>
    <n v="64.754000000000005"/>
    <n v="1575013.247"/>
    <n v="-40636.237999999998"/>
    <n v="1615649.4850000001"/>
    <s v="NA"/>
    <n v="44757.536"/>
    <n v="218245.74400000001"/>
    <n v="0"/>
    <s v="NA"/>
    <n v="1878652.7649999999"/>
    <n v="21047.162"/>
    <s v="No"/>
    <x v="1"/>
    <x v="1"/>
    <n v="9.6014947603797918E-2"/>
    <n v="5.3525822989100691E-2"/>
    <x v="2"/>
  </r>
  <r>
    <s v="NY"/>
    <s v="UnitedHealth Group Inc. "/>
    <n v="1"/>
    <n v="11"/>
    <s v="UnitedHealthcare of NY Inc."/>
    <s v="NY"/>
    <x v="0"/>
    <n v="2014"/>
    <n v="112260.717"/>
    <n v="205027.00200000001"/>
    <n v="4.5246289585215971"/>
    <n v="459.78444630000001"/>
    <n v="2481103.2689999999"/>
    <n v="438318"/>
    <n v="4885431"/>
    <n v="374.57294126147724"/>
    <n v="1829950.2590000001"/>
    <n v="1829950.2590000001"/>
    <n v="1435162.74"/>
    <n v="78.426325138709686"/>
    <m/>
    <n v="4525478"/>
    <n v="11115.853647303586"/>
    <n v="240546"/>
    <n v="46768"/>
    <n v="590.84899571808501"/>
    <n v="5.1433886418063635"/>
    <n v="1829950.2590000001"/>
    <n v="0"/>
    <n v="0"/>
    <n v="0"/>
    <n v="0"/>
    <s v="NA"/>
    <n v="1829950.2590000001"/>
    <n v="1046302.676"/>
    <n v="61622.131999999998"/>
    <n v="0"/>
    <n v="0"/>
    <n v="318917.80499999999"/>
    <n v="0"/>
    <n v="8320.1260000000002"/>
    <n v="1435162.7390000001"/>
    <n v="0"/>
    <n v="1435162.7390000001"/>
    <s v="NA"/>
    <n v="76878.815000000002"/>
    <n v="162629.01199999999"/>
    <n v="0"/>
    <s v="NA"/>
    <n v="1674670.5660000001"/>
    <n v="155279.693"/>
    <s v="No"/>
    <x v="1"/>
    <x v="1"/>
    <n v="8.2635416494628799E-2"/>
    <n v="0.13310133211827435"/>
    <x v="4"/>
  </r>
  <r>
    <s v="TN"/>
    <s v="Volunteer State Hlth Plan Inc./BCBS-TN"/>
    <n v="16"/>
    <n v="12"/>
    <s v="Volunteer State Hlth Plan Inc./BCBS-TN"/>
    <s v="TN"/>
    <x v="1"/>
    <n v="2014"/>
    <n v="60252.033000000003"/>
    <n v="179528.09400000001"/>
    <n v="3.318279739628458"/>
    <n v="602.58253349999995"/>
    <n v="1815761.1089999999"/>
    <n v="426399"/>
    <n v="4868303"/>
    <n v="369.80931343016243"/>
    <n v="1796343.79"/>
    <n v="1800343.79"/>
    <n v="1409483.0819999999"/>
    <n v="78.289662776019014"/>
    <m/>
    <n v="4612062"/>
    <n v="11368.385246357921"/>
    <n v="324225"/>
    <n v="43643"/>
    <n v="799.19019009293379"/>
    <n v="7.429026418898792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0"/>
    <x v="1"/>
    <n v="9.8872089015538012E-2"/>
    <n v="3.3182797396284582E-2"/>
    <x v="1"/>
  </r>
  <r>
    <s v="TX"/>
    <s v="Centene Corp. "/>
    <n v="2"/>
    <n v="13"/>
    <s v="Superior HealthPlan Inc."/>
    <s v="TX"/>
    <x v="1"/>
    <n v="2014"/>
    <n v="32071.710999999999"/>
    <n v="174332.337"/>
    <n v="1.7272922919748073"/>
    <n v="358.5293618"/>
    <n v="1856762.237"/>
    <n v="416213"/>
    <n v="4448799"/>
    <n v="394.10139792784526"/>
    <n v="1776606.486"/>
    <n v="1753277.905"/>
    <n v="1505198.9369999999"/>
    <n v="85.850562121810341"/>
    <m/>
    <n v="2015972"/>
    <n v="5437.796582853035"/>
    <n v="191669"/>
    <n v="42206"/>
    <n v="516.99975656351296"/>
    <n v="4.5412737525470313"/>
    <n v="1776327.0419999999"/>
    <n v="-23328.580999999998"/>
    <n v="0"/>
    <n v="0"/>
    <n v="0"/>
    <s v="NA"/>
    <n v="1752998.4609999999"/>
    <n v="1028168.149"/>
    <n v="73052.83"/>
    <n v="0"/>
    <n v="99836.422000000006"/>
    <n v="300963.07"/>
    <n v="0"/>
    <n v="3178.4659999999999"/>
    <n v="1505198.9369999999"/>
    <n v="491.39100000000002"/>
    <n v="1504707.5460000001"/>
    <s v="NA"/>
    <n v="42507.370999999999"/>
    <n v="164346.171"/>
    <n v="0"/>
    <s v="NA"/>
    <n v="1711561.088"/>
    <n v="41437.373"/>
    <s v="No"/>
    <x v="1"/>
    <x v="1"/>
    <n v="9.3890501177830668E-2"/>
    <n v="1.7272922919748072E-2"/>
    <x v="6"/>
  </r>
  <r>
    <s v="KY"/>
    <s v="WellCare Health Plans Inc. "/>
    <n v="6"/>
    <n v="14"/>
    <s v="WellCare Hlth Ins Co. of KY"/>
    <s v="KY"/>
    <x v="1"/>
    <n v="2014"/>
    <n v="88988.656000000003"/>
    <n v="134240.495"/>
    <n v="3.6781848369181276"/>
    <n v="283.30703720000002"/>
    <n v="2419363.3530000001"/>
    <n v="412832"/>
    <n v="4438107"/>
    <n v="495.47840396817833"/>
    <n v="2198986.173"/>
    <n v="2198986.173"/>
    <n v="1859913.6340000001"/>
    <n v="84.580506091249532"/>
    <m/>
    <n v="2609720"/>
    <n v="7056.3057627948128"/>
    <n v="303507"/>
    <n v="62755"/>
    <n v="820.6390697655554"/>
    <n v="4.8363795713488962"/>
    <n v="2197159.6320000002"/>
    <n v="0"/>
    <n v="0"/>
    <n v="0"/>
    <n v="0"/>
    <s v="NA"/>
    <n v="2197159.6320000002"/>
    <n v="1224752.7320000001"/>
    <n v="109501.30499999999"/>
    <n v="0"/>
    <n v="138549.80300000001"/>
    <n v="387109.79700000002"/>
    <n v="0"/>
    <n v="0"/>
    <n v="1859913.6370000001"/>
    <n v="543.61699999999996"/>
    <n v="1859370.02"/>
    <s v="NA"/>
    <n v="66316.436000000002"/>
    <n v="117101.96400000001"/>
    <n v="0"/>
    <s v="NA"/>
    <n v="2042788.42"/>
    <n v="154371.212"/>
    <s v="No"/>
    <x v="1"/>
    <x v="1"/>
    <n v="5.5485875998552411E-2"/>
    <n v="3.6781848369181275E-2"/>
    <x v="1"/>
  </r>
  <r>
    <s v="FL"/>
    <s v="Centene Corp. "/>
    <n v="2"/>
    <n v="21"/>
    <s v="Sunshine State Health Plan Inc"/>
    <s v="FL"/>
    <x v="0"/>
    <n v="2014"/>
    <n v="-119274.558"/>
    <n v="95251.89"/>
    <n v="-5.2577752316743709"/>
    <n v="142.47629739999999"/>
    <n v="2268536.648"/>
    <n v="411749"/>
    <n v="3694434"/>
    <n v="261.86312923711722"/>
    <n v="967436.04799999995"/>
    <n v="967436.04799999995"/>
    <n v="932200.728"/>
    <n v="96.357865713930892"/>
    <m/>
    <n v="1690866"/>
    <n v="5492.1517071356529"/>
    <n v="150166"/>
    <n v="42305"/>
    <n v="487.75861200930916"/>
    <n v="3.5496040657132726"/>
    <n v="961940.65"/>
    <n v="0"/>
    <n v="0"/>
    <n v="0"/>
    <n v="0"/>
    <s v="NA"/>
    <n v="961940.65"/>
    <n v="521413.41499999998"/>
    <n v="146330.413"/>
    <n v="0"/>
    <n v="104240.179"/>
    <n v="155444.71299999999"/>
    <n v="0"/>
    <n v="4772.0079999999998"/>
    <n v="932200.728"/>
    <n v="5022.576"/>
    <n v="927178.152"/>
    <s v="NA"/>
    <n v="28413.304"/>
    <n v="72187.707999999999"/>
    <n v="19398.982"/>
    <s v="NA"/>
    <n v="1047178.1459999999"/>
    <n v="-85237.495999999999"/>
    <s v="No"/>
    <x v="1"/>
    <x v="1"/>
    <n v="4.198825268437982E-2"/>
    <n v="-5.5669098236887232E-3"/>
    <x v="7"/>
  </r>
  <r>
    <s v="GA"/>
    <s v="Centene Corp. "/>
    <n v="2"/>
    <n v="15"/>
    <s v="Peach State Health Plan Inc."/>
    <s v="GA"/>
    <x v="1"/>
    <n v="2014"/>
    <n v="12417.01"/>
    <n v="120177.71400000001"/>
    <n v="1.1917336323588992"/>
    <n v="351.20147989999998"/>
    <n v="1041928.302"/>
    <n v="385310"/>
    <n v="4286191"/>
    <n v="242.7798623533109"/>
    <n v="1040600.861"/>
    <n v="1040600.861"/>
    <n v="863867.46100000001"/>
    <n v="83.016216243549692"/>
    <m/>
    <n v="1545612"/>
    <n v="4327.2322675307751"/>
    <n v="132713"/>
    <n v="28846"/>
    <n v="371.55507069097013"/>
    <n v="4.6007418706233096"/>
    <n v="1030483.586"/>
    <n v="0"/>
    <n v="0"/>
    <n v="0"/>
    <n v="0"/>
    <s v="NA"/>
    <n v="1030483.586"/>
    <n v="580672.82700000005"/>
    <n v="126226.982"/>
    <n v="0"/>
    <n v="52647.970999999998"/>
    <n v="95843.409"/>
    <n v="0"/>
    <n v="8476.2710000000006"/>
    <n v="863867.46"/>
    <n v="12229.995999999999"/>
    <n v="851637.46400000004"/>
    <s v="NA"/>
    <n v="28635.312999999998"/>
    <n v="117698.774"/>
    <n v="0"/>
    <s v="NA"/>
    <n v="997971.55099999998"/>
    <n v="32512.035"/>
    <s v="No"/>
    <x v="1"/>
    <x v="1"/>
    <n v="0.11534163509074159"/>
    <n v="1.1917336323588991E-2"/>
    <x v="6"/>
  </r>
  <r>
    <s v="CA"/>
    <s v="Care 1st Health Plan Inc,"/>
    <n v="26"/>
    <n v="17"/>
    <s v="Care 1st Health Plan Inc,"/>
    <s v="CA"/>
    <x v="0"/>
    <n v="2014"/>
    <n v="14529.832"/>
    <n v="152245.011"/>
    <n v="1.0796657608924125"/>
    <n v="387.82075159999999"/>
    <n v="1345771.3049999999"/>
    <n v="370191"/>
    <n v="4136949"/>
    <n v="215.31122138561534"/>
    <n v="890731.54200000002"/>
    <n v="890731.54200000002"/>
    <n v="754146.76399999997"/>
    <n v="84.665999623936059"/>
    <m/>
    <n v="723925"/>
    <n v="2099.8808542237284"/>
    <n v="140077"/>
    <n v="23067"/>
    <n v="406.31972982988185"/>
    <n v="6.072614557593098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0"/>
    <x v="1"/>
    <n v="0.11312844198294153"/>
    <n v="4.0211561777697857E-2"/>
    <x v="1"/>
  </r>
  <r>
    <s v="MI"/>
    <s v="Meridian Health Plan Group "/>
    <n v="8"/>
    <n v="16"/>
    <s v="Meridian Hlth Plan of MI Inc."/>
    <s v="MI"/>
    <x v="1"/>
    <n v="2014"/>
    <n v="3391.6950000000002"/>
    <n v="222736.16099999999"/>
    <n v="0.23499293870363219"/>
    <n v="260.756238"/>
    <n v="1443317.8370000001"/>
    <n v="365130"/>
    <n v="4145686"/>
    <n v="335.69962269211896"/>
    <n v="1391705.226"/>
    <n v="1391705.226"/>
    <n v="1176100.713"/>
    <n v="84.50788938835241"/>
    <m/>
    <n v="3628827"/>
    <n v="10503.912742064884"/>
    <n v="184279"/>
    <n v="49864"/>
    <n v="533.40942849989119"/>
    <n v="3.6956321193646717"/>
    <n v="1388785.7150000001"/>
    <n v="0"/>
    <n v="0"/>
    <n v="0"/>
    <n v="24626.991000000002"/>
    <s v="NA"/>
    <n v="1413412.706"/>
    <n v="933546.272"/>
    <n v="7290.9520000000002"/>
    <n v="61090.014000000003"/>
    <n v="16407.545999999998"/>
    <n v="146844.32199999999"/>
    <n v="264.44400000000002"/>
    <n v="10657.166999999999"/>
    <n v="1176100.7169999999"/>
    <n v="884.80700000000002"/>
    <n v="1175215.9099999999"/>
    <s v="NA"/>
    <n v="4336.5360000000001"/>
    <n v="219562.52799999999"/>
    <n v="0"/>
    <s v="NA"/>
    <n v="1399114.9739999999"/>
    <n v="14297.732"/>
    <s v="No"/>
    <x v="1"/>
    <x v="1"/>
    <n v="0.15432232269987528"/>
    <n v="2.349929387036322E-3"/>
    <x v="6"/>
  </r>
  <r>
    <s v="MN"/>
    <s v="UCare Minnesota "/>
    <n v="15"/>
    <n v="19"/>
    <s v="UCare Minnesota "/>
    <s v="MN"/>
    <x v="0"/>
    <n v="2014"/>
    <n v="107845.83500000001"/>
    <n v="161884.13800000001"/>
    <n v="3.5321188364234271"/>
    <n v="498.67530119999998"/>
    <n v="3053290.1069999998"/>
    <n v="360782"/>
    <n v="3874924"/>
    <n v="561.83557922684417"/>
    <n v="2177070.17"/>
    <n v="2177070.17"/>
    <n v="1891566.2120000001"/>
    <n v="86.885863306831325"/>
    <m/>
    <n v="1198844"/>
    <n v="3712.6219765858632"/>
    <n v="146987"/>
    <n v="46365"/>
    <n v="455.19447607230489"/>
    <n v="3.170214601531327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0"/>
    <x v="1"/>
    <n v="5.3019573092272822E-2"/>
    <n v="7.812179383941395E-2"/>
    <x v="5"/>
  </r>
  <r>
    <s v="SC"/>
    <s v="Independence Health Group Inc. "/>
    <n v="7"/>
    <n v="18"/>
    <s v="Select Health of SC Inc."/>
    <s v="SC"/>
    <x v="1"/>
    <n v="2014"/>
    <n v="36095.951999999997"/>
    <n v="67603.745999999999"/>
    <n v="3.1789400689526541"/>
    <n v="310.20461139999998"/>
    <n v="1135471.2960000001"/>
    <n v="355539"/>
    <n v="3946175"/>
    <n v="285.70029712316358"/>
    <n v="1127423.3700000001"/>
    <n v="1127423.3700000001"/>
    <n v="978053.75800000003"/>
    <n v="86.751240396941554"/>
    <m/>
    <n v="2492045"/>
    <n v="7578.1079146261891"/>
    <n v="128366"/>
    <n v="33206"/>
    <n v="390.35065601500185"/>
    <n v="3.8657471541287718"/>
    <n v="1127423.3700000001"/>
    <n v="0"/>
    <n v="0"/>
    <n v="0"/>
    <n v="0"/>
    <s v="NA"/>
    <n v="1127423.3700000001"/>
    <n v="408482.82400000002"/>
    <n v="141557.481"/>
    <n v="43090.067000000003"/>
    <n v="66005.248000000007"/>
    <n v="204582.08499999999"/>
    <n v="114336.053"/>
    <n v="0"/>
    <n v="978053.75800000003"/>
    <n v="0"/>
    <n v="978053.75800000003"/>
    <s v="NA"/>
    <n v="24697.356"/>
    <n v="76536.644"/>
    <n v="0"/>
    <s v="NA"/>
    <n v="1079287.7579999999"/>
    <n v="48135.612000000001"/>
    <s v="No"/>
    <x v="0"/>
    <x v="1"/>
    <n v="5.9538049300015064E-2"/>
    <n v="3.1789400689526542E-2"/>
    <x v="1"/>
  </r>
  <r>
    <s v="OH"/>
    <s v="Molina"/>
    <n v="4"/>
    <n v="22"/>
    <s v="Molina Healthcare of Ohio Inc."/>
    <s v="OH"/>
    <x v="1"/>
    <n v="2014"/>
    <n v="55873.718000000001"/>
    <n v="285253.60499999998"/>
    <n v="3.1357532602634528"/>
    <n v="404.28569390000001"/>
    <n v="1781827.63"/>
    <n v="343635"/>
    <n v="3627617"/>
    <n v="483.93693986989257"/>
    <n v="1755537.87"/>
    <n v="1755537.87"/>
    <n v="1323470.9539999999"/>
    <n v="75.388345453350993"/>
    <m/>
    <n v="1398998"/>
    <n v="4627.8248227417616"/>
    <n v="806114"/>
    <n v="63935"/>
    <n v="2666.5902161115687"/>
    <n v="12.608336591851099"/>
    <n v="1750575.2679999999"/>
    <n v="0"/>
    <n v="0"/>
    <n v="0"/>
    <n v="0"/>
    <s v="NA"/>
    <n v="1750575.2679999999"/>
    <n v="938771.29700000002"/>
    <n v="37720.572"/>
    <n v="72521.786999999997"/>
    <n v="71835.592000000004"/>
    <n v="202265.86300000001"/>
    <n v="0"/>
    <n v="355.84300000000002"/>
    <n v="1323470.9539999999"/>
    <n v="1011.611"/>
    <n v="1322459.3430000001"/>
    <s v="NA"/>
    <n v="46796.614000000001"/>
    <n v="280210.55"/>
    <n v="0"/>
    <s v="NA"/>
    <n v="1649466.507"/>
    <n v="101108.761"/>
    <s v="No"/>
    <x v="1"/>
    <x v="1"/>
    <n v="0.16009046004073918"/>
    <n v="3.1357532602634526E-2"/>
    <x v="1"/>
  </r>
  <r>
    <s v="WA"/>
    <s v="Community Health Plan of WA"/>
    <n v="21"/>
    <n v="20"/>
    <s v="Community Health Plan of WA"/>
    <s v="WA"/>
    <x v="1"/>
    <n v="2014"/>
    <n v="-40138.362000000001"/>
    <n v="96138.206000000006"/>
    <n v="-4.017549605029731"/>
    <n v="308.31049730000001"/>
    <n v="999075.70400000003"/>
    <n v="330986"/>
    <n v="3698743"/>
    <n v="253.04573526735976"/>
    <n v="935951.14199999999"/>
    <n v="935951.14199999999"/>
    <n v="863573.799"/>
    <n v="92.266974230584367"/>
    <m/>
    <n v="1037516"/>
    <n v="3366.0603075152831"/>
    <n v="75631"/>
    <n v="16796"/>
    <n v="245.37309026336786"/>
    <n v="4.5029173612764941"/>
    <n v="805137.94700000004"/>
    <n v="0"/>
    <n v="0"/>
    <n v="0"/>
    <n v="0"/>
    <s v="NA"/>
    <n v="805137.94700000004"/>
    <n v="758239.44799999997"/>
    <n v="0"/>
    <n v="0"/>
    <n v="0"/>
    <n v="104719.927"/>
    <n v="0"/>
    <n v="614.42399999999998"/>
    <n v="863573.799"/>
    <n v="123965.234"/>
    <n v="739608.56499999994"/>
    <s v="NA"/>
    <n v="16165.922"/>
    <n v="76941.142999999996"/>
    <n v="0"/>
    <s v="NA"/>
    <n v="832715.63"/>
    <n v="-27577.683000000001"/>
    <s v="Yes"/>
    <x v="0"/>
    <x v="1"/>
    <n v="9.6227148368328255E-2"/>
    <n v="-4.0175496050297313E-2"/>
    <x v="3"/>
  </r>
  <r>
    <s v="CO"/>
    <s v="Colorado Access"/>
    <n v="75"/>
    <n v="33"/>
    <s v="Colorado Access"/>
    <s v="CO"/>
    <x v="0"/>
    <n v="2014"/>
    <n v="3814.6970000000001"/>
    <n v="19798.615000000002"/>
    <n v="1.7142211715086664"/>
    <s v="NA"/>
    <n v="222532.37"/>
    <n v="320496"/>
    <n v="2818917"/>
    <n v="40.80484384605861"/>
    <n v="115025.467"/>
    <n v="115025.46799999999"/>
    <n v="104376.151"/>
    <n v="90.741774682455542"/>
    <m/>
    <n v="416383"/>
    <n v="1772.5232775565935"/>
    <n v="16436"/>
    <n v="1434"/>
    <n v="69.967295950891781"/>
    <n v="11.461645746164574"/>
    <n v="115025.467"/>
    <n v="0"/>
    <n v="0"/>
    <n v="0"/>
    <n v="0"/>
    <s v="NA"/>
    <n v="115025.467"/>
    <n v="103651.6"/>
    <n v="4.1669999999999998"/>
    <n v="0"/>
    <n v="2193.402"/>
    <n v="-0.14299999999999999"/>
    <n v="0"/>
    <n v="-1472.875"/>
    <n v="104376.151"/>
    <n v="0"/>
    <n v="104376.151"/>
    <s v="NA"/>
    <n v="3383.8119999999999"/>
    <n v="10657.259"/>
    <n v="0"/>
    <s v="NA"/>
    <n v="118417.22199999999"/>
    <n v="-3391.7550000000001"/>
    <n v="0"/>
    <x v="2"/>
    <x v="1"/>
    <n v="8.8969595749148769E-2"/>
    <n v="3.6126574262957817E-3"/>
    <x v="6"/>
  </r>
  <r>
    <s v="FL"/>
    <s v="Anthem"/>
    <n v="3"/>
    <n v="29"/>
    <s v="AMERIGROUP Florida Inc."/>
    <s v="FL"/>
    <x v="0"/>
    <n v="2014"/>
    <n v="-26651.523000000001"/>
    <n v="56823.35"/>
    <n v="-2.8405403141168586"/>
    <n v="231.3074259"/>
    <n v="938255.40399999998"/>
    <n v="314695"/>
    <n v="2912993"/>
    <n v="239.48068601606664"/>
    <n v="697605.56200000003"/>
    <n v="697605.56200000003"/>
    <n v="637508.83400000003"/>
    <n v="91.385285428673228"/>
    <m/>
    <n v="1425688"/>
    <n v="5873.0851739087602"/>
    <n v="110191"/>
    <n v="22810"/>
    <n v="453.92900017267465"/>
    <n v="4.8308198158702327"/>
    <n v="697605.56200000003"/>
    <n v="0"/>
    <n v="0"/>
    <n v="0"/>
    <n v="0"/>
    <s v="NA"/>
    <n v="697605.56200000003"/>
    <n v="363141.87900000002"/>
    <n v="39365.474999999999"/>
    <n v="0"/>
    <n v="93813.41"/>
    <n v="116019.914"/>
    <n v="23791.494999999999"/>
    <n v="1376.6610000000001"/>
    <n v="637508.83400000003"/>
    <n v="0"/>
    <n v="637508.83400000003"/>
    <s v="NA"/>
    <n v="38368.175000000003"/>
    <n v="42303.553"/>
    <n v="1154.567"/>
    <s v="NA"/>
    <n v="719335.12899999996"/>
    <n v="-21729.566999999999"/>
    <s v="No"/>
    <x v="1"/>
    <x v="1"/>
    <n v="6.0562774014142527E-2"/>
    <n v="2.5584371699125232E-2"/>
    <x v="1"/>
  </r>
  <r>
    <s v="GA"/>
    <s v="Anthem"/>
    <n v="3"/>
    <n v="23"/>
    <s v="AMGP Georgia Managed Care Co."/>
    <s v="GA"/>
    <x v="1"/>
    <n v="2014"/>
    <n v="36662.406000000003"/>
    <n v="118874.186"/>
    <n v="3.4761020022287941"/>
    <n v="431.97331980000001"/>
    <n v="1054698.797"/>
    <n v="314627"/>
    <n v="3506583"/>
    <n v="272.65310075363965"/>
    <n v="956080.728"/>
    <n v="956080.728"/>
    <n v="741036.11300000001"/>
    <n v="77.507692739519371"/>
    <m/>
    <n v="1791120"/>
    <n v="6129.454229373724"/>
    <n v="173756"/>
    <n v="27958"/>
    <n v="594.61646851079809"/>
    <n v="6.2148937692252666"/>
    <n v="955987.73499999999"/>
    <n v="0"/>
    <n v="0"/>
    <n v="0"/>
    <n v="0"/>
    <s v="NA"/>
    <n v="955987.73499999999"/>
    <n v="516351.56300000002"/>
    <n v="73867.392000000007"/>
    <n v="0"/>
    <n v="59984.493999999999"/>
    <n v="79429.376999999993"/>
    <n v="9140.1190000000006"/>
    <n v="2263.1680000000001"/>
    <n v="741036.11300000001"/>
    <n v="0"/>
    <n v="741036.11300000001"/>
    <s v="NA"/>
    <n v="52002.856"/>
    <n v="107486.573"/>
    <n v="0"/>
    <s v="NA"/>
    <n v="900525.54200000002"/>
    <n v="55462.192999999999"/>
    <s v="No"/>
    <x v="1"/>
    <x v="1"/>
    <n v="0.11270913206512362"/>
    <n v="3.4761020022287939E-2"/>
    <x v="1"/>
  </r>
  <r>
    <s v="KY"/>
    <s v="Aetna"/>
    <n v="5"/>
    <n v="24"/>
    <s v="Coventry Health &amp; Life Ins Co."/>
    <s v="KY"/>
    <x v="0"/>
    <n v="2014"/>
    <n v="159124.05900000001"/>
    <n v="478472.64299999998"/>
    <n v="3.4853444896458039"/>
    <n v="468.04442740000002"/>
    <n v="4565518.8310000002"/>
    <n v="306658"/>
    <n v="3499619"/>
    <n v="435.83740058560659"/>
    <n v="1525264.848"/>
    <n v="1525264.848"/>
    <n v="1154390.9350000001"/>
    <n v="75.684622019165559"/>
    <m/>
    <n v="1615194"/>
    <n v="5538.410895586062"/>
    <n v="149060"/>
    <n v="30747"/>
    <n v="511.11849604199773"/>
    <n v="4.8479526457865809"/>
    <n v="1539008.6510000001"/>
    <n v="0"/>
    <n v="0"/>
    <n v="0"/>
    <n v="0"/>
    <s v="NA"/>
    <n v="1539008.6510000001"/>
    <n v="939025.28899999999"/>
    <n v="3175.431"/>
    <n v="0"/>
    <n v="0"/>
    <n v="197791.47099999999"/>
    <n v="0"/>
    <n v="14398.743"/>
    <n v="1154390.9339999999"/>
    <n v="-11756.021000000001"/>
    <n v="1166146.9550000001"/>
    <s v="NA"/>
    <n v="19329.307000000001"/>
    <n v="79693.576000000001"/>
    <n v="0"/>
    <s v="NA"/>
    <n v="1265169.838"/>
    <n v="273838.81300000002"/>
    <s v="No"/>
    <x v="1"/>
    <x v="1"/>
    <n v="0.104801373230827"/>
    <n v="0.13835240657751741"/>
    <x v="4"/>
  </r>
  <r>
    <s v="OH"/>
    <s v="Centene Corp. "/>
    <n v="2"/>
    <n v="35"/>
    <s v="Buckeye Cmnty Health Plan Inc."/>
    <s v="OH"/>
    <x v="1"/>
    <n v="2014"/>
    <n v="-946.83900000000006"/>
    <n v="217214.429"/>
    <n v="-7.1413418413269911E-2"/>
    <n v="334.338348"/>
    <n v="1325855.8700000001"/>
    <n v="289736"/>
    <n v="2791911"/>
    <n v="462.36474980756907"/>
    <n v="1290881.2309999999"/>
    <n v="1290881.2309999999"/>
    <n v="1023592.835"/>
    <n v="79.294114006682008"/>
    <m/>
    <n v="1510095"/>
    <n v="6490.5865552304494"/>
    <n v="741111"/>
    <n v="43450"/>
    <n v="3185.3923710318845"/>
    <n v="17.056639815880324"/>
    <n v="1281293.0279999999"/>
    <n v="0"/>
    <n v="0"/>
    <n v="0"/>
    <n v="0"/>
    <s v="NA"/>
    <n v="1281293.0279999999"/>
    <n v="689230.85600000003"/>
    <n v="80591.142999999996"/>
    <n v="0"/>
    <n v="76418.028999999995"/>
    <n v="178887.95499999999"/>
    <n v="-1535.1489999999999"/>
    <n v="0"/>
    <n v="1023592.834"/>
    <n v="9640.2039999999997"/>
    <n v="1013952.63"/>
    <s v="NA"/>
    <n v="34103.374000000003"/>
    <n v="212771.09099999999"/>
    <n v="5462.3739999999998"/>
    <s v="NA"/>
    <n v="1266289.469"/>
    <n v="15003.558999999999"/>
    <s v="No"/>
    <x v="1"/>
    <x v="1"/>
    <n v="0.16382959408702544"/>
    <n v="-7.1413418413269905E-4"/>
    <x v="7"/>
  </r>
  <r>
    <s v="IN"/>
    <s v="MDwise Inc. (Indiana University Health)"/>
    <n v="42"/>
    <n v="25"/>
    <s v="MDwise Inc. (Indiana University Health)"/>
    <s v="IN"/>
    <x v="0"/>
    <n v="2014"/>
    <n v="3169.8939999999998"/>
    <n v="32828.612000000001"/>
    <n v="0.54300471342139256"/>
    <n v="376.10310709999999"/>
    <n v="583769.15"/>
    <n v="284668"/>
    <n v="3414640"/>
    <n v="142.57956475646043"/>
    <n v="486857.88500000001"/>
    <n v="486857.88500000001"/>
    <n v="397018.94699999999"/>
    <n v="81.547194619226502"/>
    <m/>
    <n v="1682267"/>
    <n v="5911.9567509312838"/>
    <n v="145189"/>
    <n v="38265"/>
    <n v="510.23475388327904"/>
    <n v="3.7943028877564355"/>
    <n v="483061.20299999998"/>
    <n v="0"/>
    <n v="0"/>
    <n v="0"/>
    <n v="0"/>
    <s v="NA"/>
    <n v="483061.20299999998"/>
    <n v="328845.33100000001"/>
    <n v="37916.517999999996"/>
    <n v="0"/>
    <n v="25787.941999999999"/>
    <n v="0"/>
    <n v="4469.1559999999999"/>
    <n v="0"/>
    <n v="397018.94699999999"/>
    <n v="0"/>
    <n v="397018.94699999999"/>
    <s v="NA"/>
    <n v="63139.275000000001"/>
    <n v="22034.44"/>
    <n v="0"/>
    <s v="NA"/>
    <n v="482192.663"/>
    <n v="868.54"/>
    <s v="No"/>
    <x v="1"/>
    <x v="1"/>
    <n v="5.6235606146710561E-2"/>
    <n v="0.12829244766102441"/>
    <x v="4"/>
  </r>
  <r>
    <s v="OH"/>
    <s v="UnitedHealth Group Inc. "/>
    <n v="1"/>
    <n v="36"/>
    <s v="UnitedHealthcare Cmnty (OH)"/>
    <s v="OH"/>
    <x v="1"/>
    <n v="2014"/>
    <n v="47832.332000000002"/>
    <n v="169401.72099999999"/>
    <n v="3.5069114489508815"/>
    <n v="564.01801039999998"/>
    <n v="1363944.676"/>
    <n v="283148"/>
    <n v="2729938"/>
    <n v="502.56003616199342"/>
    <n v="1421593.821"/>
    <n v="1371957.74"/>
    <n v="1065838.79"/>
    <n v="77.687435911837923"/>
    <m/>
    <n v="2315758"/>
    <n v="10179.387224178718"/>
    <n v="1004521"/>
    <n v="59241"/>
    <n v="4415.5772035848431"/>
    <n v="16.95651660167789"/>
    <n v="1413163.4950000001"/>
    <n v="-49636.082000000002"/>
    <n v="0"/>
    <n v="0"/>
    <n v="417.26299999999998"/>
    <s v="NA"/>
    <n v="1363944.676"/>
    <n v="848138.39300000004"/>
    <n v="34614.563000000002"/>
    <n v="0"/>
    <n v="0"/>
    <n v="183019.74799999999"/>
    <n v="0"/>
    <n v="66.087000000000003"/>
    <n v="1065838.791"/>
    <n v="13401.652"/>
    <n v="1052437.139"/>
    <s v="NA"/>
    <n v="64409.004999999997"/>
    <n v="169401.72099999999"/>
    <n v="0"/>
    <s v="NA"/>
    <n v="1286247.865"/>
    <n v="77696.811000000002"/>
    <s v="No"/>
    <x v="1"/>
    <x v="1"/>
    <n v="0.12419984767769275"/>
    <n v="3.5069114489508814E-2"/>
    <x v="1"/>
  </r>
  <r>
    <s v="FL"/>
    <s v="Humana Inc. "/>
    <n v="9"/>
    <n v="64"/>
    <s v="Humana Medical Plan Inc."/>
    <s v="FL"/>
    <x v="0"/>
    <n v="2014"/>
    <n v="332911.59399999998"/>
    <n v="678799.99"/>
    <n v="4.7791999412006323"/>
    <n v="413.57068880000003"/>
    <n v="6965843.6160000004"/>
    <n v="280600"/>
    <n v="1869514"/>
    <n v="379.16339861589694"/>
    <n v="708851.28200000001"/>
    <n v="708851.28200000001"/>
    <n v="661276.53899999999"/>
    <n v="93.288473307719855"/>
    <m/>
    <n v="1270348"/>
    <n v="8154.0849653974237"/>
    <n v="85632"/>
    <n v="17251"/>
    <n v="549.65301142435953"/>
    <n v="4.9638861515274479"/>
    <n v="708851.28200000001"/>
    <n v="0"/>
    <n v="0"/>
    <n v="0"/>
    <n v="0"/>
    <s v="NA"/>
    <n v="708851.28200000001"/>
    <n v="481245.51799999998"/>
    <n v="27072.815999999999"/>
    <n v="0"/>
    <n v="43513.133999999998"/>
    <n v="109445.071"/>
    <n v="0"/>
    <n v="0"/>
    <n v="661276.53899999999"/>
    <n v="0"/>
    <n v="661276.53899999999"/>
    <s v="NA"/>
    <n v="29744.075000000001"/>
    <n v="85750.410999999993"/>
    <n v="-4473"/>
    <s v="NA"/>
    <n v="772298.02500000002"/>
    <n v="-63446.743000000002"/>
    <s v="Yes"/>
    <x v="1"/>
    <x v="1"/>
    <n v="9.7446917763248264E-2"/>
    <n v="-3.0331650840446811E-2"/>
    <x v="3"/>
  </r>
  <r>
    <s v="PA"/>
    <s v="UPMC For You Inc./University of Pittsburgh Med "/>
    <n v="14"/>
    <n v="27"/>
    <s v="UPMC For You Inc./University of Pittsburgh Med "/>
    <s v="PA"/>
    <x v="0"/>
    <n v="2014"/>
    <n v="59029.082000000002"/>
    <n v="171341.641"/>
    <n v="3.4980816072202545"/>
    <n v="411.1238712"/>
    <n v="1687470.1229999999"/>
    <n v="268842"/>
    <n v="3135317"/>
    <n v="433.86245282374955"/>
    <n v="1360296.324"/>
    <n v="1360296.324"/>
    <n v="1200270.541"/>
    <n v="88.235961519807788"/>
    <m/>
    <n v="2174823"/>
    <n v="8323.8396627836992"/>
    <n v="177213"/>
    <n v="33757"/>
    <n v="678.25868963170228"/>
    <n v="5.24966673578813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0"/>
    <x v="1"/>
    <n v="0.10153758497091922"/>
    <n v="1.6102799831002851E-2"/>
    <x v="6"/>
  </r>
  <r>
    <s v="FL"/>
    <s v="UnitedHealth Group Inc. "/>
    <n v="1"/>
    <n v="45"/>
    <s v="UnitedHealthcare of FL Inc."/>
    <s v="FL"/>
    <x v="0"/>
    <n v="2014"/>
    <n v="-165123.617"/>
    <n v="148527.33499999999"/>
    <n v="-7.0281433387702084"/>
    <n v="120.2608195"/>
    <n v="2349462.8530000001"/>
    <n v="264163"/>
    <n v="2440955"/>
    <n v="594.8426976326889"/>
    <n v="1453618.3430000001"/>
    <n v="1451984.257"/>
    <n v="1482537.605"/>
    <n v="102.10424788372895"/>
    <m/>
    <n v="1744315"/>
    <n v="8575.2420671417531"/>
    <n v="560476"/>
    <n v="40527"/>
    <n v="2755.3609140684689"/>
    <n v="13.829693784390653"/>
    <n v="1452177.44"/>
    <n v="-1634.086"/>
    <n v="0"/>
    <n v="0"/>
    <n v="0"/>
    <s v="NA"/>
    <n v="1450543.3540000001"/>
    <n v="1326284.4650000001"/>
    <n v="12928.662"/>
    <n v="0"/>
    <n v="0"/>
    <n v="142941.60800000001"/>
    <n v="0"/>
    <n v="382.87"/>
    <n v="1482537.605"/>
    <n v="0"/>
    <n v="1482537.605"/>
    <s v="NA"/>
    <n v="71283.356"/>
    <n v="57600.273000000001"/>
    <n v="76798"/>
    <s v="NA"/>
    <n v="1688219.2339999999"/>
    <n v="-237675.88"/>
    <s v="No"/>
    <x v="1"/>
    <x v="1"/>
    <n v="6.3217571118584517E-2"/>
    <n v="-8.4260049955873897E-2"/>
    <x v="8"/>
  </r>
  <r>
    <s v="PA"/>
    <s v="Humana Inc. "/>
    <n v="9"/>
    <n v="26"/>
    <s v="Gateway Health Plan Inc."/>
    <s v="PA"/>
    <x v="0"/>
    <n v="2014"/>
    <n v="-22509.887999999999"/>
    <n v="145103.58300000001"/>
    <n v="-1.1781429592032793"/>
    <n v="314.86233820000001"/>
    <n v="1910624.4979999999"/>
    <n v="261321"/>
    <n v="3146638"/>
    <n v="414.32762999747666"/>
    <n v="1303739.0649999999"/>
    <n v="1303739.0649999999"/>
    <n v="1177904.8689999999"/>
    <n v="90.348206985728382"/>
    <m/>
    <n v="1211864"/>
    <n v="4621.5573574081291"/>
    <n v="143811"/>
    <n v="32073"/>
    <n v="548.4367760130018"/>
    <n v="4.4838649331213167"/>
    <n v="1303739.0649999999"/>
    <n v="0"/>
    <n v="0"/>
    <n v="0"/>
    <n v="0"/>
    <s v="NA"/>
    <n v="1303739.0649999999"/>
    <n v="490754.81"/>
    <n v="248516.37100000001"/>
    <n v="0"/>
    <n v="53804.08"/>
    <n v="350480.93800000002"/>
    <n v="34348.67"/>
    <n v="0"/>
    <n v="1177904.8689999999"/>
    <n v="0"/>
    <n v="1177904.8689999999"/>
    <s v="NA"/>
    <n v="53286.618999999999"/>
    <n v="108523.99800000001"/>
    <n v="8682.2039999999997"/>
    <s v="NA"/>
    <n v="1348397.69"/>
    <n v="-44658.625"/>
    <s v="No"/>
    <x v="0"/>
    <x v="1"/>
    <n v="7.5945630945217793E-2"/>
    <n v="2.0572299197498353E-2"/>
    <x v="6"/>
  </r>
  <r>
    <s v="MI"/>
    <s v="UnitedHealth Group Inc. "/>
    <n v="1"/>
    <n v="28"/>
    <s v="UnitedHealthcare Cmnty (MI)"/>
    <s v="MI"/>
    <x v="1"/>
    <n v="2014"/>
    <n v="30385.87"/>
    <n v="105658.285"/>
    <n v="2.7857032108654423"/>
    <n v="352.59811939999997"/>
    <n v="1090779.1569999999"/>
    <n v="250401"/>
    <n v="2973293"/>
    <n v="339.18465721339942"/>
    <n v="1008451.179"/>
    <n v="1008495.367"/>
    <n v="822046.24"/>
    <n v="81.512148384515086"/>
    <m/>
    <n v="2383764"/>
    <n v="9620.7027023572846"/>
    <n v="126230"/>
    <n v="24356"/>
    <n v="509.45534126640058"/>
    <n v="5.1827065199540154"/>
    <n v="1006517.147"/>
    <n v="-1656.549"/>
    <n v="0"/>
    <n v="0"/>
    <n v="1700.7370000000001"/>
    <s v="NA"/>
    <n v="1006561.335"/>
    <n v="688812.07400000002"/>
    <n v="7924.1909999999998"/>
    <n v="0"/>
    <n v="2512.8049999999998"/>
    <n v="120071.06200000001"/>
    <n v="0"/>
    <n v="2726.1080000000002"/>
    <n v="822046.24"/>
    <n v="1985.816"/>
    <n v="820060.424"/>
    <s v="NA"/>
    <n v="39134.629999999997"/>
    <n v="99466.421000000002"/>
    <n v="0"/>
    <s v="NA"/>
    <n v="958661.47499999998"/>
    <n v="47899.86"/>
    <s v="No"/>
    <x v="1"/>
    <x v="1"/>
    <n v="9.6864965123274735E-2"/>
    <n v="2.7857032108654423E-2"/>
    <x v="1"/>
  </r>
  <r>
    <s v="VA"/>
    <s v="Anthem"/>
    <n v="3"/>
    <n v="34"/>
    <s v="HealthKeepers Inc."/>
    <s v="VA"/>
    <x v="0"/>
    <n v="2014"/>
    <n v="65346.525000000001"/>
    <n v="168810.693"/>
    <n v="3.1395533452830011"/>
    <n v="421.23676189999998"/>
    <n v="2081395.594"/>
    <n v="245129"/>
    <n v="2795724"/>
    <n v="335.20167834879265"/>
    <n v="937131.37699999998"/>
    <n v="937131.37699999998"/>
    <n v="823246.76599999995"/>
    <n v="87.847529834656257"/>
    <m/>
    <n v="1492838"/>
    <n v="6407.6625589650484"/>
    <n v="133355"/>
    <n v="25442"/>
    <n v="572.39555835983811"/>
    <n v="5.2415297539501609"/>
    <n v="932306.43599999999"/>
    <n v="0"/>
    <n v="0"/>
    <n v="0"/>
    <n v="0"/>
    <s v="NA"/>
    <n v="932306.43599999999"/>
    <n v="535800.98400000005"/>
    <n v="11652.822"/>
    <n v="0"/>
    <n v="58215.928999999996"/>
    <n v="192622.77299999999"/>
    <n v="24973.806"/>
    <n v="-19.547999999999998"/>
    <n v="823246.76599999995"/>
    <n v="3421.4690000000001"/>
    <n v="819825.29700000002"/>
    <s v="NA"/>
    <n v="25589.947"/>
    <n v="54039.413999999997"/>
    <n v="0"/>
    <s v="NA"/>
    <n v="899454.65800000005"/>
    <n v="32851.777999999998"/>
    <s v="No"/>
    <x v="1"/>
    <x v="2"/>
    <n v="8.1104569206655097E-2"/>
    <n v="4.0420132446782331E-2"/>
    <x v="1"/>
  </r>
  <r>
    <s v="IN"/>
    <s v="Anthem"/>
    <n v="3"/>
    <n v="30"/>
    <s v="Anthem Insurance Companies Inc"/>
    <s v="IN"/>
    <x v="0"/>
    <n v="2014"/>
    <n v="389098.64799999999"/>
    <n v="360833.63900000002"/>
    <n v="7.9901100468558779"/>
    <n v="456.41209020000002"/>
    <n v="4869753.3039999995"/>
    <n v="244753"/>
    <n v="2912429"/>
    <n v="164.79658834601634"/>
    <n v="480527.93599999999"/>
    <n v="479958.36300000001"/>
    <n v="381761"/>
    <n v="79.540441302821932"/>
    <m/>
    <n v="0"/>
    <n v="0"/>
    <n v="0"/>
    <n v="0"/>
    <n v="0"/>
    <s v="NA"/>
    <n v="478714.92200000002"/>
    <n v="-569.57299999999998"/>
    <n v="0"/>
    <n v="0"/>
    <n v="0"/>
    <s v="NA"/>
    <n v="478145.348"/>
    <n v="353538.21"/>
    <n v="24801.567999999999"/>
    <n v="0"/>
    <n v="3480.3850000000002"/>
    <n v="-81.412999999999997"/>
    <n v="0"/>
    <n v="22.248999999999999"/>
    <n v="381761"/>
    <n v="2024.25"/>
    <n v="379736.75"/>
    <s v="NA"/>
    <n v="15507.4"/>
    <n v="58034.767"/>
    <n v="0"/>
    <s v="NA"/>
    <n v="453278.91700000002"/>
    <n v="24866.431"/>
    <s v="No"/>
    <x v="1"/>
    <x v="2"/>
    <n v="7.409690316419365E-2"/>
    <n v="0.13049868380758706"/>
    <x v="4"/>
  </r>
  <r>
    <s v="MA"/>
    <s v="Neighborhood Health Plan Inc."/>
    <n v="18"/>
    <n v="37"/>
    <s v="Neighborhood Health Plan Inc."/>
    <s v="MA"/>
    <x v="0"/>
    <n v="2014"/>
    <n v="-101299.11"/>
    <n v="62290.762000000002"/>
    <n v="-5.8969691876374197"/>
    <n v="195.92121"/>
    <n v="1717816.5049999999"/>
    <n v="244160"/>
    <n v="2717732"/>
    <n v="474.19040471981782"/>
    <n v="1288722.4369999999"/>
    <n v="1288722.4369999999"/>
    <n v="1331239.0279999999"/>
    <n v="103.29912708736366"/>
    <m/>
    <n v="1686311"/>
    <n v="7445.8158493920664"/>
    <n v="138993"/>
    <n v="26346"/>
    <n v="613.71614272488978"/>
    <n v="5.2756775222045089"/>
    <n v="1285504.314"/>
    <n v="0"/>
    <n v="0"/>
    <n v="0"/>
    <n v="0"/>
    <s v="NA"/>
    <n v="1285504.314"/>
    <n v="909791.18099999998"/>
    <n v="154287.28400000001"/>
    <n v="0"/>
    <n v="53404.03"/>
    <n v="210556.76199999999"/>
    <n v="3199.7710000000002"/>
    <n v="0"/>
    <n v="1331239.0279999999"/>
    <n v="1881.723"/>
    <n v="1329357.3049999999"/>
    <s v="NA"/>
    <n v="39797.214"/>
    <n v="43061.404999999999"/>
    <n v="-21107.78"/>
    <s v="NA"/>
    <n v="1391108.1440000001"/>
    <n v="-105603.83"/>
    <s v="Yes"/>
    <x v="0"/>
    <x v="2"/>
    <n v="3.6261592445230355E-2"/>
    <n v="-6.9252863318866986E-2"/>
    <x v="9"/>
  </r>
  <r>
    <s v="NY"/>
    <s v="Health Ins Plan of Greater NY/Emblem"/>
    <n v="19"/>
    <n v="38"/>
    <s v="Health Ins Plan of Greater NY/Emblem"/>
    <s v="NY"/>
    <x v="0"/>
    <n v="2014"/>
    <n v="-357238.29800000001"/>
    <n v="509293.962"/>
    <n v="-7.0202016983869546"/>
    <n v="410.90096299999999"/>
    <n v="5088718.4349999996"/>
    <n v="238995"/>
    <n v="2671566"/>
    <n v="469.59343620932441"/>
    <n v="1254549.858"/>
    <n v="1254549.858"/>
    <n v="1124536.53"/>
    <n v="89.636655157949093"/>
    <m/>
    <n v="1669704"/>
    <n v="7499.8888292484635"/>
    <n v="5821"/>
    <n v="1266"/>
    <n v="26.146462411933676"/>
    <n v="4.59794628751974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0.10008295182871521"/>
    <n v="3.5504965917938225E-3"/>
    <x v="6"/>
  </r>
  <r>
    <s v="MD"/>
    <s v="Priority Ptnrs Mngd Care Org."/>
    <n v="20"/>
    <n v="31"/>
    <s v="Priority Ptnrs Mngd Care Org."/>
    <s v="MD"/>
    <x v="0"/>
    <n v="2014"/>
    <s v="NA"/>
    <s v="NA"/>
    <s v="NA"/>
    <s v="NA"/>
    <s v="NA"/>
    <n v="237663"/>
    <n v="2840498"/>
    <n v="385.76867683061209"/>
    <n v="1095775.155"/>
    <n v="1095775.155"/>
    <n v="883310.52599999995"/>
    <n v="80.610563396101085"/>
    <m/>
    <n v="4386262"/>
    <n v="18530.252089598373"/>
    <n v="98743"/>
    <n v="22300"/>
    <n v="417.15079538869594"/>
    <n v="4.427937219730941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0"/>
    <x v="2"/>
    <n v="0"/>
    <n v="-100"/>
    <x v="0"/>
  </r>
  <r>
    <s v="WI"/>
    <s v="Humana Inc. "/>
    <n v="9"/>
    <n v="44"/>
    <s v="University Health Care Inc."/>
    <s v="WI"/>
    <x v="1"/>
    <n v="2014"/>
    <n v="114971.523"/>
    <n v="79092.182000000001"/>
    <n v="8.9104801793152077"/>
    <n v="533.21971810000002"/>
    <n v="1290295.48"/>
    <n v="236330"/>
    <n v="2458602"/>
    <n v="524.80860261237888"/>
    <n v="1293066.98"/>
    <n v="1290295.48"/>
    <n v="1099598.21"/>
    <n v="85.220651164336402"/>
    <m/>
    <n v="1330925"/>
    <n v="6496.0087073873692"/>
    <n v="113156"/>
    <n v="27431"/>
    <n v="552.29435264430765"/>
    <n v="4.1251139222048048"/>
    <n v="1290295.48"/>
    <n v="0"/>
    <n v="0"/>
    <n v="0"/>
    <n v="0"/>
    <s v="NA"/>
    <n v="1290295.48"/>
    <n v="466321.06400000001"/>
    <n v="241109.43299999999"/>
    <n v="0"/>
    <n v="75734.286999999997"/>
    <n v="208562.962"/>
    <n v="107870.463"/>
    <n v="0"/>
    <n v="1099598.209"/>
    <n v="1030.441"/>
    <n v="1098567.7679999999"/>
    <s v="NA"/>
    <n v="4067.107"/>
    <n v="79092.182000000001"/>
    <n v="0"/>
    <s v="NA"/>
    <n v="1181727.057"/>
    <n v="108568.423"/>
    <s v="No"/>
    <x v="1"/>
    <x v="2"/>
    <n v="6.1297728486191395E-2"/>
    <n v="8.9104801793152083E-2"/>
    <x v="5"/>
  </r>
  <r>
    <s v="TX"/>
    <s v="Community Health Choice Inc."/>
    <n v="25"/>
    <n v="41"/>
    <s v="Community Health Choice Inc."/>
    <s v="TX"/>
    <x v="1"/>
    <n v="2014"/>
    <n v="16274.630999999999"/>
    <n v="58439.805"/>
    <n v="2.2597470086509119"/>
    <n v="406.38681689999999"/>
    <n v="720197.03700000001"/>
    <n v="235198"/>
    <n v="2597386"/>
    <n v="253.20044229082623"/>
    <n v="657659.28399999999"/>
    <n v="657659.28399999999"/>
    <n v="574491.18200000003"/>
    <n v="87.353922612609239"/>
    <m/>
    <n v="359072"/>
    <n v="1658.9232405195069"/>
    <n v="143999"/>
    <n v="41225"/>
    <n v="665.27963113684291"/>
    <n v="3.493001819284415"/>
    <n v="655942.34900000005"/>
    <n v="0"/>
    <n v="0"/>
    <n v="0"/>
    <n v="0.14699999999999999"/>
    <s v="NA"/>
    <n v="655942.49600000004"/>
    <n v="313217.30099999998"/>
    <n v="60998.788"/>
    <n v="95579.327000000005"/>
    <n v="22366.001"/>
    <n v="79602.577999999994"/>
    <n v="0"/>
    <n v="2727.1869999999999"/>
    <n v="574491.18200000003"/>
    <n v="1242.1510000000001"/>
    <n v="573249.03099999996"/>
    <s v="NA"/>
    <n v="7397.1239999999998"/>
    <n v="52569.8"/>
    <n v="0"/>
    <s v="NA"/>
    <n v="633215.95499999996"/>
    <n v="22726.541000000001"/>
    <s v="Yes"/>
    <x v="0"/>
    <x v="2"/>
    <n v="8.1144189711516407E-2"/>
    <n v="2.2597470086509121E-2"/>
    <x v="6"/>
  </r>
  <r>
    <s v="MD"/>
    <s v="Anthem"/>
    <n v="3"/>
    <n v="32"/>
    <s v="AMERIGROUP Maryland Inc."/>
    <s v="MD"/>
    <x v="1"/>
    <n v="2014"/>
    <n v="51278.733999999997"/>
    <n v="73389.370999999999"/>
    <n v="4.7941067216305244"/>
    <n v="335.45865129999999"/>
    <n v="1069620.202"/>
    <n v="230798"/>
    <n v="2819794"/>
    <n v="359.90200099723597"/>
    <n v="1015593.344"/>
    <n v="1014849.503"/>
    <n v="826358.34900000005"/>
    <n v="81.426689036866975"/>
    <m/>
    <n v="1281286"/>
    <n v="5452.67916734343"/>
    <n v="100592"/>
    <n v="19624"/>
    <n v="428.08233509256348"/>
    <n v="5.1259682022013857"/>
    <n v="1014894.426"/>
    <n v="-743.84"/>
    <n v="0"/>
    <n v="0"/>
    <n v="0"/>
    <s v="NA"/>
    <n v="1014150.586"/>
    <n v="531792.05099999998"/>
    <n v="25786.519"/>
    <n v="0"/>
    <n v="178266.03200000001"/>
    <n v="81862.062999999995"/>
    <n v="6691.3379999999997"/>
    <n v="1960.346"/>
    <n v="826358.34900000005"/>
    <n v="569.64300000000003"/>
    <n v="825788.70600000001"/>
    <s v="NA"/>
    <n v="42334.201999999997"/>
    <n v="66826.872000000003"/>
    <n v="0"/>
    <s v="NA"/>
    <n v="934949.78"/>
    <n v="79200.805999999997"/>
    <s v="No"/>
    <x v="1"/>
    <x v="2"/>
    <n v="6.8612551317537657E-2"/>
    <n v="4.7941067216305241E-2"/>
    <x v="1"/>
  </r>
  <r>
    <s v="MI"/>
    <s v="Molina"/>
    <n v="4"/>
    <n v="40"/>
    <s v="Molina Healthcare of MI Inc."/>
    <s v="MI"/>
    <x v="0"/>
    <n v="2014"/>
    <n v="26719.673999999999"/>
    <n v="126670.79399999999"/>
    <n v="2.5214960253169441"/>
    <n v="495.40194220000001"/>
    <n v="1059675.436"/>
    <n v="224273"/>
    <n v="2613190"/>
    <n v="336.40485498566886"/>
    <n v="879089.80299999996"/>
    <n v="879089.80299999996"/>
    <n v="699966.19900000002"/>
    <n v="79.623969770924546"/>
    <m/>
    <n v="1094128"/>
    <n v="5024.3327121257926"/>
    <n v="114411"/>
    <n v="18256"/>
    <n v="525.38544843658519"/>
    <n v="6.267035495179667"/>
    <n v="878932.45900000003"/>
    <n v="0"/>
    <n v="0"/>
    <n v="0"/>
    <n v="0"/>
    <s v="NA"/>
    <n v="878932.45900000003"/>
    <n v="513977.67099999997"/>
    <n v="10806.700999999999"/>
    <n v="38280.239999999998"/>
    <n v="38453.591999999997"/>
    <n v="91327.99"/>
    <n v="0"/>
    <n v="7120.0060000000003"/>
    <n v="699966.2"/>
    <n v="353.50900000000001"/>
    <n v="699612.69099999999"/>
    <s v="NA"/>
    <n v="19958.294000000002"/>
    <n v="105027.552"/>
    <n v="0"/>
    <s v="NA"/>
    <n v="824598.53700000001"/>
    <n v="54333.921999999999"/>
    <s v="No"/>
    <x v="1"/>
    <x v="2"/>
    <n v="0.11953735049115548"/>
    <n v="8.4222951799599113E-2"/>
    <x v="5"/>
  </r>
  <r>
    <s v="TN"/>
    <s v="Anthem"/>
    <n v="3"/>
    <n v="42"/>
    <s v="AMERIGROUP Tennessee Inc."/>
    <s v="TN"/>
    <x v="1"/>
    <n v="2014"/>
    <n v="26120.954000000002"/>
    <n v="104645.302"/>
    <n v="2.5956148936408385"/>
    <n v="509.87786440000002"/>
    <n v="1006349.365"/>
    <n v="222134"/>
    <n v="2551443"/>
    <n v="369.3406225418322"/>
    <n v="945130.554"/>
    <n v="942351.54599999997"/>
    <n v="734431.47199999995"/>
    <n v="77.936039381209852"/>
    <m/>
    <n v="1341038"/>
    <n v="6307.1979268202349"/>
    <n v="145902"/>
    <n v="21451"/>
    <n v="686.20933330668174"/>
    <n v="6.8016409491398999"/>
    <n v="945877.08200000005"/>
    <n v="-3525.5360000000001"/>
    <n v="0"/>
    <n v="0"/>
    <n v="0"/>
    <s v="NA"/>
    <n v="942351.54599999997"/>
    <n v="568912.99399999995"/>
    <n v="48951.945"/>
    <n v="0"/>
    <n v="53246.116000000002"/>
    <n v="-0.108"/>
    <n v="61879.266000000003"/>
    <n v="1441.259"/>
    <n v="734431.47199999995"/>
    <n v="0"/>
    <n v="734431.47199999995"/>
    <s v="NA"/>
    <n v="55608.347999999998"/>
    <n v="99638.865999999995"/>
    <n v="0"/>
    <s v="NA"/>
    <n v="889678.68599999999"/>
    <n v="52672.86"/>
    <s v="No"/>
    <x v="1"/>
    <x v="2"/>
    <n v="0.10398506288121918"/>
    <n v="2.5956148936408387E-2"/>
    <x v="1"/>
  </r>
  <r>
    <s v="MD"/>
    <s v="UnitedHealth Group Inc. "/>
    <n v="1"/>
    <n v="39"/>
    <s v="UnitedHealthcare"/>
    <s v="MD"/>
    <x v="1"/>
    <n v="2014"/>
    <n v="12554.182000000001"/>
    <n v="71870.528000000006"/>
    <n v="1.0825320096987667"/>
    <n v="355.5669393"/>
    <n v="1159705.3840000001"/>
    <n v="221674"/>
    <n v="2658970"/>
    <n v="416.73971838719507"/>
    <n v="1108341.409"/>
    <n v="1108098.409"/>
    <n v="960057.52099999995"/>
    <n v="86.640095609053432"/>
    <m/>
    <n v="1972205"/>
    <n v="8900.6118910706027"/>
    <n v="95010"/>
    <n v="19692"/>
    <n v="428.78257370335132"/>
    <n v="4.8248019500304693"/>
    <n v="1107227.487"/>
    <n v="-243"/>
    <n v="0"/>
    <n v="0"/>
    <n v="0"/>
    <s v="NA"/>
    <n v="1106984.487"/>
    <n v="840825.29799999995"/>
    <n v="10841.567999999999"/>
    <n v="0"/>
    <n v="0"/>
    <n v="108390.65399999999"/>
    <n v="0"/>
    <n v="0"/>
    <n v="960057.52"/>
    <n v="0"/>
    <n v="960057.52"/>
    <s v="NA"/>
    <n v="39693.873"/>
    <n v="65416.656999999999"/>
    <n v="13005"/>
    <s v="NA"/>
    <n v="1078173.05"/>
    <n v="28811.437000000002"/>
    <s v="No"/>
    <x v="1"/>
    <x v="2"/>
    <n v="6.1973091607204267E-2"/>
    <n v="1.0825320096987667E-2"/>
    <x v="6"/>
  </r>
  <r>
    <s v="OH"/>
    <s v="Paramount Advantage (ProMedica)"/>
    <n v="32"/>
    <n v="53"/>
    <s v="Paramount Advantage (ProMedica)"/>
    <s v="OH"/>
    <x v="1"/>
    <n v="2014"/>
    <n v="10480.743"/>
    <n v="97529.442999999999"/>
    <n v="1.4414957182194927"/>
    <n v="429.9736623"/>
    <n v="727074.16799999995"/>
    <n v="221598"/>
    <n v="2187212"/>
    <n v="332.87900944215744"/>
    <n v="728076.96400000004"/>
    <n v="728076.96400000004"/>
    <n v="607011.23300000001"/>
    <n v="83.371849819986878"/>
    <m/>
    <n v="120537"/>
    <n v="661.31861017587687"/>
    <n v="105039"/>
    <n v="23986"/>
    <n v="576.2898155277129"/>
    <n v="4.379179521387476"/>
    <n v="725282.73600000003"/>
    <n v="0"/>
    <n v="0"/>
    <n v="0"/>
    <n v="1791.432"/>
    <s v="NA"/>
    <n v="727074.16799999995"/>
    <n v="460059.55200000003"/>
    <n v="3286.0129999999999"/>
    <n v="0"/>
    <n v="24580.116000000002"/>
    <n v="119085.552"/>
    <n v="0"/>
    <n v="0"/>
    <n v="607011.23300000001"/>
    <n v="2680.4270000000001"/>
    <n v="604330.80599999998"/>
    <s v="NA"/>
    <n v="8308.07"/>
    <n v="97529.442999999999"/>
    <n v="0"/>
    <s v="NA"/>
    <n v="710168.31900000002"/>
    <n v="16905.848999999998"/>
    <s v="Yes"/>
    <x v="0"/>
    <x v="2"/>
    <n v="0.13413960678630521"/>
    <n v="1.4414957182194927E-2"/>
    <x v="6"/>
  </r>
  <r>
    <s v="MO"/>
    <s v="Aetna"/>
    <n v="5"/>
    <n v="43"/>
    <s v="Aetna Better Health of MO LLC"/>
    <s v="MO"/>
    <x v="1"/>
    <n v="2014"/>
    <n v="24256.258999999998"/>
    <n v="54460.158000000003"/>
    <n v="3.7582984205454708"/>
    <n v="608.02851310000005"/>
    <n v="645405.348"/>
    <n v="218904"/>
    <n v="2528125"/>
    <n v="243.12981597033374"/>
    <n v="614662.56599999999"/>
    <n v="614662.56599999999"/>
    <n v="526245.38399999996"/>
    <n v="85.615329956501697"/>
    <m/>
    <n v="832553"/>
    <n v="3951.7966872682323"/>
    <n v="81896"/>
    <n v="20895"/>
    <n v="388.72761433868976"/>
    <n v="3.9194065565924863"/>
    <n v="598710.87100000004"/>
    <n v="0"/>
    <n v="0"/>
    <n v="0"/>
    <n v="0"/>
    <s v="NA"/>
    <n v="598710.87100000004"/>
    <n v="512562.62800000003"/>
    <n v="13682.755999999999"/>
    <n v="0"/>
    <n v="0"/>
    <n v="0"/>
    <n v="0"/>
    <n v="0"/>
    <n v="526245.38399999996"/>
    <n v="8677.6110000000008"/>
    <n v="517567.77299999999"/>
    <s v="NA"/>
    <n v="10614.474"/>
    <n v="50520.016000000003"/>
    <n v="0"/>
    <s v="NA"/>
    <n v="578702.26300000004"/>
    <n v="20008.608"/>
    <s v="No"/>
    <x v="1"/>
    <x v="2"/>
    <n v="8.4381324339444425E-2"/>
    <n v="3.7582984205454709E-2"/>
    <x v="1"/>
  </r>
  <r>
    <s v="NV"/>
    <s v="UnitedHealth Group Inc. "/>
    <n v="1"/>
    <n v="57"/>
    <s v="Health Plan of Nevada Inc."/>
    <s v="NV"/>
    <x v="0"/>
    <n v="2014"/>
    <n v="89162.877999999997"/>
    <n v="152784.32800000001"/>
    <n v="4.6168340309480431"/>
    <n v="453.79241289999999"/>
    <n v="1931255.865"/>
    <n v="216120"/>
    <n v="2111688"/>
    <n v="231.80282645921179"/>
    <n v="485961.65500000003"/>
    <n v="489495.24699999997"/>
    <n v="379721.897"/>
    <n v="77.574174484272376"/>
    <m/>
    <n v="1028647"/>
    <n v="5845.448759475832"/>
    <n v="59471"/>
    <n v="12797"/>
    <n v="337.95333401525227"/>
    <n v="4.6472610768148783"/>
    <n v="485961.65500000003"/>
    <n v="0"/>
    <n v="0"/>
    <n v="0"/>
    <n v="0"/>
    <s v="NA"/>
    <n v="485961.65500000003"/>
    <n v="284688.50300000003"/>
    <n v="26628.403999999999"/>
    <n v="0"/>
    <n v="8559.8070000000007"/>
    <n v="59845.184000000001"/>
    <n v="0"/>
    <n v="0"/>
    <n v="379721.89799999999"/>
    <n v="0"/>
    <n v="379721.89799999999"/>
    <s v="NA"/>
    <n v="11060.33"/>
    <n v="38203.822"/>
    <n v="0"/>
    <s v="NA"/>
    <n v="428986.05"/>
    <n v="56975.605000000003"/>
    <s v="No"/>
    <x v="1"/>
    <x v="2"/>
    <n v="7.911138589603714E-2"/>
    <n v="0.14514686926123913"/>
    <x v="4"/>
  </r>
  <r>
    <s v="NM"/>
    <s v="Molina"/>
    <n v="4"/>
    <n v="46"/>
    <s v="Molina Healthcare of NM Inc."/>
    <s v="NM"/>
    <x v="1"/>
    <n v="2014"/>
    <n v="-24899.163"/>
    <n v="152322.378"/>
    <n v="-2.2208012124890524"/>
    <n v="234.85554590000001"/>
    <n v="1121179.2779999999"/>
    <n v="209061"/>
    <n v="2438046"/>
    <n v="451.81088092677498"/>
    <n v="1137118.5689999999"/>
    <n v="1101535.7109999999"/>
    <n v="927460.32499999995"/>
    <n v="84.197027453429527"/>
    <m/>
    <n v="712303"/>
    <n v="3505.9371316209786"/>
    <n v="293008"/>
    <n v="37005"/>
    <n v="1442.177875232871"/>
    <n v="7.9180651263342794"/>
    <n v="1132596.9939999999"/>
    <n v="-35582.858"/>
    <n v="0"/>
    <n v="0"/>
    <n v="0"/>
    <s v="NA"/>
    <n v="1097014.1359999999"/>
    <n v="674674.95200000005"/>
    <n v="71139.009000000005"/>
    <n v="22844.59"/>
    <n v="74930.486999999994"/>
    <n v="83787.947"/>
    <n v="0"/>
    <n v="83.34"/>
    <n v="927460.32499999995"/>
    <n v="2033.048"/>
    <n v="925427.277"/>
    <s v="NA"/>
    <n v="56833.864999999998"/>
    <n v="145899.83100000001"/>
    <n v="0"/>
    <s v="NA"/>
    <n v="1128160.973"/>
    <n v="-31146.837"/>
    <s v="No"/>
    <x v="1"/>
    <x v="2"/>
    <n v="0.13585907355665558"/>
    <n v="-2.2208012124890524E-2"/>
    <x v="7"/>
  </r>
  <r>
    <s v="MA"/>
    <s v="Tufts Assocd Hlth Maintenance"/>
    <n v="11"/>
    <n v="47"/>
    <s v="Tufts Health Public Plans Inc."/>
    <s v="MA"/>
    <x v="0"/>
    <n v="2014"/>
    <n v="33076.110999999997"/>
    <n v="60193.860999999997"/>
    <n v="2.6549884203007648"/>
    <n v="384.97260720000003"/>
    <n v="1245809.9909999999"/>
    <n v="205235"/>
    <n v="2375541"/>
    <n v="453.86231473167584"/>
    <n v="1078168.537"/>
    <n v="1078168.537"/>
    <n v="995624.31599999999"/>
    <n v="92.344033593330494"/>
    <m/>
    <n v="2772257"/>
    <n v="14004.00329861703"/>
    <n v="183546"/>
    <n v="35309"/>
    <n v="927.17911414705111"/>
    <n v="5.1982780594182785"/>
    <n v="1077451.7509999999"/>
    <n v="0"/>
    <n v="0"/>
    <n v="0"/>
    <n v="0"/>
    <s v="NA"/>
    <n v="1077451.7509999999"/>
    <n v="758615.63500000001"/>
    <n v="10823.879000000001"/>
    <n v="0"/>
    <n v="43792.226000000002"/>
    <n v="182167.35"/>
    <n v="0"/>
    <n v="225.227"/>
    <n v="995624.31599999999"/>
    <n v="135.32400000000001"/>
    <n v="995488.99199999997"/>
    <s v="NA"/>
    <n v="24753.61"/>
    <n v="51348.644"/>
    <n v="-13085"/>
    <s v="NA"/>
    <n v="1058506.246"/>
    <n v="18945.505000000001"/>
    <s v="No"/>
    <x v="0"/>
    <x v="2"/>
    <n v="4.8317047892418134E-2"/>
    <n v="2.8242616174276876E-2"/>
    <x v="1"/>
  </r>
  <r>
    <s v="NJ"/>
    <s v="Anthem"/>
    <n v="3"/>
    <n v="55"/>
    <s v="AMERIGROUP New Jersey Inc."/>
    <s v="NJ"/>
    <x v="1"/>
    <n v="2014"/>
    <n v="77743.879000000001"/>
    <n v="78498.05"/>
    <n v="8.0529585311993994"/>
    <n v="632.55961090000005"/>
    <n v="965407.66599999997"/>
    <n v="201811"/>
    <n v="2150453"/>
    <n v="404.4449304402375"/>
    <n v="869739.81400000001"/>
    <n v="869739.81400000001"/>
    <n v="643373.10400000005"/>
    <n v="73.973054198942307"/>
    <m/>
    <n v="966064"/>
    <n v="5390.8492768732913"/>
    <n v="108670"/>
    <n v="14766"/>
    <n v="606.40246496900886"/>
    <n v="7.35947446837329"/>
    <n v="869739.81400000001"/>
    <n v="0"/>
    <n v="0"/>
    <n v="0"/>
    <n v="0"/>
    <s v="NA"/>
    <n v="869739.81400000001"/>
    <n v="310338.78499999997"/>
    <n v="43178.370999999999"/>
    <n v="0"/>
    <n v="84461.347999999998"/>
    <n v="103286.288"/>
    <n v="101087.803"/>
    <n v="1020.509"/>
    <n v="643373.10400000005"/>
    <n v="0"/>
    <n v="643373.10400000005"/>
    <s v="NA"/>
    <n v="42741.650999999998"/>
    <n v="69927.460999999996"/>
    <n v="0"/>
    <s v="NA"/>
    <n v="756042.21600000001"/>
    <n v="113697.598"/>
    <s v="No"/>
    <x v="1"/>
    <x v="2"/>
    <n v="8.1310779647361955E-2"/>
    <n v="8.0529585311994001E-2"/>
    <x v="5"/>
  </r>
  <r>
    <s v="TX"/>
    <s v="Molina"/>
    <n v="4"/>
    <n v="51"/>
    <s v="Molina Hlthcr of Texas Inc."/>
    <s v="TX"/>
    <x v="0"/>
    <n v="2014"/>
    <n v="-7346.7920000000004"/>
    <n v="159168.12599999999"/>
    <n v="-0.54045983718946744"/>
    <n v="311.62600600000002"/>
    <n v="1359359.4739999999"/>
    <n v="197700"/>
    <n v="2274065"/>
    <n v="527.80917431999524"/>
    <n v="1196982.53"/>
    <n v="1200272.3700000001"/>
    <n v="1022581.084"/>
    <n v="85.195753027289967"/>
    <m/>
    <n v="1049480"/>
    <n v="5537.9947362982148"/>
    <n v="120467"/>
    <n v="24418"/>
    <n v="635.69159192899065"/>
    <n v="4.9335326398558443"/>
    <n v="1196285.844"/>
    <n v="3289.84"/>
    <n v="0"/>
    <n v="0"/>
    <n v="0"/>
    <s v="NA"/>
    <n v="1199575.6839999999"/>
    <n v="610531.16099999996"/>
    <n v="8749.8610000000008"/>
    <n v="76090.115000000005"/>
    <n v="127286.037"/>
    <n v="199217.16"/>
    <n v="0"/>
    <n v="706.75"/>
    <n v="1022581.084"/>
    <n v="1744.049"/>
    <n v="1020837.035"/>
    <s v="NA"/>
    <n v="49141.375999999997"/>
    <n v="143218.58799999999"/>
    <n v="0"/>
    <s v="NA"/>
    <n v="1213196.9990000001"/>
    <n v="-13621.315000000001"/>
    <s v="No"/>
    <x v="1"/>
    <x v="2"/>
    <n v="0.11709053347871101"/>
    <n v="3.0951936248389322E-2"/>
    <x v="1"/>
  </r>
  <r>
    <s v="IN"/>
    <s v="Centene Corp. "/>
    <n v="2"/>
    <n v="48"/>
    <s v="Coordinated Care Corp."/>
    <s v="IN"/>
    <x v="0"/>
    <n v="2014"/>
    <n v="-3109.5439999999999"/>
    <n v="104519.05"/>
    <n v="-0.33401046789784289"/>
    <n v="275.8559252"/>
    <n v="930972.02"/>
    <n v="197233"/>
    <n v="2338442"/>
    <n v="145.06909771548749"/>
    <n v="339235.67099999997"/>
    <n v="339235.67099999997"/>
    <n v="268560.87300000002"/>
    <n v="79.166460357289495"/>
    <m/>
    <n v="1070251"/>
    <n v="5492.1233881362032"/>
    <n v="59626"/>
    <n v="13773"/>
    <n v="305.97808284319217"/>
    <n v="4.3291948014230739"/>
    <n v="879611.84299999999"/>
    <n v="0"/>
    <n v="0"/>
    <n v="0"/>
    <n v="0"/>
    <s v="NA"/>
    <n v="879611.84299999999"/>
    <n v="513670.549"/>
    <n v="80292.866999999998"/>
    <n v="0"/>
    <n v="64241.101000000002"/>
    <n v="106602.768"/>
    <n v="0"/>
    <n v="20629.588"/>
    <n v="785436.87300000002"/>
    <n v="8151.3119999999999"/>
    <n v="777285.56099999999"/>
    <s v="NA"/>
    <n v="26805.252"/>
    <n v="96377.258000000002"/>
    <n v="-8109.3220000000001"/>
    <s v="NA"/>
    <n v="892358.74899999995"/>
    <n v="-12746.906000000001"/>
    <s v="No"/>
    <x v="1"/>
    <x v="2"/>
    <n v="0.11226873391962951"/>
    <n v="9.6066662507475573E-2"/>
    <x v="5"/>
  </r>
  <r>
    <s v="WA"/>
    <s v="Centene Corp. "/>
    <n v="2"/>
    <n v="48"/>
    <s v="Coordinated Care Corp."/>
    <s v="WA"/>
    <x v="0"/>
    <n v="2014"/>
    <n v="-3109.5439999999999"/>
    <n v="104519.05"/>
    <n v="-0.33401046789784289"/>
    <n v="275.8559252"/>
    <n v="930972.02"/>
    <n v="197233"/>
    <n v="2338442"/>
    <n v="145.06909771548749"/>
    <n v="339235.67099999997"/>
    <n v="339235.67099999997"/>
    <n v="268560.87300000002"/>
    <n v="79.166460357289495"/>
    <m/>
    <n v="1070251"/>
    <n v="5492.1233881362032"/>
    <n v="59626"/>
    <n v="13773"/>
    <n v="305.97808284319217"/>
    <n v="4.3291948014230739"/>
    <n v="879611.84299999999"/>
    <n v="0"/>
    <n v="0"/>
    <n v="0"/>
    <n v="0"/>
    <s v="NA"/>
    <n v="879611.84299999999"/>
    <n v="513670.549"/>
    <n v="80292.866999999998"/>
    <n v="0"/>
    <n v="64241.101000000002"/>
    <n v="106602.768"/>
    <n v="0"/>
    <n v="20629.588"/>
    <n v="785436.87300000002"/>
    <n v="8151.3119999999999"/>
    <n v="777285.56099999999"/>
    <s v="NA"/>
    <n v="26805.252"/>
    <n v="96377.258000000002"/>
    <n v="-8109.3220000000001"/>
    <s v="NA"/>
    <n v="892358.74899999995"/>
    <n v="-12746.906000000001"/>
    <s v="No"/>
    <x v="1"/>
    <x v="2"/>
    <n v="0.11226873391962951"/>
    <n v="9.6066662507475573E-2"/>
    <x v="5"/>
  </r>
  <r>
    <s v="NM"/>
    <s v="Presbyterian Health Plan Inc."/>
    <n v="22"/>
    <n v="50"/>
    <s v="Presbyterian Health Plan Inc."/>
    <s v="NM"/>
    <x v="0"/>
    <n v="2014"/>
    <n v="71002.875"/>
    <n v="141594.17600000001"/>
    <n v="4.904100133376522"/>
    <n v="623.77185139999995"/>
    <n v="1447826.7790000001"/>
    <n v="193114"/>
    <n v="2314913"/>
    <n v="404.01679328769592"/>
    <n v="935263.72699999996"/>
    <n v="935263.72699999996"/>
    <n v="723990.36600000004"/>
    <n v="77.410290284892028"/>
    <m/>
    <n v="1081793"/>
    <n v="5607.7770525285396"/>
    <n v="61329"/>
    <n v="18440"/>
    <n v="317.91605127276921"/>
    <n v="3.3258676789587853"/>
    <n v="920574.90500000003"/>
    <n v="0"/>
    <n v="0"/>
    <n v="0"/>
    <n v="0"/>
    <s v="NA"/>
    <n v="920574.90500000003"/>
    <n v="595968.65700000001"/>
    <n v="63914.781000000003"/>
    <n v="0"/>
    <n v="0"/>
    <n v="64001.93"/>
    <n v="0"/>
    <n v="105"/>
    <n v="723990.36800000002"/>
    <n v="1173.0889999999999"/>
    <n v="722817.27899999998"/>
    <s v="NA"/>
    <n v="26495.993999999999"/>
    <n v="91103.982999999993"/>
    <n v="0"/>
    <s v="NA"/>
    <n v="840417.25600000005"/>
    <n v="80157.649000000005"/>
    <s v="Yes"/>
    <x v="0"/>
    <x v="2"/>
    <n v="9.7797732473077839E-2"/>
    <n v="0.12809936467800193"/>
    <x v="4"/>
  </r>
  <r>
    <s v="MD"/>
    <s v="Maryland Care Inc."/>
    <n v="23"/>
    <n v="52"/>
    <s v="Maryland Care Inc."/>
    <s v="MD"/>
    <x v="0"/>
    <n v="2014"/>
    <s v="NA"/>
    <s v="NA"/>
    <s v="NA"/>
    <s v="NA"/>
    <s v="NA"/>
    <n v="191912"/>
    <n v="2266916"/>
    <n v="394.83084640101356"/>
    <n v="895048.36300000001"/>
    <n v="895048.36300000001"/>
    <n v="747013.99699999997"/>
    <n v="83.460741104109474"/>
    <m/>
    <n v="960932"/>
    <n v="5086.7275187964615"/>
    <n v="82501"/>
    <n v="20560"/>
    <n v="436.7219605843357"/>
    <n v="4.012694552529183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1"/>
    <x v="2"/>
    <n v="0"/>
    <n v="-100"/>
    <x v="0"/>
  </r>
  <r>
    <s v="TX"/>
    <s v="UnitedHealth Group Inc. "/>
    <n v="1"/>
    <n v="58"/>
    <s v="UnitedHealthcare Cmnty (TX)"/>
    <s v="TX"/>
    <x v="0"/>
    <n v="2014"/>
    <n v="43531.290999999997"/>
    <n v="114234.67200000001"/>
    <n v="2.8157981001741677"/>
    <n v="390.17596509999998"/>
    <n v="1545966.3459999999"/>
    <n v="190929"/>
    <n v="2110640"/>
    <n v="534.21259144145847"/>
    <n v="1124336.004"/>
    <n v="1127530.4639999999"/>
    <n v="949501.321"/>
    <n v="84.210702177533364"/>
    <m/>
    <n v="2253227"/>
    <n v="12810.675434939165"/>
    <n v="135625"/>
    <n v="25998"/>
    <n v="771.09312815070314"/>
    <n v="5.2167474421109317"/>
    <n v="1086784.933"/>
    <n v="3194.4589999999998"/>
    <n v="0"/>
    <n v="0"/>
    <n v="0"/>
    <s v="NA"/>
    <n v="1089979.392"/>
    <n v="718299.21499999997"/>
    <n v="8834.3279999999995"/>
    <n v="0"/>
    <n v="0"/>
    <n v="220133.424"/>
    <n v="0"/>
    <n v="2234.3539999999998"/>
    <n v="949501.321"/>
    <n v="31740.996999999999"/>
    <n v="917760.32400000002"/>
    <s v="NA"/>
    <n v="83153.519"/>
    <n v="76886.740999999995"/>
    <n v="0"/>
    <s v="NA"/>
    <n v="1077800.584"/>
    <n v="12178.808000000001"/>
    <s v="No"/>
    <x v="1"/>
    <x v="2"/>
    <n v="7.3892081994907807E-2"/>
    <n v="8.4000896229758606E-2"/>
    <x v="5"/>
  </r>
  <r>
    <s v="VA"/>
    <s v="Virginia Premier Hlth Plan Inc"/>
    <n v="30"/>
    <n v="54"/>
    <s v="Virginia Premier Hlth Plan Inc"/>
    <s v="VA"/>
    <x v="1"/>
    <n v="2014"/>
    <n v="-2156.4430000000002"/>
    <n v="56081.163999999997"/>
    <n v="-0.26136510129582236"/>
    <n v="512.34555230000001"/>
    <n v="825069.21900000004"/>
    <n v="190106"/>
    <n v="2155086"/>
    <n v="378.78740477178172"/>
    <n v="816319.43299999996"/>
    <n v="816319.43299999996"/>
    <n v="756910.16299999994"/>
    <n v="92.722301148501515"/>
    <m/>
    <n v="0"/>
    <n v="0"/>
    <n v="0"/>
    <n v="0"/>
    <n v="0"/>
    <s v="NA"/>
    <n v="816319.43299999996"/>
    <n v="0"/>
    <n v="0"/>
    <n v="0"/>
    <n v="8749.7860000000001"/>
    <s v="NA"/>
    <n v="825069.21900000004"/>
    <n v="367343.09899999999"/>
    <n v="142820.05900000001"/>
    <n v="26505.027999999998"/>
    <n v="44255.972000000002"/>
    <n v="178530.111"/>
    <n v="0"/>
    <n v="0"/>
    <n v="759454.26899999997"/>
    <n v="2544.1060000000002"/>
    <n v="756910.16299999994"/>
    <s v="NA"/>
    <n v="15377.188"/>
    <n v="56081.163999999997"/>
    <n v="0"/>
    <s v="NA"/>
    <n v="828368.51500000001"/>
    <n v="-3299.2959999999998"/>
    <s v="Yes"/>
    <x v="0"/>
    <x v="2"/>
    <n v="6.7971465555303909E-2"/>
    <n v="-2.6136510129582237E-3"/>
    <x v="7"/>
  </r>
  <r>
    <s v="TX"/>
    <s v="Parkland Cmnty Health Plan Inc"/>
    <n v="48"/>
    <n v="59"/>
    <s v="Parkland Cmnty Health Plan Inc"/>
    <s v="TX"/>
    <x v="1"/>
    <n v="2014"/>
    <n v="23637.377"/>
    <n v="58988.493000000002"/>
    <n v="4.7215752157357622"/>
    <n v="789.83265879999999"/>
    <n v="500624.81099999999"/>
    <n v="189839"/>
    <n v="2063132"/>
    <n v="219.8274540843727"/>
    <n v="453533.05499999999"/>
    <n v="453533.05499999999"/>
    <n v="360424.88299999997"/>
    <n v="79.470477184954021"/>
    <m/>
    <n v="1354711"/>
    <n v="7879.5404268849497"/>
    <n v="43487"/>
    <n v="6948"/>
    <n v="252.93776646380357"/>
    <n v="6.2589234312032236"/>
    <n v="451655.946"/>
    <n v="0"/>
    <n v="0"/>
    <n v="0"/>
    <n v="-16675.692999999999"/>
    <s v="NA"/>
    <n v="434980.25300000003"/>
    <n v="183892.429"/>
    <n v="48234.677000000003"/>
    <n v="25132.760999999999"/>
    <n v="40081.480000000003"/>
    <n v="63083.536"/>
    <n v="0"/>
    <n v="0"/>
    <n v="360424.88299999997"/>
    <n v="1000.551"/>
    <n v="359424.33299999998"/>
    <s v="NA"/>
    <n v="1737.6410000000001"/>
    <n v="52026.841"/>
    <n v="0"/>
    <s v="NA"/>
    <n v="413188.81400000001"/>
    <n v="21791.438999999998"/>
    <s v="Yes"/>
    <x v="0"/>
    <x v="2"/>
    <n v="0.11782974336044244"/>
    <n v="4.721575215735762E-2"/>
    <x v="1"/>
  </r>
  <r>
    <s v="MN"/>
    <s v="Medica Health Plans"/>
    <n v="17"/>
    <n v="63"/>
    <s v="Medica Health Plans"/>
    <s v="MN"/>
    <x v="0"/>
    <n v="2014"/>
    <n v="46910.697"/>
    <n v="82622.972999999998"/>
    <n v="2.7280518940732623"/>
    <n v="736.64903300000003"/>
    <n v="1719567.6189999999"/>
    <n v="181473"/>
    <n v="1952553"/>
    <n v="717.75689520335686"/>
    <n v="1401458.379"/>
    <n v="1401458.379"/>
    <n v="1292068.2409999999"/>
    <n v="92.194549646343802"/>
    <m/>
    <n v="2031741"/>
    <n v="12486.673601177536"/>
    <n v="142067"/>
    <n v="27233"/>
    <n v="873.1153520544641"/>
    <n v="5.2167223589028016"/>
    <n v="1401288.6"/>
    <n v="0"/>
    <n v="0"/>
    <n v="0"/>
    <n v="0"/>
    <s v="NA"/>
    <n v="1401288.6"/>
    <n v="999543.18099999998"/>
    <n v="23364.098999999998"/>
    <n v="0"/>
    <n v="87937.888000000006"/>
    <n v="173697.78"/>
    <n v="0"/>
    <n v="6431.8180000000002"/>
    <n v="1290974.7660000001"/>
    <n v="875"/>
    <n v="1290099.7660000001"/>
    <s v="NA"/>
    <n v="21462.161"/>
    <n v="48964.798000000003"/>
    <n v="4800"/>
    <s v="NA"/>
    <n v="1365326.7250000001"/>
    <n v="35961.875"/>
    <s v="No"/>
    <x v="0"/>
    <x v="2"/>
    <n v="4.8048690895940861E-2"/>
    <n v="3.0005812640621098E-2"/>
    <x v="1"/>
  </r>
  <r>
    <s v="PA"/>
    <s v="Health Partners Plans Inc."/>
    <n v="27"/>
    <n v="56"/>
    <s v="Health Partners Plans Inc."/>
    <s v="PA"/>
    <x v="1"/>
    <n v="2014"/>
    <n v="-8539.7520000000004"/>
    <n v="255739.18299999999"/>
    <n v="-0.93870796653770339"/>
    <n v="313.52786639999999"/>
    <n v="909734.68900000001"/>
    <n v="178358"/>
    <n v="2127744"/>
    <n v="387.09485727606329"/>
    <n v="1151566.399"/>
    <n v="823638.76"/>
    <n v="896428.04200000002"/>
    <n v="108.83752508199105"/>
    <m/>
    <n v="1352034"/>
    <n v="7625.1691932864105"/>
    <n v="121082"/>
    <n v="33532"/>
    <n v="682.87538350478258"/>
    <n v="3.6109388047238458"/>
    <n v="823638.76"/>
    <n v="0"/>
    <n v="0"/>
    <n v="0"/>
    <n v="0"/>
    <s v="NA"/>
    <n v="823638.76"/>
    <n v="249449.772"/>
    <n v="303015.98800000001"/>
    <n v="0"/>
    <n v="58700.284"/>
    <n v="230559.89499999999"/>
    <n v="64055.955000000002"/>
    <n v="-9353.8520000000008"/>
    <n v="896428.04200000002"/>
    <n v="324173.179"/>
    <n v="572254.86300000001"/>
    <s v="NA"/>
    <n v="13886.874"/>
    <n v="240561.98800000001"/>
    <n v="0"/>
    <s v="NA"/>
    <n v="826703.72499999998"/>
    <n v="-3064.9650000000001"/>
    <s v="Yes"/>
    <x v="0"/>
    <x v="2"/>
    <n v="0.28111402818014342"/>
    <n v="-9.3870796653770343E-3"/>
    <x v="7"/>
  </r>
  <r>
    <s v="WA"/>
    <s v="UnitedHealth Group Inc. "/>
    <n v="1"/>
    <n v="66"/>
    <s v="UnitedHealthcare of WA Inc."/>
    <s v="WA"/>
    <x v="0"/>
    <n v="2014"/>
    <n v="22478.350999999999"/>
    <n v="107083.16099999999"/>
    <n v="1.6845440427002449"/>
    <n v="4124.4088890000003"/>
    <n v="1334387.848"/>
    <n v="176116"/>
    <n v="1756398"/>
    <n v="318.50697222383536"/>
    <n v="748171.00899999996"/>
    <n v="559425.00899999996"/>
    <n v="496516.80499999999"/>
    <n v="88.754845960059683"/>
    <m/>
    <n v="1199557"/>
    <n v="8195.5707077780771"/>
    <n v="77628"/>
    <n v="14107"/>
    <n v="530.36726300075497"/>
    <n v="5.5028000283547174"/>
    <n v="748171.00899999996"/>
    <n v="-188746"/>
    <n v="0"/>
    <n v="0"/>
    <n v="0"/>
    <s v="NA"/>
    <n v="559425.00899999996"/>
    <n v="388837.40500000003"/>
    <n v="1759.6590000000001"/>
    <n v="0"/>
    <n v="0"/>
    <n v="105836.822"/>
    <n v="0"/>
    <n v="82.918999999999997"/>
    <n v="496516.80499999999"/>
    <n v="0"/>
    <n v="496516.80499999999"/>
    <s v="NA"/>
    <n v="26030.062999999998"/>
    <n v="37647.023999999998"/>
    <n v="-143"/>
    <s v="NA"/>
    <n v="560050.89199999999"/>
    <n v="-625.88300000000004"/>
    <s v="No"/>
    <x v="1"/>
    <x v="2"/>
    <n v="8.024890301608921E-2"/>
    <n v="3.2202637383313984E-2"/>
    <x v="1"/>
  </r>
  <r>
    <s v="NY"/>
    <s v="Excellus Health Plan Inc."/>
    <n v="31"/>
    <n v="60"/>
    <s v="Excellus Health Plan Inc."/>
    <s v="NY"/>
    <x v="0"/>
    <n v="2014"/>
    <n v="24190.129000000001"/>
    <n v="570246.10499999998"/>
    <n v="0.40696551872394626"/>
    <n v="520.31950670000003"/>
    <n v="5944024.2199999997"/>
    <n v="173132"/>
    <n v="2061020"/>
    <n v="387.96342442091782"/>
    <n v="799600.37699999998"/>
    <n v="799600.37699999998"/>
    <n v="752831.17500000005"/>
    <n v="94.150927970360371"/>
    <m/>
    <n v="1643870"/>
    <n v="9571.2026084171921"/>
    <n v="106771"/>
    <n v="22367"/>
    <n v="621.65917846503191"/>
    <n v="4.773595028390039"/>
    <n v="799600.37699999998"/>
    <n v="0"/>
    <n v="0"/>
    <n v="0"/>
    <n v="0"/>
    <s v="NA"/>
    <n v="799600.37699999998"/>
    <n v="462395.576"/>
    <n v="45805.411"/>
    <n v="0"/>
    <n v="37049.847999999998"/>
    <n v="184018.98"/>
    <n v="23561.360000000001"/>
    <n v="0"/>
    <n v="752831.17500000005"/>
    <n v="0"/>
    <n v="752831.17500000005"/>
    <s v="NA"/>
    <n v="22600.565999999999"/>
    <n v="58523.913999999997"/>
    <n v="-11000"/>
    <s v="NA"/>
    <n v="822955.65500000003"/>
    <n v="-23355.277999999998"/>
    <s v="No"/>
    <x v="0"/>
    <x v="2"/>
    <n v="9.593603321488485E-2"/>
    <n v="-3.7445312918488613E-2"/>
    <x v="3"/>
  </r>
  <r>
    <s v="NV"/>
    <s v="Anthem"/>
    <n v="3"/>
    <n v="69"/>
    <s v="AMERIGROUP Nevada Inc."/>
    <s v="NV"/>
    <x v="1"/>
    <n v="2014"/>
    <n v="14147.955"/>
    <n v="48839.925000000003"/>
    <n v="3.5301885830343869"/>
    <n v="362.96172189999999"/>
    <n v="400770.516"/>
    <n v="172198"/>
    <n v="1722877"/>
    <n v="225.46757139366304"/>
    <n v="403026.44500000001"/>
    <n v="388452.89299999998"/>
    <n v="300916.56400000001"/>
    <n v="77.465393982791127"/>
    <m/>
    <n v="732241"/>
    <n v="5100.1272870901403"/>
    <n v="72626"/>
    <n v="15036"/>
    <n v="505.84690607628983"/>
    <n v="4.8301409949454639"/>
    <n v="403026.44500000001"/>
    <n v="-14573.552"/>
    <n v="0"/>
    <n v="0"/>
    <n v="0"/>
    <s v="NA"/>
    <n v="388452.89299999998"/>
    <n v="187191.12899999999"/>
    <n v="33498.637999999999"/>
    <n v="0"/>
    <n v="23688.994999999999"/>
    <n v="49038.445"/>
    <n v="7004.9960000000001"/>
    <n v="494.36099999999999"/>
    <n v="300916.56400000001"/>
    <n v="2334.652"/>
    <n v="298581.91200000001"/>
    <s v="NA"/>
    <n v="20223.815999999999"/>
    <n v="47072.538999999997"/>
    <n v="0"/>
    <s v="NA"/>
    <n v="365878.26699999999"/>
    <n v="22574.626"/>
    <s v="No"/>
    <x v="1"/>
    <x v="2"/>
    <n v="0.12186506504385668"/>
    <n v="3.5301885830343868E-2"/>
    <x v="1"/>
  </r>
  <r>
    <s v="VA"/>
    <s v="Optima Health Plan (Sentara)"/>
    <n v="33"/>
    <n v="61"/>
    <s v="Optima Health Plan (Sentara)"/>
    <s v="VA"/>
    <x v="0"/>
    <n v="2014"/>
    <n v="51477.534"/>
    <n v="105306.466"/>
    <n v="3.724519700466665"/>
    <n v="457.2009913"/>
    <n v="1382125.432"/>
    <n v="171971"/>
    <n v="2007597"/>
    <n v="337.64060018021547"/>
    <n v="677846.25600000005"/>
    <n v="677846.25600000005"/>
    <n v="595898.49100000004"/>
    <n v="87.910567584517267"/>
    <m/>
    <n v="920251"/>
    <n v="5500.6119256006059"/>
    <n v="73989"/>
    <n v="15395"/>
    <n v="442.25409780947075"/>
    <n v="4.8060409223773952"/>
    <n v="677668.92200000002"/>
    <n v="0"/>
    <n v="0"/>
    <n v="0"/>
    <n v="0"/>
    <s v="NA"/>
    <n v="677668.92200000002"/>
    <n v="390712.25"/>
    <n v="0"/>
    <n v="321.41899999999998"/>
    <n v="43428.779000000002"/>
    <n v="132030.92199999999"/>
    <n v="12904.852999999999"/>
    <n v="16500.268"/>
    <n v="595898.49100000004"/>
    <n v="0"/>
    <n v="595898.49100000004"/>
    <s v="NA"/>
    <n v="5195.2870000000003"/>
    <n v="30187.887999999999"/>
    <n v="0"/>
    <s v="NA"/>
    <n v="631281.66599999997"/>
    <n v="46387.256999999998"/>
    <s v="Yes"/>
    <x v="0"/>
    <x v="2"/>
    <n v="7.6191685328889883E-2"/>
    <n v="4.4702638825937488E-2"/>
    <x v="1"/>
  </r>
  <r>
    <s v="PA"/>
    <s v="UnitedHealth Group Inc. "/>
    <n v="1"/>
    <n v="62"/>
    <s v="UnitedHealthcare of PA Inc."/>
    <s v="PA"/>
    <x v="1"/>
    <n v="2014"/>
    <n v="10076.960999999999"/>
    <n v="108423.227"/>
    <n v="1.0954165084818013"/>
    <n v="494.91214730000002"/>
    <n v="919920.49800000002"/>
    <n v="165369"/>
    <n v="1999631"/>
    <n v="432.62191074253201"/>
    <n v="865084.18400000001"/>
    <n v="865084.18400000001"/>
    <n v="716351.17099999997"/>
    <n v="82.807105279363185"/>
    <m/>
    <n v="1402353"/>
    <n v="8415.6706912425343"/>
    <n v="102534"/>
    <n v="18411"/>
    <n v="615.31752608356237"/>
    <n v="5.5691706045299005"/>
    <n v="865084.18400000001"/>
    <n v="0"/>
    <n v="0"/>
    <n v="0"/>
    <n v="829.351"/>
    <s v="NA"/>
    <n v="865913.53500000003"/>
    <n v="437398.82500000001"/>
    <n v="64276.211000000003"/>
    <n v="0"/>
    <n v="6013.9840000000004"/>
    <n v="155254.823"/>
    <n v="53407.328000000001"/>
    <n v="0"/>
    <n v="716351.17099999997"/>
    <n v="0"/>
    <n v="716351.17099999997"/>
    <s v="NA"/>
    <n v="40799.552000000003"/>
    <n v="100574.32799999999"/>
    <n v="0"/>
    <s v="NA"/>
    <n v="857725.05099999998"/>
    <n v="8188.4840000000004"/>
    <s v="No"/>
    <x v="1"/>
    <x v="2"/>
    <n v="0.1178615187244148"/>
    <n v="1.0954165084818012E-2"/>
    <x v="6"/>
  </r>
  <r>
    <s v="IL"/>
    <s v="WellCare Health Plans Inc. "/>
    <n v="6"/>
    <n v="71"/>
    <s v="Harmony Health Plan of IL Inc."/>
    <s v="IL"/>
    <x v="0"/>
    <n v="2014"/>
    <n v="9251.1820000000007"/>
    <n v="45017.197"/>
    <n v="2.3066682509915264"/>
    <n v="495.13729059999997"/>
    <n v="401062.52799999999"/>
    <n v="161203"/>
    <n v="1671571"/>
    <n v="138.91714740205472"/>
    <n v="232209.875"/>
    <n v="232209.875"/>
    <n v="188636.764"/>
    <n v="81.235461670180896"/>
    <m/>
    <n v="245690"/>
    <n v="1763.7779071304778"/>
    <n v="42811"/>
    <n v="10252"/>
    <n v="307.33483651008544"/>
    <n v="4.1758681232930162"/>
    <n v="225802.011"/>
    <n v="0"/>
    <n v="0"/>
    <n v="0"/>
    <n v="3.786"/>
    <s v="NA"/>
    <n v="225805.79699999999"/>
    <n v="153699.89799999999"/>
    <n v="2022.5309999999999"/>
    <n v="0"/>
    <n v="11110.254000000001"/>
    <n v="21804.080999999998"/>
    <n v="0"/>
    <n v="0"/>
    <n v="188636.764"/>
    <n v="4676.3590000000004"/>
    <n v="183960.405"/>
    <s v="NA"/>
    <n v="6397.8720000000003"/>
    <n v="23232.350999999999"/>
    <n v="0"/>
    <s v="NA"/>
    <n v="213590.628"/>
    <n v="12215.169"/>
    <s v="No"/>
    <x v="1"/>
    <x v="2"/>
    <n v="0.11224483430174759"/>
    <n v="7.5400548996443439E-2"/>
    <x v="5"/>
  </r>
  <r>
    <s v="PA"/>
    <s v="Aetna"/>
    <n v="5"/>
    <n v="88"/>
    <s v="Aetna Better Health Inc. (PA)"/>
    <s v="PA"/>
    <x v="1"/>
    <n v="2014"/>
    <n v="11122.047"/>
    <n v="67691.926000000007"/>
    <n v="2.3812580530506642"/>
    <n v="736.03414569999995"/>
    <n v="467066.011"/>
    <n v="159822"/>
    <n v="1178487"/>
    <n v="408.91951714359175"/>
    <n v="481906.33500000002"/>
    <n v="481906.33500000002"/>
    <n v="401848.33100000001"/>
    <n v="83.387227312544042"/>
    <m/>
    <n v="487741"/>
    <n v="4966.4459599469492"/>
    <n v="55866"/>
    <n v="11396"/>
    <n v="568.8582054787197"/>
    <n v="4.9022464022464023"/>
    <n v="458095.48499999999"/>
    <n v="0"/>
    <n v="0"/>
    <n v="0"/>
    <n v="8970.5259999999998"/>
    <s v="NA"/>
    <n v="467066.011"/>
    <n v="274813.29599999997"/>
    <n v="15694.790999999999"/>
    <n v="8451.1319999999996"/>
    <n v="24286.663"/>
    <n v="78509.853000000003"/>
    <n v="0"/>
    <n v="92.596000000000004"/>
    <n v="401848.33100000001"/>
    <n v="26256.363000000001"/>
    <n v="375591.96799999999"/>
    <s v="NA"/>
    <n v="9254.5480000000007"/>
    <n v="67691.926000000007"/>
    <n v="0"/>
    <s v="NA"/>
    <n v="452538.44199999998"/>
    <n v="14527.569"/>
    <s v="No"/>
    <x v="1"/>
    <x v="2"/>
    <n v="0.14493010496539857"/>
    <n v="2.3812580530506642E-2"/>
    <x v="6"/>
  </r>
  <r>
    <s v="FL"/>
    <s v="Molina"/>
    <n v="4"/>
    <n v="97"/>
    <s v="Molina Healthcare of FL Inc."/>
    <s v="FL"/>
    <x v="0"/>
    <n v="2014"/>
    <n v="-20212.598999999998"/>
    <n v="44445.285000000003"/>
    <n v="-4.4491084152570037"/>
    <n v="32.210363700000002"/>
    <n v="454306.73100000003"/>
    <n v="156500"/>
    <n v="1024588"/>
    <n v="256.95146829750104"/>
    <n v="263269.391"/>
    <n v="263269.391"/>
    <n v="230894.367"/>
    <n v="87.702701070934594"/>
    <m/>
    <n v="494688"/>
    <n v="5793.7980925015718"/>
    <n v="107660"/>
    <n v="12261"/>
    <n v="1260.9165830558234"/>
    <n v="8.7806867302830121"/>
    <n v="263034.78700000001"/>
    <n v="0"/>
    <n v="0"/>
    <n v="0"/>
    <n v="0"/>
    <s v="NA"/>
    <n v="263034.78700000001"/>
    <n v="115552.77499999999"/>
    <n v="24676.803"/>
    <n v="32274.258999999998"/>
    <n v="23159.275000000001"/>
    <n v="33712.190999999999"/>
    <n v="0"/>
    <n v="1519.0630000000001"/>
    <n v="230894.36600000001"/>
    <n v="20.143999999999998"/>
    <n v="230874.22200000001"/>
    <s v="NA"/>
    <n v="9507.6049999999996"/>
    <n v="25715.067999999999"/>
    <n v="0"/>
    <s v="NA"/>
    <n v="266096.89500000002"/>
    <n v="-3062.1080000000002"/>
    <s v="No"/>
    <x v="1"/>
    <x v="2"/>
    <n v="9.7831007042684562E-2"/>
    <n v="2.5141982247969472E-2"/>
    <x v="1"/>
  </r>
  <r>
    <s v="MI"/>
    <s v="McLaren Health Plan Inc."/>
    <n v="37"/>
    <n v="67"/>
    <s v="McLaren Health Plan Inc."/>
    <s v="MI"/>
    <x v="0"/>
    <n v="2014"/>
    <n v="12231.26"/>
    <n v="58844.326999999997"/>
    <n v="1.6926141628277758"/>
    <n v="227.8757899"/>
    <n v="722625.40800000005"/>
    <n v="155336"/>
    <n v="1752995"/>
    <n v="342.62484833099921"/>
    <n v="600619.64599999995"/>
    <n v="600619.64599999995"/>
    <n v="523207.81199999998"/>
    <n v="87.111338346065352"/>
    <m/>
    <n v="1146896"/>
    <n v="7850.9933000379351"/>
    <n v="142599"/>
    <n v="32846"/>
    <n v="976.15110140074557"/>
    <n v="4.3414418802898371"/>
    <n v="599798.70400000003"/>
    <n v="0"/>
    <n v="0"/>
    <n v="0"/>
    <n v="-1953.222"/>
    <s v="NA"/>
    <n v="597845.48199999996"/>
    <n v="416016.21600000001"/>
    <n v="6718.5479999999998"/>
    <n v="0"/>
    <n v="25643.941999999999"/>
    <n v="72188"/>
    <n v="0"/>
    <n v="2641.1060000000002"/>
    <n v="523207.81199999998"/>
    <n v="2210.971"/>
    <n v="520996.84100000001"/>
    <s v="NA"/>
    <n v="4554.8220000000001"/>
    <n v="47233.516000000003"/>
    <n v="0"/>
    <s v="NA"/>
    <n v="572785.18000000005"/>
    <n v="25060.302"/>
    <s v="Yes"/>
    <x v="0"/>
    <x v="2"/>
    <n v="8.143130084902854E-2"/>
    <n v="4.7455315690317981E-2"/>
    <x v="1"/>
  </r>
  <r>
    <s v="LA"/>
    <s v="Centene Corp. "/>
    <n v="2"/>
    <n v="65"/>
    <s v="LA Healthcare Connections Inc."/>
    <s v="LA"/>
    <x v="1"/>
    <n v="2014"/>
    <n v="-4959.366"/>
    <n v="67523.403000000006"/>
    <n v="-1.0994054513154052"/>
    <n v="451.2558659"/>
    <n v="451095.27100000001"/>
    <n v="152240"/>
    <n v="1803257"/>
    <n v="252.09872968744887"/>
    <n v="454598.799"/>
    <n v="454598.799"/>
    <n v="373237.01500000001"/>
    <n v="82.10250793029482"/>
    <m/>
    <n v="685192"/>
    <n v="4559.6961498000564"/>
    <n v="75728"/>
    <n v="16237"/>
    <n v="503.94147922342739"/>
    <n v="4.663915747983002"/>
    <n v="451095.27100000001"/>
    <n v="0"/>
    <n v="0"/>
    <n v="0"/>
    <n v="0"/>
    <s v="NA"/>
    <n v="451095.27100000001"/>
    <n v="222912.929"/>
    <n v="15262.495000000001"/>
    <n v="0"/>
    <n v="38356.481"/>
    <n v="95370.281000000003"/>
    <n v="0"/>
    <n v="1334.829"/>
    <n v="373237.01500000001"/>
    <n v="801.30499999999995"/>
    <n v="372435.71"/>
    <s v="NA"/>
    <n v="12437.168"/>
    <n v="67523.403999999995"/>
    <n v="0"/>
    <s v="NA"/>
    <n v="452396.28200000001"/>
    <n v="-1301.011"/>
    <s v="No"/>
    <x v="1"/>
    <x v="2"/>
    <n v="0.14968767650858394"/>
    <n v="-1.0994054513154052E-2"/>
    <x v="7"/>
  </r>
  <r>
    <s v="IL"/>
    <s v="Meridian Health Plan Group "/>
    <n v="8"/>
    <n v="122"/>
    <s v="Meridian Health Plan of IL Inc"/>
    <s v="IL"/>
    <x v="0"/>
    <n v="2014"/>
    <n v="-176.672"/>
    <n v="26338.383000000002"/>
    <n v="-5.5115544529909327E-2"/>
    <n v="249.247995"/>
    <n v="320548.40700000001"/>
    <n v="147479"/>
    <n v="703636"/>
    <n v="361.7676341176404"/>
    <n v="254552.731"/>
    <n v="254552.731"/>
    <n v="235577.81200000001"/>
    <n v="92.54578062256185"/>
    <m/>
    <n v="451301"/>
    <n v="7696.6101791267074"/>
    <n v="27900"/>
    <n v="6285"/>
    <n v="475.81419938718312"/>
    <n v="4.4391408114558475"/>
    <n v="254083.67"/>
    <n v="0"/>
    <n v="0"/>
    <n v="0"/>
    <n v="991.60400000000004"/>
    <s v="NA"/>
    <n v="255075.274"/>
    <n v="170238.49600000001"/>
    <n v="2448.828"/>
    <n v="14061.703"/>
    <n v="4424.1779999999999"/>
    <n v="42762.247000000003"/>
    <n v="31.367000000000001"/>
    <n v="1610.9939999999999"/>
    <n v="235577.81200000001"/>
    <n v="1172.5709999999999"/>
    <n v="234405.24100000001"/>
    <s v="NA"/>
    <n v="1052.5329999999999"/>
    <n v="20095.821"/>
    <n v="0"/>
    <s v="NA"/>
    <n v="255553.595"/>
    <n v="-478.32"/>
    <s v="No"/>
    <x v="1"/>
    <x v="2"/>
    <n v="8.2166632011994367E-2"/>
    <n v="-7.6244382376128295E-3"/>
    <x v="7"/>
  </r>
  <r>
    <s v="RI"/>
    <s v="Neighborhood Health Plan of RI"/>
    <n v="24"/>
    <n v="72"/>
    <s v="Neighborhood Health Plan of RI"/>
    <s v="RI"/>
    <x v="1"/>
    <n v="2014"/>
    <n v="21131.633999999998"/>
    <n v="59451.841999999997"/>
    <n v="2.3626029670326112"/>
    <n v="185.93111830000001"/>
    <n v="894421.71600000001"/>
    <n v="146945"/>
    <n v="1651053"/>
    <n v="541.09372382352353"/>
    <n v="893374.41599999997"/>
    <n v="893374.41599999997"/>
    <n v="796454.33499999996"/>
    <n v="89.151236115093766"/>
    <m/>
    <n v="2288543"/>
    <n v="16633.333999574817"/>
    <n v="883509"/>
    <n v="23925"/>
    <n v="6421.4219652549009"/>
    <n v="36.928275862068965"/>
    <n v="890162.56"/>
    <n v="0"/>
    <n v="0"/>
    <n v="0"/>
    <n v="1818.076"/>
    <s v="NA"/>
    <n v="891980.63600000006"/>
    <n v="381649.84600000002"/>
    <n v="148013.05499999999"/>
    <n v="81732.566000000006"/>
    <n v="33355.364999999998"/>
    <n v="86834.616999999998"/>
    <n v="55610.245999999999"/>
    <n v="9258.64"/>
    <n v="796454.33499999996"/>
    <n v="2243.3519999999999"/>
    <n v="794210.98300000001"/>
    <s v="NA"/>
    <n v="18246.649000000001"/>
    <n v="58183.841999999997"/>
    <n v="0"/>
    <s v="NA"/>
    <n v="870641.47400000005"/>
    <n v="21339.162"/>
    <s v="Yes"/>
    <x v="0"/>
    <x v="2"/>
    <n v="6.6469586925816546E-2"/>
    <n v="2.362602967032611E-2"/>
    <x v="6"/>
  </r>
  <r>
    <s v="LA"/>
    <s v="Independence Health Group Inc. "/>
    <n v="7"/>
    <n v="70"/>
    <s v="AmeriHealth Caritas LA Inc."/>
    <s v="LA"/>
    <x v="1"/>
    <n v="2014"/>
    <n v="-1417.9349999999999"/>
    <n v="47295.036"/>
    <n v="-0.26390767688724093"/>
    <n v="261.50407519999999"/>
    <n v="537284.48400000005"/>
    <n v="145588"/>
    <n v="1715336"/>
    <n v="312.99222484691046"/>
    <n v="536886.83100000001"/>
    <n v="536886.83100000001"/>
    <n v="471676.364"/>
    <n v="87.853964143888632"/>
    <m/>
    <n v="987913"/>
    <n v="6911.1567646222084"/>
    <n v="82594"/>
    <n v="16192"/>
    <n v="577.80399875009914"/>
    <n v="5.1009140316205537"/>
    <n v="536886.83100000001"/>
    <n v="0"/>
    <n v="0"/>
    <n v="0"/>
    <n v="0"/>
    <s v="NA"/>
    <n v="536886.83100000001"/>
    <n v="168045.97899999999"/>
    <n v="81356.063999999998"/>
    <n v="0"/>
    <n v="22667.552"/>
    <n v="112376.757"/>
    <n v="84541.72"/>
    <n v="2688.2919999999999"/>
    <n v="471676.364"/>
    <n v="0"/>
    <n v="471676.364"/>
    <s v="NA"/>
    <n v="16353.402"/>
    <n v="51233.756000000001"/>
    <n v="0"/>
    <s v="NA"/>
    <n v="539263.522"/>
    <n v="-2376.6909999999998"/>
    <s v="No"/>
    <x v="0"/>
    <x v="2"/>
    <n v="8.8026059580011987E-2"/>
    <n v="-2.6390767688724091E-3"/>
    <x v="7"/>
  </r>
  <r>
    <s v="HI"/>
    <s v="Hawaii Medical Service Assn."/>
    <n v="45"/>
    <n v="68"/>
    <s v="Hawaii Medical Service Assn."/>
    <s v="HI"/>
    <x v="0"/>
    <n v="2014"/>
    <n v="4225.4840000000004"/>
    <n v="211743.50099999999"/>
    <n v="0.14707393974968203"/>
    <n v="398.02132319999998"/>
    <n v="2873033.8"/>
    <n v="144088"/>
    <n v="1747120"/>
    <n v="263.25222137002612"/>
    <n v="459933.22100000002"/>
    <n v="459933.22100000002"/>
    <n v="410358.174"/>
    <n v="89.221251099841723"/>
    <m/>
    <n v="983755"/>
    <n v="6756.8684463574336"/>
    <n v="43044"/>
    <n v="0"/>
    <n v="295.64540500938688"/>
    <s v="NA"/>
    <n v="459933.22100000002"/>
    <n v="0"/>
    <n v="0"/>
    <n v="0"/>
    <n v="0"/>
    <s v="NA"/>
    <n v="459933.22100000002"/>
    <n v="340734.55099999998"/>
    <n v="1706.143"/>
    <n v="0"/>
    <n v="0"/>
    <n v="67917.48"/>
    <n v="0"/>
    <n v="0"/>
    <n v="410358.174"/>
    <n v="0"/>
    <n v="410358.174"/>
    <s v="NA"/>
    <n v="17327.257000000001"/>
    <n v="33526.678"/>
    <n v="-8300"/>
    <s v="NA"/>
    <n v="452912.109"/>
    <n v="7021.1120000000001"/>
    <s v="No"/>
    <x v="0"/>
    <x v="2"/>
    <n v="7.3700316717471265E-2"/>
    <n v="3.4087172284111483E-2"/>
    <x v="1"/>
  </r>
  <r>
    <s v="WI"/>
    <s v="UnitedHealth Group Inc. "/>
    <n v="1"/>
    <n v="77"/>
    <s v="UnitedHealthcare of WI Inc."/>
    <s v="WI"/>
    <x v="0"/>
    <n v="2014"/>
    <n v="31035.039000000001"/>
    <n v="135773.46599999999"/>
    <n v="2.1651286993507464"/>
    <n v="416.50559909999998"/>
    <n v="1433403.89"/>
    <n v="135279"/>
    <n v="1443165"/>
    <n v="185.52789459278739"/>
    <n v="265641.45600000001"/>
    <n v="267747.364"/>
    <n v="218302.7"/>
    <n v="81.533090275353743"/>
    <m/>
    <n v="1334770"/>
    <n v="11098.689339056864"/>
    <n v="33487"/>
    <n v="6630"/>
    <n v="278.44633150055608"/>
    <n v="5.0508295625942683"/>
    <n v="265355.11599999998"/>
    <n v="2105.9090000000001"/>
    <n v="0"/>
    <n v="0"/>
    <n v="0"/>
    <s v="NA"/>
    <n v="267461.02500000002"/>
    <n v="215274.454"/>
    <n v="3028.2460000000001"/>
    <n v="0"/>
    <n v="0"/>
    <n v="0"/>
    <n v="0"/>
    <n v="0"/>
    <n v="218302.7"/>
    <n v="0"/>
    <n v="218302.7"/>
    <s v="NA"/>
    <n v="20047.98"/>
    <n v="24735.811000000002"/>
    <n v="0"/>
    <s v="NA"/>
    <n v="263086.49099999998"/>
    <n v="4374.5339999999997"/>
    <s v="No"/>
    <x v="1"/>
    <x v="2"/>
    <n v="9.4721011256638912E-2"/>
    <n v="8.9948085989823609E-2"/>
    <x v="5"/>
  </r>
  <r>
    <s v="WI"/>
    <s v="Children's Cmnty Hlth Plan Inc"/>
    <n v="62"/>
    <n v="73"/>
    <s v="Children's Cmnty Hlth Plan Inc"/>
    <s v="WI"/>
    <x v="0"/>
    <n v="2014"/>
    <n v="9677.7479999999996"/>
    <n v="3599.7139999999999"/>
    <n v="3.0802842080818178"/>
    <n v="369.4953423"/>
    <n v="314183.60600000003"/>
    <n v="134991"/>
    <n v="1600977"/>
    <n v="142.66332620643519"/>
    <n v="228400.704"/>
    <n v="228400.704"/>
    <n v="201252.302"/>
    <n v="88.113696006821414"/>
    <m/>
    <n v="392061"/>
    <n v="2938.6630788574726"/>
    <n v="49522"/>
    <n v="13815"/>
    <n v="371.18834311798361"/>
    <n v="3.5846543612015926"/>
    <n v="228204.179"/>
    <n v="0"/>
    <n v="0"/>
    <n v="0"/>
    <n v="69.772999999999996"/>
    <s v="NA"/>
    <n v="228273.95199999999"/>
    <n v="183109.87899999999"/>
    <n v="14423.78"/>
    <n v="0"/>
    <n v="0"/>
    <n v="0"/>
    <n v="3332.3040000000001"/>
    <n v="386.33800000000002"/>
    <n v="201252.302"/>
    <n v="0"/>
    <n v="201252.302"/>
    <s v="NA"/>
    <n v="13815.585999999999"/>
    <n v="3599.7139999999999"/>
    <n v="0"/>
    <s v="NA"/>
    <n v="218667.60200000001"/>
    <n v="9606.3510000000006"/>
    <s v="Yes"/>
    <x v="0"/>
    <x v="2"/>
    <n v="1.1457357835532639E-2"/>
    <n v="0.10740568209625317"/>
    <x v="4"/>
  </r>
  <r>
    <s v="TX"/>
    <s v="Driscoll Children's Hlth Plan"/>
    <n v="52"/>
    <n v="78"/>
    <s v="Driscoll Children's Hlth Plan"/>
    <s v="TX"/>
    <x v="1"/>
    <n v="2014"/>
    <n v="-9312.3829999999998"/>
    <n v="17192.266"/>
    <n v="-2.4209541456190928"/>
    <n v="154.3204484"/>
    <n v="384657.554"/>
    <n v="131187"/>
    <n v="1405661"/>
    <n v="262.10856173714717"/>
    <n v="368435.783"/>
    <n v="368435.783"/>
    <n v="342117.28"/>
    <n v="92.856691935375892"/>
    <m/>
    <n v="1173641"/>
    <n v="10019.266380727644"/>
    <n v="69980"/>
    <n v="19180"/>
    <n v="597.41288973657231"/>
    <n v="3.6485922836287799"/>
    <n v="367624.83100000001"/>
    <n v="0"/>
    <n v="0"/>
    <n v="0"/>
    <n v="92.894000000000005"/>
    <s v="NA"/>
    <n v="367717.72399999999"/>
    <n v="214398.274"/>
    <n v="11025.004999999999"/>
    <n v="16459.327000000001"/>
    <n v="22419.973999999998"/>
    <n v="57884.440999999999"/>
    <n v="0"/>
    <n v="19930.259999999998"/>
    <n v="342117.28"/>
    <n v="572.97900000000004"/>
    <n v="341544.30099999998"/>
    <s v="NA"/>
    <n v="19944.108"/>
    <n v="16469.232"/>
    <n v="0"/>
    <s v="NA"/>
    <n v="377957.64199999999"/>
    <n v="-10239.916999999999"/>
    <s v="Yes"/>
    <x v="0"/>
    <x v="2"/>
    <n v="4.4694991223284283E-2"/>
    <n v="-2.420954145619093E-2"/>
    <x v="7"/>
  </r>
  <r>
    <s v="PA"/>
    <s v="Geisinger Health Plan"/>
    <n v="41"/>
    <n v="74"/>
    <s v="Geisinger Health Plan"/>
    <s v="PA"/>
    <x v="0"/>
    <n v="2014"/>
    <n v="8056.9949999999999"/>
    <n v="159091.83100000001"/>
    <n v="0.49957652043362305"/>
    <n v="303.91171639999999"/>
    <n v="1612764.946"/>
    <n v="130192"/>
    <n v="1515731"/>
    <n v="369.39065902854793"/>
    <n v="559896.87300000002"/>
    <n v="559896.87300000002"/>
    <n v="495462.73499999999"/>
    <n v="88.491784629059708"/>
    <m/>
    <n v="892907"/>
    <n v="7069.1197844472399"/>
    <n v="38762"/>
    <n v="10283"/>
    <n v="306.87767156573295"/>
    <n v="3.7695225128853447"/>
    <n v="559384.88399999996"/>
    <n v="0"/>
    <n v="0"/>
    <n v="0"/>
    <n v="0"/>
    <s v="NA"/>
    <n v="559384.88399999996"/>
    <n v="345303.39899999998"/>
    <n v="0"/>
    <n v="0"/>
    <n v="12044.348"/>
    <n v="134135.546"/>
    <n v="0"/>
    <n v="3979.442"/>
    <n v="495462.73499999999"/>
    <n v="678.53200000000004"/>
    <n v="494784.20299999998"/>
    <s v="NA"/>
    <n v="19783.675999999999"/>
    <n v="61485.703000000001"/>
    <n v="0"/>
    <s v="NA"/>
    <n v="576053.58200000005"/>
    <n v="-16668.698"/>
    <s v="Yes"/>
    <x v="0"/>
    <x v="2"/>
    <n v="9.8645392432779228E-2"/>
    <n v="1.6436761276623663E-2"/>
    <x v="6"/>
  </r>
  <r>
    <s v="WA"/>
    <s v="Anthem"/>
    <n v="3"/>
    <n v="85"/>
    <s v="AMERIGROUP Washington Inc."/>
    <s v="WA"/>
    <x v="1"/>
    <n v="2014"/>
    <n v="-4552.1620000000003"/>
    <n v="38136.15"/>
    <n v="-1.1674277681185459"/>
    <n v="824.24477339999999"/>
    <n v="389930.93400000001"/>
    <n v="127067"/>
    <n v="1236101"/>
    <n v="311.21110653579279"/>
    <n v="579867.73499999999"/>
    <n v="384688.36"/>
    <n v="330869.96999999997"/>
    <n v="86.009873030730631"/>
    <m/>
    <n v="580861"/>
    <n v="5638.9663951408502"/>
    <n v="53085"/>
    <n v="9388"/>
    <n v="515.34623788832789"/>
    <n v="5.6545590115040474"/>
    <n v="579867.73499999999"/>
    <n v="-195179.375"/>
    <n v="0"/>
    <n v="0"/>
    <n v="0"/>
    <s v="NA"/>
    <n v="384688.36"/>
    <n v="202646.20699999999"/>
    <n v="19245.028999999999"/>
    <n v="0"/>
    <n v="28810.488000000001"/>
    <n v="78601.792000000001"/>
    <n v="1541.954"/>
    <n v="24.5"/>
    <n v="330869.96999999997"/>
    <n v="0"/>
    <n v="330869.96999999997"/>
    <s v="NA"/>
    <n v="213.97800000000001"/>
    <n v="440.20699999999999"/>
    <n v="0"/>
    <s v="NA"/>
    <n v="331524.15500000003"/>
    <n v="53164.205000000002"/>
    <s v="No"/>
    <x v="1"/>
    <x v="2"/>
    <n v="9.7802320038553298E-2"/>
    <n v="-1.1674277681185459E-2"/>
    <x v="7"/>
  </r>
  <r>
    <s v="TX"/>
    <s v="Anthem"/>
    <n v="3"/>
    <n v="80"/>
    <s v="AMERIGROUP Insurance Co."/>
    <s v="TX"/>
    <x v="1"/>
    <n v="2014"/>
    <n v="1497.7470000000001"/>
    <n v="26201.061000000002"/>
    <n v="0.39100529844763893"/>
    <n v="703.9941986"/>
    <n v="383050.30800000002"/>
    <n v="125645"/>
    <n v="1360570"/>
    <n v="281.594896991702"/>
    <n v="383356.00300000003"/>
    <n v="383129.56900000002"/>
    <n v="332266.31199999998"/>
    <n v="86.724267424005575"/>
    <m/>
    <n v="534151"/>
    <n v="4711.1225442277873"/>
    <n v="63421"/>
    <n v="12554"/>
    <n v="559.36262007834955"/>
    <n v="5.0518559821570816"/>
    <n v="383276.74200000003"/>
    <n v="-226.434"/>
    <n v="0"/>
    <n v="0"/>
    <n v="0"/>
    <s v="NA"/>
    <n v="383050.30800000002"/>
    <n v="165828.02299999999"/>
    <n v="7425.5169999999998"/>
    <n v="0"/>
    <n v="65081.334000000003"/>
    <n v="85403.683000000005"/>
    <n v="7922.4790000000003"/>
    <n v="605.27599999999995"/>
    <n v="332266.31199999998"/>
    <n v="-0.439"/>
    <n v="332266.75099999999"/>
    <s v="NA"/>
    <n v="24467.504000000001"/>
    <n v="26201.061000000002"/>
    <n v="0"/>
    <s v="NA"/>
    <n v="382935.31599999999"/>
    <n v="114.992"/>
    <s v="No"/>
    <x v="1"/>
    <x v="2"/>
    <n v="6.840109628628728E-2"/>
    <n v="3.9100529844763891E-3"/>
    <x v="6"/>
  </r>
  <r>
    <s v="KS"/>
    <s v="Centene Corp. "/>
    <n v="2"/>
    <n v="75"/>
    <s v="Sunflower State Hlth Plan Inc."/>
    <s v="KS"/>
    <x v="1"/>
    <n v="2014"/>
    <n v="-39266"/>
    <n v="69118.485000000001"/>
    <n v="-3.7760072680898702"/>
    <n v="311.58576349999998"/>
    <n v="1039881.473"/>
    <n v="123422"/>
    <n v="1504631"/>
    <n v="670.64446166535186"/>
    <n v="1009072.447"/>
    <n v="1009072.447"/>
    <n v="966823.13199999998"/>
    <n v="95.813054342568918"/>
    <m/>
    <n v="691696"/>
    <n v="5516.5366126312701"/>
    <n v="63654"/>
    <n v="15733"/>
    <n v="507.66466994233139"/>
    <n v="4.045890802771245"/>
    <n v="1003998.471"/>
    <n v="0"/>
    <n v="0"/>
    <n v="0"/>
    <n v="0"/>
    <s v="NA"/>
    <n v="1003998.471"/>
    <n v="697038.87800000003"/>
    <n v="116487.057"/>
    <n v="0"/>
    <n v="18955.138999999999"/>
    <n v="134035.614"/>
    <n v="0"/>
    <n v="306.44299999999998"/>
    <n v="966823.13100000005"/>
    <n v="1174.26"/>
    <n v="965648.87100000004"/>
    <s v="NA"/>
    <n v="20086.315999999999"/>
    <n v="66064.974000000002"/>
    <n v="3890.067"/>
    <s v="NA"/>
    <n v="1055690.2279999999"/>
    <n v="-51691.756999999998"/>
    <s v="No"/>
    <x v="1"/>
    <x v="2"/>
    <n v="6.6467656934589892E-2"/>
    <n v="-3.7760072680898704E-2"/>
    <x v="3"/>
  </r>
  <r>
    <s v="LA"/>
    <s v="Anthem"/>
    <n v="3"/>
    <n v="79"/>
    <s v="AMERIGROUP Louisiana Inc."/>
    <s v="LA"/>
    <x v="1"/>
    <n v="2014"/>
    <n v="-1619.452"/>
    <n v="33959.169000000002"/>
    <n v="-0.4089844880099367"/>
    <n v="344.61525719999997"/>
    <n v="395969.05200000003"/>
    <n v="117879"/>
    <n v="1361466"/>
    <n v="274.26760712349778"/>
    <n v="373406.022"/>
    <n v="373406.022"/>
    <n v="321915.58799999999"/>
    <n v="86.210604284255481"/>
    <m/>
    <n v="610950"/>
    <n v="5384.9306556315032"/>
    <n v="76048"/>
    <n v="14088"/>
    <n v="670.28923234219587"/>
    <n v="5.3980692788188529"/>
    <n v="373365.89299999998"/>
    <n v="0"/>
    <n v="0"/>
    <n v="0"/>
    <n v="0"/>
    <s v="NA"/>
    <n v="373365.89299999998"/>
    <n v="188735.96299999999"/>
    <n v="13442.414000000001"/>
    <n v="0"/>
    <n v="25401.598999999998"/>
    <n v="86416.534"/>
    <n v="7643.7039999999997"/>
    <n v="275.37400000000002"/>
    <n v="321915.58799999999"/>
    <n v="0"/>
    <n v="321915.58799999999"/>
    <s v="NA"/>
    <n v="22333.276000000002"/>
    <n v="30916.785"/>
    <n v="1069.325"/>
    <s v="NA"/>
    <n v="376234.97399999999"/>
    <n v="-2869.0810000000001"/>
    <s v="No"/>
    <x v="1"/>
    <x v="2"/>
    <n v="8.5762179717014858E-2"/>
    <n v="-4.0898448800993671E-3"/>
    <x v="7"/>
  </r>
  <r>
    <s v="SC"/>
    <s v="Molina"/>
    <n v="4"/>
    <n v="76"/>
    <s v="Molina Healthcare of SC LLC"/>
    <s v="SC"/>
    <x v="1"/>
    <n v="2014"/>
    <n v="14874.208000000001"/>
    <n v="39910.712"/>
    <n v="3.7350040860609348"/>
    <n v="387.47920909999999"/>
    <n v="398238.065"/>
    <n v="117662"/>
    <n v="1462545"/>
    <n v="272.59651771398489"/>
    <n v="398684.674"/>
    <n v="398684.674"/>
    <n v="334342.54700000002"/>
    <n v="83.861399447724949"/>
    <m/>
    <n v="611697"/>
    <n v="5018.8978800652285"/>
    <n v="44251"/>
    <n v="9500"/>
    <n v="363.07395669876826"/>
    <n v="4.6580000000000004"/>
    <n v="398204.52899999998"/>
    <n v="0"/>
    <n v="0"/>
    <n v="0"/>
    <n v="33.536000000000001"/>
    <s v="NA"/>
    <n v="398238.065"/>
    <n v="156692.016"/>
    <n v="2756.0479999999998"/>
    <n v="43767.089"/>
    <n v="60844.692000000003"/>
    <n v="69752.380999999994"/>
    <n v="0"/>
    <n v="530.32100000000003"/>
    <n v="334342.54700000002"/>
    <n v="0"/>
    <n v="334342.54700000002"/>
    <s v="NA"/>
    <n v="7622.576"/>
    <n v="39910.712"/>
    <n v="0"/>
    <s v="NA"/>
    <n v="381875.83500000002"/>
    <n v="16362.23"/>
    <s v="No"/>
    <x v="1"/>
    <x v="2"/>
    <n v="0.10021822499564426"/>
    <n v="3.7350040860609349E-2"/>
    <x v="1"/>
  </r>
  <r>
    <s v="MN"/>
    <s v="HealthPartners Inc. "/>
    <n v="36"/>
    <n v="84"/>
    <s v="HealthPartners Inc. "/>
    <s v="MN"/>
    <x v="0"/>
    <n v="2014"/>
    <n v="16832"/>
    <n v="103516"/>
    <n v="1.2466245891367687"/>
    <n v="614.54149380000001"/>
    <n v="1350206"/>
    <n v="117653"/>
    <n v="1301216"/>
    <n v="506.65761871972063"/>
    <n v="659271"/>
    <n v="659271"/>
    <n v="537852"/>
    <n v="81.582839226964325"/>
    <m/>
    <n v="1168828"/>
    <n v="10779.09893514989"/>
    <n v="59211"/>
    <n v="9011"/>
    <n v="546.05230799498315"/>
    <n v="6.570968815891688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0"/>
    <x v="2"/>
    <n v="7.6666819729730135E-2"/>
    <n v="0.10750478800062666"/>
    <x v="4"/>
  </r>
  <r>
    <s v="TX"/>
    <s v="Community First Hlth Plans Inc"/>
    <n v="60"/>
    <n v="87"/>
    <s v="Community First Hlth Plans Inc"/>
    <s v="TX"/>
    <x v="0"/>
    <n v="2014"/>
    <n v="12091.906000000001"/>
    <n v="20953.14"/>
    <n v="3.8926079826685269"/>
    <n v="547.22436289999996"/>
    <n v="310637.65100000001"/>
    <n v="112654"/>
    <n v="1179986"/>
    <n v="215.81497153356057"/>
    <n v="264931.20400000003"/>
    <n v="254658.64499999999"/>
    <n v="220836.899"/>
    <n v="86.718791345175035"/>
    <m/>
    <n v="422058"/>
    <n v="4292.1661782427927"/>
    <n v="34379"/>
    <n v="4569"/>
    <n v="349.62109719945829"/>
    <n v="7.5244035894068722"/>
    <n v="264086.799"/>
    <n v="-5706.1729999999998"/>
    <n v="0"/>
    <n v="0"/>
    <n v="-4569.384"/>
    <s v="NA"/>
    <n v="253811.242"/>
    <n v="177079.70499999999"/>
    <n v="1747.624"/>
    <n v="0"/>
    <n v="0"/>
    <n v="42009.57"/>
    <n v="0"/>
    <n v="0"/>
    <n v="220836.899"/>
    <n v="524.30899999999997"/>
    <n v="220312.59"/>
    <s v="NA"/>
    <n v="8825.4590000000007"/>
    <n v="16006.304"/>
    <n v="0"/>
    <s v="NA"/>
    <n v="245144.353"/>
    <n v="8666.8889999999992"/>
    <s v="Yes"/>
    <x v="0"/>
    <x v="2"/>
    <n v="6.7452029503017319E-2"/>
    <n v="6.5360057045232289E-2"/>
    <x v="2"/>
  </r>
  <r>
    <s v="DC"/>
    <s v="Independence Health Group Inc. "/>
    <n v="7"/>
    <n v="83"/>
    <s v="AmeriHealth Caritas District"/>
    <s v="DC"/>
    <x v="1"/>
    <n v="2014"/>
    <n v="16406.528999999999"/>
    <n v="51095.033000000003"/>
    <n v="3.6702178342970613"/>
    <n v="332.60724900000002"/>
    <n v="447017.85399999999"/>
    <n v="111931"/>
    <n v="1302890"/>
    <n v="341.86498169454057"/>
    <n v="445412.46600000001"/>
    <n v="445412.46600000001"/>
    <n v="349985.43199999997"/>
    <n v="78.575580774158198"/>
    <m/>
    <n v="735290"/>
    <n v="6772.2371036695349"/>
    <n v="30089"/>
    <n v="6659"/>
    <n v="277.12853732855422"/>
    <n v="4.5185463282775196"/>
    <n v="445412.46600000001"/>
    <n v="0"/>
    <n v="0"/>
    <n v="0"/>
    <n v="0"/>
    <s v="NA"/>
    <n v="445412.46600000001"/>
    <n v="170814.701"/>
    <n v="87293.486999999994"/>
    <n v="0"/>
    <n v="43616.345999999998"/>
    <n v="41152.171999999999"/>
    <n v="7108.7250000000004"/>
    <n v="0"/>
    <n v="349985.43099999998"/>
    <n v="0"/>
    <n v="349985.43099999998"/>
    <s v="NA"/>
    <n v="17481.269"/>
    <n v="54280.023000000001"/>
    <n v="0"/>
    <s v="NA"/>
    <n v="421746.723"/>
    <n v="23665.742999999999"/>
    <s v="No"/>
    <x v="0"/>
    <x v="2"/>
    <n v="0.11430199608984747"/>
    <n v="3.6702178342970612E-2"/>
    <x v="1"/>
  </r>
  <r>
    <s v="KS"/>
    <s v="Anthem"/>
    <n v="3"/>
    <n v="82"/>
    <s v="AMERIGROUP Kansas Inc."/>
    <s v="KS"/>
    <x v="1"/>
    <n v="2014"/>
    <n v="-68532.258000000002"/>
    <n v="35757.031999999999"/>
    <n v="-7.6071507556188749"/>
    <n v="261.49107359999999"/>
    <n v="900892.59699999995"/>
    <n v="111757"/>
    <n v="1328836"/>
    <n v="655.87188863035021"/>
    <n v="871546.17700000003"/>
    <n v="871546.17700000003"/>
    <n v="823555.47499999998"/>
    <n v="94.493613388886445"/>
    <m/>
    <n v="708364"/>
    <n v="6396.8525837650395"/>
    <n v="114182"/>
    <n v="12094"/>
    <n v="1031.115954113224"/>
    <n v="9.4412105176120384"/>
    <n v="871490.61300000001"/>
    <n v="0"/>
    <n v="0"/>
    <n v="0"/>
    <n v="0"/>
    <s v="NA"/>
    <n v="871490.61300000001"/>
    <n v="573016.10199999996"/>
    <n v="38948.336000000003"/>
    <n v="0"/>
    <n v="20867.844000000001"/>
    <n v="105777.19500000001"/>
    <n v="84645.373000000007"/>
    <n v="300.625"/>
    <n v="823555.47499999998"/>
    <n v="0"/>
    <n v="823555.47499999998"/>
    <s v="NA"/>
    <n v="34874.641000000003"/>
    <n v="32727.665000000001"/>
    <n v="50871.968000000001"/>
    <s v="NA"/>
    <n v="942029.74899999995"/>
    <n v="-70539.135999999999"/>
    <s v="No"/>
    <x v="1"/>
    <x v="2"/>
    <n v="3.9690671362015865E-2"/>
    <n v="-7.6071507556188744E-2"/>
    <x v="8"/>
  </r>
  <r>
    <s v="NM"/>
    <s v="HCSC Insurance Services Co."/>
    <n v="28"/>
    <n v="89"/>
    <s v="HCSC Insurance Services Co."/>
    <s v="NM"/>
    <x v="0"/>
    <n v="2014"/>
    <n v="-44970.248"/>
    <n v="83095.168000000005"/>
    <n v="-4.4057433619933644"/>
    <n v="659.21152970000003"/>
    <n v="1020718.737"/>
    <n v="110683"/>
    <n v="1177751"/>
    <n v="574.47381577260387"/>
    <n v="676587.11100000003"/>
    <n v="676587.11100000003"/>
    <n v="595156.973"/>
    <n v="87.964574453739473"/>
    <m/>
    <n v="480741"/>
    <n v="4898.2272144111957"/>
    <n v="438493"/>
    <n v="32691"/>
    <n v="4467.7661067577101"/>
    <n v="13.413263589367103"/>
    <n v="674641.18700000003"/>
    <n v="0"/>
    <n v="0"/>
    <n v="0"/>
    <n v="0"/>
    <s v="NA"/>
    <n v="674641.18700000003"/>
    <n v="537451.24399999995"/>
    <n v="0"/>
    <n v="0"/>
    <n v="0"/>
    <n v="57705.728999999999"/>
    <n v="0"/>
    <n v="0"/>
    <n v="595156.973"/>
    <n v="1441.5340000000001"/>
    <n v="593715.43900000001"/>
    <s v="NA"/>
    <n v="84081.671000000002"/>
    <n v="55625.152000000002"/>
    <n v="-35280"/>
    <s v="NA"/>
    <n v="698142.26199999999"/>
    <n v="-23501.075000000001"/>
    <s v="No"/>
    <x v="0"/>
    <x v="2"/>
    <n v="8.1408486968922972E-2"/>
    <n v="3.8945768493682281E-2"/>
    <x v="1"/>
  </r>
  <r>
    <s v="SC"/>
    <s v="Centene Corp. "/>
    <n v="2"/>
    <n v="86"/>
    <s v="Absolute Total Care Inc."/>
    <s v="SC"/>
    <x v="1"/>
    <n v="2014"/>
    <n v="-8447.0460000000003"/>
    <n v="43944.553999999996"/>
    <n v="-2.1316605297284097"/>
    <n v="348.74746740000001"/>
    <n v="396266.00400000002"/>
    <n v="109659"/>
    <n v="1226254"/>
    <n v="324.76165052264867"/>
    <n v="398240.27299999999"/>
    <n v="398240.27299999999"/>
    <n v="349180.52"/>
    <n v="87.680865968068474"/>
    <m/>
    <n v="624580"/>
    <n v="6112.0779218661064"/>
    <n v="54917"/>
    <n v="11687"/>
    <n v="537.41231425137039"/>
    <n v="4.698981774621374"/>
    <n v="396266.00400000002"/>
    <n v="0"/>
    <n v="0"/>
    <n v="0"/>
    <n v="0"/>
    <s v="NA"/>
    <n v="396266.00400000002"/>
    <n v="233963.62599999999"/>
    <n v="18370.677"/>
    <n v="0"/>
    <n v="38863.288999999997"/>
    <n v="56653.459000000003"/>
    <n v="0"/>
    <n v="1329.4680000000001"/>
    <n v="349180.51899999997"/>
    <n v="1955.84"/>
    <n v="347224.679"/>
    <s v="NA"/>
    <n v="11840.208000000001"/>
    <n v="43944.553999999996"/>
    <n v="2546.6030000000001"/>
    <s v="NA"/>
    <n v="405556.04399999999"/>
    <n v="-9290.0400000000009"/>
    <s v="No"/>
    <x v="1"/>
    <x v="2"/>
    <n v="0.11089660368644694"/>
    <n v="-2.1316605297284096E-2"/>
    <x v="7"/>
  </r>
  <r>
    <s v="KS"/>
    <s v="UnitedHealth Group Inc. "/>
    <n v="1"/>
    <n v="81"/>
    <s v="UnitedHealthcare of the MW Inc"/>
    <s v="KS"/>
    <x v="0"/>
    <n v="2014"/>
    <n v="47110.252999999997"/>
    <n v="70566.861000000004"/>
    <n v="5.1678887136695275"/>
    <n v="557.41913399999999"/>
    <n v="911595.73300000001"/>
    <n v="109236"/>
    <n v="1338067"/>
    <n v="588.51823638128735"/>
    <n v="787476.83100000001"/>
    <n v="787476.83100000001"/>
    <n v="714199.51"/>
    <n v="90.694669593396583"/>
    <m/>
    <n v="1228282"/>
    <n v="11015.43046798105"/>
    <n v="476183"/>
    <n v="75073"/>
    <n v="4270.4857081147657"/>
    <n v="6.3429328786647661"/>
    <n v="313163.005"/>
    <n v="0"/>
    <n v="0"/>
    <n v="0"/>
    <n v="0"/>
    <s v="NA"/>
    <n v="313163.005"/>
    <n v="602261.84199999995"/>
    <n v="21795.161"/>
    <n v="0"/>
    <n v="0"/>
    <n v="90142.506999999998"/>
    <n v="0"/>
    <n v="0"/>
    <n v="714199.51"/>
    <n v="428519.70600000001"/>
    <n v="285679.804"/>
    <s v="NA"/>
    <n v="13428.442999999999"/>
    <n v="17106.591"/>
    <n v="0"/>
    <s v="NA"/>
    <n v="316214.83799999999"/>
    <n v="-3051.8330000000001"/>
    <s v="No"/>
    <x v="1"/>
    <x v="2"/>
    <n v="7.7410258128095044E-2"/>
    <n v="1.5643045937939137E-2"/>
    <x v="6"/>
  </r>
  <r>
    <s v="TX"/>
    <s v="Cook Children's Health Plan"/>
    <n v="61"/>
    <n v="93"/>
    <s v="Cook Children's Health Plan"/>
    <s v="TX"/>
    <x v="0"/>
    <n v="2014"/>
    <n v="18290.798999999999"/>
    <n v="16576.351999999999"/>
    <n v="6.1861953238417522"/>
    <n v="537.0594122"/>
    <n v="295671.217"/>
    <n v="100536"/>
    <n v="1044669"/>
    <n v="236.3014744383149"/>
    <n v="246856.82500000001"/>
    <n v="246856.82500000001"/>
    <n v="210754.905"/>
    <n v="85.375360798713984"/>
    <m/>
    <n v="1901717"/>
    <n v="21844.817832251174"/>
    <n v="45193"/>
    <n v="11790"/>
    <n v="519.12711107537416"/>
    <n v="3.8331636980491943"/>
    <n v="245129.19699999999"/>
    <n v="0"/>
    <n v="0"/>
    <n v="0"/>
    <n v="-235.41"/>
    <s v="NA"/>
    <n v="244893.78700000001"/>
    <n v="124343.889"/>
    <n v="33487.264999999999"/>
    <n v="0"/>
    <n v="16492.918000000001"/>
    <n v="35484.125999999997"/>
    <n v="0"/>
    <n v="946.70600000000002"/>
    <n v="210754.90400000001"/>
    <n v="1394.79"/>
    <n v="209360.114"/>
    <s v="NA"/>
    <n v="8566.0889999999999"/>
    <n v="13728.419"/>
    <n v="0"/>
    <s v="NA"/>
    <n v="231654.622"/>
    <n v="13239.165000000001"/>
    <s v="Yes"/>
    <x v="0"/>
    <x v="2"/>
    <n v="5.6063461868863615E-2"/>
    <n v="9.0182930143996545E-2"/>
    <x v="5"/>
  </r>
  <r>
    <s v="MS"/>
    <s v="Centene Corp. "/>
    <n v="2"/>
    <n v="98"/>
    <s v="Magnolia Health Plan Inc."/>
    <s v="MS"/>
    <x v="1"/>
    <n v="2014"/>
    <n v="-14948.966"/>
    <n v="74445.763999999996"/>
    <n v="-2.7313147131694171"/>
    <n v="351.03792700000002"/>
    <n v="547317.59499999997"/>
    <n v="97778"/>
    <n v="1011611"/>
    <n v="495.45891256619393"/>
    <n v="501211.68599999999"/>
    <n v="501211.68599999999"/>
    <n v="439875.26400000002"/>
    <n v="87.762371925222837"/>
    <m/>
    <n v="739900"/>
    <n v="8776.89151264666"/>
    <n v="0"/>
    <n v="0"/>
    <n v="0"/>
    <s v="NA"/>
    <n v="500442.86200000002"/>
    <n v="0"/>
    <n v="0"/>
    <n v="0"/>
    <n v="0"/>
    <s v="NA"/>
    <n v="500442.86200000002"/>
    <n v="216920.60800000001"/>
    <n v="47840.798999999999"/>
    <n v="0"/>
    <n v="46951.078000000001"/>
    <n v="127389.185"/>
    <n v="0"/>
    <n v="773.59299999999996"/>
    <n v="439875.26299999998"/>
    <n v="471.19200000000001"/>
    <n v="439404.071"/>
    <s v="NA"/>
    <n v="14296.531000000001"/>
    <n v="65012.391000000003"/>
    <n v="4487.4309999999996"/>
    <s v="NA"/>
    <n v="523200.424"/>
    <n v="-22757.562000000002"/>
    <s v="No"/>
    <x v="1"/>
    <x v="3"/>
    <n v="0.13601931434343892"/>
    <n v="-2.7313147131694172E-2"/>
    <x v="3"/>
  </r>
  <r>
    <s v="KY"/>
    <s v="Humana Inc. "/>
    <n v="9"/>
    <n v="117"/>
    <s v="Humana Health Plan Inc."/>
    <s v="KY"/>
    <x v="0"/>
    <n v="2014"/>
    <n v="-49084.294000000002"/>
    <n v="505296.52899999998"/>
    <n v="-0.99217396204283259"/>
    <n v="432.79333250000002"/>
    <n v="4947145.9519999996"/>
    <n v="96811"/>
    <n v="771551"/>
    <n v="614.82746571516338"/>
    <n v="474370.74599999998"/>
    <n v="474370.74599999998"/>
    <n v="414446.375"/>
    <n v="87.367608246230262"/>
    <m/>
    <n v="504347"/>
    <n v="7844.1528816630398"/>
    <n v="128451"/>
    <n v="18360"/>
    <n v="1997.8096068827595"/>
    <n v="6.996241830065359"/>
    <n v="117648.469"/>
    <n v="-9395.9950000000008"/>
    <n v="0"/>
    <n v="0"/>
    <n v="0"/>
    <s v="NA"/>
    <n v="108252.474"/>
    <n v="412577.79700000002"/>
    <n v="9662.0730000000003"/>
    <n v="0"/>
    <n v="732.83"/>
    <n v="75706.759999999995"/>
    <n v="0"/>
    <n v="0"/>
    <n v="498679.46"/>
    <n v="414446.37599999999"/>
    <n v="84233.084000000003"/>
    <s v="NA"/>
    <n v="10721.625"/>
    <n v="17811.465"/>
    <n v="6076.6480000000001"/>
    <s v="NA"/>
    <n v="118842.822"/>
    <n v="-10590.348"/>
    <s v="Yes"/>
    <x v="1"/>
    <x v="3"/>
    <n v="0.102138997697394"/>
    <n v="2.418491984030334E-2"/>
    <x v="6"/>
  </r>
  <r>
    <s v="NY"/>
    <s v="Cap District Physicians' Hlth"/>
    <n v="49"/>
    <n v="94"/>
    <s v="Cap District Physicians' Hlth"/>
    <s v="NY"/>
    <x v="0"/>
    <n v="2014"/>
    <n v="23693.345000000001"/>
    <n v="81450.803"/>
    <n v="1.6604770674086191"/>
    <n v="458.24983150000003"/>
    <n v="1426899.8629999999"/>
    <n v="96539"/>
    <n v="1043403"/>
    <n v="419.83379384571447"/>
    <n v="438055.84"/>
    <n v="438055.84"/>
    <n v="384503.64299999998"/>
    <n v="87.775029548744271"/>
    <m/>
    <n v="610912"/>
    <n v="7025.9947498713345"/>
    <n v="70383"/>
    <n v="13476"/>
    <n v="809.46288251040107"/>
    <n v="5.2228406055209264"/>
    <n v="438055.84"/>
    <n v="0"/>
    <n v="0"/>
    <n v="0"/>
    <n v="0"/>
    <s v="NA"/>
    <n v="438055.84"/>
    <n v="209334.633"/>
    <n v="46383.455000000002"/>
    <n v="0"/>
    <n v="12558.844999999999"/>
    <n v="105465.02499999999"/>
    <n v="9211.14"/>
    <n v="1550.5450000000001"/>
    <n v="384503.64299999998"/>
    <n v="2240.3690000000001"/>
    <n v="382263.27399999998"/>
    <s v="NA"/>
    <n v="22714.812999999998"/>
    <n v="18067.996999999999"/>
    <n v="-8000"/>
    <s v="NA"/>
    <n v="415046.08399999997"/>
    <n v="23009.756000000001"/>
    <s v="No"/>
    <x v="0"/>
    <x v="3"/>
    <n v="5.7082353928293847E-2"/>
    <n v="6.5167350584263387E-2"/>
    <x v="2"/>
  </r>
  <r>
    <s v="TX"/>
    <s v="St. Joseph Health System (SHA)"/>
    <n v="55"/>
    <n v="91"/>
    <s v="St. Joseph Health System (SHA)"/>
    <s v="TX"/>
    <x v="0"/>
    <n v="2014"/>
    <n v="-34588.955999999998"/>
    <n v="61674.805"/>
    <n v="-6.768713679111829"/>
    <n v="295.98594836784798"/>
    <n v="511012.24900000001"/>
    <n v="96214"/>
    <n v="1088898"/>
    <n v="264.92648714571982"/>
    <n v="288819.25099999999"/>
    <n v="288477.92200000002"/>
    <n v="265315.54200000002"/>
    <n v="91.970830960159233"/>
    <m/>
    <n v="110140"/>
    <n v="1213.7775990037635"/>
    <n v="72128"/>
    <n v="21239"/>
    <n v="794.87334901891643"/>
    <n v="3.3960167616177785"/>
    <n v="287285.76199999999"/>
    <n v="-314.072"/>
    <n v="0"/>
    <n v="0"/>
    <n v="0"/>
    <s v="NA"/>
    <n v="286971.69"/>
    <n v="186344.69200000001"/>
    <n v="0"/>
    <n v="18096.451000000001"/>
    <n v="9510.4169999999995"/>
    <n v="51395.625999999997"/>
    <n v="0"/>
    <n v="0"/>
    <n v="265347.18699999998"/>
    <n v="1251.4349999999999"/>
    <n v="264095.75199999998"/>
    <s v="NA"/>
    <n v="3651.3139999999999"/>
    <n v="31975.86"/>
    <n v="0"/>
    <s v="NA"/>
    <n v="299722.92599999998"/>
    <n v="-12751.236000000001"/>
    <s v="Yes"/>
    <x v="0"/>
    <x v="3"/>
    <n v="0.12069144158616832"/>
    <n v="-4.0399751187760652E-2"/>
    <x v="3"/>
  </r>
  <r>
    <s v="MI"/>
    <s v="Priority Health Choice Inc. (Spectrum Health System)"/>
    <n v="53"/>
    <n v="95"/>
    <s v="Priority Health Choice Inc. (Spectrum Health System)"/>
    <s v="MI"/>
    <x v="1"/>
    <n v="2014"/>
    <n v="203.386"/>
    <n v="28176.444"/>
    <n v="5.9635005768911113E-2"/>
    <n v="316.80361310000001"/>
    <n v="341051.36300000001"/>
    <n v="94324"/>
    <n v="1041557"/>
    <n v="319.22372083332931"/>
    <n v="332711.33799999999"/>
    <n v="332489.701"/>
    <n v="299055.984"/>
    <n v="89.944435301471188"/>
    <m/>
    <n v="993581"/>
    <n v="11447.258287352492"/>
    <n v="38651"/>
    <n v="8550"/>
    <n v="445.30640185798762"/>
    <n v="4.5205847953216374"/>
    <n v="332489.70199999999"/>
    <n v="0"/>
    <n v="0"/>
    <n v="0"/>
    <n v="0"/>
    <s v="NA"/>
    <n v="332489.70199999999"/>
    <n v="234353.856"/>
    <n v="3187.65"/>
    <n v="3766.357"/>
    <n v="13820.418"/>
    <n v="40992.163"/>
    <n v="0"/>
    <n v="2935.54"/>
    <n v="299055.984"/>
    <n v="922.46799999999996"/>
    <n v="298133.516"/>
    <s v="NA"/>
    <n v="7874.0510000000004"/>
    <n v="27769.526999999998"/>
    <n v="0"/>
    <s v="NA"/>
    <n v="333777.09399999998"/>
    <n v="-1287.3920000000001"/>
    <s v="Yes"/>
    <x v="0"/>
    <x v="3"/>
    <n v="8.2616423966615254E-2"/>
    <n v="5.9635005768911113E-4"/>
    <x v="6"/>
  </r>
  <r>
    <s v="MO"/>
    <s v="WellCare Health Plans Inc. "/>
    <n v="6"/>
    <n v="92"/>
    <s v="Missouri Care Inc."/>
    <s v="MO"/>
    <x v="1"/>
    <n v="2014"/>
    <n v="4015.0949999999998"/>
    <n v="21765.718000000001"/>
    <n v="1.4588404606655558"/>
    <n v="545.66107920000002"/>
    <n v="275225.092"/>
    <n v="94322"/>
    <n v="1082412"/>
    <n v="243.17049700114188"/>
    <n v="263210.66399999999"/>
    <n v="263210.66399999999"/>
    <n v="226935.78200000001"/>
    <n v="86.218308388903267"/>
    <m/>
    <n v="344869"/>
    <n v="3823.3389873726455"/>
    <n v="44564"/>
    <n v="4742"/>
    <n v="494.05217237059458"/>
    <n v="9.3977224799662586"/>
    <n v="263210.66399999999"/>
    <n v="0"/>
    <n v="0"/>
    <n v="0"/>
    <n v="0"/>
    <s v="NA"/>
    <n v="263210.66399999999"/>
    <n v="187153.89600000001"/>
    <n v="6373.616"/>
    <n v="0"/>
    <n v="33405.629999999997"/>
    <n v="2.6389999999999998"/>
    <n v="0"/>
    <n v="0"/>
    <n v="226935.78099999999"/>
    <n v="771.02099999999996"/>
    <n v="226164.76"/>
    <s v="NA"/>
    <n v="7685.7209999999995"/>
    <n v="21069.125"/>
    <n v="0"/>
    <s v="NA"/>
    <n v="254919.606"/>
    <n v="8291.0580000000009"/>
    <s v="No"/>
    <x v="1"/>
    <x v="3"/>
    <n v="7.9083334451206216E-2"/>
    <n v="1.4588404606655558E-2"/>
    <x v="6"/>
  </r>
  <r>
    <s v="IL"/>
    <s v="Molina"/>
    <n v="4"/>
    <n v="156"/>
    <s v="Molina Healthcare of IL Inc"/>
    <s v="IL"/>
    <x v="0"/>
    <n v="2014"/>
    <n v="-3772.2280000000001"/>
    <n v="17278.893"/>
    <n v="-2.2094038727970089"/>
    <n v="318.37943159999998"/>
    <n v="170735.10399999999"/>
    <n v="94080"/>
    <n v="284954"/>
    <n v="510.07870042182248"/>
    <n v="145348.96599999999"/>
    <n v="145348.96599999999"/>
    <n v="124663.54700000001"/>
    <n v="85.76844433829686"/>
    <m/>
    <n v="123371"/>
    <n v="5195.4069779683741"/>
    <n v="109897"/>
    <n v="7530"/>
    <n v="4627.9890789390565"/>
    <n v="14.594555112881807"/>
    <n v="145225.71599999999"/>
    <n v="0"/>
    <n v="0"/>
    <n v="0"/>
    <n v="0"/>
    <s v="NA"/>
    <n v="145225.71599999999"/>
    <n v="75684.854999999996"/>
    <n v="2395.3919999999998"/>
    <n v="12086.227000000001"/>
    <n v="15750.295"/>
    <n v="18746.777999999998"/>
    <n v="0"/>
    <n v="0"/>
    <n v="124663.54700000001"/>
    <n v="169.63399999999999"/>
    <n v="124493.913"/>
    <s v="NA"/>
    <n v="11310.550999999999"/>
    <n v="14697.093000000001"/>
    <n v="0"/>
    <s v="NA"/>
    <n v="150501.557"/>
    <n v="-5275.8410000000003"/>
    <s v="No"/>
    <x v="1"/>
    <x v="3"/>
    <n v="0.10120293129642514"/>
    <n v="4.1112625320606291E-2"/>
    <x v="1"/>
  </r>
  <r>
    <s v="MI"/>
    <s v="HAP Midwest Health Plan Inc."/>
    <n v="34"/>
    <n v="96"/>
    <s v="HAP Midwest Health Plan Inc."/>
    <s v="MI"/>
    <x v="1"/>
    <n v="2014"/>
    <n v="19130.072"/>
    <n v="37430.525999999998"/>
    <n v="5.0118055871812341"/>
    <n v="387.27479729999999"/>
    <n v="381700.201"/>
    <n v="90954"/>
    <n v="1024642"/>
    <n v="358.6710392507822"/>
    <n v="367509.41100000002"/>
    <n v="367509.41100000002"/>
    <n v="298495.36499999999"/>
    <n v="81.221148646993413"/>
    <m/>
    <n v="509717"/>
    <n v="5969.5034948791872"/>
    <n v="35115"/>
    <n v="8200"/>
    <n v="411.2460742386121"/>
    <n v="4.2823170731707316"/>
    <n v="366237.82400000002"/>
    <n v="0"/>
    <n v="0"/>
    <n v="0"/>
    <n v="-434.26400000000001"/>
    <s v="NA"/>
    <n v="365803.56099999999"/>
    <n v="211420.79699999999"/>
    <n v="20785.921999999999"/>
    <n v="4026.4540000000002"/>
    <n v="20754.777999999998"/>
    <n v="39077.413999999997"/>
    <n v="0"/>
    <n v="2430"/>
    <n v="298495.36499999999"/>
    <n v="1944.5260000000001"/>
    <n v="296550.83899999998"/>
    <s v="NA"/>
    <n v="3763.223"/>
    <n v="35533.622000000003"/>
    <n v="0"/>
    <s v="NA"/>
    <n v="335847.68300000002"/>
    <n v="29955.878000000001"/>
    <s v="Yes"/>
    <x v="0"/>
    <x v="3"/>
    <n v="9.8062631096178007E-2"/>
    <n v="5.0118055871812339E-2"/>
    <x v="2"/>
  </r>
  <r>
    <s v="MN"/>
    <s v="HMO Minnesota (BCBS-MN)"/>
    <n v="50"/>
    <n v="102"/>
    <s v="HMO Minnesota (BCBS-MN)"/>
    <s v="MN"/>
    <x v="0"/>
    <n v="2014"/>
    <n v="85730.726999999999"/>
    <n v="40420.945"/>
    <n v="10.449903092079747"/>
    <n v="1703.9953177"/>
    <n v="820397.34"/>
    <n v="89085"/>
    <n v="978774"/>
    <n v="429.53025315343478"/>
    <n v="420413.04399999999"/>
    <n v="420413.04399999999"/>
    <n v="352959.39399999997"/>
    <n v="83.955386027461131"/>
    <m/>
    <n v="584818"/>
    <n v="7170.0065592261335"/>
    <n v="65741"/>
    <n v="13784"/>
    <n v="806.0001593830649"/>
    <n v="4.7693702843876959"/>
    <n v="420413.04399999999"/>
    <n v="0"/>
    <n v="0"/>
    <n v="0"/>
    <n v="0"/>
    <s v="NA"/>
    <n v="420413.04399999999"/>
    <n v="265050.136"/>
    <n v="13782.929"/>
    <n v="352.96"/>
    <n v="11490.183000000001"/>
    <n v="59367.343000000001"/>
    <n v="0"/>
    <n v="2915.8429999999998"/>
    <n v="352959.39399999997"/>
    <n v="0"/>
    <n v="352959.39399999997"/>
    <s v="NA"/>
    <n v="20321.187000000002"/>
    <n v="21692.822"/>
    <n v="0"/>
    <s v="NA"/>
    <n v="394973.40299999999"/>
    <n v="25439.641"/>
    <s v="No"/>
    <x v="0"/>
    <x v="3"/>
    <n v="4.9269961065451527E-2"/>
    <n v="0.11117617865993715"/>
    <x v="4"/>
  </r>
  <r>
    <s v="FL"/>
    <s v="Anthem"/>
    <n v="3"/>
    <n v="116"/>
    <s v="Simply Healthcare Plans Inc."/>
    <s v="FL"/>
    <x v="0"/>
    <n v="2014"/>
    <n v="11856.73"/>
    <n v="65803.921000000002"/>
    <n v="1.4206351862668156"/>
    <n v="86.117638200000002"/>
    <n v="834607.65399999998"/>
    <n v="89022"/>
    <n v="775261"/>
    <n v="497.76915903160358"/>
    <n v="386444.16100000002"/>
    <n v="385901.016"/>
    <n v="346496.95400000003"/>
    <n v="89.789075341537853"/>
    <m/>
    <n v="554454"/>
    <n v="8582.2039287414173"/>
    <n v="36166"/>
    <n v="6927"/>
    <n v="559.80115083823387"/>
    <n v="5.2210192002309803"/>
    <n v="385936.973"/>
    <n v="0"/>
    <n v="0"/>
    <n v="0"/>
    <n v="0"/>
    <s v="NA"/>
    <n v="385936.973"/>
    <n v="111551.3"/>
    <n v="74271.807000000001"/>
    <n v="0"/>
    <n v="0"/>
    <n v="141312.99299999999"/>
    <n v="0"/>
    <n v="15263.128000000001"/>
    <n v="342399.228"/>
    <n v="48.753"/>
    <n v="342350.47499999998"/>
    <s v="NA"/>
    <n v="3104.3919999999998"/>
    <n v="28040.742999999999"/>
    <n v="0"/>
    <s v="NA"/>
    <n v="373495.61"/>
    <n v="12441.362999999999"/>
    <s v="No"/>
    <x v="1"/>
    <x v="3"/>
    <n v="7.8844137942688935E-2"/>
    <n v="2.3265108641932569E-2"/>
    <x v="6"/>
  </r>
  <r>
    <s v="OR"/>
    <s v="Centene Corp. "/>
    <n v="2"/>
    <n v="99"/>
    <s v="Trillium Cmnty Health Plan Inc"/>
    <s v="OR"/>
    <x v="0"/>
    <n v="2014"/>
    <n v="22199.794999999998"/>
    <n v="19380.032999999999"/>
    <n v="5.4474158545607017"/>
    <n v="332.03254129999999"/>
    <n v="407528.92"/>
    <n v="88812"/>
    <n v="1006466"/>
    <n v="349.94184900433794"/>
    <n v="352204.57299999997"/>
    <n v="352204.57299999997"/>
    <n v="280925.12699999998"/>
    <n v="79.761919218465124"/>
    <m/>
    <n v="644982"/>
    <n v="7690.0600715771816"/>
    <n v="33579"/>
    <n v="7081"/>
    <n v="400.35927691546459"/>
    <n v="4.7421268182460103"/>
    <n v="350195.005"/>
    <n v="0"/>
    <n v="0"/>
    <n v="0"/>
    <n v="7071.1329999999998"/>
    <s v="NA"/>
    <n v="357266.13799999998"/>
    <n v="187910.935"/>
    <n v="25720.53"/>
    <n v="0"/>
    <n v="23526.317999999999"/>
    <n v="38709.777999999998"/>
    <n v="0"/>
    <n v="5057.567"/>
    <n v="280925.12699999998"/>
    <n v="5720.6809999999996"/>
    <n v="275204.446"/>
    <s v="NA"/>
    <n v="29859.024000000001"/>
    <n v="15804.146000000001"/>
    <n v="0"/>
    <s v="NA"/>
    <n v="320867.61599999998"/>
    <n v="36398.521999999997"/>
    <s v="No"/>
    <x v="1"/>
    <x v="3"/>
    <n v="4.7554988244760642E-2"/>
    <n v="0.15482581957058808"/>
    <x v="10"/>
  </r>
  <r>
    <s v="WV"/>
    <s v="Anthem"/>
    <n v="3"/>
    <n v="90"/>
    <s v="UNICARE Health Plan of WV Inc."/>
    <s v="WV"/>
    <x v="1"/>
    <n v="2014"/>
    <n v="24522.036"/>
    <n v="12496.621999999999"/>
    <n v="8.9019834793122286"/>
    <n v="708.68655790000003"/>
    <n v="275467.103"/>
    <n v="88546"/>
    <n v="1109394"/>
    <n v="248.30412188996877"/>
    <n v="275467.103"/>
    <n v="275467.103"/>
    <n v="212948.34400000001"/>
    <n v="77.304455479752889"/>
    <m/>
    <n v="578473"/>
    <n v="6257.1782432571299"/>
    <n v="37173"/>
    <n v="10749"/>
    <n v="402.08978956078727"/>
    <n v="3.4582751883896177"/>
    <n v="275467.103"/>
    <n v="0"/>
    <n v="0"/>
    <n v="0"/>
    <n v="0"/>
    <s v="NA"/>
    <n v="275467.103"/>
    <n v="160117.37599999999"/>
    <n v="4618.2120000000004"/>
    <n v="0"/>
    <n v="0"/>
    <n v="48212.756000000001"/>
    <n v="0"/>
    <n v="0"/>
    <n v="212948.34400000001"/>
    <n v="0"/>
    <n v="212948.34400000001"/>
    <s v="NA"/>
    <n v="12561.297"/>
    <n v="12496.621999999999"/>
    <n v="0"/>
    <s v="NA"/>
    <n v="238006.26300000001"/>
    <n v="37460.839999999997"/>
    <s v="No"/>
    <x v="1"/>
    <x v="3"/>
    <n v="4.5365206458064793E-2"/>
    <n v="8.9019834793122282E-2"/>
    <x v="5"/>
  </r>
  <r>
    <s v="IL"/>
    <s v="Centene Corp. "/>
    <n v="2"/>
    <n v="141"/>
    <s v="IlliniCare Health Plan Inc."/>
    <s v="IL"/>
    <x v="1"/>
    <n v="2014"/>
    <n v="10875.782999999999"/>
    <n v="20300.134999999998"/>
    <n v="2.0597926245164939"/>
    <n v="441.22683289999998"/>
    <n v="528003.78399999999"/>
    <n v="88274"/>
    <n v="415146"/>
    <n v="1271.6149210157391"/>
    <n v="527905.848"/>
    <n v="527905.848"/>
    <n v="472911.163"/>
    <n v="89.582482329311105"/>
    <m/>
    <n v="296957"/>
    <n v="8583.6886300241367"/>
    <n v="768766"/>
    <n v="36668"/>
    <n v="22221.560607593474"/>
    <n v="20.965583069706557"/>
    <n v="523869.54399999999"/>
    <n v="-5151.8230000000003"/>
    <n v="0"/>
    <n v="0"/>
    <n v="0"/>
    <s v="NA"/>
    <n v="518717.72100000002"/>
    <n v="320830.50799999997"/>
    <n v="33779.629000000001"/>
    <n v="0"/>
    <n v="14811.501"/>
    <n v="101755.60799999999"/>
    <n v="0"/>
    <n v="1733.9179999999999"/>
    <n v="472911.16399999999"/>
    <n v="2775.002"/>
    <n v="470136.16200000001"/>
    <s v="NA"/>
    <n v="10054.691999999999"/>
    <n v="19435.161"/>
    <n v="0"/>
    <s v="NA"/>
    <n v="499626.01500000001"/>
    <n v="19091.705999999998"/>
    <s v="No"/>
    <x v="1"/>
    <x v="3"/>
    <n v="3.8446949842314004E-2"/>
    <n v="2.0597926245164939E-2"/>
    <x v="6"/>
  </r>
  <r>
    <s v="MS"/>
    <s v="UnitedHealth Group Inc. "/>
    <n v="1"/>
    <n v="110"/>
    <s v="UnitedHealthCare of MS Inc."/>
    <s v="MS"/>
    <x v="1"/>
    <n v="2014"/>
    <n v="13383.52"/>
    <n v="31271.526999999998"/>
    <n v="3.3432976703124275"/>
    <n v="395.90659629999999"/>
    <n v="400308.95600000001"/>
    <n v="87516"/>
    <n v="842465"/>
    <n v="468.70618245268349"/>
    <n v="394868.554"/>
    <n v="394868.554"/>
    <n v="337975.02600000001"/>
    <n v="85.591780499188602"/>
    <m/>
    <n v="1241661"/>
    <n v="17686.11396319135"/>
    <n v="6683"/>
    <n v="1278"/>
    <n v="95.192085131133041"/>
    <n v="5.2292644757433493"/>
    <n v="368277"/>
    <n v="0"/>
    <n v="0"/>
    <n v="0"/>
    <n v="0"/>
    <s v="NA"/>
    <n v="368277"/>
    <n v="235275.78099999999"/>
    <n v="7607.5450000000001"/>
    <n v="0"/>
    <n v="0"/>
    <n v="94903.745999999999"/>
    <n v="0"/>
    <n v="187.95400000000001"/>
    <n v="337975.02600000001"/>
    <n v="23845.748"/>
    <n v="314129.27799999999"/>
    <s v="NA"/>
    <n v="12228.118"/>
    <n v="25433.431"/>
    <n v="-4784"/>
    <s v="NA"/>
    <n v="347006.82699999999"/>
    <n v="21270.172999999999"/>
    <s v="No"/>
    <x v="1"/>
    <x v="3"/>
    <n v="7.8118479567566804E-2"/>
    <n v="3.3432976703124277E-2"/>
    <x v="1"/>
  </r>
  <r>
    <s v="SC"/>
    <s v="BlueChoice HealthPlan of SC/BCBS-SC"/>
    <n v="56"/>
    <n v="106"/>
    <s v="BlueChoice HealthPlan of SC/BCBS-SC"/>
    <s v="SC"/>
    <x v="0"/>
    <n v="2014"/>
    <n v="57325.813000000002"/>
    <n v="325790.33299999998"/>
    <n v="1.9977908632162522"/>
    <n v="802.28771570141896"/>
    <n v="2869460.165"/>
    <n v="83831"/>
    <n v="901347"/>
    <n v="312.00136462427901"/>
    <n v="281221.49400000001"/>
    <n v="281221.49400000001"/>
    <n v="239093.19500000001"/>
    <n v="85.019530903992703"/>
    <m/>
    <n v="677121"/>
    <n v="9014.7878674916537"/>
    <n v="54829"/>
    <n v="14759"/>
    <n v="729.96082529813714"/>
    <n v="3.71495358764143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0"/>
    <x v="3"/>
    <n v="0.11353715133382937"/>
    <n v="3.6267539626243614E-2"/>
    <x v="1"/>
  </r>
  <r>
    <s v="MI"/>
    <s v="HealthPlus Partners Inc."/>
    <n v="35"/>
    <n v="104"/>
    <s v="HealthPlus Partners Inc."/>
    <s v="MI"/>
    <x v="1"/>
    <n v="2014"/>
    <n v="-8934.8510000000006"/>
    <n v="33433.955000000002"/>
    <n v="-3.0191322951532817"/>
    <n v="248.0022323"/>
    <n v="295941.02299999999"/>
    <n v="83513"/>
    <n v="933106"/>
    <n v="317.33632513347897"/>
    <n v="296108.429"/>
    <n v="296108.429"/>
    <n v="268136.69799999997"/>
    <n v="90.553551246594182"/>
    <m/>
    <n v="222517"/>
    <n v="2861.6298684179505"/>
    <n v="38681"/>
    <n v="9100"/>
    <n v="497.44830705193192"/>
    <n v="4.2506593406593405"/>
    <n v="295941.02299999999"/>
    <n v="0"/>
    <n v="0"/>
    <n v="0"/>
    <n v="0"/>
    <s v="NA"/>
    <n v="295941.02299999999"/>
    <n v="197809.853"/>
    <n v="0"/>
    <n v="0"/>
    <n v="17119.483"/>
    <n v="43627.372000000003"/>
    <n v="3110.2150000000001"/>
    <n v="6469.7749999999996"/>
    <n v="268136.69799999997"/>
    <n v="0"/>
    <n v="268136.69799999997"/>
    <s v="NA"/>
    <n v="6096.4279999999999"/>
    <n v="33433.955000000002"/>
    <n v="0"/>
    <s v="NA"/>
    <n v="307667.08100000001"/>
    <n v="-11726.058000000001"/>
    <s v="Yes"/>
    <x v="0"/>
    <x v="3"/>
    <n v="0.11297506057482272"/>
    <n v="-3.0191322951532817E-2"/>
    <x v="3"/>
  </r>
  <r>
    <s v="NE"/>
    <s v="Aetna"/>
    <n v="5"/>
    <n v="101"/>
    <s v="Coventry Health Care of NE Inc"/>
    <s v="NE"/>
    <x v="0"/>
    <n v="2014"/>
    <n v="11076.317999999999"/>
    <n v="47395.815000000002"/>
    <n v="2.6243343395046224"/>
    <n v="430.7652827"/>
    <n v="422062"/>
    <n v="82405"/>
    <n v="987344"/>
    <n v="268.07581957250972"/>
    <n v="264683.05200000003"/>
    <n v="264683.05200000003"/>
    <n v="221548.016"/>
    <n v="83.703136383662368"/>
    <m/>
    <n v="400774"/>
    <n v="4870.9345476348672"/>
    <n v="22766"/>
    <n v="5324"/>
    <n v="276.69383720364937"/>
    <n v="4.27610818933133"/>
    <n v="261479.38399999999"/>
    <n v="0"/>
    <n v="0"/>
    <n v="0"/>
    <n v="0"/>
    <s v="NA"/>
    <n v="261479.38399999999"/>
    <n v="206870.56299999999"/>
    <n v="3858.6089999999999"/>
    <n v="0"/>
    <n v="8310.5859999999993"/>
    <n v="2508.2579999999998"/>
    <n v="0"/>
    <n v="0"/>
    <n v="221548.016"/>
    <n v="995.89"/>
    <n v="220552.12599999999"/>
    <s v="NA"/>
    <n v="5033.8999999999996"/>
    <n v="26129.962"/>
    <n v="0"/>
    <s v="NA"/>
    <n v="251715.98800000001"/>
    <n v="9763.3960000000006"/>
    <s v="No"/>
    <x v="1"/>
    <x v="3"/>
    <n v="0.11229585937611063"/>
    <n v="5.0672776787265686E-2"/>
    <x v="2"/>
  </r>
  <r>
    <s v="WI"/>
    <s v="Molina"/>
    <n v="4"/>
    <n v="100"/>
    <s v="Molina Healthcare of WI Inc."/>
    <s v="WI"/>
    <x v="0"/>
    <n v="2014"/>
    <n v="-933.43399999999997"/>
    <n v="23466.633000000002"/>
    <n v="-0.57990125760805344"/>
    <n v="411.04357329999999"/>
    <n v="160964.29999999999"/>
    <n v="80788"/>
    <n v="999867"/>
    <n v="142.58417569536749"/>
    <n v="142565.212"/>
    <n v="142565.212"/>
    <n v="109733.935"/>
    <n v="76.97104606416886"/>
    <m/>
    <n v="374621"/>
    <n v="4496.0499746466276"/>
    <n v="27602"/>
    <n v="7424"/>
    <n v="331.26805865180069"/>
    <n v="3.7179418103448274"/>
    <n v="142525.93700000001"/>
    <n v="0"/>
    <n v="0"/>
    <n v="0"/>
    <n v="0"/>
    <s v="NA"/>
    <n v="142525.93700000001"/>
    <n v="87616.717999999993"/>
    <n v="5690.2240000000002"/>
    <n v="6262.9059999999999"/>
    <n v="10023.023999999999"/>
    <n v="0"/>
    <n v="0"/>
    <n v="141.06200000000001"/>
    <n v="109733.93399999999"/>
    <n v="0"/>
    <n v="109733.93399999999"/>
    <s v="NA"/>
    <n v="6177.4650000000001"/>
    <n v="20740.197"/>
    <n v="0"/>
    <s v="NA"/>
    <n v="136651.59599999999"/>
    <n v="5874.3410000000003"/>
    <s v="No"/>
    <x v="1"/>
    <x v="3"/>
    <n v="0.14578781133456303"/>
    <n v="8.450172802374839E-2"/>
    <x v="5"/>
  </r>
  <r>
    <s v="UT"/>
    <s v="SelectHealth Inc. (Intermountain)"/>
    <n v="58"/>
    <n v="103"/>
    <s v="SelectHealth Inc. (Intermountain)"/>
    <s v="UT"/>
    <x v="0"/>
    <n v="2014"/>
    <n v="26908.484"/>
    <n v="140560.09299999999"/>
    <n v="1.4226740215081002"/>
    <n v="630.81761689999996"/>
    <n v="1891401.9369999999"/>
    <n v="80672"/>
    <n v="976107"/>
    <n v="270.47913599636104"/>
    <n v="264016.57799999998"/>
    <n v="264016.57799999998"/>
    <n v="239672.527"/>
    <n v="90.77934757566625"/>
    <m/>
    <n v="515209"/>
    <n v="6333.8424988244115"/>
    <n v="38111"/>
    <n v="9810"/>
    <n v="468.5265037541991"/>
    <n v="3.8849133537206932"/>
    <n v="263924.21799999999"/>
    <n v="0"/>
    <n v="0"/>
    <n v="0"/>
    <n v="2602.85"/>
    <s v="NA"/>
    <n v="266527.06800000003"/>
    <n v="154582.19699999999"/>
    <n v="13354.364"/>
    <n v="0"/>
    <n v="22310.103999999999"/>
    <n v="34407.686999999998"/>
    <n v="6335.4089999999997"/>
    <n v="8682.7659999999996"/>
    <n v="239672.527"/>
    <n v="186.346"/>
    <n v="239486.18100000001"/>
    <s v="NA"/>
    <n v="12660.067999999999"/>
    <n v="5894.66"/>
    <n v="0"/>
    <s v="NA"/>
    <n v="258040.90900000001"/>
    <n v="8486.1589999999997"/>
    <s v="Yes"/>
    <x v="0"/>
    <x v="3"/>
    <n v="7.4315295046670976E-2"/>
    <n v="1.7891229196666553E-2"/>
    <x v="6"/>
  </r>
  <r>
    <s v="WI"/>
    <s v="Anthem"/>
    <n v="3"/>
    <n v="108"/>
    <s v="Compcare Health Svcs Ins Corp."/>
    <s v="WI"/>
    <x v="0"/>
    <n v="2014"/>
    <n v="29097.842000000001"/>
    <n v="76311.876000000004"/>
    <n v="4.4036471682721148"/>
    <n v="477.85509459999997"/>
    <n v="660766.88"/>
    <n v="79378"/>
    <n v="860418"/>
    <n v="155.65519084909891"/>
    <n v="133928.52799999999"/>
    <n v="133928.52799999999"/>
    <n v="106934.173"/>
    <n v="79.844208397481978"/>
    <m/>
    <n v="409738"/>
    <n v="5714.4969073171414"/>
    <n v="29055"/>
    <n v="8261"/>
    <n v="405.2216480826761"/>
    <n v="3.5171286769156276"/>
    <n v="133928.52799999999"/>
    <n v="0"/>
    <n v="0"/>
    <n v="0"/>
    <n v="0"/>
    <s v="NA"/>
    <n v="133928.52799999999"/>
    <n v="96453.510999999999"/>
    <n v="3088.9920000000002"/>
    <n v="0"/>
    <n v="7385.402"/>
    <n v="-12.582000000000001"/>
    <n v="0"/>
    <n v="18.850000000000001"/>
    <n v="106934.173"/>
    <n v="0"/>
    <n v="106934.173"/>
    <s v="NA"/>
    <n v="4541.8100000000004"/>
    <n v="18347.024000000001"/>
    <n v="-3219.89"/>
    <s v="NA"/>
    <n v="126603.117"/>
    <n v="7325.4110000000001"/>
    <s v="No"/>
    <x v="1"/>
    <x v="3"/>
    <n v="0.11548986232481871"/>
    <n v="8.6068053700361538E-2"/>
    <x v="5"/>
  </r>
  <r>
    <s v="TX"/>
    <s v="Aetna"/>
    <n v="5"/>
    <n v="115"/>
    <s v="Aetna Health Inc. (a TX corp.)"/>
    <s v="TX"/>
    <x v="0"/>
    <n v="2014"/>
    <n v="23564.401000000002"/>
    <n v="74864.97"/>
    <n v="3.4819831678590765"/>
    <n v="494.0122106"/>
    <n v="676752.29500000004"/>
    <n v="76819"/>
    <n v="800977"/>
    <n v="261.42900357937867"/>
    <n v="203536.84400000001"/>
    <n v="209398.61900000001"/>
    <n v="177299.35200000001"/>
    <n v="84.670736056764554"/>
    <m/>
    <n v="759214"/>
    <n v="11374.319112783513"/>
    <n v="53034"/>
    <n v="15678"/>
    <n v="794.53966842992997"/>
    <n v="3.3827018752391886"/>
    <n v="202536.549"/>
    <n v="5861.7749999999996"/>
    <n v="0"/>
    <n v="0"/>
    <n v="0"/>
    <s v="NA"/>
    <n v="208398.32399999999"/>
    <n v="131863.83799999999"/>
    <n v="1.5589999999999999"/>
    <n v="7801.183"/>
    <n v="13156.091"/>
    <n v="24096.931"/>
    <n v="0"/>
    <n v="379.75"/>
    <n v="177299.35200000001"/>
    <n v="659.61199999999997"/>
    <n v="176639.74"/>
    <s v="NA"/>
    <n v="2543.114"/>
    <n v="18976.137999999999"/>
    <n v="0"/>
    <s v="NA"/>
    <n v="198158.992"/>
    <n v="10239.332"/>
    <s v="No"/>
    <x v="1"/>
    <x v="3"/>
    <n v="0.11062388787318408"/>
    <n v="4.2668751559170409E-2"/>
    <x v="1"/>
  </r>
  <r>
    <s v="RI"/>
    <s v="UnitedHealth Group Inc. "/>
    <n v="1"/>
    <n v="109"/>
    <s v="UnitedHealthcare (New England)"/>
    <s v="RI"/>
    <x v="0"/>
    <n v="2014"/>
    <n v="36672.417000000001"/>
    <n v="45849.999000000003"/>
    <n v="5.3035128952339043"/>
    <n v="722.41852340000003"/>
    <n v="691474.08"/>
    <n v="76557"/>
    <n v="845808"/>
    <n v="542.49003201672247"/>
    <n v="458842.40899999999"/>
    <n v="458842.40899999999"/>
    <n v="394194.36099999998"/>
    <n v="85.910620567768831"/>
    <m/>
    <n v="730404"/>
    <n v="10362.692242210998"/>
    <n v="54517"/>
    <n v="10276"/>
    <n v="773.46631859712841"/>
    <n v="5.3052744258466333"/>
    <n v="458077.929"/>
    <n v="-229.33600000000001"/>
    <n v="0"/>
    <n v="0"/>
    <n v="0"/>
    <s v="NA"/>
    <n v="457848.59299999999"/>
    <n v="326659.05099999998"/>
    <n v="0"/>
    <n v="0"/>
    <n v="0"/>
    <n v="67459.180999999997"/>
    <n v="0"/>
    <n v="75.078999999999994"/>
    <n v="394193.31099999999"/>
    <n v="745.58399999999995"/>
    <n v="393447.72700000001"/>
    <s v="NA"/>
    <n v="14744.54"/>
    <n v="24194.183000000001"/>
    <n v="0"/>
    <s v="NA"/>
    <n v="432386.45"/>
    <n v="25462.143"/>
    <s v="No"/>
    <x v="1"/>
    <x v="3"/>
    <n v="6.6307617777950564E-2"/>
    <n v="7.4586176544361074E-2"/>
    <x v="2"/>
  </r>
  <r>
    <s v="MI"/>
    <s v="Blue Cross Complete of MI LLC (BCBS-MI)"/>
    <n v="59"/>
    <n v="119"/>
    <s v="Blue Cross Complete of MI LLC (BCBS-MI)"/>
    <s v="MI"/>
    <x v="1"/>
    <n v="2014"/>
    <n v="-13702.587"/>
    <n v="35220.277999999998"/>
    <n v="-5.2854407846600049"/>
    <n v="448.26900879999999"/>
    <n v="259251.54699999999"/>
    <n v="74823"/>
    <n v="736371"/>
    <n v="353.64289875619761"/>
    <n v="260412.375"/>
    <n v="260412.375"/>
    <n v="232186.924"/>
    <n v="89.161248193370227"/>
    <m/>
    <n v="400738"/>
    <n v="6530.4798803863814"/>
    <n v="33546"/>
    <n v="8349"/>
    <n v="546.67008885466703"/>
    <n v="4.0179662234998199"/>
    <n v="257216.52499999999"/>
    <n v="0"/>
    <n v="0"/>
    <n v="0"/>
    <n v="2035.0219999999999"/>
    <s v="NA"/>
    <n v="259251.54699999999"/>
    <n v="178180.587"/>
    <n v="8165.3379999999997"/>
    <n v="0"/>
    <n v="15328.304"/>
    <n v="29131.022000000001"/>
    <n v="0"/>
    <n v="1381.673"/>
    <n v="232186.924"/>
    <n v="3592.3040000000001"/>
    <n v="228594.62"/>
    <s v="NA"/>
    <n v="8692.098"/>
    <n v="35220.277999999998"/>
    <n v="638.15499999999997"/>
    <s v="NA"/>
    <n v="273145.15100000001"/>
    <n v="-13893.603999999999"/>
    <s v="No"/>
    <x v="0"/>
    <x v="3"/>
    <n v="0.13585368499266853"/>
    <n v="-5.2854407846600046E-2"/>
    <x v="9"/>
  </r>
  <r>
    <s v="NM"/>
    <s v="UnitedHealth Group Inc. "/>
    <n v="1"/>
    <n v="112"/>
    <s v="UnitedHealthcare of New Mexico"/>
    <s v="NM"/>
    <x v="1"/>
    <n v="2014"/>
    <n v="34242.222000000002"/>
    <n v="80151.341"/>
    <n v="4.2148703954404247"/>
    <n v="1484.2790053000001"/>
    <n v="812414.58900000004"/>
    <n v="73799"/>
    <n v="828979"/>
    <n v="980.26849654816351"/>
    <n v="877486.37399999995"/>
    <n v="812621.99800000002"/>
    <n v="620711.01599999995"/>
    <n v="76.383732845981839"/>
    <m/>
    <n v="802793"/>
    <n v="11620.940940602837"/>
    <n v="789624"/>
    <n v="49161"/>
    <n v="11430.311262408337"/>
    <n v="16.062000366143895"/>
    <n v="877278.96400000004"/>
    <n v="-64864.375"/>
    <n v="0"/>
    <n v="0"/>
    <n v="0"/>
    <s v="NA"/>
    <n v="812414.58900000004"/>
    <n v="553664.01300000004"/>
    <n v="31045.815999999999"/>
    <n v="0"/>
    <n v="0"/>
    <n v="36001.186999999998"/>
    <n v="0"/>
    <n v="0"/>
    <n v="620711.01599999995"/>
    <n v="355.108"/>
    <n v="620355.90800000005"/>
    <s v="NA"/>
    <n v="46414.411"/>
    <n v="80151.341"/>
    <n v="0"/>
    <s v="NA"/>
    <n v="746921.66"/>
    <n v="65492.928999999996"/>
    <s v="No"/>
    <x v="1"/>
    <x v="3"/>
    <n v="9.8658175376513335E-2"/>
    <n v="4.2148703954404246E-2"/>
    <x v="1"/>
  </r>
  <r>
    <s v="WV"/>
    <s v="Aetna"/>
    <n v="5"/>
    <n v="105"/>
    <s v="Coventry Health Care of WV Inc"/>
    <s v="WV"/>
    <x v="0"/>
    <n v="2014"/>
    <n v="30963.892"/>
    <n v="19870.894"/>
    <n v="10.392586144037203"/>
    <n v="630.81969179999999"/>
    <n v="297942.125"/>
    <n v="72819"/>
    <n v="910669"/>
    <n v="261.24549863891269"/>
    <n v="237908.177"/>
    <n v="237908.177"/>
    <n v="182619.30499999999"/>
    <n v="76.760415426998961"/>
    <m/>
    <n v="337765"/>
    <n v="4450.7719050500236"/>
    <n v="36854"/>
    <n v="9973"/>
    <n v="485.62979523844558"/>
    <n v="3.6953775193021157"/>
    <n v="237908.177"/>
    <n v="0"/>
    <n v="0"/>
    <n v="0"/>
    <n v="258.44799999999998"/>
    <s v="NA"/>
    <n v="238166.625"/>
    <n v="113180.827"/>
    <n v="0"/>
    <n v="9760.8109999999997"/>
    <n v="17236.745999999999"/>
    <n v="34364.226999999999"/>
    <n v="4057.2910000000002"/>
    <n v="4019.4029999999998"/>
    <n v="182619.30499999999"/>
    <n v="833.37400000000002"/>
    <n v="181785.93100000001"/>
    <s v="NA"/>
    <n v="4452.8059999999996"/>
    <n v="14447.255999999999"/>
    <n v="0"/>
    <s v="NA"/>
    <n v="200685.99299999999"/>
    <n v="37480.631999999998"/>
    <s v="No"/>
    <x v="1"/>
    <x v="3"/>
    <n v="6.669380504686942E-2"/>
    <n v="0.16570204068314096"/>
    <x v="10"/>
  </r>
  <r>
    <s v="IL"/>
    <s v="Aetna"/>
    <n v="5"/>
    <n v="147"/>
    <s v="Aetna Better Hlth Inc. (IL)"/>
    <s v="IL"/>
    <x v="0"/>
    <n v="2014"/>
    <n v="10277.02"/>
    <n v="42352.656000000003"/>
    <n v="1.5921334008318917"/>
    <n v="381.86142269999999"/>
    <n v="645487.36899999995"/>
    <n v="71511"/>
    <n v="369084"/>
    <n v="1583.3639442511733"/>
    <n v="565095.34400000004"/>
    <n v="584394.29799999995"/>
    <n v="521186.36700000003"/>
    <n v="89.184026740794806"/>
    <m/>
    <n v="503524"/>
    <n v="16371.037487401241"/>
    <n v="74843"/>
    <n v="9930"/>
    <n v="2433.3647624930909"/>
    <n v="7.5370594159113793"/>
    <n v="563813.174"/>
    <n v="19298.954000000002"/>
    <n v="0"/>
    <n v="0"/>
    <n v="2384.7600000000002"/>
    <s v="NA"/>
    <n v="585496.88800000004"/>
    <n v="380528.12699999998"/>
    <n v="2659.7330000000002"/>
    <n v="22955.464"/>
    <n v="9577.8790000000008"/>
    <n v="104649.226"/>
    <n v="0"/>
    <n v="815.93799999999999"/>
    <n v="521186.36700000003"/>
    <n v="369.27300000000002"/>
    <n v="520817.09399999998"/>
    <s v="NA"/>
    <n v="11895.852999999999"/>
    <n v="38279.65"/>
    <n v="0"/>
    <s v="NA"/>
    <n v="570992.59699999995"/>
    <n v="14504.290999999999"/>
    <s v="No"/>
    <x v="1"/>
    <x v="3"/>
    <n v="6.561345431997137E-2"/>
    <n v="4.2546278272080545E-2"/>
    <x v="1"/>
  </r>
  <r>
    <s v="IL"/>
    <s v="Health Alliance Connect Inc."/>
    <n v="68"/>
    <n v="172"/>
    <s v="Health Alliance Connect Inc."/>
    <s v="IL"/>
    <x v="1"/>
    <n v="2014"/>
    <n v="-6510.3720000000003"/>
    <n v="939.976"/>
    <n v="-20.695393516316145"/>
    <n v="474.96409979999999"/>
    <n v="31458.073"/>
    <n v="70907"/>
    <n v="155898"/>
    <n v="208.98428459633863"/>
    <n v="32580.232"/>
    <n v="32580.232"/>
    <n v="35863.360000000001"/>
    <n v="110.07705531378659"/>
    <m/>
    <n v="37096"/>
    <n v="2855.4054574144634"/>
    <n v="2576"/>
    <n v="767"/>
    <n v="198.28349305315012"/>
    <n v="3.3585397653194264"/>
    <n v="31458.073"/>
    <n v="0"/>
    <n v="0"/>
    <n v="0"/>
    <n v="0"/>
    <s v="NA"/>
    <n v="31458.073"/>
    <n v="17932.919999999998"/>
    <n v="547.84100000000001"/>
    <n v="741.30700000000002"/>
    <n v="2011.0170000000001"/>
    <n v="14630.275"/>
    <n v="0"/>
    <n v="0"/>
    <n v="35863.360000000001"/>
    <n v="0"/>
    <n v="35863.360000000001"/>
    <s v="NA"/>
    <n v="778.673"/>
    <n v="939.97500000000002"/>
    <n v="2435.1570000000002"/>
    <s v="NA"/>
    <n v="40017.165000000001"/>
    <n v="-8559.0920000000006"/>
    <n v="0"/>
    <x v="2"/>
    <x v="3"/>
    <n v="2.9880279062229908E-2"/>
    <n v="-0.20695393516316143"/>
    <x v="11"/>
  </r>
  <r>
    <s v="SC"/>
    <s v="WellCare Health Plans Inc. "/>
    <n v="6"/>
    <n v="111"/>
    <s v="WellCare of South Carolina Inc"/>
    <s v="SC"/>
    <x v="1"/>
    <n v="2014"/>
    <n v="10357.74"/>
    <n v="15980.123"/>
    <n v="4.7663059451610721"/>
    <n v="597.92026320000002"/>
    <n v="217311.69"/>
    <n v="70462"/>
    <n v="829938"/>
    <n v="262.14773633693119"/>
    <n v="217566.36799999999"/>
    <n v="217566.36799999999"/>
    <n v="177843.405"/>
    <n v="81.742139943247111"/>
    <m/>
    <n v="311051"/>
    <n v="4497.4588463234604"/>
    <n v="35865"/>
    <n v="6786"/>
    <n v="518.56885695076016"/>
    <n v="5.2851458885941645"/>
    <n v="217311.69"/>
    <n v="0"/>
    <n v="0"/>
    <n v="0"/>
    <n v="0"/>
    <s v="NA"/>
    <n v="217311.69"/>
    <n v="118503.492"/>
    <n v="1966.7670000000001"/>
    <n v="0"/>
    <n v="19781.382000000001"/>
    <n v="37591.764000000003"/>
    <n v="0"/>
    <n v="0"/>
    <n v="177843.405"/>
    <n v="0"/>
    <n v="177843.405"/>
    <s v="NA"/>
    <n v="6256.9539999999997"/>
    <n v="15980.123"/>
    <n v="0"/>
    <s v="NA"/>
    <n v="200080.48199999999"/>
    <n v="17231.207999999999"/>
    <s v="No"/>
    <x v="1"/>
    <x v="3"/>
    <n v="7.3535496410708501E-2"/>
    <n v="4.7663059451610722E-2"/>
    <x v="1"/>
  </r>
  <r>
    <s v="MO"/>
    <s v="Centene Corp. "/>
    <n v="2"/>
    <n v="120"/>
    <s v="Home State Health Plan Inc."/>
    <s v="MO"/>
    <x v="1"/>
    <n v="2014"/>
    <n v="-19792.059000000001"/>
    <n v="17745.695"/>
    <n v="-11.042349370211369"/>
    <n v="330.37872659999999"/>
    <n v="179237.75399999999"/>
    <n v="69137"/>
    <n v="719776"/>
    <n v="255.26880029342462"/>
    <n v="183736.356"/>
    <n v="183736.356"/>
    <n v="177794.12599999999"/>
    <n v="96.765893191002419"/>
    <m/>
    <n v="274098"/>
    <n v="4569.7216911928153"/>
    <n v="34949"/>
    <n v="7879"/>
    <n v="582.66460676654958"/>
    <n v="4.4357151922832845"/>
    <n v="179237.75399999999"/>
    <n v="0"/>
    <n v="0"/>
    <n v="0"/>
    <n v="0"/>
    <s v="NA"/>
    <n v="179237.75399999999"/>
    <n v="124903.605"/>
    <n v="19887.601999999999"/>
    <n v="0"/>
    <n v="32620.803"/>
    <n v="0"/>
    <n v="0"/>
    <n v="382.11599999999999"/>
    <n v="177794.12599999999"/>
    <n v="4770.0690000000004"/>
    <n v="173024.057"/>
    <s v="NA"/>
    <n v="5256.3670000000002"/>
    <n v="17745.695"/>
    <n v="8000.9979999999996"/>
    <s v="NA"/>
    <n v="204027.117"/>
    <n v="-24789.363000000001"/>
    <s v="No"/>
    <x v="1"/>
    <x v="3"/>
    <n v="9.900645708827617E-2"/>
    <n v="-0.11042349370211368"/>
    <x v="12"/>
  </r>
  <r>
    <s v="UT"/>
    <s v="Molina"/>
    <n v="4"/>
    <n v="113"/>
    <s v="Molina Healthcare of Utah Inc."/>
    <s v="UT"/>
    <x v="0"/>
    <n v="2014"/>
    <n v="-4298.8069999999998"/>
    <n v="33205.955000000002"/>
    <n v="-1.3415363020402338"/>
    <n v="447.17269920000001"/>
    <n v="320439.11099999998"/>
    <n v="68422"/>
    <n v="806780"/>
    <n v="228.6249138550782"/>
    <n v="184450.008"/>
    <n v="184450.008"/>
    <n v="151900.277"/>
    <n v="82.353087780836518"/>
    <m/>
    <n v="384607"/>
    <n v="5720.6227224274271"/>
    <n v="25831"/>
    <n v="6776"/>
    <n v="384.2088301643571"/>
    <n v="3.8121310507674142"/>
    <n v="184337.02"/>
    <n v="0"/>
    <n v="0"/>
    <n v="0"/>
    <n v="0"/>
    <s v="NA"/>
    <n v="184337.02"/>
    <n v="110706.11"/>
    <n v="750.56399999999996"/>
    <n v="6015.93"/>
    <n v="18981.97"/>
    <n v="15531.203"/>
    <n v="0"/>
    <n v="-85.5"/>
    <n v="151900.277"/>
    <n v="0"/>
    <n v="151900.277"/>
    <s v="NA"/>
    <n v="7581.5550000000003"/>
    <n v="19072.197"/>
    <n v="0"/>
    <s v="NA"/>
    <n v="178554.02900000001"/>
    <n v="5782.9920000000002"/>
    <s v="No"/>
    <x v="1"/>
    <x v="3"/>
    <n v="0.1036264109470707"/>
    <n v="7.2842711244564096E-2"/>
    <x v="2"/>
  </r>
  <r>
    <s v="IA"/>
    <s v="Meridian Health Plan Group "/>
    <n v="8"/>
    <n v="123"/>
    <s v="Meridian Health Plan of IA Inc"/>
    <s v="IA"/>
    <x v="1"/>
    <n v="2014"/>
    <n v="-6840.7430000000004"/>
    <n v="13332.439"/>
    <n v="-4.7168645828043383"/>
    <n v="222.9356746"/>
    <n v="145027.33499999999"/>
    <n v="67899"/>
    <n v="691900"/>
    <n v="205.14020956785663"/>
    <n v="142565.253"/>
    <n v="141936.511"/>
    <n v="136711.65900000001"/>
    <n v="96.318880911480221"/>
    <m/>
    <n v="398436"/>
    <n v="6910.2933949992776"/>
    <n v="23763"/>
    <n v="6809"/>
    <n v="412.13470154646626"/>
    <n v="3.4899397855779117"/>
    <n v="141936.511"/>
    <n v="0"/>
    <n v="0"/>
    <n v="0"/>
    <n v="817.30600000000004"/>
    <s v="NA"/>
    <n v="142753.81700000001"/>
    <n v="127943.308"/>
    <n v="1146.7629999999999"/>
    <n v="3117.3969999999999"/>
    <n v="2833.0259999999998"/>
    <n v="6.5860000000000003"/>
    <n v="18.434999999999999"/>
    <n v="1646.144"/>
    <n v="136711.65900000001"/>
    <n v="893.27800000000002"/>
    <n v="135818.38099999999"/>
    <s v="NA"/>
    <n v="769.66"/>
    <n v="13096.646000000001"/>
    <n v="0"/>
    <s v="NA"/>
    <n v="149684.68700000001"/>
    <n v="-6930.87"/>
    <s v="No"/>
    <x v="1"/>
    <x v="3"/>
    <n v="9.1930524683501907E-2"/>
    <n v="-4.7168645828043386E-2"/>
    <x v="3"/>
  </r>
  <r>
    <s v="NY"/>
    <s v="Independent Health Assn."/>
    <n v="54"/>
    <n v="121"/>
    <s v="Independent Health Assn."/>
    <s v="NY"/>
    <x v="0"/>
    <n v="2014"/>
    <n v="-72784.612999999998"/>
    <n v="132147.924"/>
    <n v="-5.4340431138981868"/>
    <n v="871.8496566"/>
    <n v="1339419.1299999999"/>
    <n v="65066"/>
    <n v="706630"/>
    <n v="431.2021100151423"/>
    <n v="304700.34700000001"/>
    <n v="304700.34700000001"/>
    <n v="281150.39299999998"/>
    <n v="92.27111021307762"/>
    <m/>
    <n v="557046"/>
    <n v="9459.7625348485071"/>
    <n v="33024"/>
    <n v="6326"/>
    <n v="560.81400450023352"/>
    <n v="5.220360417325324"/>
    <n v="302601.74699999997"/>
    <n v="0"/>
    <n v="0"/>
    <n v="0"/>
    <n v="0"/>
    <s v="NA"/>
    <n v="302601.74699999997"/>
    <n v="167483.34899999999"/>
    <n v="17593.862000000001"/>
    <n v="0"/>
    <n v="18361.346000000001"/>
    <n v="69360.213000000003"/>
    <n v="7660.2330000000002"/>
    <n v="691.39"/>
    <n v="281150.39299999998"/>
    <n v="2759.288"/>
    <n v="278391.10499999998"/>
    <s v="NA"/>
    <n v="7559.2"/>
    <n v="22712.688999999998"/>
    <n v="100"/>
    <s v="NA"/>
    <n v="308762.99400000001"/>
    <n v="-6161.2470000000003"/>
    <s v="No"/>
    <x v="0"/>
    <x v="3"/>
    <n v="9.8660621638276894E-2"/>
    <n v="-2.1371723769053122E-2"/>
    <x v="7"/>
  </r>
  <r>
    <s v="TX"/>
    <s v="El Paso First Health Plans Inc"/>
    <n v="72"/>
    <n v="124"/>
    <s v="El Paso First Health Plans Inc"/>
    <s v="TX"/>
    <x v="0"/>
    <n v="2014"/>
    <n v="2669.33"/>
    <n v="10397.945"/>
    <n v="1.7719305707082398"/>
    <n v="553.11787560000005"/>
    <n v="150645.29300000001"/>
    <n v="65000"/>
    <n v="691841"/>
    <n v="193.4474337311608"/>
    <n v="133834.86600000001"/>
    <n v="133834.86600000001"/>
    <n v="117980.55"/>
    <n v="88.153822338044549"/>
    <m/>
    <n v="433591"/>
    <n v="7520.6470850961423"/>
    <n v="22038"/>
    <n v="6042"/>
    <n v="382.24967875566784"/>
    <n v="3.6474677259185699"/>
    <n v="133331.61600000001"/>
    <n v="-75.790000000000006"/>
    <n v="0"/>
    <n v="0"/>
    <n v="0"/>
    <s v="NA"/>
    <n v="133255.826"/>
    <n v="61223.336000000003"/>
    <n v="14078.745000000001"/>
    <n v="4379.6369999999997"/>
    <n v="9071.5660000000007"/>
    <n v="24155.378000000001"/>
    <n v="2571.8879999999999"/>
    <n v="0"/>
    <n v="115480.55"/>
    <n v="1449.702"/>
    <n v="114030.848"/>
    <s v="NA"/>
    <n v="6385.1610000000001"/>
    <n v="8743.1859999999997"/>
    <n v="0"/>
    <s v="NA"/>
    <n v="129159.19500000001"/>
    <n v="4096.6310000000003"/>
    <s v="Yes"/>
    <x v="0"/>
    <x v="3"/>
    <n v="6.90227008951418E-2"/>
    <n v="4.9439075724412682E-2"/>
    <x v="1"/>
  </r>
  <r>
    <s v="NH"/>
    <s v="Centene Corp. "/>
    <n v="2"/>
    <n v="129"/>
    <s v="Granite State Health Plan Inc."/>
    <s v="NH"/>
    <x v="1"/>
    <n v="2014"/>
    <n v="-6950.6120000000001"/>
    <n v="20517.753000000001"/>
    <n v="-3.4039283123924964"/>
    <n v="342.41223880000001"/>
    <n v="204193.842"/>
    <n v="63216"/>
    <n v="565313"/>
    <n v="366.44876024432483"/>
    <n v="207158.24799999999"/>
    <n v="207158.24799999999"/>
    <n v="183324.23199999999"/>
    <n v="88.494778156262456"/>
    <m/>
    <n v="260002"/>
    <n v="5519.1088830435529"/>
    <n v="17519"/>
    <n v="4092"/>
    <n v="371.87894140060462"/>
    <n v="4.2812805474095796"/>
    <n v="204193.842"/>
    <n v="0"/>
    <n v="0"/>
    <n v="0"/>
    <n v="0"/>
    <s v="NA"/>
    <n v="204193.842"/>
    <n v="76615.277000000002"/>
    <n v="50194.815000000002"/>
    <n v="0"/>
    <n v="13819.645"/>
    <n v="42694.493999999999"/>
    <n v="0"/>
    <n v="0"/>
    <n v="183324.231"/>
    <n v="1934.7"/>
    <n v="181389.53099999999"/>
    <s v="NA"/>
    <n v="6315.0150000000003"/>
    <n v="20517.751"/>
    <n v="4207.3050000000003"/>
    <s v="NA"/>
    <n v="212429.60200000001"/>
    <n v="-8235.76"/>
    <s v="No"/>
    <x v="1"/>
    <x v="3"/>
    <n v="0.10048174224568437"/>
    <n v="-3.4039283123924964E-2"/>
    <x v="3"/>
  </r>
  <r>
    <s v="HI"/>
    <s v="AlohaCare"/>
    <n v="63"/>
    <n v="114"/>
    <s v="AlohaCare"/>
    <s v="HI"/>
    <x v="1"/>
    <n v="2014"/>
    <n v="-5254.3249999999998"/>
    <n v="15996.946"/>
    <n v="-2.2115637392214298"/>
    <n v="747.71357309999996"/>
    <n v="237584.15400000001"/>
    <n v="62648"/>
    <n v="803045"/>
    <n v="275.41519342004494"/>
    <n v="239396.764"/>
    <n v="221170.79399999999"/>
    <n v="206846.12299999999"/>
    <n v="93.523253798148417"/>
    <m/>
    <n v="355853"/>
    <n v="5317.5550560678421"/>
    <n v="33501"/>
    <n v="6460"/>
    <n v="500.60955488173141"/>
    <n v="5.1859133126934989"/>
    <n v="221170.79399999999"/>
    <n v="0"/>
    <n v="0"/>
    <n v="0"/>
    <n v="4.0000000000000001E-3"/>
    <s v="NA"/>
    <n v="221170.79800000001"/>
    <n v="150319.27799999999"/>
    <n v="11670.56"/>
    <n v="0"/>
    <n v="20911.653999999999"/>
    <n v="30819.489000000001"/>
    <n v="-11630.084999999999"/>
    <n v="4755.2269999999999"/>
    <n v="206846.12299999999"/>
    <n v="2304.9499999999998"/>
    <n v="204541.17300000001"/>
    <s v="NA"/>
    <n v="5747.393"/>
    <n v="12256.624"/>
    <n v="0"/>
    <s v="NA"/>
    <n v="222545.19"/>
    <n v="-1374.3920000000001"/>
    <s v="Yes"/>
    <x v="0"/>
    <x v="3"/>
    <n v="6.7331704285295058E-2"/>
    <n v="-2.2115637392214296E-2"/>
    <x v="7"/>
  </r>
  <r>
    <s v="FL"/>
    <s v="Aetna"/>
    <n v="5"/>
    <n v="126"/>
    <s v="Coventry Health Care of FL Inc"/>
    <s v="FL"/>
    <x v="0"/>
    <n v="2014"/>
    <n v="-44576.559000000001"/>
    <n v="164127.34"/>
    <n v="-4.014903322302545"/>
    <n v="146.6212611"/>
    <n v="1110277.27"/>
    <n v="62555"/>
    <n v="683374"/>
    <n v="406.82140087272853"/>
    <n v="278011.16800000001"/>
    <n v="278011.16800000001"/>
    <n v="272523.75199999998"/>
    <n v="98.026188645774113"/>
    <m/>
    <n v="213483"/>
    <n v="3748.7466599548711"/>
    <n v="19830"/>
    <n v="4444"/>
    <n v="348.21342339626619"/>
    <n v="4.462196219621962"/>
    <n v="278750.47700000001"/>
    <n v="0"/>
    <n v="0"/>
    <n v="0"/>
    <n v="0"/>
    <s v="NA"/>
    <n v="278750.47700000001"/>
    <n v="249740.95300000001"/>
    <n v="0.40899999999999997"/>
    <n v="4970.32"/>
    <n v="0"/>
    <n v="15248.819"/>
    <n v="0"/>
    <n v="2563.25"/>
    <n v="272523.75099999999"/>
    <n v="0"/>
    <n v="272523.75099999999"/>
    <s v="NA"/>
    <n v="4920.4560000000001"/>
    <n v="41206.440999999999"/>
    <n v="0"/>
    <s v="NA"/>
    <n v="318650.64799999999"/>
    <n v="-39900.171000000002"/>
    <n v="0"/>
    <x v="2"/>
    <x v="3"/>
    <n v="0.147825542713308"/>
    <n v="-0.12808742917104915"/>
    <x v="12"/>
  </r>
  <r>
    <s v="MI"/>
    <s v="Total Health Care Inc."/>
    <n v="57"/>
    <n v="118"/>
    <s v="Total Health Care Inc."/>
    <s v="MI"/>
    <x v="1"/>
    <n v="2014"/>
    <n v="5028.82"/>
    <n v="36151.072"/>
    <n v="1.8469717084086499"/>
    <n v="230.04380370000001"/>
    <n v="272273.79700000002"/>
    <n v="62425"/>
    <n v="749286"/>
    <n v="360.34163723865117"/>
    <n v="269998.94400000002"/>
    <n v="269998.94400000002"/>
    <n v="227411.935"/>
    <n v="84.226972013638687"/>
    <m/>
    <n v="409977"/>
    <n v="6565.8827203497731"/>
    <n v="47348"/>
    <n v="10293"/>
    <n v="758.28989197716226"/>
    <n v="4.6000194306810451"/>
    <n v="269116.01400000002"/>
    <n v="0"/>
    <n v="0"/>
    <n v="0"/>
    <n v="0"/>
    <s v="NA"/>
    <n v="269116.01400000002"/>
    <n v="167015.25"/>
    <n v="9463.8919999999998"/>
    <n v="0"/>
    <n v="24040.138999999999"/>
    <n v="25994.525000000001"/>
    <n v="890.26199999999994"/>
    <n v="7.867"/>
    <n v="227411.935"/>
    <n v="191.595"/>
    <n v="227220.34"/>
    <s v="NA"/>
    <n v="433.00299999999999"/>
    <n v="35829.108"/>
    <n v="0"/>
    <s v="NA"/>
    <n v="263482.451"/>
    <n v="5633.5630000000001"/>
    <s v="No"/>
    <x v="1"/>
    <x v="3"/>
    <n v="0.13277470104844499"/>
    <n v="1.8469717084086498E-2"/>
    <x v="6"/>
  </r>
  <r>
    <s v="MA"/>
    <s v="Health New England Inc."/>
    <n v="76"/>
    <n v="158"/>
    <s v="Health New England Inc."/>
    <s v="MA"/>
    <x v="0"/>
    <n v="2014"/>
    <n v="-6677.9880000000003"/>
    <n v="38470.855000000003"/>
    <n v="-1.1415099213723376"/>
    <n v="217.39602049999999"/>
    <n v="585013.57499999995"/>
    <n v="58874"/>
    <n v="261281"/>
    <n v="437.51790218194202"/>
    <n v="114315.11500000001"/>
    <n v="114315.11500000001"/>
    <n v="106230.55"/>
    <n v="92.927824986223385"/>
    <m/>
    <n v="217378"/>
    <n v="9983.6421324168241"/>
    <n v="9491"/>
    <n v="2067"/>
    <n v="435.89851539147509"/>
    <n v="4.5916787614900825"/>
    <n v="114315.11500000001"/>
    <n v="0"/>
    <n v="0"/>
    <n v="0"/>
    <n v="0"/>
    <s v="NA"/>
    <n v="114315.11500000001"/>
    <n v="79584.254000000001"/>
    <n v="25.475999999999999"/>
    <n v="0"/>
    <n v="5235.3980000000001"/>
    <n v="18678.284"/>
    <n v="1721.393"/>
    <n v="985.745"/>
    <n v="106230.55"/>
    <n v="0"/>
    <n v="106230.55"/>
    <s v="NA"/>
    <n v="2568.8359999999998"/>
    <n v="5725.7759999999998"/>
    <n v="0"/>
    <s v="NA"/>
    <n v="114525.162"/>
    <n v="-210.047"/>
    <s v="Yes"/>
    <x v="0"/>
    <x v="3"/>
    <n v="6.5760619315543251E-2"/>
    <n v="4.9611308222229089E-3"/>
    <x v="6"/>
  </r>
  <r>
    <s v="NE"/>
    <s v="UnitedHealth Group Inc. "/>
    <n v="1"/>
    <n v="125"/>
    <s v="UnitedHealthcare (Midlands)"/>
    <s v="NE"/>
    <x v="0"/>
    <n v="2014"/>
    <n v="12124.254000000001"/>
    <n v="23660.045999999998"/>
    <n v="4.6312610939374865"/>
    <n v="393.84092129999999"/>
    <n v="261791.63200000001"/>
    <n v="58708"/>
    <n v="689939"/>
    <n v="246.04614610856902"/>
    <n v="169756.83199999999"/>
    <n v="169756.83199999999"/>
    <n v="134596.61799999999"/>
    <n v="79.287894580879069"/>
    <m/>
    <n v="494633"/>
    <n v="8603.073605057838"/>
    <n v="25879"/>
    <n v="5659"/>
    <n v="450.10935749392337"/>
    <n v="4.5730694468987449"/>
    <n v="169096.73300000001"/>
    <n v="0"/>
    <n v="0"/>
    <n v="0"/>
    <n v="0"/>
    <s v="NA"/>
    <n v="169096.73300000001"/>
    <n v="123063.72900000001"/>
    <n v="1725.183"/>
    <n v="0"/>
    <n v="0"/>
    <n v="1875.8810000000001"/>
    <n v="4732.1580000000004"/>
    <n v="3199.6669999999999"/>
    <n v="134596.61799999999"/>
    <n v="0"/>
    <n v="134596.61799999999"/>
    <s v="NA"/>
    <n v="9114.7729999999992"/>
    <n v="14804.906000000001"/>
    <n v="0"/>
    <s v="NA"/>
    <n v="158516.29699999999"/>
    <n v="10580.436"/>
    <s v="No"/>
    <x v="1"/>
    <x v="3"/>
    <n v="9.0377396020053069E-2"/>
    <n v="0.11674365817115623"/>
    <x v="4"/>
  </r>
  <r>
    <s v="KY"/>
    <s v="Anthem"/>
    <n v="3"/>
    <n v="171"/>
    <s v="Anthem KY Mngd Care Plan Inc."/>
    <s v="KY"/>
    <x v="1"/>
    <n v="2014"/>
    <n v="8939.3739999999998"/>
    <n v="3590.0479999999998"/>
    <n v="10.21867390184201"/>
    <n v="768.45392140000001"/>
    <n v="87480.763999999996"/>
    <n v="57951"/>
    <n v="163150"/>
    <n v="534.23034630707934"/>
    <n v="91126.881999999998"/>
    <n v="87159.680999999997"/>
    <n v="66399.528999999995"/>
    <n v="76.181473174505996"/>
    <m/>
    <n v="31257"/>
    <n v="2299.0131780570027"/>
    <n v="10790"/>
    <n v="1796"/>
    <n v="793.62549800796808"/>
    <n v="6.007795100222717"/>
    <n v="91126.881999999998"/>
    <n v="-3967.201"/>
    <n v="0"/>
    <n v="0"/>
    <n v="0"/>
    <s v="NA"/>
    <n v="87159.680999999997"/>
    <n v="38990.387999999999"/>
    <n v="3318.0819999999999"/>
    <n v="0"/>
    <n v="12115.934999999999"/>
    <n v="11450.553"/>
    <n v="524.57100000000003"/>
    <n v="0"/>
    <n v="66399.528999999995"/>
    <n v="0"/>
    <n v="66399.528999999995"/>
    <s v="NA"/>
    <n v="3389.9639999999999"/>
    <n v="3568.8760000000002"/>
    <n v="0"/>
    <s v="NA"/>
    <n v="73358.369000000006"/>
    <n v="13801.312"/>
    <s v="No"/>
    <x v="1"/>
    <x v="3"/>
    <n v="4.103814182509883E-2"/>
    <n v="0.1021867390184201"/>
    <x v="4"/>
  </r>
  <r>
    <s v="VA"/>
    <s v="INTotal Health LLC"/>
    <n v="66"/>
    <n v="127"/>
    <s v="INTotal Health LLC"/>
    <s v="VA"/>
    <x v="1"/>
    <n v="2014"/>
    <n v="-4059.3209999999999"/>
    <n v="9469.8690000000006"/>
    <n v="-2.2976947753363901"/>
    <n v="812.42116590000001"/>
    <n v="176669.288"/>
    <n v="57911"/>
    <n v="672977"/>
    <n v="264.16841140187557"/>
    <n v="177779.26500000001"/>
    <n v="177779.26500000001"/>
    <n v="157770.63200000001"/>
    <n v="88.74523809061759"/>
    <m/>
    <n v="422182"/>
    <n v="7528.0195311281068"/>
    <n v="20794"/>
    <n v="5680"/>
    <n v="370.7823595754387"/>
    <n v="3.6609154929577463"/>
    <n v="176669.288"/>
    <n v="0"/>
    <n v="0"/>
    <n v="0"/>
    <n v="0"/>
    <s v="NA"/>
    <n v="176669.288"/>
    <n v="107157.288"/>
    <n v="3640.6350000000002"/>
    <n v="0"/>
    <n v="11122.246999999999"/>
    <n v="35914.587"/>
    <n v="0"/>
    <n v="-64.125"/>
    <n v="157770.63200000001"/>
    <n v="0"/>
    <n v="157770.63200000001"/>
    <s v="NA"/>
    <n v="13559.126"/>
    <n v="9469.8690000000006"/>
    <n v="0"/>
    <s v="NA"/>
    <n v="180799.62700000001"/>
    <n v="-4130.3389999999999"/>
    <s v="Yes"/>
    <x v="0"/>
    <x v="3"/>
    <n v="5.360223673964204E-2"/>
    <n v="-2.29769477533639E-2"/>
    <x v="7"/>
  </r>
  <r>
    <s v="NJ"/>
    <s v="WellCare Health Plans Inc. "/>
    <n v="6"/>
    <n v="148"/>
    <s v="WellCare Hlth Plans of NJ Inc."/>
    <s v="NJ"/>
    <x v="1"/>
    <n v="2014"/>
    <n v="-6479.0829999999996"/>
    <n v="19806.829000000002"/>
    <n v="-3.6149477508093266"/>
    <n v="249.240725"/>
    <n v="179230.33600000001"/>
    <n v="56986"/>
    <n v="367304"/>
    <n v="454.20740585455098"/>
    <n v="166832.19699999999"/>
    <n v="166832.19699999999"/>
    <n v="150523.51999999999"/>
    <n v="90.22450264801104"/>
    <m/>
    <n v="140533"/>
    <n v="4591.2813364406593"/>
    <n v="43966"/>
    <n v="4135"/>
    <n v="1436.3905647637923"/>
    <n v="10.632648125755743"/>
    <n v="166781.27499999999"/>
    <n v="0"/>
    <n v="0"/>
    <n v="0"/>
    <n v="0"/>
    <s v="NA"/>
    <n v="166781.27499999999"/>
    <n v="116502.005"/>
    <n v="4912.9210000000003"/>
    <n v="0"/>
    <n v="7223.5649999999996"/>
    <n v="21885.026999999998"/>
    <n v="0"/>
    <n v="0"/>
    <n v="150523.51800000001"/>
    <n v="0"/>
    <n v="150523.51800000001"/>
    <s v="NA"/>
    <n v="5485.375"/>
    <n v="18265.069"/>
    <n v="0"/>
    <s v="NA"/>
    <n v="174273.962"/>
    <n v="-7492.6869999999999"/>
    <s v="No"/>
    <x v="1"/>
    <x v="3"/>
    <n v="0.11051047184333795"/>
    <n v="-3.6149477508093268E-2"/>
    <x v="3"/>
  </r>
  <r>
    <s v="IL"/>
    <s v="HlthCare Svc Corp. a Mutual"/>
    <n v="29"/>
    <n v="186"/>
    <s v="HlthCare Svc Corp. a Mutual"/>
    <s v="IL"/>
    <x v="0"/>
    <n v="2014"/>
    <n v="-281884.09899999999"/>
    <n v="2772043.8289999999"/>
    <n v="-1.0174308510204224"/>
    <n v="955.82954380000001"/>
    <n v="27705479.809"/>
    <n v="49168"/>
    <n v="88084"/>
    <n v="804.05099677580495"/>
    <n v="70824.028000000006"/>
    <n v="70824.028000000006"/>
    <n v="67294.638999999996"/>
    <n v="95.016678520459166"/>
    <m/>
    <n v="39144"/>
    <n v="5332.7278506879793"/>
    <n v="7845"/>
    <n v="1640"/>
    <n v="1068.7525543799102"/>
    <n v="4.7835365853658534"/>
    <n v="142337.20000000001"/>
    <n v="0"/>
    <n v="0"/>
    <n v="0"/>
    <n v="0"/>
    <s v="NA"/>
    <n v="142337.20000000001"/>
    <n v="107665.821"/>
    <n v="0"/>
    <n v="0"/>
    <n v="0"/>
    <n v="16475.606"/>
    <n v="0"/>
    <n v="0"/>
    <n v="124141.427"/>
    <n v="-1441.5340000000001"/>
    <n v="125582.962"/>
    <s v="NA"/>
    <n v="12793.77"/>
    <n v="13189.806"/>
    <n v="14908"/>
    <s v="NA"/>
    <n v="166474.53700000001"/>
    <n v="-24137.337"/>
    <s v="No"/>
    <x v="0"/>
    <x v="4"/>
    <n v="0.10005399105557139"/>
    <n v="-5.0220776260163025E-2"/>
    <x v="9"/>
  </r>
  <r>
    <s v="WI"/>
    <s v="Security Health Plan of WI Inc"/>
    <n v="82"/>
    <n v="128"/>
    <s v="Security Health Plan of WI Inc"/>
    <s v="WI"/>
    <x v="0"/>
    <n v="2014"/>
    <n v="28271.776000000002"/>
    <n v="68594.554000000004"/>
    <n v="2.5748162682544988"/>
    <n v="464.79883519999998"/>
    <n v="1098011.3940000001"/>
    <n v="48946"/>
    <n v="590125"/>
    <n v="161.38141241262446"/>
    <n v="95222.487999999998"/>
    <n v="95235.206000000006"/>
    <n v="72250.847999999998"/>
    <n v="75.865691937496308"/>
    <m/>
    <n v="0"/>
    <n v="0"/>
    <n v="10967"/>
    <n v="3344"/>
    <n v="223.01037915695827"/>
    <n v="3.2796052631578947"/>
    <n v="95235.206000000006"/>
    <n v="0"/>
    <n v="0"/>
    <n v="0"/>
    <n v="0"/>
    <s v="NA"/>
    <n v="95235.206000000006"/>
    <n v="60946.659"/>
    <n v="477.392"/>
    <n v="7194.2910000000002"/>
    <n v="3632.5070000000001"/>
    <n v="0"/>
    <n v="0"/>
    <n v="0"/>
    <n v="72250.847999999998"/>
    <n v="120.639"/>
    <n v="72130.209000000003"/>
    <s v="NA"/>
    <n v="2537.7860000000001"/>
    <n v="9129.6810000000005"/>
    <n v="0"/>
    <s v="NA"/>
    <n v="83797.676000000007"/>
    <n v="11437.53"/>
    <s v="Yes"/>
    <x v="0"/>
    <x v="4"/>
    <n v="6.2471623131444477E-2"/>
    <n v="0.17887145749359248"/>
    <x v="10"/>
  </r>
  <r>
    <s v="HI"/>
    <s v="WellCare Health Plans Inc. "/>
    <n v="6"/>
    <n v="130"/>
    <s v="WellCare Health Ins of AZ Inc."/>
    <s v="HI"/>
    <x v="0"/>
    <n v="2014"/>
    <n v="-2412.6170000000002"/>
    <n v="51547.046000000002"/>
    <n v="-0.39443495019030078"/>
    <n v="324.06871569999998"/>
    <n v="611664.103"/>
    <n v="46702"/>
    <n v="549399"/>
    <n v="933.17721728652577"/>
    <n v="512686.63"/>
    <n v="512686.63"/>
    <n v="452856.65899999999"/>
    <n v="88.330108979046315"/>
    <m/>
    <n v="204246"/>
    <n v="4461.1511852041958"/>
    <n v="83802"/>
    <n v="14419"/>
    <n v="1830.4074088230957"/>
    <n v="5.811914834593245"/>
    <n v="511604.34"/>
    <n v="0"/>
    <n v="0"/>
    <n v="0"/>
    <n v="0"/>
    <s v="NA"/>
    <n v="511604.34"/>
    <n v="358965.89500000002"/>
    <n v="10517.525"/>
    <n v="0"/>
    <n v="17179.21"/>
    <n v="66194.03"/>
    <n v="0"/>
    <n v="0"/>
    <n v="452856.66"/>
    <n v="1337.125"/>
    <n v="451519.53499999997"/>
    <s v="NA"/>
    <n v="15693.293"/>
    <n v="38476.724999999999"/>
    <n v="0"/>
    <s v="NA"/>
    <n v="505689.55300000001"/>
    <n v="5914.7870000000003"/>
    <s v="No"/>
    <x v="1"/>
    <x v="4"/>
    <n v="8.4273452941213398E-2"/>
    <n v="3.2425457268323424E-2"/>
    <x v="1"/>
  </r>
  <r>
    <s v="FL"/>
    <s v="HealthSpring L&amp;H Insurance Co."/>
    <n v="46"/>
    <n v="145"/>
    <s v="HealthSpring L&amp;H Insurance Co."/>
    <s v="FL"/>
    <x v="0"/>
    <n v="2014"/>
    <n v="-6586.0590000000002"/>
    <n v="192290.94899999999"/>
    <n v="-0.29863037199990972"/>
    <n v="514.97941849999995"/>
    <n v="2205421.6910000001"/>
    <n v="46425"/>
    <n v="385766"/>
    <n v="1059.2936184111611"/>
    <n v="408639.462"/>
    <n v="408639.462"/>
    <n v="358894.03600000002"/>
    <n v="87.826573146770642"/>
    <m/>
    <n v="713058"/>
    <n v="22181.052762555541"/>
    <n v="18743"/>
    <n v="3703"/>
    <n v="583.0373853579631"/>
    <n v="5.0615716986227381"/>
    <n v="408639.462"/>
    <n v="0"/>
    <n v="0"/>
    <n v="0"/>
    <n v="2193.39"/>
    <s v="NA"/>
    <n v="410832.85200000001"/>
    <n v="203999.935"/>
    <n v="3091.0250000000001"/>
    <n v="87952.275999999998"/>
    <n v="8653.3379999999997"/>
    <n v="55195.462"/>
    <n v="0"/>
    <n v="2"/>
    <n v="358894.03600000002"/>
    <n v="0"/>
    <n v="358894.03600000002"/>
    <s v="NA"/>
    <n v="26465.202000000001"/>
    <n v="52692.671999999999"/>
    <n v="36019.851999999999"/>
    <s v="NA"/>
    <n v="474071.76199999999"/>
    <n v="-63238.91"/>
    <s v="No"/>
    <x v="1"/>
    <x v="4"/>
    <n v="8.7190105087254249E-2"/>
    <n v="3.4544163445039383E-2"/>
    <x v="1"/>
  </r>
  <r>
    <s v="DC"/>
    <s v="MedStar Family Choice Inc."/>
    <n v="43"/>
    <n v="134"/>
    <s v="MedStar Family Choice Inc."/>
    <s v="DC"/>
    <x v="0"/>
    <n v="2014"/>
    <n v="4597.9480000000003"/>
    <n v="35332.362999999998"/>
    <n v="0.96148796491401667"/>
    <n v="138.6849417"/>
    <n v="478211.70600000001"/>
    <n v="45180"/>
    <n v="485399"/>
    <n v="378.18842436840617"/>
    <n v="183572.283"/>
    <n v="183572.283"/>
    <n v="169965.22399999999"/>
    <n v="92.587628819760326"/>
    <m/>
    <n v="0"/>
    <n v="0"/>
    <n v="0"/>
    <n v="0"/>
    <n v="0"/>
    <s v="NA"/>
    <n v="476391.94099999999"/>
    <n v="0"/>
    <n v="0"/>
    <n v="0"/>
    <n v="0"/>
    <s v="NA"/>
    <n v="476391.94099999999"/>
    <n v="210146.29800000001"/>
    <n v="63485.966"/>
    <n v="59345.36"/>
    <n v="40160.875999999997"/>
    <n v="45986.934000000001"/>
    <n v="2888.4560000000001"/>
    <n v="0"/>
    <n v="422013.89"/>
    <n v="3853.5720000000001"/>
    <n v="418160.31800000003"/>
    <s v="NA"/>
    <n v="8815.9580000000005"/>
    <n v="32215.813999999998"/>
    <n v="0"/>
    <s v="NA"/>
    <n v="459192.09"/>
    <n v="17199.850999999999"/>
    <s v="Yes"/>
    <x v="0"/>
    <x v="4"/>
    <n v="7.3884354056360124E-2"/>
    <n v="2.3935774603661697E-4"/>
    <x v="6"/>
  </r>
  <r>
    <s v="MD"/>
    <s v="MedStar Family Choice Inc."/>
    <n v="43"/>
    <n v="134"/>
    <s v="MedStar Family Choice Inc."/>
    <s v="MD"/>
    <x v="0"/>
    <n v="2014"/>
    <n v="4597.9480000000003"/>
    <n v="35332.362999999998"/>
    <n v="0.96148796491401667"/>
    <n v="138.6849417"/>
    <n v="478211.70600000001"/>
    <n v="45180"/>
    <n v="485399"/>
    <n v="378.18842436840617"/>
    <n v="183572.283"/>
    <n v="183572.283"/>
    <n v="169965.22399999999"/>
    <n v="92.587628819760326"/>
    <m/>
    <n v="0"/>
    <n v="0"/>
    <n v="0"/>
    <n v="0"/>
    <n v="0"/>
    <s v="NA"/>
    <n v="476391.94099999999"/>
    <n v="0"/>
    <n v="0"/>
    <n v="0"/>
    <n v="0"/>
    <s v="NA"/>
    <n v="476391.94099999999"/>
    <n v="210146.29800000001"/>
    <n v="63485.966"/>
    <n v="59345.36"/>
    <n v="40160.875999999997"/>
    <n v="45986.934000000001"/>
    <n v="2888.4560000000001"/>
    <n v="0"/>
    <n v="422013.89"/>
    <n v="3853.5720000000001"/>
    <n v="418160.31800000003"/>
    <s v="NA"/>
    <n v="8815.9580000000005"/>
    <n v="32215.813999999998"/>
    <n v="0"/>
    <s v="NA"/>
    <n v="459192.09"/>
    <n v="17199.850999999999"/>
    <s v="Yes"/>
    <x v="0"/>
    <x v="4"/>
    <n v="7.3884354056360124E-2"/>
    <n v="2.3935774603661697E-4"/>
    <x v="6"/>
  </r>
  <r>
    <s v="WI"/>
    <s v="Dean Health Plan Inc. (SSM Health Care)"/>
    <n v="87"/>
    <n v="133"/>
    <s v="Dean Health Plan Inc. (SSM Health Care)"/>
    <s v="WI"/>
    <x v="0"/>
    <n v="2014"/>
    <n v="183.33699999999999"/>
    <n v="121252.923"/>
    <n v="1.5796192102660256E-2"/>
    <n v="431.91356860000002"/>
    <n v="1160640.4809999999"/>
    <n v="42825"/>
    <n v="486337"/>
    <n v="134.36641259044654"/>
    <n v="65347.358"/>
    <n v="65347.358"/>
    <n v="55764.12"/>
    <n v="85.33492662396543"/>
    <m/>
    <n v="150224"/>
    <n v="3706.6643089051418"/>
    <n v="9735"/>
    <n v="2896"/>
    <n v="240.20380929273324"/>
    <n v="3.3615331491712706"/>
    <n v="65347.358"/>
    <n v="0"/>
    <n v="0"/>
    <n v="0"/>
    <n v="0"/>
    <s v="NA"/>
    <n v="65347.358"/>
    <n v="39408.021999999997"/>
    <n v="4988.0309999999999"/>
    <n v="0"/>
    <n v="11368.066999999999"/>
    <n v="0"/>
    <n v="0"/>
    <n v="0"/>
    <n v="55764.12"/>
    <n v="0"/>
    <n v="55764.12"/>
    <s v="NA"/>
    <n v="898.33100000000002"/>
    <n v="6943.4849999999997"/>
    <n v="0"/>
    <s v="NA"/>
    <n v="63605.936000000002"/>
    <n v="1741.422"/>
    <s v="Yes"/>
    <x v="1"/>
    <x v="4"/>
    <n v="0.10447069957057616"/>
    <n v="4.2180034189769497E-2"/>
    <x v="1"/>
  </r>
  <r>
    <s v="WI"/>
    <s v="Centene Corp. "/>
    <n v="2"/>
    <n v="138"/>
    <s v="Managed Health Svcs Ins Corp."/>
    <s v="WI"/>
    <x v="0"/>
    <n v="2014"/>
    <n v="6717.7749999999996"/>
    <n v="15262.302"/>
    <n v="3.8471023943345029"/>
    <n v="555.30014310000001"/>
    <n v="174619.08499999999"/>
    <n v="42792"/>
    <n v="452489"/>
    <n v="201.30425270006563"/>
    <n v="91087.96"/>
    <n v="91087.96"/>
    <n v="127694.65399999999"/>
    <n v="140.18829052709052"/>
    <m/>
    <n v="192001"/>
    <n v="5091.8630066145251"/>
    <n v="24462"/>
    <n v="6261"/>
    <n v="648.73179237506326"/>
    <n v="3.9070436032582654"/>
    <n v="90905.182000000001"/>
    <n v="0"/>
    <n v="0"/>
    <n v="70131.862999999998"/>
    <n v="0"/>
    <s v="NA"/>
    <n v="161037.04500000001"/>
    <n v="100691.314"/>
    <n v="14564.346"/>
    <n v="0"/>
    <n v="11956.394"/>
    <n v="-2.5000000000000001E-2"/>
    <n v="0"/>
    <n v="482.62400000000002"/>
    <n v="127694.65300000001"/>
    <n v="-1067.337"/>
    <n v="128761.99"/>
    <s v="NA"/>
    <n v="4954.607"/>
    <n v="13625.691000000001"/>
    <n v="0"/>
    <s v="NA"/>
    <n v="147342.288"/>
    <n v="13694.757"/>
    <s v="No"/>
    <x v="1"/>
    <x v="4"/>
    <n v="8.7403401523951402E-2"/>
    <n v="-0.48928630679485663"/>
    <x v="11"/>
  </r>
  <r>
    <s v="TX"/>
    <s v="Scott &amp; White Health Plan"/>
    <n v="71"/>
    <n v="137"/>
    <s v="Scott &amp; White Health Plan"/>
    <s v="TX"/>
    <x v="0"/>
    <n v="2014"/>
    <n v="24206.927"/>
    <n v="65668.619000000006"/>
    <n v="3.6541758627803631"/>
    <n v="434.0131394"/>
    <n v="662445.59400000004"/>
    <n v="41959"/>
    <n v="459123"/>
    <n v="294.00061639255711"/>
    <n v="134982.44500000001"/>
    <n v="134982.44500000001"/>
    <n v="113761.981"/>
    <n v="84.279093477674067"/>
    <m/>
    <n v="214176"/>
    <n v="5597.8724655484475"/>
    <n v="25995"/>
    <n v="5725"/>
    <n v="679.42577479237593"/>
    <n v="4.5406113537117907"/>
    <n v="134418.72200000001"/>
    <n v="0"/>
    <n v="0"/>
    <n v="0"/>
    <n v="0"/>
    <s v="NA"/>
    <n v="134418.72200000001"/>
    <n v="69329.945999999996"/>
    <n v="5341.2479999999996"/>
    <n v="6145.2179999999998"/>
    <n v="7086.51"/>
    <n v="25859.059000000001"/>
    <n v="0"/>
    <n v="0"/>
    <n v="113761.981"/>
    <n v="786.99800000000005"/>
    <n v="112974.98299999999"/>
    <s v="NA"/>
    <n v="-1999.9369999999999"/>
    <n v="12693.601000000001"/>
    <n v="-3515.038"/>
    <s v="NA"/>
    <n v="120153.609"/>
    <n v="14265.112999999999"/>
    <s v="Yes"/>
    <x v="0"/>
    <x v="4"/>
    <n v="9.9130584601638996E-2"/>
    <n v="5.8078480621620285E-2"/>
    <x v="2"/>
  </r>
  <r>
    <s v="VA"/>
    <s v="Aetna"/>
    <n v="5"/>
    <n v="136"/>
    <s v="Coventry HlthCare of VA Inc."/>
    <s v="VA"/>
    <x v="0"/>
    <n v="2014"/>
    <n v="2590.8409999999999"/>
    <n v="43647.481"/>
    <n v="0.62548093738795163"/>
    <n v="400.67541790000001"/>
    <n v="414215.821"/>
    <n v="41534"/>
    <n v="464853"/>
    <n v="341.53750325371675"/>
    <n v="158764.73300000001"/>
    <n v="158764.73300000001"/>
    <n v="138234.18299999999"/>
    <n v="87.068570196883698"/>
    <m/>
    <n v="235410"/>
    <n v="6077.0178959800196"/>
    <n v="20342"/>
    <n v="5189"/>
    <n v="525.12084465411647"/>
    <n v="3.9202158412025438"/>
    <n v="157482.83799999999"/>
    <n v="0"/>
    <n v="0"/>
    <n v="0"/>
    <n v="0"/>
    <s v="NA"/>
    <n v="157482.83799999999"/>
    <n v="94410.285999999993"/>
    <n v="6113.2169999999996"/>
    <n v="0"/>
    <n v="10246.003000000001"/>
    <n v="27464.677"/>
    <n v="0"/>
    <n v="0"/>
    <n v="138234.18299999999"/>
    <n v="313.02"/>
    <n v="137921.163"/>
    <s v="NA"/>
    <n v="2032.0219999999999"/>
    <n v="16594.560000000001"/>
    <n v="0"/>
    <s v="NA"/>
    <n v="156547.745"/>
    <n v="935.09299999999996"/>
    <s v="No"/>
    <x v="1"/>
    <x v="4"/>
    <n v="0.10537376601073864"/>
    <n v="2.3940532020424371E-2"/>
    <x v="6"/>
  </r>
  <r>
    <s v="MI"/>
    <s v="Aetna"/>
    <n v="5"/>
    <n v="132"/>
    <s v="Aetna Better Health of MI Inc."/>
    <s v="MI"/>
    <x v="1"/>
    <n v="2014"/>
    <n v="6158.9830000000002"/>
    <n v="23198.28"/>
    <n v="3.2844571449018876"/>
    <n v="441.06924950000001"/>
    <n v="187519.05499999999"/>
    <n v="40908"/>
    <n v="492195"/>
    <n v="376.7528154491614"/>
    <n v="185435.85200000001"/>
    <n v="185435.85200000001"/>
    <n v="149454.86300000001"/>
    <n v="80.596530491849009"/>
    <m/>
    <n v="193564"/>
    <n v="4719.2027550056382"/>
    <n v="28821"/>
    <n v="6279"/>
    <n v="702.67272117758205"/>
    <n v="4.5900621118012426"/>
    <n v="184970.658"/>
    <n v="0"/>
    <n v="0"/>
    <n v="0"/>
    <n v="78.777000000000001"/>
    <s v="NA"/>
    <n v="185049.435"/>
    <n v="107598.341"/>
    <n v="7805.3890000000001"/>
    <n v="0"/>
    <n v="11300.386"/>
    <n v="21095.414000000001"/>
    <n v="0"/>
    <n v="1655.3330000000001"/>
    <n v="149454.86300000001"/>
    <n v="42.807000000000002"/>
    <n v="149412.05600000001"/>
    <s v="NA"/>
    <n v="4706.7299999999996"/>
    <n v="22892.631000000001"/>
    <n v="0"/>
    <s v="NA"/>
    <n v="177011.41699999999"/>
    <n v="8038.018"/>
    <s v="No"/>
    <x v="1"/>
    <x v="4"/>
    <n v="0.12371158760372379"/>
    <n v="3.2844571449018874E-2"/>
    <x v="1"/>
  </r>
  <r>
    <s v="NY"/>
    <s v="HealthNow New York Inc."/>
    <n v="64"/>
    <n v="131"/>
    <s v="HealthNow New York Inc."/>
    <s v="NY"/>
    <x v="0"/>
    <n v="2014"/>
    <n v="-53204.296999999999"/>
    <n v="245704.22099999999"/>
    <n v="-2.1771240857389711"/>
    <n v="556.2250305"/>
    <n v="2443787.9929999998"/>
    <n v="40150"/>
    <n v="510262"/>
    <n v="429.79206564470803"/>
    <n v="219306.55900000001"/>
    <n v="219306.55900000001"/>
    <n v="213289.46299999999"/>
    <n v="97.256308234720862"/>
    <m/>
    <n v="583243"/>
    <n v="13716.318283548451"/>
    <n v="28962"/>
    <n v="6408"/>
    <n v="681.10892051534313"/>
    <n v="4.5196629213483144"/>
    <n v="219306.55900000001"/>
    <n v="0"/>
    <n v="0"/>
    <n v="0"/>
    <n v="0"/>
    <s v="NA"/>
    <n v="219306.55900000001"/>
    <n v="124914.708"/>
    <n v="11285.870999999999"/>
    <n v="0"/>
    <n v="17191.812000000002"/>
    <n v="56933.235999999997"/>
    <n v="-1299.5340000000001"/>
    <n v="4263.37"/>
    <n v="213289.46299999999"/>
    <n v="0"/>
    <n v="213289.46299999999"/>
    <s v="NA"/>
    <n v="3443.4540000000002"/>
    <n v="13947.727000000001"/>
    <n v="12942.447"/>
    <s v="NA"/>
    <n v="243623.09099999999"/>
    <n v="-24316.531999999999"/>
    <s v="No"/>
    <x v="0"/>
    <x v="4"/>
    <n v="0.10054236361901955"/>
    <n v="-7.3105445966228227E-2"/>
    <x v="9"/>
  </r>
  <r>
    <s v="MI"/>
    <s v="Upper Peninsula Hlth Plan LLC"/>
    <n v="69"/>
    <n v="139"/>
    <s v="Upper Peninsula Hlth Plan LLC"/>
    <s v="MI"/>
    <x v="1"/>
    <n v="2014"/>
    <n v="4563.933"/>
    <n v="16445.925999999999"/>
    <n v="3.0344540386859076"/>
    <n v="495.35563230000002"/>
    <n v="150403.761"/>
    <n v="38162"/>
    <n v="426941"/>
    <n v="333.10641282987581"/>
    <n v="142216.785"/>
    <n v="142216.785"/>
    <n v="120829.542"/>
    <n v="84.961519837479088"/>
    <m/>
    <n v="148529"/>
    <n v="4174.6939272639547"/>
    <n v="8852"/>
    <n v="2763"/>
    <n v="248.8025277497359"/>
    <n v="3.2037640246109302"/>
    <n v="141852.66099999999"/>
    <n v="0"/>
    <n v="0"/>
    <n v="0"/>
    <n v="112.172"/>
    <s v="NA"/>
    <n v="141964.83300000001"/>
    <n v="90692.065000000002"/>
    <n v="6951.8159999999998"/>
    <n v="0"/>
    <n v="3920.5929999999998"/>
    <n v="19265.067999999999"/>
    <n v="0"/>
    <n v="0"/>
    <n v="120829.542"/>
    <n v="320.298"/>
    <n v="120509.24400000001"/>
    <s v="NA"/>
    <n v="1076.3050000000001"/>
    <n v="15542.022999999999"/>
    <n v="0"/>
    <s v="NA"/>
    <n v="137127.57199999999"/>
    <n v="4837.2610000000004"/>
    <s v="Yes"/>
    <x v="1"/>
    <x v="4"/>
    <n v="0.10934517787756651"/>
    <n v="3.0344540386859076E-2"/>
    <x v="1"/>
  </r>
  <r>
    <s v="OR"/>
    <s v="Providence Health Assurance"/>
    <n v="74"/>
    <n v="140"/>
    <s v="Providence Health Assurance"/>
    <s v="OR"/>
    <x v="0"/>
    <n v="2014"/>
    <n v="7628.5469999999996"/>
    <n v="2832.4380000000001"/>
    <n v="6.4855642355111209"/>
    <n v="372.51698399999998"/>
    <n v="117623.49"/>
    <n v="37224"/>
    <n v="422504"/>
    <n v="278.39615719614488"/>
    <n v="17623.490000000002"/>
    <n v="117623.49"/>
    <n v="101819.997"/>
    <n v="86.564339316917057"/>
    <m/>
    <n v="152520"/>
    <n v="4331.8879821256132"/>
    <n v="12703"/>
    <n v="3128"/>
    <n v="360.79185049135629"/>
    <n v="4.0610613810741691"/>
    <n v="117623.49"/>
    <n v="0"/>
    <n v="0"/>
    <n v="0"/>
    <n v="0"/>
    <s v="NA"/>
    <n v="117623.49"/>
    <n v="44312.275000000001"/>
    <n v="17830.621999999999"/>
    <n v="5113.4520000000002"/>
    <n v="5747.0950000000003"/>
    <n v="21963.828000000001"/>
    <n v="10670.752"/>
    <n v="-3818.027"/>
    <n v="101819.997"/>
    <n v="41.965000000000003"/>
    <n v="101778.03200000001"/>
    <s v="NA"/>
    <n v="5584.2790000000005"/>
    <n v="2832.4380000000001"/>
    <n v="-190.71799999999999"/>
    <s v="NA"/>
    <n v="110004.031"/>
    <n v="7619.4589999999998"/>
    <s v="Yes"/>
    <x v="0"/>
    <x v="4"/>
    <n v="2.4080547176418589E-2"/>
    <n v="0.11027605965441081"/>
    <x v="4"/>
  </r>
  <r>
    <s v="FL"/>
    <s v="Florida MHS Inc."/>
    <n v="39"/>
    <n v="164"/>
    <s v="Florida MHS Inc."/>
    <s v="FL"/>
    <x v="1"/>
    <n v="2014"/>
    <n v="-14814.906000000001"/>
    <n v="18712.696"/>
    <n v="-7.7922437359877454"/>
    <n v="327.38959649999998"/>
    <n v="190123.75"/>
    <n v="35885"/>
    <n v="197523"/>
    <n v="956.29645155247738"/>
    <n v="188890.54399999999"/>
    <n v="188890.54399999999"/>
    <n v="186154.495"/>
    <n v="98.551516162714847"/>
    <m/>
    <n v="62213"/>
    <n v="3779.5902249358301"/>
    <n v="22475"/>
    <n v="17040"/>
    <n v="1365.4106104099269"/>
    <n v="1.3189553990610328"/>
    <n v="188890.54399999999"/>
    <n v="0"/>
    <n v="0"/>
    <n v="0"/>
    <n v="1233.2059999999999"/>
    <s v="NA"/>
    <n v="190123.75"/>
    <n v="79702.892999999996"/>
    <n v="68282.476999999999"/>
    <n v="0"/>
    <n v="0"/>
    <n v="38169.125"/>
    <n v="0"/>
    <n v="0"/>
    <n v="186154.495"/>
    <n v="0"/>
    <n v="186154.495"/>
    <s v="NA"/>
    <n v="8062.0609999999997"/>
    <n v="18712.696"/>
    <n v="0"/>
    <s v="NA"/>
    <n v="212929.25099999999"/>
    <n v="-22805.501"/>
    <n v="0"/>
    <x v="2"/>
    <x v="4"/>
    <n v="9.8423768729577449E-2"/>
    <n v="-7.7922437359877458E-2"/>
    <x v="8"/>
  </r>
  <r>
    <s v="WI"/>
    <s v="Network Health Plan (Ministry Health Care)"/>
    <n v="85"/>
    <n v="142"/>
    <s v="Network Health Plan (Ministry Health Care)"/>
    <s v="WI"/>
    <x v="0"/>
    <n v="2014"/>
    <n v="2489.4290000000001"/>
    <n v="35444.131000000001"/>
    <n v="0.61837662670293847"/>
    <n v="310.69595429999998"/>
    <n v="402574.886"/>
    <n v="34902"/>
    <n v="406194"/>
    <n v="172.65607566827674"/>
    <n v="70131.861999999994"/>
    <n v="70131.861999999994"/>
    <n v="62147.991000000002"/>
    <n v="88.615914689388987"/>
    <m/>
    <n v="165600"/>
    <n v="4892.2436077342354"/>
    <n v="9284"/>
    <n v="2715"/>
    <n v="274.27288438529371"/>
    <n v="3.4195211786372006"/>
    <n v="70131.861999999994"/>
    <n v="0"/>
    <n v="0"/>
    <n v="0"/>
    <n v="0"/>
    <s v="NA"/>
    <n v="70131.861999999994"/>
    <n v="48273.214"/>
    <n v="8091.09"/>
    <n v="0"/>
    <n v="5783.6869999999999"/>
    <n v="0"/>
    <n v="0"/>
    <n v="0"/>
    <n v="62147.991000000002"/>
    <n v="0"/>
    <n v="62147.991000000002"/>
    <s v="NA"/>
    <n v="7983.8710000000001"/>
    <n v="0"/>
    <n v="0"/>
    <s v="NA"/>
    <n v="70131.861999999994"/>
    <n v="0"/>
    <s v="Yes"/>
    <x v="1"/>
    <x v="4"/>
    <n v="8.8043572097043332E-2"/>
    <n v="2.5797281009066808E-2"/>
    <x v="1"/>
  </r>
  <r>
    <s v="WV"/>
    <s v="Health Plan of the Upper OH"/>
    <n v="78"/>
    <n v="143"/>
    <s v="Health Plan of the Upper OH"/>
    <s v="WV"/>
    <x v="0"/>
    <n v="2014"/>
    <n v="10886.28"/>
    <n v="29191.762999999999"/>
    <n v="2.8535755712554214"/>
    <n v="865.03303630000005"/>
    <n v="381496.11700000003"/>
    <n v="33386"/>
    <n v="403315"/>
    <n v="263.5640008430135"/>
    <n v="106299.315"/>
    <n v="106299.315"/>
    <n v="83310.224000000002"/>
    <n v="78.373246337476402"/>
    <m/>
    <n v="224914"/>
    <n v="6691.9603783643061"/>
    <n v="14823"/>
    <n v="2298"/>
    <n v="441.0349230750158"/>
    <n v="6.4503916449086161"/>
    <n v="106032.59699999999"/>
    <n v="0"/>
    <n v="0"/>
    <n v="0"/>
    <n v="0"/>
    <s v="NA"/>
    <n v="106032.59699999999"/>
    <n v="46228.646000000001"/>
    <n v="12778.715"/>
    <n v="0"/>
    <n v="6902.6859999999997"/>
    <n v="17210.321"/>
    <n v="0"/>
    <n v="189.85599999999999"/>
    <n v="83310.224000000002"/>
    <n v="0"/>
    <n v="83310.224000000002"/>
    <s v="NA"/>
    <n v="2559.8710000000001"/>
    <n v="7639.1530000000002"/>
    <n v="0"/>
    <s v="NA"/>
    <n v="93509.248000000007"/>
    <n v="12523.349"/>
    <s v="No"/>
    <x v="0"/>
    <x v="4"/>
    <n v="7.6519161530548413E-2"/>
    <n v="0.1397483750946876"/>
    <x v="4"/>
  </r>
  <r>
    <s v="WI"/>
    <s v="Group Hlth Coop of Eau Claire"/>
    <n v="89"/>
    <n v="146"/>
    <s v="Group Hlth Coop of Eau Claire"/>
    <s v="WI"/>
    <x v="0"/>
    <n v="2014"/>
    <n v="12537.514999999999"/>
    <n v="15144.921"/>
    <n v="9.041842488674396"/>
    <n v="494.43685570000002"/>
    <n v="138661.06400000001"/>
    <n v="33175"/>
    <n v="380725"/>
    <n v="162.28218530435353"/>
    <n v="61784.885000000002"/>
    <n v="61784.885000000002"/>
    <n v="44243.34"/>
    <n v="71.608679048281786"/>
    <m/>
    <n v="177038"/>
    <n v="5580.0275789611924"/>
    <n v="11871"/>
    <n v="2967"/>
    <n v="374.15982664652967"/>
    <n v="4.0010111223458038"/>
    <n v="61655.487999999998"/>
    <n v="0"/>
    <n v="0"/>
    <n v="34507.809000000001"/>
    <n v="0"/>
    <s v="NA"/>
    <n v="96163.297000000006"/>
    <n v="62833.892"/>
    <n v="0"/>
    <n v="0"/>
    <n v="8379.5159999999996"/>
    <n v="-3.3839999999999999"/>
    <n v="0"/>
    <n v="56.533000000000001"/>
    <n v="71266.557000000001"/>
    <n v="-32.819000000000003"/>
    <n v="71299.376000000004"/>
    <s v="NA"/>
    <n v="2893.5520000000001"/>
    <n v="9977.7849999999999"/>
    <n v="0"/>
    <s v="NA"/>
    <n v="84170.713000000003"/>
    <n v="11992.584000000001"/>
    <s v="No"/>
    <x v="0"/>
    <x v="4"/>
    <n v="0.1092225933013178"/>
    <n v="0.17469061621586435"/>
    <x v="10"/>
  </r>
  <r>
    <s v="SC"/>
    <s v="Advicare Corp."/>
    <n v="79"/>
    <n v="149"/>
    <s v="Advicare Corp."/>
    <s v="SC"/>
    <x v="1"/>
    <n v="2014"/>
    <n v="1452.886"/>
    <n v="7491.8029999999999"/>
    <n v="1.3945975272642412"/>
    <n v="238.45331179999999"/>
    <n v="104179.591"/>
    <n v="32997"/>
    <n v="339931"/>
    <n v="306.29032068272681"/>
    <n v="104117.575"/>
    <n v="104117.575"/>
    <n v="90480.350999999995"/>
    <n v="86.902092178001652"/>
    <m/>
    <n v="214747"/>
    <n v="7580.8443478235286"/>
    <n v="18368"/>
    <n v="4470"/>
    <n v="648.41394282957424"/>
    <n v="4.1091722595078304"/>
    <n v="104117.575"/>
    <n v="0"/>
    <n v="0"/>
    <n v="0"/>
    <n v="62.015999999999998"/>
    <s v="NA"/>
    <n v="104179.591"/>
    <n v="40624.057999999997"/>
    <n v="22001.043000000001"/>
    <n v="0"/>
    <n v="8709.3880000000008"/>
    <n v="18293.047999999999"/>
    <n v="852.81399999999996"/>
    <n v="0"/>
    <n v="90480.350999999995"/>
    <n v="0"/>
    <n v="90480.350999999995"/>
    <s v="NA"/>
    <n v="4737.143"/>
    <n v="7491.8029999999999"/>
    <n v="0"/>
    <s v="NA"/>
    <n v="102709.29700000001"/>
    <n v="1470.2940000000001"/>
    <s v="Yes"/>
    <x v="1"/>
    <x v="4"/>
    <n v="7.1912386371338316E-2"/>
    <n v="1.3945975272642413E-2"/>
    <x v="6"/>
  </r>
  <r>
    <s v="MA"/>
    <s v="Centene Corp. "/>
    <n v="2"/>
    <n v="144"/>
    <s v="CeltiCare Hlth Plan of MA Inc."/>
    <s v="MA"/>
    <x v="1"/>
    <n v="2014"/>
    <n v="14595.504000000001"/>
    <n v="15360.143"/>
    <n v="8.1327648889498576"/>
    <n v="603.76411270000006"/>
    <n v="179465.46100000001"/>
    <n v="31037"/>
    <n v="398020"/>
    <n v="406.07640570825589"/>
    <n v="161626.53099999999"/>
    <n v="161626.53099999999"/>
    <n v="121351.988"/>
    <n v="75.081725289271972"/>
    <m/>
    <n v="125813"/>
    <n v="3793.166172554143"/>
    <n v="13319"/>
    <n v="2795"/>
    <n v="401.55771066780562"/>
    <n v="4.7652951699463326"/>
    <n v="159776.97399999999"/>
    <n v="0"/>
    <n v="0"/>
    <n v="0"/>
    <n v="0"/>
    <s v="NA"/>
    <n v="159776.97399999999"/>
    <n v="57740.025000000001"/>
    <n v="31775.594000000001"/>
    <n v="0"/>
    <n v="13562.962"/>
    <n v="18153.608"/>
    <n v="0"/>
    <n v="119.8"/>
    <n v="121351.989"/>
    <n v="247"/>
    <n v="121104.989"/>
    <s v="NA"/>
    <n v="4971.9160000000002"/>
    <n v="13533.004000000001"/>
    <n v="0"/>
    <s v="NA"/>
    <n v="139609.90900000001"/>
    <n v="20167.064999999999"/>
    <s v="No"/>
    <x v="1"/>
    <x v="4"/>
    <n v="8.5588296012010914E-2"/>
    <n v="8.1327648889498574E-2"/>
    <x v="5"/>
  </r>
  <r>
    <s v="DC"/>
    <s v="Trusted Health Plan"/>
    <n v="77"/>
    <n v="151"/>
    <s v="Trusted Health Plan"/>
    <s v="DC"/>
    <x v="1"/>
    <n v="2014"/>
    <n v="3000.6109999999999"/>
    <n v="12110.183000000001"/>
    <n v="2.5195631107352909"/>
    <n v="207.7049007"/>
    <n v="119092.512"/>
    <n v="28397"/>
    <n v="320080"/>
    <n v="349.89342039490128"/>
    <n v="111993.886"/>
    <n v="111993.886"/>
    <n v="91290.822"/>
    <n v="81.514112297165937"/>
    <m/>
    <n v="166799"/>
    <n v="6253.3991502124472"/>
    <n v="7650"/>
    <n v="2106"/>
    <n v="286.80329917520618"/>
    <n v="3.6324786324786325"/>
    <n v="111400.137"/>
    <n v="0"/>
    <n v="0"/>
    <n v="0"/>
    <n v="0"/>
    <s v="NA"/>
    <n v="111400.137"/>
    <n v="76454.990999999995"/>
    <n v="8122.2110000000002"/>
    <n v="0"/>
    <n v="0"/>
    <n v="6713.6189999999997"/>
    <n v="0"/>
    <n v="0"/>
    <n v="91290.820999999996"/>
    <n v="647.51800000000003"/>
    <n v="90643.303"/>
    <s v="NA"/>
    <n v="4386.1390000000001"/>
    <n v="11326.522000000001"/>
    <n v="0"/>
    <s v="NA"/>
    <n v="106355.96400000001"/>
    <n v="5044.1729999999998"/>
    <s v="No"/>
    <x v="1"/>
    <x v="4"/>
    <n v="0.1016871908789698"/>
    <n v="2.5195631107352911E-2"/>
    <x v="1"/>
  </r>
  <r>
    <s v="MA"/>
    <s v="Fallon Community Hlth Plan Inc"/>
    <n v="70"/>
    <n v="150"/>
    <s v="Fallon Community Hlth Plan Inc"/>
    <s v="MA"/>
    <x v="0"/>
    <n v="2014"/>
    <n v="26658.133000000002"/>
    <n v="124454.202"/>
    <n v="2.4154479989821143"/>
    <n v="441.92183549999999"/>
    <n v="1103651.7039999999"/>
    <n v="27643"/>
    <n v="326160"/>
    <n v="430.64503311258278"/>
    <n v="140459.18400000001"/>
    <n v="140459.18400000001"/>
    <n v="122184.105"/>
    <n v="86.989046583098471"/>
    <m/>
    <n v="84932"/>
    <n v="3124.7976453274468"/>
    <n v="29934"/>
    <n v="3529"/>
    <n v="1101.3245033112582"/>
    <n v="8.4822896004533863"/>
    <n v="138299.97099999999"/>
    <n v="0"/>
    <n v="0"/>
    <n v="0"/>
    <n v="0"/>
    <s v="NA"/>
    <n v="138299.97099999999"/>
    <n v="92063.358999999997"/>
    <n v="7532.4690000000001"/>
    <n v="395.75400000000002"/>
    <n v="287.82100000000003"/>
    <n v="18090.757000000001"/>
    <n v="986.31799999999998"/>
    <n v="2827.627"/>
    <n v="122184.105"/>
    <n v="7.6580000000000004"/>
    <n v="122176.447"/>
    <s v="NA"/>
    <n v="1795.828"/>
    <n v="13999.779"/>
    <n v="-3800"/>
    <s v="NA"/>
    <n v="134172.054"/>
    <n v="4127.9170000000004"/>
    <s v="No"/>
    <x v="0"/>
    <x v="4"/>
    <n v="0.11276583142030831"/>
    <n v="1.734370274870696E-2"/>
    <x v="6"/>
  </r>
  <r>
    <s v="FL"/>
    <s v="Preferred Medical Plan Inc."/>
    <n v="84"/>
    <n v="159"/>
    <s v="Preferred Medical Plan Inc."/>
    <s v="FL"/>
    <x v="0"/>
    <n v="2014"/>
    <n v="9257.518"/>
    <n v="57043.904999999999"/>
    <n v="2.5281751843419822"/>
    <n v="159.9528119"/>
    <n v="366173.913"/>
    <n v="27308"/>
    <n v="260610"/>
    <n v="271.14994819845748"/>
    <n v="70664.388000000006"/>
    <n v="70664.388000000006"/>
    <n v="104399.819"/>
    <n v="147.74035685414836"/>
    <m/>
    <n v="35927"/>
    <n v="1654.2880165764936"/>
    <n v="8378"/>
    <n v="2291"/>
    <n v="385.77184298376886"/>
    <n v="3.6569183762549105"/>
    <n v="70551.561000000002"/>
    <n v="0"/>
    <n v="0"/>
    <n v="0"/>
    <n v="0"/>
    <s v="NA"/>
    <n v="70551.561000000002"/>
    <n v="66999.197"/>
    <n v="3212.3969999999999"/>
    <n v="0"/>
    <n v="23873.802"/>
    <n v="10314.423000000001"/>
    <n v="0"/>
    <n v="0"/>
    <n v="104399.819"/>
    <n v="0"/>
    <n v="104399.819"/>
    <s v="NA"/>
    <n v="158.15100000000001"/>
    <n v="11447.375"/>
    <n v="0"/>
    <s v="NA"/>
    <n v="116005.345"/>
    <n v="-45453.784"/>
    <n v="0"/>
    <x v="2"/>
    <x v="4"/>
    <n v="0.15578363989026164"/>
    <n v="-0.63318720843174536"/>
    <x v="11"/>
  </r>
  <r>
    <s v="MD"/>
    <s v="Jai Med Sys Mngd Care Org. Inc"/>
    <n v="65"/>
    <n v="153"/>
    <s v="Jai Med Sys Mngd Care Org. Inc"/>
    <s v="MD"/>
    <x v="0"/>
    <n v="2014"/>
    <s v="NA"/>
    <s v="NA"/>
    <s v="NA"/>
    <s v="NA"/>
    <s v="NA"/>
    <n v="24837"/>
    <n v="309170"/>
    <n v="599.3846427531779"/>
    <n v="185311.75"/>
    <n v="185311.75"/>
    <n v="163912.21900000001"/>
    <n v="88.45214564106162"/>
    <m/>
    <n v="66940"/>
    <n v="2598.1822298411876"/>
    <n v="4347"/>
    <n v="23499"/>
    <n v="168.72270918911926"/>
    <n v="0.1849865951742627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1"/>
    <x v="5"/>
    <n v="0"/>
    <n v="-100"/>
    <x v="0"/>
  </r>
  <r>
    <s v="CO"/>
    <s v="Rocky Mtn Hlth Maintenance Org"/>
    <n v="95"/>
    <n v="152"/>
    <s v="Rocky Mtn Hlth Maintenance Org"/>
    <s v="CO"/>
    <x v="0"/>
    <n v="2014"/>
    <n v="-13565.286"/>
    <n v="23047.686000000002"/>
    <n v="-4.0805267531621841"/>
    <n v="478.10339329999999"/>
    <n v="332439.58"/>
    <n v="24111"/>
    <n v="319025"/>
    <n v="99.072702766240894"/>
    <n v="31606.669000000002"/>
    <n v="31606.669000000002"/>
    <n v="29183.664000000001"/>
    <n v="92.333880549070187"/>
    <m/>
    <n v="27476"/>
    <n v="1033.4989420891779"/>
    <n v="2236"/>
    <n v="619"/>
    <n v="84.106261264791158"/>
    <n v="3.6122778675282716"/>
    <n v="31584.455999999998"/>
    <n v="0"/>
    <n v="0"/>
    <n v="0"/>
    <n v="0"/>
    <s v="NA"/>
    <n v="31584.455999999998"/>
    <n v="20252.846000000001"/>
    <n v="0"/>
    <n v="0"/>
    <n v="2186.2930000000001"/>
    <n v="6720.6549999999997"/>
    <n v="23.353000000000002"/>
    <n v="0.51600000000000001"/>
    <n v="29183.663"/>
    <n v="0"/>
    <n v="29183.663"/>
    <s v="NA"/>
    <n v="848.16200000000003"/>
    <n v="843.21500000000003"/>
    <n v="0"/>
    <s v="NA"/>
    <n v="30875.040000000001"/>
    <n v="709.41600000000005"/>
    <s v="No"/>
    <x v="0"/>
    <x v="5"/>
    <n v="6.932894693225157E-2"/>
    <n v="7.3322475770465217E-3"/>
    <x v="6"/>
  </r>
  <r>
    <s v="NE"/>
    <s v="Independence Health Group Inc. "/>
    <n v="7"/>
    <n v="157"/>
    <s v="AmeriHealth Nebraska Inc."/>
    <s v="NE"/>
    <x v="1"/>
    <n v="2014"/>
    <n v="-94.43"/>
    <n v="7732.9679999999998"/>
    <n v="-0.1438102531913297"/>
    <n v="415.08835549999998"/>
    <n v="65662.911999999997"/>
    <n v="23905"/>
    <n v="272101"/>
    <n v="242.80908559689232"/>
    <n v="66068.595000000001"/>
    <n v="66068.595000000001"/>
    <n v="55847.65"/>
    <n v="84.529798159019421"/>
    <m/>
    <n v="152305"/>
    <n v="6716.8441130315578"/>
    <n v="9118"/>
    <n v="2284"/>
    <n v="402.11539097614491"/>
    <n v="3.9921190893169878"/>
    <n v="65662.911999999997"/>
    <n v="0"/>
    <n v="0"/>
    <n v="0"/>
    <n v="0"/>
    <s v="NA"/>
    <n v="65662.911999999997"/>
    <n v="36894.641000000003"/>
    <n v="12996.348"/>
    <n v="0"/>
    <n v="2198.9450000000002"/>
    <n v="724.78"/>
    <n v="2712.884"/>
    <n v="320.05200000000002"/>
    <n v="55847.65"/>
    <n v="584.46299999999997"/>
    <n v="55263.186999999998"/>
    <s v="NA"/>
    <n v="2754.7139999999999"/>
    <n v="7732.9679999999998"/>
    <n v="0"/>
    <s v="NA"/>
    <n v="65750.869000000006"/>
    <n v="-87.956999999999994"/>
    <s v="No"/>
    <x v="0"/>
    <x v="5"/>
    <n v="0.11776766769040033"/>
    <n v="-1.438102531913297E-3"/>
    <x v="7"/>
  </r>
  <r>
    <s v="NY"/>
    <s v="MVP Health Plan Inc."/>
    <n v="81"/>
    <n v="162"/>
    <s v="MVP Health Plan Inc."/>
    <s v="NY"/>
    <x v="0"/>
    <n v="2014"/>
    <n v="-23723.924999999999"/>
    <n v="136297.69"/>
    <n v="-1.4320047576655397"/>
    <n v="694.76038960000005"/>
    <n v="1656693.169"/>
    <n v="22840"/>
    <n v="253922"/>
    <n v="391.79182977449767"/>
    <n v="99484.565000000002"/>
    <n v="99484.565000000002"/>
    <n v="95304.933999999994"/>
    <n v="95.798714102031795"/>
    <m/>
    <n v="170706"/>
    <n v="8067.3277620686667"/>
    <n v="16960"/>
    <n v="3525"/>
    <n v="801.50597427556488"/>
    <n v="4.8113475177304963"/>
    <n v="98679.631999999998"/>
    <n v="0"/>
    <n v="0"/>
    <n v="0"/>
    <n v="0"/>
    <s v="NA"/>
    <n v="98679.631999999998"/>
    <n v="59319.279000000002"/>
    <n v="5384.8580000000002"/>
    <n v="0"/>
    <n v="7149.01"/>
    <n v="20190.084999999999"/>
    <n v="1495.47"/>
    <n v="1766.231"/>
    <n v="95304.933000000005"/>
    <n v="285.47800000000001"/>
    <n v="95019.455000000002"/>
    <s v="NA"/>
    <n v="3715.7820000000002"/>
    <n v="11443.366"/>
    <n v="-375.1"/>
    <s v="NA"/>
    <n v="109803.503"/>
    <n v="-11123.870999999999"/>
    <s v="No"/>
    <x v="0"/>
    <x v="5"/>
    <n v="8.2270931365203206E-2"/>
    <n v="-4.0258072385521107E-2"/>
    <x v="3"/>
  </r>
  <r>
    <s v="HI"/>
    <s v="Kaiser"/>
    <n v="51"/>
    <n v="160"/>
    <s v="Kaiser Fndtn Hlth Plan Inc. HI"/>
    <s v="HI"/>
    <x v="0"/>
    <n v="2014"/>
    <n v="-2086.2570000000001"/>
    <n v="78996.342000000004"/>
    <n v="-0.1733536305926687"/>
    <n v="407.45818789999998"/>
    <n v="1203468.882"/>
    <n v="20972"/>
    <n v="258400"/>
    <n v="245.55131578947368"/>
    <n v="63450.46"/>
    <n v="63450.46"/>
    <n v="81937.864000000001"/>
    <n v="129.13675330328576"/>
    <m/>
    <n v="88641"/>
    <n v="4116.4551083591332"/>
    <n v="5811"/>
    <n v="1373"/>
    <n v="269.86068111455108"/>
    <n v="4.2323379461034234"/>
    <n v="63450.46"/>
    <n v="0"/>
    <n v="1739.1489999999999"/>
    <n v="0"/>
    <n v="3567.4740000000002"/>
    <s v="NA"/>
    <n v="68757.082999999999"/>
    <n v="49378.080999999998"/>
    <n v="663.45"/>
    <n v="3345.1480000000001"/>
    <n v="3338.7130000000002"/>
    <n v="9579.3379999999997"/>
    <n v="15633.134"/>
    <n v="0"/>
    <n v="81937.864000000001"/>
    <n v="0"/>
    <n v="81937.864000000001"/>
    <s v="NA"/>
    <n v="717.45699999999999"/>
    <n v="3035.6860000000001"/>
    <n v="0"/>
    <s v="NA"/>
    <n v="85691.006999999998"/>
    <n v="-16933.923999999999"/>
    <s v="Yes"/>
    <x v="0"/>
    <x v="5"/>
    <n v="6.5640535606304118E-2"/>
    <n v="-0.35700806863916168"/>
    <x v="11"/>
  </r>
  <r>
    <s v="WI"/>
    <s v="Humana Inc. "/>
    <n v="9"/>
    <n v="173"/>
    <s v="Independent Care Health Plan"/>
    <s v="WI"/>
    <x v="0"/>
    <n v="2014"/>
    <n v="1796.0219999999999"/>
    <n v="14716.377"/>
    <n v="1.0235624378432795"/>
    <n v="367.30820770000003"/>
    <n v="175467.75200000001"/>
    <n v="18270"/>
    <n v="144257"/>
    <n v="662.81171104348493"/>
    <n v="95615.229000000007"/>
    <n v="95615.229000000007"/>
    <n v="69535.813999999998"/>
    <n v="72.724622141520982"/>
    <m/>
    <n v="148827"/>
    <n v="12380.154862502339"/>
    <n v="23836"/>
    <n v="3956"/>
    <n v="1982.7945957561851"/>
    <n v="6.025278058645096"/>
    <n v="95505.328999999998"/>
    <n v="0"/>
    <n v="0"/>
    <n v="0"/>
    <n v="0"/>
    <s v="NA"/>
    <n v="95505.328999999998"/>
    <n v="62851.669000000002"/>
    <n v="3183.4949999999999"/>
    <n v="0"/>
    <n v="0"/>
    <n v="3500.6509999999998"/>
    <n v="0"/>
    <n v="0"/>
    <n v="69535.815000000002"/>
    <n v="98.090999999999994"/>
    <n v="69437.724000000002"/>
    <s v="NA"/>
    <n v="6782.5190000000002"/>
    <n v="7767.2629999999999"/>
    <n v="0"/>
    <s v="NA"/>
    <n v="83987.505999999994"/>
    <n v="11517.823"/>
    <s v="Yes"/>
    <x v="1"/>
    <x v="5"/>
    <n v="8.3869410944525005E-2"/>
    <n v="0.18888436764026523"/>
    <x v="10"/>
  </r>
  <r>
    <s v="MI"/>
    <s v="Sparrow PHP"/>
    <n v="86"/>
    <n v="163"/>
    <s v="Sparrow PHP"/>
    <s v="MI"/>
    <x v="1"/>
    <n v="2014"/>
    <n v="853.30399999999997"/>
    <n v="7118.8810000000003"/>
    <n v="1.2640289445717388"/>
    <n v="291.67679629999998"/>
    <n v="67506.682000000001"/>
    <n v="18178"/>
    <n v="211343"/>
    <n v="319.95292486621275"/>
    <n v="67619.811000000002"/>
    <n v="67619.811000000002"/>
    <n v="57402.868000000002"/>
    <n v="84.89060698498551"/>
    <m/>
    <n v="98227"/>
    <n v="5577.3032463814743"/>
    <n v="9984"/>
    <n v="2446"/>
    <n v="566.88889624922524"/>
    <n v="4.081766148814391"/>
    <n v="65757.392000000007"/>
    <n v="0"/>
    <n v="0"/>
    <n v="0"/>
    <n v="0"/>
    <s v="NA"/>
    <n v="65757.392000000007"/>
    <n v="37408.165999999997"/>
    <n v="2936.3359999999998"/>
    <n v="0"/>
    <n v="6433.1030000000001"/>
    <n v="9686.8979999999992"/>
    <n v="0"/>
    <n v="788.24099999999999"/>
    <n v="57252.743999999999"/>
    <n v="128.69300000000001"/>
    <n v="57124.052000000003"/>
    <s v="NA"/>
    <n v="1979.9549999999999"/>
    <n v="7016.8580000000002"/>
    <n v="0"/>
    <s v="NA"/>
    <n v="66120.865000000005"/>
    <n v="-363.47199999999998"/>
    <s v="Yes"/>
    <x v="0"/>
    <x v="5"/>
    <n v="0.1054544644928631"/>
    <n v="1.2640289445717387E-2"/>
    <x v="6"/>
  </r>
  <r>
    <s v="OH"/>
    <s v="Aetna"/>
    <n v="5"/>
    <n v="177"/>
    <s v="Aetna Better Health Inc. (OH)"/>
    <s v="OH"/>
    <x v="1"/>
    <n v="2014"/>
    <n v="-19588.188999999998"/>
    <n v="43204.667000000001"/>
    <n v="-5.8413332654296326"/>
    <n v="295.41147790000002"/>
    <n v="335337.63799999998"/>
    <n v="17996"/>
    <n v="122580"/>
    <n v="2536.2305025289606"/>
    <n v="310891.13500000001"/>
    <n v="310891.13500000001"/>
    <n v="282963.58"/>
    <n v="91.016934271863363"/>
    <m/>
    <n v="47823"/>
    <n v="4681.6446402349484"/>
    <n v="20832"/>
    <n v="1641"/>
    <n v="2039.3538913362702"/>
    <n v="12.694698354661792"/>
    <n v="310741.11"/>
    <n v="0"/>
    <n v="0"/>
    <n v="0"/>
    <n v="0"/>
    <s v="NA"/>
    <n v="310741.11"/>
    <n v="258934.22399999999"/>
    <n v="1074.3979999999999"/>
    <n v="21463.351999999999"/>
    <n v="785.67100000000005"/>
    <n v="705.93499999999995"/>
    <n v="0"/>
    <n v="0"/>
    <n v="282963.58"/>
    <n v="0"/>
    <n v="282963.58"/>
    <s v="NA"/>
    <n v="11417.92"/>
    <n v="41956.25"/>
    <n v="0"/>
    <s v="NA"/>
    <n v="336337.75"/>
    <n v="-25596.639999999999"/>
    <s v="No"/>
    <x v="1"/>
    <x v="5"/>
    <n v="0.12883930136109567"/>
    <n v="-5.8413332654296324E-2"/>
    <x v="9"/>
  </r>
  <r>
    <s v="TX"/>
    <s v="Seton Health Plan Inc."/>
    <n v="94"/>
    <n v="167"/>
    <s v="Seton Health Plan Inc."/>
    <s v="TX"/>
    <x v="0"/>
    <n v="2014"/>
    <n v="-333.89400000000001"/>
    <n v="3095.375"/>
    <n v="-0.66810976166121616"/>
    <n v="582.2529912"/>
    <n v="49975.92"/>
    <n v="17077"/>
    <n v="168042"/>
    <n v="202.91281346330084"/>
    <n v="34097.875"/>
    <n v="34097.875"/>
    <n v="27781.061000000002"/>
    <n v="81.47446431779106"/>
    <m/>
    <n v="103732"/>
    <n v="7407.5766772592569"/>
    <n v="5590"/>
    <n v="1204"/>
    <n v="399.18591780626269"/>
    <n v="4.6428571428571432"/>
    <n v="33669.097999999998"/>
    <n v="-1100.0150000000001"/>
    <n v="0"/>
    <n v="0"/>
    <n v="74.510000000000005"/>
    <s v="NA"/>
    <n v="32643.593000000001"/>
    <n v="14092.599"/>
    <n v="7198.6530000000002"/>
    <n v="1509.5840000000001"/>
    <n v="545.745"/>
    <n v="4434.4799999999996"/>
    <n v="0"/>
    <n v="0"/>
    <n v="27781.061000000002"/>
    <n v="170.84100000000001"/>
    <n v="27610.22"/>
    <s v="NA"/>
    <n v="2678.2979999999998"/>
    <n v="1990.1590000000001"/>
    <n v="1806.175"/>
    <s v="NA"/>
    <n v="34084.851999999999"/>
    <n v="-1441.259"/>
    <s v="Yes"/>
    <x v="0"/>
    <x v="5"/>
    <n v="6.1937329017654905E-2"/>
    <n v="0.12331802780443447"/>
    <x v="4"/>
  </r>
  <r>
    <s v="SD"/>
    <s v="Sanford Health Plan"/>
    <n v="73"/>
    <n v="179"/>
    <s v="Sanford Health Plan"/>
    <s v="SD"/>
    <x v="0"/>
    <n v="2014"/>
    <n v="-1646.0619999999999"/>
    <n v="9929.0550000000003"/>
    <n v="-0.55678273530343603"/>
    <n v="209.7269216"/>
    <n v="295638.11800000002"/>
    <n v="16580"/>
    <n v="108785"/>
    <n v="1097.396589603346"/>
    <n v="119380.288"/>
    <n v="119380.288"/>
    <n v="117690.924"/>
    <n v="98.584888654314526"/>
    <m/>
    <n v="59391"/>
    <n v="6551.3811646826307"/>
    <n v="10822"/>
    <n v="2615"/>
    <n v="1193.7675230960151"/>
    <n v="4.1384321223709373"/>
    <n v="118987.709"/>
    <n v="0"/>
    <n v="0"/>
    <n v="0"/>
    <n v="0"/>
    <s v="NA"/>
    <n v="118987.709"/>
    <n v="65124.680999999997"/>
    <n v="25119.111000000001"/>
    <n v="3467.7869999999998"/>
    <n v="10128.564"/>
    <n v="13850.781000000001"/>
    <n v="0"/>
    <n v="0"/>
    <n v="117690.924"/>
    <n v="112.524"/>
    <n v="117578.399"/>
    <s v="NA"/>
    <n v="1001.244"/>
    <n v="629.66200000000003"/>
    <n v="0"/>
    <s v="NA"/>
    <n v="119209.306"/>
    <n v="-221.59700000000001"/>
    <s v="Yes"/>
    <x v="0"/>
    <x v="5"/>
    <n v="3.3585165090247261E-2"/>
    <n v="-1.9434051633392548E-2"/>
    <x v="7"/>
  </r>
  <r>
    <s v="PA"/>
    <s v="Gundersen Health Plan Inc."/>
    <n v="97"/>
    <n v="165"/>
    <s v="Gundersen Health Plan Inc."/>
    <s v="PA"/>
    <x v="0"/>
    <n v="2014"/>
    <n v="2311.7179999999998"/>
    <n v="13748.933000000001"/>
    <n v="0.78223862940054956"/>
    <n v="339.57473420000002"/>
    <n v="295525.93199999997"/>
    <n v="16234"/>
    <n v="194544"/>
    <n v="127.73411156345094"/>
    <n v="24896.596000000001"/>
    <n v="24849.904999999999"/>
    <n v="22528.526999999998"/>
    <n v="90.658402919447767"/>
    <m/>
    <n v="70853"/>
    <n v="4370.404638539354"/>
    <n v="4869"/>
    <n v="1490"/>
    <n v="300.33308660251663"/>
    <n v="3.2677852348993288"/>
    <n v="24849.904999999999"/>
    <n v="0"/>
    <n v="0"/>
    <n v="0"/>
    <n v="0"/>
    <s v="NA"/>
    <n v="24849.904999999999"/>
    <n v="17354.275000000001"/>
    <n v="0"/>
    <n v="1336.2940000000001"/>
    <n v="2260.8850000000002"/>
    <n v="0"/>
    <n v="1577.0719999999999"/>
    <n v="0"/>
    <n v="22528.526000000002"/>
    <n v="0"/>
    <n v="22528.526000000002"/>
    <s v="NA"/>
    <n v="851.375"/>
    <n v="1134.617"/>
    <n v="0"/>
    <s v="NA"/>
    <n v="24514.518"/>
    <n v="335.387"/>
    <s v="Yes"/>
    <x v="0"/>
    <x v="5"/>
    <n v="4.6523609305460213E-2"/>
    <n v="4.6892361500062117E-2"/>
    <x v="1"/>
  </r>
  <r>
    <s v="WI"/>
    <s v="Unity Health Plans Ins Corp."/>
    <n v="96"/>
    <n v="170"/>
    <s v="Unity Health Plans Ins Corp."/>
    <s v="WI"/>
    <x v="0"/>
    <n v="2014"/>
    <n v="4649.5069999999996"/>
    <n v="57675.607000000004"/>
    <n v="0.61576252482199956"/>
    <n v="388.89115450000003"/>
    <n v="755081.19"/>
    <n v="15112"/>
    <n v="166638"/>
    <n v="151.76159699468309"/>
    <n v="25289.249"/>
    <n v="25289.249"/>
    <n v="20274.414000000001"/>
    <n v="80.170091251029248"/>
    <m/>
    <n v="62719"/>
    <n v="4516.5448457134626"/>
    <n v="4338"/>
    <n v="1119"/>
    <n v="312.3897310337378"/>
    <n v="3.8766756032171581"/>
    <n v="25289.249"/>
    <n v="0"/>
    <n v="0"/>
    <n v="0"/>
    <n v="0"/>
    <s v="NA"/>
    <n v="25289.249"/>
    <n v="17599.847000000002"/>
    <n v="1559.0840000000001"/>
    <n v="0"/>
    <n v="1113.6310000000001"/>
    <n v="1.8520000000000001"/>
    <n v="0"/>
    <n v="0"/>
    <n v="20274.414000000001"/>
    <n v="0"/>
    <n v="20274.414000000001"/>
    <s v="NA"/>
    <n v="1719.77"/>
    <n v="1820.7249999999999"/>
    <n v="0"/>
    <s v="NA"/>
    <n v="23814.909"/>
    <n v="1474.34"/>
    <s v="Yes"/>
    <x v="1"/>
    <x v="5"/>
    <n v="7.6383318461422683E-2"/>
    <n v="0.1219157690282848"/>
    <x v="4"/>
  </r>
  <r>
    <s v="WI"/>
    <s v="MercyCare HMO Inc. (Mercy Alliance)"/>
    <n v="99"/>
    <n v="169"/>
    <s v="MercyCare HMO Inc. (Mercy Alliance)"/>
    <s v="WI"/>
    <x v="0"/>
    <n v="2014"/>
    <n v="-1927.04"/>
    <n v="8199.7610000000004"/>
    <n v="-1.9548040427227096"/>
    <n v="376.95845379999997"/>
    <n v="98579.702000000005"/>
    <n v="14064"/>
    <n v="166794"/>
    <n v="130.17315371056512"/>
    <n v="22002.923999999999"/>
    <n v="21712.100999999999"/>
    <n v="20508.795999999998"/>
    <n v="94.457906215524702"/>
    <m/>
    <n v="86369"/>
    <n v="6213.8206410302528"/>
    <n v="3384"/>
    <n v="823"/>
    <n v="243.46199503579265"/>
    <n v="4.1117861482381528"/>
    <n v="21962.392"/>
    <n v="0"/>
    <n v="0"/>
    <n v="0"/>
    <n v="0"/>
    <s v="NA"/>
    <n v="21962.392"/>
    <n v="20508.795999999998"/>
    <n v="0"/>
    <n v="0"/>
    <n v="0"/>
    <n v="0"/>
    <n v="0"/>
    <n v="0"/>
    <n v="20508.795999999998"/>
    <n v="144"/>
    <n v="20364.795999999998"/>
    <s v="NA"/>
    <n v="400.69400000000002"/>
    <n v="3176.8939999999998"/>
    <n v="0"/>
    <s v="NA"/>
    <n v="23942.383999999998"/>
    <n v="-1979.992"/>
    <s v="Yes"/>
    <x v="1"/>
    <x v="5"/>
    <n v="8.3178999668714768E-2"/>
    <n v="-2.7758061823961774E-2"/>
    <x v="3"/>
  </r>
  <r>
    <s v="TN"/>
    <s v="HealthSpring of Tennessee Inc."/>
    <n v="47"/>
    <n v="187"/>
    <s v="HealthSpring of Tennessee Inc."/>
    <s v="TN"/>
    <x v="0"/>
    <n v="2014"/>
    <n v="5050.3599999999997"/>
    <n v="188142.91800000001"/>
    <n v="0.36966791422426676"/>
    <n v="259.2407963"/>
    <n v="1366188.3559999999"/>
    <n v="12925"/>
    <n v="73596"/>
    <n v="687.51770476656338"/>
    <n v="50598.553"/>
    <n v="50598.553"/>
    <n v="34386.663"/>
    <n v="67.959775450495584"/>
    <m/>
    <n v="82103"/>
    <n v="13387.086254687754"/>
    <n v="6974"/>
    <n v="17759"/>
    <n v="1137.1270177727051"/>
    <n v="0.3927022917957092"/>
    <n v="50598.553"/>
    <n v="0"/>
    <n v="0"/>
    <n v="0"/>
    <n v="0"/>
    <s v="NA"/>
    <n v="50598.553"/>
    <n v="28771.523000000001"/>
    <n v="552.13699999999994"/>
    <n v="0"/>
    <n v="0"/>
    <n v="5063.0029999999997"/>
    <n v="0"/>
    <n v="0"/>
    <n v="34386.663"/>
    <n v="0"/>
    <n v="34386.663"/>
    <s v="NA"/>
    <n v="478.45400000000001"/>
    <n v="5533.3760000000002"/>
    <n v="0"/>
    <s v="NA"/>
    <n v="40398.493000000002"/>
    <n v="10200.06"/>
    <s v="No"/>
    <x v="1"/>
    <x v="5"/>
    <n v="0.13771374728361396"/>
    <n v="0.18268849821143018"/>
    <x v="10"/>
  </r>
  <r>
    <s v="TX"/>
    <s v="Sendero Health Plans Inc."/>
    <s v="-"/>
    <n v="176"/>
    <s v="Sendero Health Plans Inc."/>
    <s v="TX"/>
    <x v="0"/>
    <n v="2014"/>
    <n v="-17690.476999999999"/>
    <n v="8031.3770000000004"/>
    <n v="-36.087641686838175"/>
    <n v="318.12072000000001"/>
    <n v="49020.873"/>
    <n v="12835"/>
    <n v="129821"/>
    <n v="71.743693239152378"/>
    <n v="34350.245000000003"/>
    <n v="9313.8379999999997"/>
    <n v="38748.911"/>
    <n v="416.03591344406033"/>
    <m/>
    <n v="70589"/>
    <n v="6524.8919666309766"/>
    <n v="4639"/>
    <n v="1027"/>
    <n v="428.80581724066212"/>
    <n v="4.5170399221032129"/>
    <n v="33803.303"/>
    <n v="0"/>
    <n v="0"/>
    <n v="0"/>
    <n v="0"/>
    <s v="NA"/>
    <n v="33803.303"/>
    <n v="26810.277999999998"/>
    <n v="2554.1790000000001"/>
    <n v="0"/>
    <n v="6117.0259999999998"/>
    <n v="3267.4290000000001"/>
    <n v="0"/>
    <n v="0"/>
    <n v="38748.911999999997"/>
    <n v="960.54899999999998"/>
    <n v="37788.362999999998"/>
    <s v="NA"/>
    <n v="2068.9299999999998"/>
    <n v="4683.4589999999998"/>
    <n v="3726.317"/>
    <s v="NA"/>
    <n v="48267.069000000003"/>
    <n v="-14463.766"/>
    <s v="No"/>
    <x v="0"/>
    <x v="5"/>
    <n v="0.16383586232746203"/>
    <n v="-3.3241949967680653"/>
    <x v="11"/>
  </r>
  <r>
    <s v="NY"/>
    <s v="Elderplan Inc."/>
    <n v="38"/>
    <n v="174"/>
    <s v="Elderplan Inc."/>
    <s v="NY"/>
    <x v="0"/>
    <n v="2014"/>
    <n v="4369.3919999999998"/>
    <n v="79978.035000000003"/>
    <n v="0.56154274403362314"/>
    <n v="301.79787490000001"/>
    <n v="778104.97"/>
    <n v="12037"/>
    <n v="140918"/>
    <n v="4205.54426687861"/>
    <n v="592636.88699999999"/>
    <n v="592636.88699999999"/>
    <n v="464980.38"/>
    <n v="78.459574521894382"/>
    <m/>
    <n v="28581"/>
    <n v="2433.8409571523866"/>
    <n v="0"/>
    <n v="0"/>
    <n v="0"/>
    <s v="NA"/>
    <n v="592636.88699999999"/>
    <n v="0"/>
    <n v="0"/>
    <n v="0"/>
    <n v="3252.6819999999998"/>
    <s v="NA"/>
    <n v="595889.56900000002"/>
    <n v="51366.144"/>
    <n v="413614.23599999998"/>
    <n v="0"/>
    <n v="0"/>
    <n v="0"/>
    <n v="0"/>
    <n v="0"/>
    <n v="464980.38"/>
    <n v="0"/>
    <n v="464980.38"/>
    <s v="NA"/>
    <n v="40611.707000000002"/>
    <n v="58953.642"/>
    <n v="0"/>
    <s v="NA"/>
    <n v="564545.72900000005"/>
    <n v="31343.84"/>
    <s v="Yes"/>
    <x v="0"/>
    <x v="5"/>
    <n v="0.10278566271077796"/>
    <n v="0.11261859207027822"/>
    <x v="4"/>
  </r>
  <r>
    <s v="IL"/>
    <s v="Health Alliance Med Plans Inc."/>
    <n v="67"/>
    <n v="184"/>
    <s v="Health Alliance Med Plans Inc."/>
    <s v="IL"/>
    <x v="0"/>
    <n v="2014"/>
    <n v="-14008.945"/>
    <n v="111504.51700000001"/>
    <n v="-1.1345721321732045"/>
    <n v="484.12734390000003"/>
    <n v="1234733.747"/>
    <n v="11796"/>
    <n v="93593"/>
    <n v="1302.649215219087"/>
    <n v="121918.848"/>
    <n v="121918.848"/>
    <n v="116512.98"/>
    <n v="95.566011253649648"/>
    <m/>
    <n v="51147"/>
    <n v="6557.7981259282215"/>
    <n v="27407"/>
    <n v="2667"/>
    <n v="3513.9807464233436"/>
    <n v="10.276340457442819"/>
    <n v="118318.429"/>
    <n v="0"/>
    <n v="0"/>
    <n v="0"/>
    <n v="2280.616"/>
    <s v="NA"/>
    <n v="120599.045"/>
    <n v="61828.355000000003"/>
    <n v="11938.071"/>
    <n v="6940.2179999999998"/>
    <n v="4140.7860000000001"/>
    <n v="31665.55"/>
    <n v="0"/>
    <n v="0"/>
    <n v="116512.98"/>
    <n v="5575.3360000000002"/>
    <n v="110937.644"/>
    <s v="NA"/>
    <n v="3222.2959999999998"/>
    <n v="10681.053"/>
    <n v="0"/>
    <s v="NA"/>
    <n v="124840.993"/>
    <n v="-4241.9480000000003"/>
    <s v="Yes"/>
    <x v="1"/>
    <x v="5"/>
    <n v="9.0306527436315398E-2"/>
    <n v="-4.5966639972811918E-2"/>
    <x v="3"/>
  </r>
  <r>
    <s v="MN"/>
    <s v="Metropolitan Health Plan"/>
    <n v="83"/>
    <n v="180"/>
    <s v="Metropolitan Health Plan"/>
    <s v="MN"/>
    <x v="0"/>
    <n v="2014"/>
    <n v="-289.97699999999998"/>
    <n v="18905.464"/>
    <n v="-0.18327220183389001"/>
    <n v="500.25337139999999"/>
    <n v="158222.03099999999"/>
    <n v="9994"/>
    <n v="107345"/>
    <n v="819.57220177930969"/>
    <n v="92681.112999999998"/>
    <n v="87976.978000000003"/>
    <n v="74861.445999999996"/>
    <n v="85.092086250109659"/>
    <m/>
    <n v="54615"/>
    <n v="6105.3612185010943"/>
    <n v="9571"/>
    <n v="1701"/>
    <n v="1069.9333923331315"/>
    <n v="5.6266901822457376"/>
    <n v="87785.692999999999"/>
    <n v="0"/>
    <n v="0"/>
    <n v="0"/>
    <n v="0"/>
    <s v="NA"/>
    <n v="87785.692999999999"/>
    <n v="46778.438000000002"/>
    <n v="468.72300000000001"/>
    <n v="0"/>
    <n v="4516.665"/>
    <n v="7935.4669999999996"/>
    <n v="9253.5380000000005"/>
    <n v="5908.6149999999998"/>
    <n v="74861.445999999996"/>
    <n v="85.236999999999995"/>
    <n v="74776.209000000003"/>
    <s v="NA"/>
    <n v="680.46699999999998"/>
    <n v="12605.521000000001"/>
    <n v="0"/>
    <s v="NA"/>
    <n v="88062.197"/>
    <n v="-276.50400000000002"/>
    <s v="No"/>
    <x v="0"/>
    <x v="5"/>
    <n v="0.11948692530688095"/>
    <n v="2.9592212192022502E-2"/>
    <x v="1"/>
  </r>
  <r>
    <s v="WI"/>
    <s v="Physicians Plus Insurance Corp"/>
    <s v="-"/>
    <n v="182"/>
    <s v="Physicians Plus Insurance Corp"/>
    <s v="WI"/>
    <x v="0"/>
    <n v="2014"/>
    <n v="2781.9079999999999"/>
    <n v="25341.917000000001"/>
    <n v="1.1976041768959127"/>
    <n v="560.31356129999995"/>
    <n v="232289.43700000001"/>
    <n v="8994"/>
    <n v="96747"/>
    <n v="131.15094008082937"/>
    <n v="12688.46"/>
    <n v="12688.46"/>
    <n v="9976.5820000000003"/>
    <n v="78.627209290962028"/>
    <m/>
    <n v="56100"/>
    <n v="6958.3552978386924"/>
    <n v="2447"/>
    <n v="814"/>
    <n v="303.51328723371267"/>
    <n v="3.0061425061425062"/>
    <n v="12688.46"/>
    <n v="0"/>
    <n v="0"/>
    <n v="0"/>
    <n v="0"/>
    <s v="NA"/>
    <n v="12688.46"/>
    <n v="9440.84"/>
    <n v="206.51499999999999"/>
    <n v="0"/>
    <n v="329.22699999999998"/>
    <n v="0"/>
    <n v="0"/>
    <n v="0"/>
    <n v="9976.5820000000003"/>
    <n v="124.578"/>
    <n v="9852.0040000000008"/>
    <s v="NA"/>
    <n v="364.44"/>
    <n v="1387.6079999999999"/>
    <n v="2420"/>
    <s v="NA"/>
    <n v="14024.050999999999"/>
    <n v="-1335.5909999999999"/>
    <s v="Yes"/>
    <x v="1"/>
    <x v="5"/>
    <n v="0.10909629523963245"/>
    <n v="0.10463161185074725"/>
    <x v="4"/>
  </r>
  <r>
    <s v="WI"/>
    <s v="Health Tradition Health Plan"/>
    <s v="-"/>
    <n v="181"/>
    <s v="Health Tradition Health Plan"/>
    <s v="WI"/>
    <x v="0"/>
    <n v="2014"/>
    <n v="384.97199999999998"/>
    <n v="10298.346"/>
    <n v="0.22869800697646192"/>
    <n v="335.3531696"/>
    <n v="168332.03099999999"/>
    <n v="8648"/>
    <n v="103515"/>
    <n v="143.52510264212916"/>
    <n v="14857.001"/>
    <n v="14857.001"/>
    <n v="12755.781000000001"/>
    <n v="85.857038038834361"/>
    <m/>
    <n v="55952"/>
    <n v="6486.2483698014785"/>
    <n v="2537"/>
    <n v="650"/>
    <n v="294.10230401391101"/>
    <n v="3.9030769230769229"/>
    <n v="14857.001"/>
    <n v="0"/>
    <n v="0"/>
    <n v="0"/>
    <n v="0"/>
    <s v="NA"/>
    <n v="14857.001"/>
    <n v="7922.3710000000001"/>
    <n v="246.05099999999999"/>
    <n v="3831.2539999999999"/>
    <n v="756.10599999999999"/>
    <n v="0"/>
    <n v="0"/>
    <n v="0"/>
    <n v="12755.781999999999"/>
    <n v="0"/>
    <n v="12755.781999999999"/>
    <s v="NA"/>
    <n v="979.59900000000005"/>
    <n v="954.69799999999998"/>
    <n v="0"/>
    <s v="NA"/>
    <n v="14690.079"/>
    <n v="166.922"/>
    <s v="Yes"/>
    <x v="1"/>
    <x v="5"/>
    <n v="6.1178766387010447E-2"/>
    <n v="8.0250853224645896E-2"/>
    <x v="5"/>
  </r>
  <r>
    <s v="TX"/>
    <s v="CHRISTUS Health Plan"/>
    <n v="100"/>
    <n v="183"/>
    <s v="CHRISTUS Health Plan"/>
    <s v="TX"/>
    <x v="1"/>
    <n v="2014"/>
    <n v="-2606.65"/>
    <n v="5435.4610000000002"/>
    <n v="-12.706409384604511"/>
    <n v="1124.1538181000001"/>
    <n v="20514.45"/>
    <n v="7958"/>
    <n v="94194"/>
    <n v="217.78934964010446"/>
    <n v="20514.45"/>
    <n v="20514.45"/>
    <n v="17290.72"/>
    <n v="84.285564565464824"/>
    <m/>
    <n v="147902"/>
    <n v="18842.219249633734"/>
    <n v="1779"/>
    <n v="370"/>
    <n v="226.63863940378369"/>
    <n v="4.8081081081081081"/>
    <n v="20514.45"/>
    <n v="0"/>
    <n v="0"/>
    <n v="0"/>
    <n v="0"/>
    <s v="NA"/>
    <n v="20514.45"/>
    <n v="8587.4320000000007"/>
    <n v="2798.509"/>
    <n v="0"/>
    <n v="2415.7240000000002"/>
    <n v="3489.0549999999998"/>
    <n v="0"/>
    <n v="0"/>
    <n v="17290.72"/>
    <n v="0"/>
    <n v="17290.72"/>
    <s v="NA"/>
    <n v="249.81899999999999"/>
    <n v="5435.4610000000002"/>
    <n v="0"/>
    <s v="NA"/>
    <n v="22976"/>
    <n v="-2461.5500000000002"/>
    <s v="Yes"/>
    <x v="0"/>
    <x v="5"/>
    <n v="0.26495767617459887"/>
    <n v="-0.12706409384604511"/>
    <x v="12"/>
  </r>
  <r>
    <s v="MI"/>
    <s v="Harbor Health Plan Inc. (Tenet)"/>
    <n v="98"/>
    <n v="188"/>
    <s v="Harbor Health Plan Inc. (Tenet)"/>
    <s v="MI"/>
    <x v="1"/>
    <n v="2014"/>
    <n v="422.65600000000001"/>
    <n v="2458.7289999999998"/>
    <n v="1.9270452412187327"/>
    <n v="603.87053470000001"/>
    <n v="21932.852999999999"/>
    <n v="6034"/>
    <n v="58775"/>
    <n v="377.09022543598468"/>
    <n v="22163.477999999999"/>
    <n v="22163.477999999999"/>
    <n v="18099.207999999999"/>
    <n v="81.662309498536274"/>
    <m/>
    <n v="38639"/>
    <n v="7888.8643130582732"/>
    <n v="3774"/>
    <n v="867"/>
    <n v="770.53168864313056"/>
    <n v="4.3529411764705879"/>
    <n v="21808.381000000001"/>
    <n v="0"/>
    <n v="0"/>
    <n v="0"/>
    <n v="124.47199999999999"/>
    <s v="NA"/>
    <n v="21932.852999999999"/>
    <n v="15289.968000000001"/>
    <n v="218.11199999999999"/>
    <n v="0"/>
    <n v="0"/>
    <n v="2197.6840000000002"/>
    <n v="0"/>
    <n v="393.44400000000002"/>
    <n v="18099.207999999999"/>
    <n v="0"/>
    <n v="18099.207999999999"/>
    <s v="NA"/>
    <n v="723.96799999999996"/>
    <n v="2458.7289999999998"/>
    <n v="0"/>
    <s v="NA"/>
    <n v="21281.904999999999"/>
    <n v="650.94799999999998"/>
    <s v="Yes"/>
    <x v="1"/>
    <x v="5"/>
    <n v="0.11210256139499954"/>
    <n v="1.9270452412187326E-2"/>
    <x v="6"/>
  </r>
  <r>
    <s v="UT"/>
    <s v="Health Choice Utah Inc."/>
    <s v="-"/>
    <n v="190"/>
    <s v="Health Choice Utah Inc."/>
    <s v="UT"/>
    <x v="1"/>
    <n v="2014"/>
    <n v="-770.71400000000006"/>
    <n v="1158.1690000000001"/>
    <n v="-5.7273613009070656"/>
    <n v="175.95682540000001"/>
    <n v="13456.703"/>
    <n v="5997"/>
    <n v="52189"/>
    <n v="265.52886623618002"/>
    <n v="13857.686"/>
    <n v="13857.686"/>
    <n v="13544.973"/>
    <n v="97.743396696966585"/>
    <m/>
    <n v="20184"/>
    <n v="4640.9779838663317"/>
    <n v="2002"/>
    <n v="661"/>
    <n v="460.32688880798634"/>
    <n v="3.0287443267776095"/>
    <n v="13456.703"/>
    <n v="0"/>
    <n v="0"/>
    <n v="0"/>
    <n v="0"/>
    <s v="NA"/>
    <n v="13456.703"/>
    <n v="11248.543"/>
    <n v="0"/>
    <n v="0"/>
    <n v="495.16"/>
    <n v="1801.27"/>
    <n v="0"/>
    <n v="0"/>
    <n v="13544.973"/>
    <n v="200.59899999999999"/>
    <n v="13344.374"/>
    <s v="NA"/>
    <n v="0"/>
    <n v="1158.1690000000001"/>
    <n v="0"/>
    <s v="NA"/>
    <n v="14502.543"/>
    <n v="-1045.8399999999999"/>
    <s v="Yes"/>
    <x v="1"/>
    <x v="5"/>
    <n v="8.6066326945017674E-2"/>
    <n v="-5.7273613009070655E-2"/>
    <x v="9"/>
  </r>
  <r>
    <s v="WI"/>
    <s v="Grp Hlth Coop of South Central"/>
    <s v="-"/>
    <n v="189"/>
    <s v="Grp Hlth Coop of South Central"/>
    <s v="WI"/>
    <x v="0"/>
    <n v="2014"/>
    <n v="-18746.668000000001"/>
    <n v="36478.603999999999"/>
    <n v="-5.0289509685121772"/>
    <n v="316.47415439999997"/>
    <n v="372774.92099999997"/>
    <n v="5884"/>
    <n v="52787"/>
    <n v="139.16949248868093"/>
    <n v="7346.34"/>
    <n v="7346.34"/>
    <n v="6734.8239999999996"/>
    <n v="91.675909364390961"/>
    <m/>
    <n v="10824"/>
    <n v="2460.6058309811128"/>
    <n v="10116"/>
    <n v="380"/>
    <n v="2299.6571125466498"/>
    <n v="26.621052631578948"/>
    <n v="7243.4049999999997"/>
    <n v="0"/>
    <n v="144.32599999999999"/>
    <n v="0"/>
    <n v="128.423"/>
    <s v="NA"/>
    <n v="7516.1540000000005"/>
    <n v="4566.1149999999998"/>
    <n v="651.39700000000005"/>
    <n v="319.25700000000001"/>
    <n v="0"/>
    <n v="737.94299999999998"/>
    <n v="460.11200000000002"/>
    <n v="0"/>
    <n v="6734.8239999999996"/>
    <n v="8.2189999999999994"/>
    <n v="6726.6049999999996"/>
    <s v="NA"/>
    <n v="247.45099999999999"/>
    <n v="1993.47"/>
    <n v="0"/>
    <s v="NA"/>
    <n v="8967.5259999999998"/>
    <n v="-1451.3720000000001"/>
    <s v="No"/>
    <x v="0"/>
    <x v="5"/>
    <n v="9.7856915648035239E-2"/>
    <n v="-1.4616009291944856E-2"/>
    <x v="7"/>
  </r>
  <r>
    <s v="MD"/>
    <s v="Kaiser"/>
    <n v="51"/>
    <n v="193"/>
    <s v="Kaiser Foundation Health Plan"/>
    <s v="MD"/>
    <x v="0"/>
    <n v="2014"/>
    <n v="-12335.831"/>
    <n v="239484.50700000001"/>
    <n v="-0.47063936295217423"/>
    <n v="273.95789810000002"/>
    <n v="2621079.3169999998"/>
    <n v="5707"/>
    <n v="38117"/>
    <n v="175.58346669465067"/>
    <n v="6692.7150000000001"/>
    <n v="6692.7150000000001"/>
    <n v="5782.8090000000002"/>
    <n v="86.404530896654052"/>
    <m/>
    <n v="15217"/>
    <n v="4790.618359262271"/>
    <n v="1934"/>
    <n v="459"/>
    <n v="608.86218747540465"/>
    <n v="4.2135076252723316"/>
    <n v="17664.772000000001"/>
    <n v="0"/>
    <n v="37.348999999999997"/>
    <n v="0"/>
    <n v="5.2999999999999999E-2"/>
    <s v="NA"/>
    <n v="17702.173999999999"/>
    <n v="6823.6329999999998"/>
    <n v="6063.7809999999999"/>
    <n v="0"/>
    <n v="1207.7529999999999"/>
    <n v="1792.3979999999999"/>
    <n v="2920.62"/>
    <n v="0"/>
    <n v="18808.185000000001"/>
    <n v="0"/>
    <n v="18808.185000000001"/>
    <s v="NA"/>
    <n v="317.88"/>
    <n v="493.18700000000001"/>
    <n v="0"/>
    <s v="NA"/>
    <n v="19619.252"/>
    <n v="-1917.078"/>
    <s v="Yes"/>
    <x v="0"/>
    <x v="5"/>
    <n v="9.1368660782881611E-2"/>
    <n v="4.4586030250577863E-2"/>
    <x v="1"/>
  </r>
  <r>
    <s v="WI"/>
    <s v="Trilogy Health Insurance Inc."/>
    <s v="-"/>
    <n v="195"/>
    <s v="Trilogy Health Insurance Inc."/>
    <s v="WI"/>
    <x v="1"/>
    <n v="2014"/>
    <n v="-1652.07"/>
    <n v="1107.1210000000001"/>
    <n v="-32.104949977088296"/>
    <n v="349.1122201"/>
    <n v="5145.8419999999996"/>
    <n v="5428"/>
    <n v="22387"/>
    <n v="231.92035556349668"/>
    <n v="5192.0010000000002"/>
    <n v="5192.0010000000002"/>
    <n v="4476.4210000000003"/>
    <n v="86.217645181501311"/>
    <m/>
    <n v="12726"/>
    <n v="6821.4588823870999"/>
    <n v="1445"/>
    <n v="320"/>
    <n v="774.55666234868454"/>
    <n v="4.515625"/>
    <n v="5145.8419999999996"/>
    <n v="0"/>
    <n v="0"/>
    <n v="0"/>
    <n v="0"/>
    <s v="NA"/>
    <n v="5145.8419999999996"/>
    <n v="4167.8829999999998"/>
    <n v="308.53800000000001"/>
    <n v="0"/>
    <n v="0"/>
    <n v="0"/>
    <n v="0"/>
    <n v="0"/>
    <n v="4476.4210000000003"/>
    <n v="0"/>
    <n v="4476.4210000000003"/>
    <s v="NA"/>
    <n v="381.14400000000001"/>
    <n v="1107.1210000000001"/>
    <n v="0"/>
    <s v="NA"/>
    <n v="5964.6859999999997"/>
    <n v="-818.84400000000005"/>
    <s v="No"/>
    <x v="1"/>
    <x v="5"/>
    <n v="0.21514865788728069"/>
    <n v="-0.32104949977088298"/>
    <x v="11"/>
  </r>
  <r>
    <s v="WI"/>
    <s v="Care Wisconsin Health Plan Inc"/>
    <n v="88"/>
    <n v="196"/>
    <s v="Care Wisconsin Health Plan Inc"/>
    <s v="WI"/>
    <x v="0"/>
    <n v="2014"/>
    <n v="-9357.9089999999997"/>
    <n v="5426.3879999999999"/>
    <n v="-9.1610420538993651"/>
    <n v="251.29921239999999"/>
    <n v="102148.958"/>
    <n v="2404"/>
    <n v="20518"/>
    <n v="3109.8111414367872"/>
    <n v="63849.923000000003"/>
    <n v="63807.105000000003"/>
    <n v="56138.902000000002"/>
    <n v="87.982211385393526"/>
    <m/>
    <n v="60437"/>
    <n v="35346.719953211817"/>
    <n v="1379"/>
    <n v="227"/>
    <n v="806.51135588263958"/>
    <n v="6.0748898678414101"/>
    <n v="63807.105000000003"/>
    <n v="0"/>
    <n v="0"/>
    <n v="0"/>
    <n v="5.3"/>
    <s v="NA"/>
    <n v="63812.404999999999"/>
    <n v="25679.838"/>
    <n v="23300.859"/>
    <n v="0"/>
    <n v="585.24199999999996"/>
    <n v="2827.9270000000001"/>
    <n v="3745.0360000000001"/>
    <n v="0"/>
    <n v="56138.902000000002"/>
    <n v="0"/>
    <n v="56138.902000000002"/>
    <s v="NA"/>
    <n v="6002.7250000000004"/>
    <n v="3413.3679999999999"/>
    <n v="5241.3419999999996"/>
    <s v="NA"/>
    <n v="70796.337"/>
    <n v="-6983.9319999999998"/>
    <s v="No"/>
    <x v="0"/>
    <x v="5"/>
    <n v="5.312230399844118E-2"/>
    <n v="6.7055582147623555E-2"/>
    <x v="2"/>
  </r>
  <r>
    <s v="FL"/>
    <s v="Aids Hlthcr Fndtn MCO of FL"/>
    <n v="93"/>
    <n v="200"/>
    <s v="Aids Hlthcr Fndtn MCO of FL"/>
    <s v="FL"/>
    <x v="0"/>
    <n v="2014"/>
    <n v="-6600.7550000000001"/>
    <n v="8960.33"/>
    <n v="-7.5059072124450275"/>
    <n v="135.00661070000001"/>
    <n v="87940.801999999996"/>
    <n v="1655"/>
    <n v="14518"/>
    <n v="2669.403912384626"/>
    <n v="38834.81"/>
    <n v="38754.406000000003"/>
    <n v="37625.392"/>
    <n v="97.086746730165331"/>
    <m/>
    <n v="20457"/>
    <n v="16908.940625430499"/>
    <n v="3729"/>
    <n v="740"/>
    <n v="3082.2427331588374"/>
    <n v="5.0391891891891891"/>
    <n v="38754.406000000003"/>
    <n v="0"/>
    <n v="0"/>
    <n v="0"/>
    <n v="0"/>
    <s v="NA"/>
    <n v="38754.406000000003"/>
    <n v="9771.7119999999995"/>
    <n v="1613.346"/>
    <n v="0"/>
    <n v="1277.01"/>
    <n v="24664.907999999999"/>
    <n v="0"/>
    <n v="0"/>
    <n v="37326.976000000002"/>
    <n v="0"/>
    <n v="37326.976000000002"/>
    <s v="NA"/>
    <n v="0"/>
    <n v="3917.4690000000001"/>
    <n v="0"/>
    <s v="NA"/>
    <n v="41244.445"/>
    <n v="-2490.0390000000002"/>
    <s v="No"/>
    <x v="0"/>
    <x v="5"/>
    <n v="0.10189047400318228"/>
    <n v="-7.275794130483558E-2"/>
    <x v="9"/>
  </r>
  <r>
    <s v="CO"/>
    <s v="Colorado Choice Health Plans"/>
    <s v="-"/>
    <n v="197"/>
    <s v="Colorado Choice Health Plans"/>
    <s v="CO"/>
    <x v="0"/>
    <n v="2014"/>
    <n v="2434.2249999999999"/>
    <n v="5062.9489999999996"/>
    <n v="4.9552348937779502"/>
    <n v="366.52643010000003"/>
    <n v="49124.311000000002"/>
    <n v="1460"/>
    <n v="16916"/>
    <n v="159.96476708441713"/>
    <n v="2767.009"/>
    <n v="2705.9639999999999"/>
    <n v="1564.7929999999999"/>
    <n v="57.827561637922749"/>
    <m/>
    <n v="0"/>
    <n v="0"/>
    <n v="0"/>
    <n v="0"/>
    <n v="0"/>
    <s v="NA"/>
    <n v="2705.9639999999999"/>
    <n v="0"/>
    <n v="0"/>
    <n v="0"/>
    <n v="0"/>
    <s v="NA"/>
    <n v="2705.9639999999999"/>
    <n v="1367.556"/>
    <n v="0"/>
    <n v="0"/>
    <n v="0"/>
    <n v="197.23699999999999"/>
    <n v="0"/>
    <n v="0"/>
    <n v="1564.7929999999999"/>
    <n v="0"/>
    <n v="1564.7929999999999"/>
    <s v="NA"/>
    <n v="135.14699999999999"/>
    <n v="598.77599999999995"/>
    <n v="0"/>
    <s v="NA"/>
    <n v="2298.7159999999999"/>
    <n v="407.24799999999999"/>
    <n v="0"/>
    <x v="2"/>
    <x v="5"/>
    <n v="0.10306402058239554"/>
    <n v="0.31866036303837691"/>
    <x v="10"/>
  </r>
  <r>
    <s v="OR"/>
    <s v="Kaiser"/>
    <n v="51"/>
    <n v="199"/>
    <s v="Kaiser Fndtn Hlth Plan of NW"/>
    <s v="OR"/>
    <x v="0"/>
    <n v="2014"/>
    <n v="-15594.565000000001"/>
    <n v="228802.11300000001"/>
    <n v="-0.49702720327148497"/>
    <n v="370.38561600000003"/>
    <n v="3137567.702"/>
    <n v="1458"/>
    <n v="15983"/>
    <n v="222.80372896202215"/>
    <n v="3561.0720000000001"/>
    <n v="3561.0720000000001"/>
    <n v="6230.08"/>
    <n v="174.94956574874081"/>
    <m/>
    <n v="9758"/>
    <n v="7326.2841769379966"/>
    <n v="494"/>
    <n v="103"/>
    <n v="370.89407495463928"/>
    <n v="4.7961165048543686"/>
    <n v="3561.0720000000001"/>
    <n v="0"/>
    <n v="29.169"/>
    <n v="0"/>
    <n v="0"/>
    <s v="NA"/>
    <n v="3590.241"/>
    <n v="1443.07"/>
    <n v="713.02"/>
    <n v="618.23599999999999"/>
    <n v="374.68"/>
    <n v="1761.577"/>
    <n v="1319.4970000000001"/>
    <n v="0"/>
    <n v="6230.08"/>
    <n v="0"/>
    <n v="6230.08"/>
    <s v="NA"/>
    <n v="91.552999999999997"/>
    <n v="334.48099999999999"/>
    <n v="0"/>
    <s v="NA"/>
    <n v="6656.1139999999996"/>
    <n v="-3065.873"/>
    <s v="Yes"/>
    <x v="0"/>
    <x v="5"/>
    <n v="7.2923402689973257E-2"/>
    <n v="-0.82241906017738131"/>
    <x v="11"/>
  </r>
  <r>
    <s v="NY"/>
    <s v="AlphaCare of New York Inc."/>
    <n v="40"/>
    <n v="201"/>
    <s v="AlphaCare of New York Inc."/>
    <s v="NY"/>
    <x v="0"/>
    <n v="2014"/>
    <n v="-16332.221"/>
    <n v="18236.945"/>
    <n v="-40.945589132668225"/>
    <n v="1157.2185572000001"/>
    <n v="39887.620000000003"/>
    <n v="1411"/>
    <n v="8044"/>
    <n v="4113.6913227250125"/>
    <n v="33090.533000000003"/>
    <n v="33090.533000000003"/>
    <n v="28083.403999999999"/>
    <n v="84.868394232271797"/>
    <m/>
    <n v="165136"/>
    <n v="246349.0800596718"/>
    <n v="0"/>
    <n v="0"/>
    <n v="0"/>
    <s v="NA"/>
    <n v="33090.533000000003"/>
    <n v="0"/>
    <n v="0"/>
    <n v="0"/>
    <n v="0"/>
    <s v="NA"/>
    <n v="33090.533000000003"/>
    <n v="28001.035"/>
    <n v="82.369"/>
    <n v="0"/>
    <n v="0"/>
    <n v="0"/>
    <n v="0"/>
    <n v="0"/>
    <n v="28083.403999999999"/>
    <n v="0"/>
    <n v="28083.403999999999"/>
    <s v="NA"/>
    <n v="2095.7710000000002"/>
    <n v="7420.4009999999998"/>
    <n v="0"/>
    <s v="NA"/>
    <n v="37599.576000000001"/>
    <n v="-4509.0429999999997"/>
    <s v="No"/>
    <x v="1"/>
    <x v="5"/>
    <n v="0.45720815130108033"/>
    <n v="-0.30589209362379827"/>
    <x v="11"/>
  </r>
  <r>
    <s v="WI"/>
    <s v="Cmnty Care Hlth Plan Inc (WI)"/>
    <n v="90"/>
    <n v="198"/>
    <s v="Cmnty Care Hlth Plan Inc (WI)"/>
    <s v="WI"/>
    <x v="0"/>
    <n v="2014"/>
    <n v="-5576.5940000000001"/>
    <n v="5658.9750000000004"/>
    <n v="-6.0496387900922022"/>
    <n v="320.3852521"/>
    <n v="92180.611000000004"/>
    <n v="1396"/>
    <n v="16806"/>
    <n v="3298.8996786861835"/>
    <n v="55441.307999999997"/>
    <n v="55441.307999999997"/>
    <n v="63313.552000000003"/>
    <n v="114.19923931087629"/>
    <m/>
    <n v="38307"/>
    <n v="27352.374152088541"/>
    <n v="514"/>
    <n v="87"/>
    <n v="367.01178150660479"/>
    <n v="5.9080459770114944"/>
    <n v="55441.307999999997"/>
    <n v="0"/>
    <n v="0"/>
    <n v="0"/>
    <n v="0"/>
    <s v="NA"/>
    <n v="55441.307999999997"/>
    <n v="5286.1959999999999"/>
    <n v="54845.017"/>
    <n v="0"/>
    <n v="238.995"/>
    <n v="2943.3440000000001"/>
    <n v="0"/>
    <n v="0"/>
    <n v="63313.552000000003"/>
    <n v="10.403"/>
    <n v="63303.148999999998"/>
    <s v="NA"/>
    <n v="885.61500000000001"/>
    <n v="3942.0880000000002"/>
    <n v="0"/>
    <s v="NA"/>
    <n v="68130.851999999999"/>
    <n v="-12689.544"/>
    <s v="No"/>
    <x v="0"/>
    <x v="5"/>
    <n v="6.1390079091578162E-2"/>
    <n v="-0.20338247220034117"/>
    <x v="11"/>
  </r>
  <r>
    <s v="MA"/>
    <s v="Tufts Assocd Hlth Maintenance"/>
    <n v="11"/>
    <n v="202"/>
    <s v="Tufts Assocd Hlth Maintenance"/>
    <s v="MA"/>
    <x v="0"/>
    <n v="2014"/>
    <n v="65768.691999999995"/>
    <n v="214771.38"/>
    <n v="2.4895160286218241"/>
    <n v="580.92908030000001"/>
    <n v="2641826.4130000002"/>
    <n v="877"/>
    <n v="6043"/>
    <n v="1960.7949693860664"/>
    <n v="11849.084000000001"/>
    <n v="11849.084000000001"/>
    <n v="5821.8559999999998"/>
    <n v="49.133384487779807"/>
    <m/>
    <n v="0"/>
    <n v="0"/>
    <n v="0"/>
    <n v="0"/>
    <n v="0"/>
    <s v="NA"/>
    <n v="11849.084000000001"/>
    <n v="0"/>
    <n v="0"/>
    <n v="0"/>
    <n v="0"/>
    <s v="NA"/>
    <n v="11849.084000000001"/>
    <n v="5226.5020000000004"/>
    <n v="0"/>
    <n v="0"/>
    <n v="0"/>
    <n v="119.876"/>
    <n v="475.47800000000001"/>
    <n v="0"/>
    <n v="5821.8559999999998"/>
    <n v="0"/>
    <n v="5821.8559999999998"/>
    <s v="NA"/>
    <n v="0"/>
    <n v="5253.1270000000004"/>
    <n v="0"/>
    <s v="NA"/>
    <n v="11074.983"/>
    <n v="774.101"/>
    <s v="No"/>
    <x v="0"/>
    <x v="5"/>
    <n v="8.1296552620999177E-2"/>
    <n v="0.42736960250120276"/>
    <x v="10"/>
  </r>
  <r>
    <s v="PA"/>
    <s v="Aetna"/>
    <n v="5"/>
    <n v="107"/>
    <s v="HealthAmerica Pennsylvania Inc"/>
    <s v="PA"/>
    <x v="0"/>
    <n v="2014"/>
    <n v="-9303.2219999999998"/>
    <n v="118806.17200000001"/>
    <n v="-0.92734023269233146"/>
    <n v="346.91188269999998"/>
    <n v="1003215.613"/>
    <n v="72328.75"/>
    <n v="867945"/>
    <n v="372.42142992931582"/>
    <n v="323241.31800000003"/>
    <n v="323241.31800000003"/>
    <n v="274661.21299999999"/>
    <n v="84.970948237502213"/>
    <m/>
    <n v="409476"/>
    <n v="5661.317249364879"/>
    <n v="42472"/>
    <n v="7837"/>
    <n v="587.20771477455366"/>
    <n v="5.4194206966951644"/>
    <n v="310882.27100000001"/>
    <n v="0"/>
    <n v="0"/>
    <n v="0"/>
    <n v="0"/>
    <s v="NA"/>
    <n v="310882.27100000001"/>
    <n v="157082.41"/>
    <n v="9491.5740000000005"/>
    <n v="16041.699000000001"/>
    <n v="21093.179"/>
    <n v="63819.402999999998"/>
    <n v="7132.9480000000003"/>
    <n v="0"/>
    <n v="274661.21299999999"/>
    <n v="241.29499999999999"/>
    <n v="274419.91800000001"/>
    <s v="NA"/>
    <n v="14299.773999999999"/>
    <n v="42156.53"/>
    <n v="0"/>
    <s v="NA"/>
    <n v="330876.22200000001"/>
    <n v="-19993.951000000001"/>
    <s v="No"/>
    <x v="1"/>
    <x v="3"/>
    <n v="0.11842536186685125"/>
    <n v="3.1865155758126665E-2"/>
    <x v="1"/>
  </r>
  <r>
    <s v="KY"/>
    <s v="Anthem"/>
    <n v="3"/>
    <n v="154"/>
    <s v="Anthem Health Plans of KY Inc."/>
    <s v="KY"/>
    <x v="0"/>
    <n v="2014"/>
    <n v="123377.647"/>
    <n v="241575.997"/>
    <n v="5.3384490473628796"/>
    <n v="502.82553919999998"/>
    <n v="2311114.0690000001"/>
    <n v="25422.083333333332"/>
    <n v="305065"/>
    <n v="594.21348237260906"/>
    <n v="202947.177"/>
    <n v="181273.736"/>
    <n v="131691.361"/>
    <n v="72.647788866667369"/>
    <m/>
    <n v="277890"/>
    <n v="10931.047481684231"/>
    <n v="22036"/>
    <n v="3942"/>
    <n v="866.80543490731486"/>
    <n v="5.590055809233891"/>
    <n v="202947.177"/>
    <n v="-21673.440999999999"/>
    <n v="0"/>
    <n v="0"/>
    <n v="0"/>
    <s v="NA"/>
    <n v="181273.736"/>
    <n v="96970.717000000004"/>
    <n v="9292.2109999999993"/>
    <n v="0"/>
    <n v="2868.2730000000001"/>
    <n v="22560.161"/>
    <n v="0"/>
    <n v="0"/>
    <n v="131691.36199999999"/>
    <n v="0"/>
    <n v="131691.36199999999"/>
    <s v="NA"/>
    <n v="3350.9929999999999"/>
    <n v="14944.073"/>
    <n v="0"/>
    <s v="NA"/>
    <n v="149986.42800000001"/>
    <n v="31287.308000000001"/>
    <s v="No"/>
    <x v="1"/>
    <x v="4"/>
    <n v="0.10452794184431058"/>
    <n v="0.16899416948901569"/>
    <x v="10"/>
  </r>
  <r>
    <s v="FL"/>
    <s v="Public Health Tr of Dade Cnty"/>
    <s v="-"/>
    <n v="155"/>
    <s v="Public Health Tr of Dade Cnty"/>
    <s v="FL"/>
    <x v="1"/>
    <n v="2014"/>
    <n v="138.55500000000001"/>
    <n v="799.94200000000001"/>
    <n v="1.2172686899569074"/>
    <s v="NA"/>
    <n v="11382.45"/>
    <n v="24185.416666666668"/>
    <n v="290225"/>
    <n v="38.75255749849255"/>
    <n v="11246.960999999999"/>
    <n v="11246.960999999999"/>
    <n v="10654.855"/>
    <n v="94.735413415232799"/>
    <m/>
    <n v="16584"/>
    <n v="685.70247221982947"/>
    <n v="4232"/>
    <n v="1107"/>
    <n v="174.98147988629512"/>
    <n v="3.822944896115628"/>
    <n v="11246.960999999999"/>
    <n v="0"/>
    <n v="0"/>
    <n v="0"/>
    <n v="0"/>
    <s v="NA"/>
    <n v="11246.960999999999"/>
    <n v="10654.855"/>
    <n v="0"/>
    <n v="0"/>
    <n v="0"/>
    <n v="0"/>
    <n v="0"/>
    <n v="0"/>
    <n v="10654.855"/>
    <n v="0"/>
    <n v="10654.855"/>
    <s v="NA"/>
    <n v="0"/>
    <n v="457.64499999999998"/>
    <n v="163.60599999999999"/>
    <s v="NA"/>
    <n v="11276.106"/>
    <n v="-29.143999999999998"/>
    <s v="No"/>
    <x v="0"/>
    <x v="5"/>
    <n v="7.027854284446669E-2"/>
    <n v="1.2172686899569074E-2"/>
    <x v="6"/>
  </r>
  <r>
    <s v="NJ"/>
    <s v="Healthfirst Health Plan of NJ"/>
    <n v="80"/>
    <n v="161"/>
    <s v="Healthfirst Health Plan of NJ"/>
    <s v="NJ"/>
    <x v="0"/>
    <n v="2014"/>
    <n v="9282.9629999999997"/>
    <n v="40601.404000000002"/>
    <n v="4.4905933859792482"/>
    <n v="132.01850630000001"/>
    <n v="206720.18599999999"/>
    <n v="21459.166666666668"/>
    <n v="257510"/>
    <n v="396.84460020970062"/>
    <n v="102792.087"/>
    <n v="102191.45299999999"/>
    <n v="90386.341"/>
    <n v="88.44804369304741"/>
    <m/>
    <n v="202783"/>
    <n v="9449.7145741912937"/>
    <n v="13261"/>
    <n v="2475"/>
    <n v="617.96435089899421"/>
    <n v="5.3579797979797981"/>
    <n v="102191.45299999999"/>
    <n v="0"/>
    <n v="0"/>
    <n v="0"/>
    <n v="0"/>
    <s v="NA"/>
    <n v="102191.45299999999"/>
    <n v="42268.26"/>
    <n v="4004.998"/>
    <n v="0"/>
    <n v="3771.6909999999998"/>
    <n v="20219.195"/>
    <n v="20362.291000000001"/>
    <n v="0"/>
    <n v="90626.434999999998"/>
    <n v="240.095"/>
    <n v="90386.34"/>
    <s v="NA"/>
    <n v="3086.319"/>
    <n v="23061.612000000001"/>
    <n v="-2340.4279999999999"/>
    <s v="NA"/>
    <n v="114193.84299999999"/>
    <n v="-12002.39"/>
    <n v="0"/>
    <x v="2"/>
    <x v="5"/>
    <n v="0.19640754386705131"/>
    <n v="-8.0887980797525377E-2"/>
    <x v="8"/>
  </r>
  <r>
    <s v="NH"/>
    <s v="Meridian Health Plan Group "/>
    <n v="8"/>
    <n v="166"/>
    <s v="Granite Care-Meridian Health"/>
    <s v="NH"/>
    <x v="1"/>
    <n v="2014"/>
    <n v="-3743.2829999999999"/>
    <n v="8197.9419999999991"/>
    <n v="-5.9709542613383366"/>
    <n v="193.5412321"/>
    <n v="62691.536999999997"/>
    <n v="16048.75"/>
    <n v="192585"/>
    <n v="324.91063686164551"/>
    <n v="63160.474999999999"/>
    <n v="62572.915000000001"/>
    <n v="58237.071000000004"/>
    <n v="93.070733559400267"/>
    <m/>
    <n v="130927"/>
    <n v="8158.080847418023"/>
    <n v="7242"/>
    <n v="1517"/>
    <n v="451.25009735960742"/>
    <n v="4.7738958470665791"/>
    <n v="62572.915000000001"/>
    <n v="0"/>
    <n v="0"/>
    <n v="0"/>
    <n v="118.622"/>
    <s v="NA"/>
    <n v="62691.536999999997"/>
    <n v="38295.065999999999"/>
    <n v="1287.569"/>
    <n v="2267.7089999999998"/>
    <n v="521.28899999999999"/>
    <n v="15749.753000000001"/>
    <n v="14.565"/>
    <n v="101.12"/>
    <n v="58237.071000000004"/>
    <n v="139.74199999999999"/>
    <n v="58097.328999999998"/>
    <s v="NA"/>
    <n v="346.19299999999998"/>
    <n v="8197.9419999999991"/>
    <n v="0"/>
    <s v="NA"/>
    <n v="66641.464000000007"/>
    <n v="-3949.9270000000001"/>
    <n v="0"/>
    <x v="2"/>
    <x v="5"/>
    <n v="0.13076632656174947"/>
    <n v="-5.9709542613383369E-2"/>
    <x v="9"/>
  </r>
  <r>
    <s v="FL"/>
    <s v="Freedom Health Inc. (America's 1st Choice)"/>
    <n v="92"/>
    <n v="168"/>
    <s v="Freedom Health Inc. (America's 1st Choice)"/>
    <s v="FL"/>
    <x v="0"/>
    <n v="2014"/>
    <n v="521.97799999999995"/>
    <n v="83207.759999999995"/>
    <n v="7.8641961094013391E-2"/>
    <n v="104.89330270000001"/>
    <n v="663739.80599999998"/>
    <n v="13973"/>
    <n v="167676"/>
    <n v="270.1154726973449"/>
    <n v="45097.014999999999"/>
    <n v="45291.881999999998"/>
    <n v="41241.654000000002"/>
    <n v="91.057496793796304"/>
    <m/>
    <n v="5754"/>
    <n v="411.79417447935305"/>
    <n v="6136"/>
    <n v="1360"/>
    <n v="439.13261289630003"/>
    <n v="4.5117647058823529"/>
    <n v="44920.351000000002"/>
    <n v="0"/>
    <n v="0"/>
    <n v="0"/>
    <n v="0"/>
    <s v="NA"/>
    <n v="44920.351000000002"/>
    <n v="28200.422999999999"/>
    <n v="3529.6790000000001"/>
    <n v="0"/>
    <n v="1620.0530000000001"/>
    <n v="7699.2030000000004"/>
    <n v="0"/>
    <n v="192.29599999999999"/>
    <n v="41241.654000000002"/>
    <n v="313.74799999999999"/>
    <n v="40927.906000000003"/>
    <s v="NA"/>
    <n v="239.66900000000001"/>
    <n v="5251.5379999999996"/>
    <n v="0"/>
    <s v="NA"/>
    <n v="46419.112999999998"/>
    <n v="-1498.7619999999999"/>
    <n v="0"/>
    <x v="2"/>
    <x v="5"/>
    <n v="0.12536201572939865"/>
    <n v="-3.5936983667361644E-2"/>
    <x v="3"/>
  </r>
  <r>
    <s v="FL"/>
    <s v="Aetna"/>
    <n v="5"/>
    <n v="175"/>
    <s v="Coventry Health Plan of FL Inc"/>
    <s v="FL"/>
    <x v="0"/>
    <n v="2014"/>
    <n v="2701.86"/>
    <n v="75097.544999999998"/>
    <n v="0.38552640450276621"/>
    <n v="459.95701550000001"/>
    <n v="700823.59299999999"/>
    <n v="11537.083333333334"/>
    <n v="138445"/>
    <n v="227.60495503629599"/>
    <n v="31510.768"/>
    <n v="31510.768"/>
    <n v="26151.309000000001"/>
    <n v="82.991658597467378"/>
    <m/>
    <n v="43959"/>
    <n v="3810.2351114160856"/>
    <n v="2730"/>
    <n v="622"/>
    <n v="236.62826393152517"/>
    <n v="4.389067524115756"/>
    <n v="31510.768"/>
    <n v="0"/>
    <n v="0"/>
    <n v="0"/>
    <n v="0"/>
    <s v="NA"/>
    <n v="31510.768"/>
    <n v="19140.326000000001"/>
    <n v="-2.9000000000000001E-2"/>
    <n v="100.944"/>
    <n v="0"/>
    <n v="3528.8180000000002"/>
    <n v="0"/>
    <n v="3381.25"/>
    <n v="26151.309000000001"/>
    <n v="0"/>
    <n v="26151.309000000001"/>
    <s v="NA"/>
    <n v="432.66899999999998"/>
    <n v="3379.895"/>
    <n v="0"/>
    <s v="NA"/>
    <n v="29963.873"/>
    <n v="1546.895"/>
    <n v="0"/>
    <x v="2"/>
    <x v="5"/>
    <n v="0.10715613137185009"/>
    <n v="6.2927282653476135E-2"/>
    <x v="2"/>
  </r>
  <r>
    <s v="VA"/>
    <s v="Carilion Clinic Medicare Rsrc"/>
    <n v="91"/>
    <n v="178"/>
    <s v="Carilion Clinic Medicare Rsrc"/>
    <s v="VA"/>
    <x v="1"/>
    <n v="2014"/>
    <n v="-325.584"/>
    <n v="5576.0709999999999"/>
    <n v="-0.69521785121901525"/>
    <n v="507.37357259999999"/>
    <n v="46831.938999999998"/>
    <n v="10134.333333333334"/>
    <n v="121612"/>
    <n v="387.94371443607537"/>
    <n v="47178.610999999997"/>
    <n v="47178.610999999997"/>
    <n v="45970.639000000003"/>
    <n v="97.439577015101207"/>
    <m/>
    <n v="86607"/>
    <n v="8545.9000756504283"/>
    <n v="6937"/>
    <n v="1798"/>
    <n v="684.50481860342734"/>
    <n v="3.8581757508342602"/>
    <n v="46870.065000000002"/>
    <n v="0"/>
    <n v="0"/>
    <n v="0"/>
    <n v="0"/>
    <s v="NA"/>
    <n v="46870.065000000002"/>
    <n v="29149.119999999999"/>
    <n v="650.29"/>
    <n v="0"/>
    <n v="2519.38"/>
    <n v="13924.86"/>
    <n v="0"/>
    <n v="-273.01"/>
    <n v="45970.639000000003"/>
    <n v="3220.7089999999998"/>
    <n v="42749.930999999997"/>
    <s v="NA"/>
    <n v="1617.2329999999999"/>
    <n v="5576.0709999999999"/>
    <n v="-1930"/>
    <s v="NA"/>
    <n v="48013.235000000001"/>
    <n v="-1143.1690000000001"/>
    <n v="0"/>
    <x v="2"/>
    <x v="5"/>
    <n v="0.1190655590835135"/>
    <n v="-6.9521785121901521E-3"/>
    <x v="7"/>
  </r>
  <r>
    <s v="FL"/>
    <s v="Healthy Palm Beaches Inc."/>
    <n v="101"/>
    <n v="185"/>
    <s v="Healthy Palm Beaches Inc."/>
    <s v="FL"/>
    <x v="0"/>
    <n v="2014"/>
    <n v="11717.757"/>
    <n v="2465.8270000000002"/>
    <n v="24.456833826268344"/>
    <n v="1618.9608241999999"/>
    <n v="47911.995000000003"/>
    <n v="7723.333333333333"/>
    <n v="92680"/>
    <n v="197.74461588260681"/>
    <n v="18326.971000000001"/>
    <n v="18326.971000000001"/>
    <n v="13506.293"/>
    <n v="73.696264374511202"/>
    <m/>
    <n v="77402"/>
    <n v="10021.838584376348"/>
    <n v="1675"/>
    <n v="443"/>
    <n v="216.87526974536038"/>
    <n v="3.7810383747178329"/>
    <n v="18272.29"/>
    <n v="0"/>
    <n v="0"/>
    <n v="0"/>
    <n v="35.332000000000001"/>
    <s v="NA"/>
    <n v="18307.621999999999"/>
    <n v="6770.3109999999997"/>
    <n v="2083.777"/>
    <n v="684.19100000000003"/>
    <n v="1641.039"/>
    <n v="2326.9749999999999"/>
    <n v="0"/>
    <n v="0"/>
    <n v="13506.293"/>
    <n v="0"/>
    <n v="13506.293"/>
    <s v="NA"/>
    <n v="891.7"/>
    <n v="1009.798"/>
    <n v="0"/>
    <s v="NA"/>
    <n v="15407.790999999999"/>
    <n v="2899.8310000000001"/>
    <n v="0"/>
    <x v="2"/>
    <x v="5"/>
    <n v="5.1465755078660365E-2"/>
    <n v="0.21157160117622764"/>
    <x v="10"/>
  </r>
  <r>
    <s v="FL"/>
    <s v="UnitedHealth Group Inc. "/>
    <n v="1"/>
    <n v="191"/>
    <s v="Medica Health Plans of FL Inc."/>
    <s v="FL"/>
    <x v="1"/>
    <n v="2014"/>
    <n v="1914.848"/>
    <n v="1505.201"/>
    <n v="10.550390626850941"/>
    <n v="706.45049100000006"/>
    <n v="18149.545999999998"/>
    <n v="3708.4166666666665"/>
    <n v="44501"/>
    <n v="390.25678074650006"/>
    <n v="17621.896000000001"/>
    <n v="17366.816999999999"/>
    <n v="15472.522000000001"/>
    <n v="89.0924456680807"/>
    <m/>
    <n v="44525"/>
    <n v="12006.471764679445"/>
    <n v="2354"/>
    <n v="461"/>
    <n v="634.77225230893691"/>
    <n v="5.1062906724511929"/>
    <n v="17621.896000000001"/>
    <n v="-255.08"/>
    <n v="0"/>
    <n v="0"/>
    <n v="0"/>
    <s v="NA"/>
    <n v="17366.815999999999"/>
    <n v="6189.9170000000004"/>
    <n v="2065.4450000000002"/>
    <n v="1847.345"/>
    <n v="2824.4160000000002"/>
    <n v="2545.4"/>
    <n v="0"/>
    <n v="0"/>
    <n v="15472.522999999999"/>
    <n v="0"/>
    <n v="15472.522999999999"/>
    <s v="NA"/>
    <n v="184.70699999999999"/>
    <n v="1295.4090000000001"/>
    <n v="-738"/>
    <s v="NA"/>
    <n v="16214.638999999999"/>
    <n v="1152.1769999999999"/>
    <n v="0"/>
    <x v="2"/>
    <x v="5"/>
    <n v="8.2933259046810329E-2"/>
    <n v="0.10550390626850942"/>
    <x v="4"/>
  </r>
  <r>
    <s v="FL"/>
    <s v="Independence Health Group Inc. "/>
    <n v="7"/>
    <n v="192"/>
    <s v="Florida True Health Inc."/>
    <s v="FL"/>
    <x v="1"/>
    <n v="2014"/>
    <n v="-14700.764999999999"/>
    <n v="15465.302"/>
    <n v="-150.17577312747449"/>
    <n v="887.65100270000005"/>
    <n v="9789.0390000000007"/>
    <n v="3552.6666666666665"/>
    <n v="42632"/>
    <n v="232.1581206605367"/>
    <n v="9897.3649999999998"/>
    <n v="9897.3649999999998"/>
    <n v="6628.4120000000003"/>
    <n v="66.971481803490136"/>
    <m/>
    <n v="30199"/>
    <n v="8500.3753049352599"/>
    <n v="1362"/>
    <n v="351"/>
    <n v="383.37399136798649"/>
    <n v="3.8803418803418803"/>
    <n v="9789.0390000000007"/>
    <n v="0"/>
    <n v="0"/>
    <n v="0"/>
    <n v="0"/>
    <s v="NA"/>
    <n v="9789.0390000000007"/>
    <n v="1622.6420000000001"/>
    <n v="1758.2829999999999"/>
    <n v="6.04"/>
    <n v="945.14300000000003"/>
    <n v="2220.6709999999998"/>
    <n v="75.632999999999996"/>
    <n v="0"/>
    <n v="6628.4120000000003"/>
    <n v="0"/>
    <n v="6628.4120000000003"/>
    <s v="NA"/>
    <n v="4183.2359999999999"/>
    <n v="15465.302"/>
    <n v="-1766.0229999999999"/>
    <s v="NA"/>
    <n v="24510.927"/>
    <n v="-14721.888000000001"/>
    <s v="No"/>
    <x v="0"/>
    <x v="5"/>
    <n v="1.5798590648172919"/>
    <n v="-1.5017577312747448"/>
    <x v="11"/>
  </r>
  <r>
    <s v="FL"/>
    <s v="UnitedHealth Group Inc. "/>
    <n v="1"/>
    <n v="194"/>
    <s v="Preferred Care Partners Inc."/>
    <s v="FL"/>
    <x v="0"/>
    <n v="2014"/>
    <n v="19920.999"/>
    <n v="52712.754000000001"/>
    <n v="3.4049807861801056"/>
    <n v="600.08765289999997"/>
    <n v="585054.66700000002"/>
    <n v="2692"/>
    <n v="32304"/>
    <n v="332.49789499752353"/>
    <n v="11052.102000000001"/>
    <n v="10741.012000000001"/>
    <n v="8498.6419999999998"/>
    <n v="79.123289313893324"/>
    <m/>
    <n v="1924"/>
    <n v="714.71025260029717"/>
    <n v="1531"/>
    <n v="282"/>
    <n v="568.72213967310552"/>
    <n v="5.4290780141843973"/>
    <n v="11052.102000000001"/>
    <n v="-311.08999999999997"/>
    <n v="0"/>
    <n v="0"/>
    <n v="0"/>
    <s v="NA"/>
    <n v="10741.012000000001"/>
    <n v="5159.7849999999999"/>
    <n v="171.63499999999999"/>
    <n v="0"/>
    <n v="1683.316"/>
    <n v="1483.9059999999999"/>
    <n v="0"/>
    <n v="0"/>
    <n v="8498.6419999999998"/>
    <n v="0"/>
    <n v="8498.6419999999998"/>
    <s v="NA"/>
    <n v="185.523"/>
    <n v="672.94100000000003"/>
    <n v="0"/>
    <s v="NA"/>
    <n v="9357.1059999999998"/>
    <n v="1383.9059999999999"/>
    <n v="0"/>
    <x v="2"/>
    <x v="5"/>
    <n v="9.0098852249647976E-2"/>
    <n v="0.11866825461141883"/>
    <x v="4"/>
  </r>
  <r>
    <s v="NM"/>
    <s v="Lovelace Health System Inc."/>
    <s v="-"/>
    <n v="203"/>
    <s v="Lovelace Health System Inc."/>
    <s v="NM"/>
    <x v="0"/>
    <n v="2014"/>
    <n v="144056.55600000001"/>
    <n v="116583.29399999999"/>
    <n v="48.425152263700738"/>
    <n v="1867.1119008000001"/>
    <n v="297482.91800000001"/>
    <n v="0"/>
    <n v="0"/>
    <s v="NA"/>
    <n v="-412.16899999999998"/>
    <n v="-412.16899999999998"/>
    <n v="668.63199999999995"/>
    <n v="-162.22277754998555"/>
    <m/>
    <n v="0"/>
    <s v="NA"/>
    <n v="0"/>
    <n v="0"/>
    <s v="NA"/>
    <s v="NA"/>
    <n v="-412.16899999999998"/>
    <n v="0"/>
    <n v="0"/>
    <n v="0"/>
    <n v="0"/>
    <s v="NA"/>
    <n v="-412.16899999999998"/>
    <n v="898.70299999999997"/>
    <n v="26.707000000000001"/>
    <n v="621.05799999999999"/>
    <n v="-877.83600000000001"/>
    <n v="0"/>
    <n v="0"/>
    <n v="0"/>
    <n v="668.63199999999995"/>
    <n v="0"/>
    <n v="668.63199999999995"/>
    <s v="NA"/>
    <n v="392.791"/>
    <n v="2677.797"/>
    <n v="0"/>
    <s v="NA"/>
    <n v="3739.22"/>
    <n v="-4151.3890000000001"/>
    <n v="0"/>
    <x v="2"/>
    <x v="5"/>
    <n v="0.39189912074211936"/>
    <n v="2.2303286547577361"/>
    <x v="10"/>
  </r>
  <r>
    <s v="DE"/>
    <s v="Aetna"/>
    <n v="5"/>
    <n v="203"/>
    <s v="Coventry Health Care of DE Inc"/>
    <s v="DE"/>
    <x v="0"/>
    <n v="2014"/>
    <n v="3985.5210000000002"/>
    <n v="20589.123"/>
    <n v="3.1072106936819317"/>
    <n v="841.75227600000005"/>
    <n v="128266.841"/>
    <n v="0"/>
    <n v="0"/>
    <s v="NA"/>
    <n v="519.08900000000006"/>
    <n v="519.08900000000006"/>
    <n v="-821.49599999999998"/>
    <n v="-158.25725453631262"/>
    <m/>
    <n v="747"/>
    <s v="NA"/>
    <n v="0"/>
    <n v="0"/>
    <s v="NA"/>
    <s v="NA"/>
    <n v="519.08900000000006"/>
    <n v="0"/>
    <n v="0"/>
    <n v="0"/>
    <n v="0"/>
    <s v="NA"/>
    <n v="519.08900000000006"/>
    <n v="-975.61099999999999"/>
    <n v="0"/>
    <n v="130.691"/>
    <n v="19.568999999999999"/>
    <n v="0"/>
    <n v="3.855"/>
    <n v="0"/>
    <n v="-821.49599999999998"/>
    <n v="-335.77600000000001"/>
    <n v="-485.72"/>
    <s v="NA"/>
    <n v="8.2509999999999994"/>
    <n v="75.97"/>
    <n v="0"/>
    <s v="NA"/>
    <n v="-401.49900000000002"/>
    <n v="920.58799999999997"/>
    <s v="No"/>
    <x v="1"/>
    <x v="5"/>
    <n v="0.16051789253935084"/>
    <n v="2.4220546528237752"/>
    <x v="10"/>
  </r>
  <r>
    <s v="OH"/>
    <s v="WellCare Health Plans Inc. "/>
    <n v="6"/>
    <n v="203"/>
    <s v="WellCare of Ohio Inc."/>
    <s v="OH"/>
    <x v="0"/>
    <n v="2014"/>
    <n v="1003.074"/>
    <n v="7848.4880000000003"/>
    <n v="2.2248294205175001"/>
    <n v="1902.2803818"/>
    <n v="45085.434000000001"/>
    <n v="0"/>
    <n v="0"/>
    <s v="NA"/>
    <n v="860.31500000000005"/>
    <n v="860.31500000000005"/>
    <n v="-2866.7440000000001"/>
    <n v="-333.2202739694182"/>
    <m/>
    <n v="0"/>
    <s v="NA"/>
    <n v="0"/>
    <n v="0"/>
    <s v="NA"/>
    <s v="NA"/>
    <n v="860.31500000000005"/>
    <n v="0"/>
    <n v="0"/>
    <n v="0"/>
    <n v="0"/>
    <s v="NA"/>
    <n v="860.31500000000005"/>
    <n v="-3334.0929999999998"/>
    <n v="3.9820000000000002"/>
    <n v="0"/>
    <n v="457.77499999999998"/>
    <n v="5.5919999999999996"/>
    <n v="0"/>
    <n v="0"/>
    <n v="-2866.7440000000001"/>
    <n v="-1072.0329999999999"/>
    <n v="-1794.711"/>
    <s v="NA"/>
    <n v="-1.9730000000000001"/>
    <n v="2307.62"/>
    <n v="0"/>
    <s v="NA"/>
    <n v="510.93599999999998"/>
    <n v="349.37900000000002"/>
    <n v="0"/>
    <x v="2"/>
    <x v="5"/>
    <n v="0.17408034710279155"/>
    <n v="4.1581223925913902"/>
    <x v="10"/>
  </r>
  <r>
    <s v="NM"/>
    <s v="Anthem"/>
    <n v="3"/>
    <n v="203"/>
    <s v="AMERIGROUP Cmnty Care of NM"/>
    <s v="NM"/>
    <x v="0"/>
    <n v="2014"/>
    <n v="-2516.0160000000001"/>
    <n v="2802.518"/>
    <n v="-6.6564800593258973"/>
    <n v="2631.4798093999998"/>
    <n v="37797.995000000003"/>
    <n v="0"/>
    <n v="0"/>
    <s v="NA"/>
    <n v="-37.451000000000001"/>
    <n v="-37.451000000000001"/>
    <n v="881.34100000000001"/>
    <n v="-2353.3176684200689"/>
    <m/>
    <n v="0"/>
    <s v="NA"/>
    <n v="0"/>
    <n v="0"/>
    <s v="NA"/>
    <s v="NA"/>
    <n v="-37.451000000000001"/>
    <n v="0"/>
    <n v="0"/>
    <n v="0"/>
    <n v="0"/>
    <s v="NA"/>
    <n v="-37.451000000000001"/>
    <n v="-202.49299999999999"/>
    <n v="1401.6210000000001"/>
    <n v="0"/>
    <n v="-38.889000000000003"/>
    <n v="-192.84800000000001"/>
    <n v="-86.049000000000007"/>
    <n v="0"/>
    <n v="881.34199999999998"/>
    <n v="0"/>
    <n v="881.34199999999998"/>
    <s v="NA"/>
    <n v="-361.12400000000002"/>
    <n v="-755.36"/>
    <n v="0"/>
    <s v="NA"/>
    <n v="-235.142"/>
    <n v="197.691"/>
    <n v="0"/>
    <x v="2"/>
    <x v="5"/>
    <n v="7.4144620633978073E-2"/>
    <n v="24.459032063566713"/>
    <x v="10"/>
  </r>
  <r>
    <s v="OH"/>
    <s v="Anthem"/>
    <n v="3"/>
    <n v="203"/>
    <s v="AMERIGROUP Ohio Inc."/>
    <s v="OH"/>
    <x v="0"/>
    <n v="2014"/>
    <n v="189.667"/>
    <n v="272.63200000000001"/>
    <n v="56.062581100933158"/>
    <n v="1274.3080858000001"/>
    <n v="338.31299999999999"/>
    <n v="0"/>
    <n v="0"/>
    <s v="NA"/>
    <n v="293.31299999999999"/>
    <n v="338.31299999999999"/>
    <n v="219.73"/>
    <n v="64.948730908951177"/>
    <m/>
    <n v="0"/>
    <s v="NA"/>
    <n v="134"/>
    <n v="0"/>
    <s v="NA"/>
    <s v="NA"/>
    <n v="293.31299999999999"/>
    <n v="45"/>
    <n v="0"/>
    <n v="0"/>
    <n v="0"/>
    <s v="NA"/>
    <n v="338.31299999999999"/>
    <n v="413.14"/>
    <n v="-2E-3"/>
    <n v="0"/>
    <n v="0"/>
    <n v="-193.40799999999999"/>
    <n v="0"/>
    <n v="0"/>
    <n v="219.73"/>
    <n v="-68.974000000000004"/>
    <n v="288.70400000000001"/>
    <s v="NA"/>
    <n v="-108.55800000000001"/>
    <n v="272.63200000000001"/>
    <n v="0"/>
    <s v="NA"/>
    <n v="452.77800000000002"/>
    <n v="-114.465"/>
    <n v="0"/>
    <x v="2"/>
    <x v="5"/>
    <n v="0.80585729782775128"/>
    <n v="-0.45534460691726308"/>
    <x v="11"/>
  </r>
  <r>
    <s v="MA"/>
    <s v="Boston Med Center Health Plan"/>
    <n v="10"/>
    <n v="203"/>
    <s v="Boston Med Center Health Plan"/>
    <s v="MA"/>
    <x v="0"/>
    <n v="2014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1612043.0759999999"/>
    <n v="0"/>
    <n v="0"/>
    <n v="10085.653"/>
    <n v="0"/>
    <s v="NA"/>
    <n v="1622128.7290000001"/>
    <n v="912964.81400000001"/>
    <n v="150469.47099999999"/>
    <n v="0"/>
    <n v="156901.666"/>
    <n v="302809.826"/>
    <n v="0"/>
    <n v="4010.1680000000001"/>
    <n v="1527155.9450000001"/>
    <n v="89.423000000000002"/>
    <n v="1527066.5220000001"/>
    <s v="NA"/>
    <n v="51308.156999999999"/>
    <n v="49277.356"/>
    <n v="15448"/>
    <s v="NA"/>
    <n v="1643100.0349999999"/>
    <n v="-20971.306"/>
    <s v="Yes"/>
    <x v="0"/>
    <x v="5"/>
    <n v="0"/>
    <n v="-100"/>
    <x v="0"/>
  </r>
  <r>
    <s v="KS"/>
    <s v="Anthem"/>
    <n v="3"/>
    <n v="203"/>
    <s v="UNICARE Health Plan of KS Inc."/>
    <s v="KS"/>
    <x v="1"/>
    <n v="2014"/>
    <n v="-305.99400000000003"/>
    <n v="-35.198999999999998"/>
    <n v="17.767292676015778"/>
    <n v="32339.686956500002"/>
    <n v="-1722.232"/>
    <n v="0"/>
    <n v="0"/>
    <s v="NA"/>
    <n v="0"/>
    <n v="-1386.8309999999999"/>
    <n v="-640.70299999999997"/>
    <n v="46.199068235423063"/>
    <m/>
    <n v="0"/>
    <s v="NA"/>
    <n v="0"/>
    <n v="0"/>
    <s v="NA"/>
    <s v="NA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5"/>
    <n v="2.0438012997087501E-2"/>
    <n v="0.17767292676015778"/>
    <x v="10"/>
  </r>
  <r>
    <s v="AZ"/>
    <s v="Aetna"/>
    <m/>
    <n v="203"/>
    <s v="Mercy Care Plan"/>
    <s v="AZ"/>
    <x v="1"/>
    <n v="2014"/>
    <m/>
    <n v="128369"/>
    <n v="1.6698219316903684"/>
    <m/>
    <m/>
    <n v="298031"/>
    <m/>
    <m/>
    <m/>
    <n v="1795940"/>
    <n v="1610354"/>
    <n v="89.666358564317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"/>
    <n v="0.01"/>
    <n v="1.6698219316903684E-2"/>
    <x v="6"/>
  </r>
  <r>
    <s v="AZ"/>
    <s v="Health Choice Arizona/IASIS "/>
    <m/>
    <n v="203"/>
    <s v="Health Choice Arizona/IASIS "/>
    <s v="AZ"/>
    <x v="1"/>
    <n v="2014"/>
    <m/>
    <n v="61567"/>
    <n v="1.6543890136905013"/>
    <m/>
    <m/>
    <n v="198998"/>
    <m/>
    <m/>
    <m/>
    <n v="589825"/>
    <n v="518500"/>
    <n v="87.907430169965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"/>
    <n v="0.01"/>
    <n v="1.6543890136905014E-2"/>
    <x v="6"/>
  </r>
  <r>
    <s v="AZ"/>
    <s v="Health Net Access"/>
    <m/>
    <n v="203"/>
    <s v="Health Net Access"/>
    <s v="AZ"/>
    <x v="1"/>
    <n v="2014"/>
    <m/>
    <n v="15318"/>
    <n v="-5.0602761870367505"/>
    <m/>
    <m/>
    <n v="78734"/>
    <m/>
    <m/>
    <m/>
    <n v="232596"/>
    <n v="224268"/>
    <n v="96.41954289841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3"/>
    <n v="0.01"/>
    <n v="-5.0602761870367503E-2"/>
    <x v="9"/>
  </r>
  <r>
    <s v="AZ"/>
    <s v="University of Arizona Health Plans"/>
    <m/>
    <n v="203"/>
    <s v="University Family Care"/>
    <s v="AZ"/>
    <x v="1"/>
    <n v="2014"/>
    <m/>
    <n v="24576"/>
    <n v="2.6447361555719926"/>
    <m/>
    <m/>
    <n v="124797"/>
    <m/>
    <m/>
    <m/>
    <n v="325817"/>
    <n v="288204"/>
    <n v="88.4557895996832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"/>
    <n v="0.01"/>
    <n v="2.6447361555719928E-2"/>
    <x v="1"/>
  </r>
  <r>
    <s v="AZ"/>
    <s v="University of Arizona Health Plans"/>
    <m/>
    <n v="203"/>
    <s v="Maricopa Health Plan"/>
    <s v="AZ"/>
    <x v="1"/>
    <n v="2014"/>
    <m/>
    <n v="17249"/>
    <n v="0.30379996547727661"/>
    <m/>
    <m/>
    <n v="74281"/>
    <m/>
    <m/>
    <m/>
    <n v="202765"/>
    <n v="180796"/>
    <n v="89.165289867580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3"/>
    <n v="0.01"/>
    <n v="3.0379996547727659E-3"/>
    <x v="6"/>
  </r>
  <r>
    <s v="AZ"/>
    <s v="VHS Phoenix Health Plan"/>
    <m/>
    <n v="203"/>
    <s v="VHS Phoenix Health Plan"/>
    <s v="AZ"/>
    <x v="1"/>
    <n v="2014"/>
    <m/>
    <n v="20373"/>
    <n v="2.5573036541917582"/>
    <m/>
    <m/>
    <n v="68326"/>
    <m/>
    <m/>
    <m/>
    <n v="317170"/>
    <n v="288687"/>
    <n v="91.01964246303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3"/>
    <n v="0.01"/>
    <n v="2.5573036541917581E-2"/>
    <x v="1"/>
  </r>
  <r>
    <s v="AZ"/>
    <s v="UnitedHealth Group Inc. "/>
    <m/>
    <n v="203"/>
    <s v="Arizona Physicians IPA"/>
    <s v="AZ"/>
    <x v="1"/>
    <n v="2014"/>
    <m/>
    <n v="171205"/>
    <n v="1.4006800812885729"/>
    <m/>
    <m/>
    <n v="338870"/>
    <m/>
    <m/>
    <m/>
    <n v="1893009"/>
    <n v="1667560"/>
    <n v="88.090442253576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"/>
    <n v="0.01"/>
    <n v="1.4006800812885729E-2"/>
    <x v="6"/>
  </r>
  <r>
    <s v="AZ"/>
    <s v="Comp. Medical, Dental "/>
    <m/>
    <n v="203"/>
    <s v="Comp. Medical, Dental "/>
    <s v="AZ"/>
    <x v="1"/>
    <n v="2014"/>
    <m/>
    <n v="7594"/>
    <n v="1.2658227848101267"/>
    <m/>
    <m/>
    <n v="15645"/>
    <m/>
    <m/>
    <m/>
    <n v="41633"/>
    <n v="33512"/>
    <n v="80.493839021929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5"/>
    <n v="0.01"/>
    <n v="1.2658227848101267E-2"/>
    <x v="6"/>
  </r>
  <r>
    <s v="AZ"/>
    <s v="Care1st Health Plan of Arizona"/>
    <m/>
    <n v="203"/>
    <s v="Care1st Health Plan of Arizona"/>
    <s v="AZ"/>
    <x v="1"/>
    <n v="2014"/>
    <m/>
    <n v="178496"/>
    <n v="3.1789999999999998"/>
    <m/>
    <m/>
    <n v="100740"/>
    <m/>
    <m/>
    <m/>
    <n v="1680789"/>
    <n v="1450512"/>
    <n v="86.29947007030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"/>
    <n v="0.01"/>
    <n v="3.1789999999999999E-2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2">
  <r>
    <s v="OH"/>
    <s v="CareSource"/>
    <n v="11"/>
    <n v="1"/>
    <s v="CareSource"/>
    <n v="2015"/>
    <x v="0"/>
    <n v="191000.31700000001"/>
    <n v="767831.74100000004"/>
    <n v="2.8406132397059567"/>
    <n v="406.96086109999999"/>
    <n v="6723911.3839999996"/>
    <n v="1243447"/>
    <n v="14790660"/>
    <n v="393.15518556981232"/>
    <n v="5806885.301"/>
    <n v="5815024.6770000001"/>
    <n v="4901777.4000000004"/>
    <n v="84.295040387151914"/>
    <n v="5204408.17"/>
    <n v="8133347"/>
    <n v="6598.7700346029187"/>
    <n v="604124"/>
    <n v="139390"/>
    <n v="490.13958809140365"/>
    <n v="4.3340555276562167"/>
    <n v="5787639.875"/>
    <n v="-17026.514999999665"/>
    <m/>
    <m/>
    <m/>
    <m/>
    <m/>
    <n v="3328278.9750000001"/>
    <n v="25266.935000000001"/>
    <n v="0"/>
    <n v="289896.23499999999"/>
    <n v="1253926.1440000001"/>
    <n v="0"/>
    <n v="4409.1099999999997"/>
    <n v="4901777.3990000002"/>
    <n v="13456.206"/>
    <n v="4888321.193"/>
    <n v="0.84213645790589531"/>
    <n v="81077.788"/>
    <n v="655935.43400000001"/>
    <n v="0.11300140092977851"/>
    <n v="5625334.415"/>
    <n v="179331.97500000001"/>
    <n v="0"/>
    <s v="No"/>
    <x v="0"/>
    <x v="0"/>
    <n v="0.11419420886883004"/>
    <n v="4.2855387259650865E-2"/>
    <x v="0"/>
  </r>
  <r>
    <s v="PA"/>
    <s v="UPMC For You Inc./University of Pittsburgh Med "/>
    <n v="13"/>
    <n v="2"/>
    <s v="UPMC For You Inc./University of Pittsburgh Med "/>
    <n v="2015"/>
    <x v="1"/>
    <n v="66378.293999999994"/>
    <n v="219379.53400000001"/>
    <n v="3.2193620767578306"/>
    <n v="309.99554169999999"/>
    <n v="2061846.18"/>
    <n v="1083564"/>
    <n v="11763368"/>
    <n v="212.80851079384749"/>
    <n v="2504202.3149999999"/>
    <n v="2503344.8259999999"/>
    <n v="2227607.2209999999"/>
    <n v="88.985232791896649"/>
    <n v="2208108.8390000002"/>
    <n v="28626543"/>
    <n v="29202.394756331691"/>
    <n v="1023090"/>
    <n v="82287"/>
    <n v="1043.6704862076915"/>
    <n v="12.433191148054979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0"/>
    <x v="0"/>
    <n v="0.10639956371527193"/>
    <n v="3.2193620767578306E-2"/>
    <x v="0"/>
  </r>
  <r>
    <s v="AZ"/>
    <s v="Mercy Maricopa Integrated Care"/>
    <s v="-"/>
    <n v="3"/>
    <s v="Mercy Maricopa Integrated Care"/>
    <n v="2015"/>
    <x v="1"/>
    <m/>
    <m/>
    <m/>
    <m/>
    <m/>
    <n v="894055"/>
    <n v="10424665"/>
    <n v="105.75039783052981"/>
    <n v="1102412.4709999999"/>
    <n v="1102412.4709999999"/>
    <n v="971596.86399999994"/>
    <n v="88.133696738632054"/>
    <n v="956520.40700000001"/>
    <n v="362724"/>
    <n v="417.53744604742695"/>
    <n v="191665"/>
    <n v="19619"/>
    <n v="220.62867248012287"/>
    <n v="9.7693562363015438"/>
    <n v="1102293.081"/>
    <n v="0"/>
    <m/>
    <m/>
    <m/>
    <m/>
    <m/>
    <n v="137928.92800000001"/>
    <n v="718903.86899999995"/>
    <n v="0"/>
    <n v="0.88700000000000001"/>
    <n v="114763.179"/>
    <n v="0"/>
    <n v="0"/>
    <n v="971596.86300000001"/>
    <n v="677.79300000000001"/>
    <n v="970919.07"/>
    <n v="0.88081753095935467"/>
    <n v="14859.565000000001"/>
    <n v="72447.285999999993"/>
    <n v="6.572415925379467E-2"/>
    <n v="1058225.9210000001"/>
    <n v="44067.16"/>
    <n v="0"/>
    <s v="No"/>
    <x v="1"/>
    <x v="0"/>
    <n v="0"/>
    <n v="-100"/>
    <x v="1"/>
  </r>
  <r>
    <s v="NJ"/>
    <s v="Horizon Healthcare of NJ Inc."/>
    <n v="12"/>
    <n v="4"/>
    <s v="Horizon Healthcare of NJ Inc."/>
    <n v="2015"/>
    <x v="1"/>
    <n v="71974.601999999999"/>
    <n v="295360.95799999998"/>
    <n v="1.5778669449903575"/>
    <n v="546.63863479999998"/>
    <n v="4561512.7580000004"/>
    <n v="840743"/>
    <n v="10006460"/>
    <n v="425.62748744311182"/>
    <n v="4268168.8279999997"/>
    <n v="4259024.4280000003"/>
    <n v="3746517.8969999999"/>
    <n v="87.966574513387584"/>
    <n v="3705247.165"/>
    <n v="6947381"/>
    <n v="8331.4750671066486"/>
    <n v="352351"/>
    <n v="72019"/>
    <n v="422.54823384093874"/>
    <n v="4.8924728196725864"/>
    <n v="4268168.8279999997"/>
    <n v="9144.3999999994412"/>
    <m/>
    <m/>
    <m/>
    <m/>
    <m/>
    <n v="2231719.068"/>
    <n v="411702.39"/>
    <n v="0"/>
    <n v="245681.86600000001"/>
    <n v="847802.375"/>
    <n v="0"/>
    <n v="9612.1980000000003"/>
    <n v="3746517.8969999999"/>
    <n v="0"/>
    <n v="3746517.8969999999"/>
    <n v="0.87966574513387585"/>
    <n v="165608.285"/>
    <n v="259548.084"/>
    <n v="6.0940736168043408E-2"/>
    <n v="4171674.2659999998"/>
    <n v="87350.161999999997"/>
    <n v="0"/>
    <s v="No"/>
    <x v="0"/>
    <x v="0"/>
    <n v="6.4750659193486784E-2"/>
    <n v="1.5778669449903575E-2"/>
    <x v="2"/>
  </r>
  <r>
    <s v="FL"/>
    <s v="WellCare Health Plans Inc. "/>
    <n v="5"/>
    <n v="5"/>
    <s v="WellCare of Florida Inc."/>
    <n v="2015"/>
    <x v="0"/>
    <n v="49574.021999999997"/>
    <n v="301713.25"/>
    <n v="1.3945102422862579"/>
    <n v="147.51097630000001"/>
    <n v="3554941.4049999998"/>
    <n v="726194"/>
    <n v="8483571"/>
    <n v="260.54787294171285"/>
    <n v="2210376.3790000002"/>
    <n v="2210376.3790000002"/>
    <n v="1930139.4280000001"/>
    <n v="87.321754174427866"/>
    <n v="1933795.2890000001"/>
    <n v="3758731"/>
    <n v="5316.7200463106865"/>
    <n v="409508"/>
    <n v="98388"/>
    <n v="579.24852635759169"/>
    <n v="4.1621742488921409"/>
    <n v="2209742.2969999998"/>
    <n v="0"/>
    <m/>
    <m/>
    <m/>
    <m/>
    <m/>
    <n v="1130720.0290000001"/>
    <n v="157452.69699999999"/>
    <n v="0"/>
    <n v="137830.05600000001"/>
    <n v="504136.647"/>
    <n v="0"/>
    <n v="0"/>
    <n v="1930139.429"/>
    <n v="72.599999999999994"/>
    <n v="1930066.8289999999"/>
    <n v="0.8734352560569193"/>
    <n v="42891.017"/>
    <n v="172916.016"/>
    <n v="7.8251665922653077E-2"/>
    <n v="2145873.8620000002"/>
    <n v="63868.434999999998"/>
    <n v="0"/>
    <s v="No"/>
    <x v="1"/>
    <x v="0"/>
    <n v="8.4871511405403888E-2"/>
    <n v="4.1910946850317432E-2"/>
    <x v="0"/>
  </r>
  <r>
    <s v="PA"/>
    <s v="Independence Health Group Inc. "/>
    <n v="7"/>
    <n v="6"/>
    <s v="Vista Health Plan (PA)"/>
    <n v="2015"/>
    <x v="1"/>
    <n v="3016.864"/>
    <n v="300015.022"/>
    <n v="8.0437604432254325E-2"/>
    <n v="306.6216435"/>
    <n v="3750564.2059999998"/>
    <n v="644169"/>
    <n v="7129941"/>
    <n v="517.82683853905667"/>
    <n v="3692074.807"/>
    <n v="3692074.807"/>
    <n v="3362053.3330000001"/>
    <n v="91.061354624389111"/>
    <n v="3362053.3330000001"/>
    <n v="4047498"/>
    <n v="6812.1147145537388"/>
    <n v="294390"/>
    <n v="65672"/>
    <n v="495.47114064478234"/>
    <n v="4.4827323669143624"/>
    <n v="3692074.807"/>
    <n v="0"/>
    <m/>
    <m/>
    <m/>
    <m/>
    <m/>
    <n v="3362053.3330000001"/>
    <n v="0"/>
    <n v="0"/>
    <n v="0"/>
    <n v="0"/>
    <n v="0"/>
    <n v="0"/>
    <n v="3362053.3330000001"/>
    <n v="0"/>
    <n v="3362053.3330000001"/>
    <n v="0.91061354624389113"/>
    <n v="0"/>
    <n v="300015.022"/>
    <n v="8.1259193727923826E-2"/>
    <n v="3662068.355"/>
    <n v="30006.452000000001"/>
    <n v="0"/>
    <s v="No"/>
    <x v="0"/>
    <x v="0"/>
    <n v="7.9991970680050803E-2"/>
    <n v="8.0437604432254323E-4"/>
    <x v="2"/>
  </r>
  <r>
    <s v="TX"/>
    <s v="Anthem"/>
    <n v="3"/>
    <n v="7"/>
    <s v="AMERIGROUP Texas Inc."/>
    <n v="2015"/>
    <x v="0"/>
    <n v="54338.345000000001"/>
    <n v="304067.408"/>
    <n v="1.5049032576349626"/>
    <n v="300.57702829999999"/>
    <n v="3610753.3640000001"/>
    <n v="582333"/>
    <n v="7069102"/>
    <n v="403.67923535408033"/>
    <n v="2831015.7850000001"/>
    <n v="2853649.69"/>
    <n v="2382087.747"/>
    <n v="83.475128546699779"/>
    <n v="2274755.841"/>
    <n v="3091698"/>
    <n v="5248.2445436492499"/>
    <n v="281399"/>
    <n v="55726"/>
    <n v="477.68273820352289"/>
    <n v="5.0496895524530743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0"/>
    <n v="8.4211624928918843E-2"/>
    <n v="8.1037089604083318E-2"/>
    <x v="3"/>
  </r>
  <r>
    <s v="GA"/>
    <s v="WellCare Health Plans Inc. "/>
    <n v="5"/>
    <n v="8"/>
    <s v="WellCare of Georgia Inc."/>
    <n v="2015"/>
    <x v="0"/>
    <n v="1172.6189999999999"/>
    <n v="247044.15599999999"/>
    <n v="5.8887886860217814E-2"/>
    <n v="279.15892280000003"/>
    <n v="1991273.6939999999"/>
    <n v="526208"/>
    <n v="6339002"/>
    <n v="238.21557494381608"/>
    <n v="1510049.0060000001"/>
    <n v="1510049.0060000001"/>
    <n v="1299699.193"/>
    <n v="86.070000896381501"/>
    <n v="1308991.9369999999"/>
    <n v="2375793"/>
    <n v="4497.4770476488256"/>
    <n v="249912"/>
    <n v="54932"/>
    <n v="473.09402962800772"/>
    <n v="4.5494793562950555"/>
    <n v="1509697.7549999999"/>
    <n v="0"/>
    <m/>
    <m/>
    <m/>
    <m/>
    <m/>
    <n v="935160.995"/>
    <n v="50316.425000000003"/>
    <n v="0"/>
    <n v="97692.706999999995"/>
    <n v="216529.065"/>
    <n v="0"/>
    <n v="0"/>
    <n v="1299699.192"/>
    <n v="-5.0250000000000004"/>
    <n v="1299704.2169999999"/>
    <n v="0.8609035899374442"/>
    <n v="28427.008000000002"/>
    <n v="187112.236"/>
    <n v="0.12394019622821789"/>
    <n v="1515243.4609999999"/>
    <n v="-5545.7060000000001"/>
    <n v="0"/>
    <s v="No"/>
    <x v="1"/>
    <x v="0"/>
    <n v="0.1240633855327775"/>
    <n v="1.5236605503407455E-2"/>
    <x v="2"/>
  </r>
  <r>
    <s v="WA"/>
    <s v="Molina"/>
    <n v="4"/>
    <n v="9"/>
    <s v="Molina Healthcare of WA Inc."/>
    <n v="2015"/>
    <x v="0"/>
    <n v="-3384.549"/>
    <n v="184036.755"/>
    <n v="-0.20246150867334459"/>
    <n v="340.63746570000001"/>
    <n v="1671699.98"/>
    <n v="552354"/>
    <n v="6280145"/>
    <n v="242.95945794245196"/>
    <n v="1324429.504"/>
    <n v="1525820.625"/>
    <n v="1314969.567"/>
    <n v="86.181137248685445"/>
    <n v="1284976.344"/>
    <n v="2497097"/>
    <n v="4771.4127619664832"/>
    <n v="146760"/>
    <n v="34350"/>
    <n v="280.42664620004791"/>
    <n v="4.2724890829694324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0"/>
    <n v="0.11008958377806526"/>
    <n v="2.8099043735080279E-2"/>
    <x v="0"/>
  </r>
  <r>
    <s v="TN"/>
    <s v="Volunteer State Hlth Plan Inc./BCBS-TN"/>
    <n v="15"/>
    <n v="10"/>
    <s v="Volunteer State Hlth Plan Inc./BCBS-TN"/>
    <n v="2015"/>
    <x v="1"/>
    <n v="75212.543999999994"/>
    <n v="219795.15400000001"/>
    <n v="3.423826892710041"/>
    <n v="495.5419109"/>
    <n v="2196739.0980000002"/>
    <n v="519789"/>
    <n v="5897011"/>
    <n v="359.66866332791301"/>
    <n v="2120970.0639999998"/>
    <n v="2120970.0639999998"/>
    <n v="1673993.2890000001"/>
    <n v="78.925832920195347"/>
    <n v="1646853.7479999999"/>
    <n v="4726787"/>
    <n v="9618.6769873754693"/>
    <n v="353868"/>
    <n v="50204"/>
    <n v="720.0963335493185"/>
    <n v="7.0486017050434224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0"/>
    <x v="0"/>
    <n v="0.10005519280833594"/>
    <n v="3.4238268927100413E-2"/>
    <x v="0"/>
  </r>
  <r>
    <s v="TN"/>
    <s v="UnitedHealth Group Inc. "/>
    <n v="1"/>
    <n v="11"/>
    <s v="UnitedHealthcare Plan"/>
    <n v="2015"/>
    <x v="0"/>
    <n v="62453.637000000002"/>
    <n v="365781.29499999998"/>
    <n v="1.8346467097525396"/>
    <n v="446.6533341"/>
    <n v="3404123.3480000002"/>
    <n v="477115"/>
    <n v="5618524"/>
    <n v="356.39430889678499"/>
    <n v="2004805.436"/>
    <n v="2002409.9779999999"/>
    <n v="1564702.15"/>
    <n v="78.140948516587954"/>
    <n v="1622554.1189999999"/>
    <n v="4468272"/>
    <n v="9543.3006960546936"/>
    <n v="2817427"/>
    <n v="183083"/>
    <n v="6017.4387436985226"/>
    <n v="15.388796338272805"/>
    <n v="2002803.0260000001"/>
    <n v="1737.4599999999627"/>
    <m/>
    <m/>
    <m/>
    <m/>
    <m/>
    <n v="1555676.459"/>
    <n v="8416.518"/>
    <n v="0"/>
    <n v="0"/>
    <n v="0"/>
    <n v="0"/>
    <n v="609.173"/>
    <n v="1564702.15"/>
    <n v="0"/>
    <n v="1564702.15"/>
    <n v="0.78193447360534907"/>
    <n v="131168.72200000001"/>
    <n v="222948.78099999999"/>
    <n v="0.11141503046582331"/>
    <n v="1996185.6529999999"/>
    <n v="4879.9129999999996"/>
    <n v="0"/>
    <s v="No"/>
    <x v="1"/>
    <x v="0"/>
    <n v="0.10745242096321357"/>
    <n v="0.11113809387090694"/>
    <x v="4"/>
  </r>
  <r>
    <s v="NJ"/>
    <s v="UnitedHealth Group Inc. "/>
    <n v="1"/>
    <n v="12"/>
    <s v="AmeriChoice of New Jersey Inc."/>
    <n v="2015"/>
    <x v="1"/>
    <n v="99100.260999999999"/>
    <n v="183838.462"/>
    <n v="4.149596839757776"/>
    <n v="340.74199090000002"/>
    <n v="2388190.102"/>
    <n v="453420"/>
    <n v="5560042"/>
    <n v="424.732898780261"/>
    <n v="2382508.7230000002"/>
    <n v="2361532.7560000001"/>
    <n v="1919958.3149999999"/>
    <n v="81.301362859436026"/>
    <n v="1934398.291"/>
    <n v="3802769"/>
    <n v="8207.3531099225511"/>
    <n v="612047"/>
    <n v="55714"/>
    <n v="1320.9547697661276"/>
    <n v="10.985515310334925"/>
    <n v="2382508.7230000002"/>
    <n v="20975.967000000179"/>
    <m/>
    <m/>
    <m/>
    <m/>
    <m/>
    <n v="1453861.9990000001"/>
    <n v="118583.274"/>
    <n v="0"/>
    <n v="0"/>
    <n v="346236.08799999999"/>
    <n v="0"/>
    <n v="1276.954"/>
    <n v="1919958.3149999999"/>
    <n v="0"/>
    <n v="1919958.3149999999"/>
    <n v="0.81301362859436022"/>
    <n v="100029.592"/>
    <n v="181388.84400000001"/>
    <n v="7.6809793782932401E-2"/>
    <n v="2201376.7510000002"/>
    <n v="160156.005"/>
    <n v="0"/>
    <s v="No"/>
    <x v="1"/>
    <x v="0"/>
    <n v="7.6978152554121923E-2"/>
    <n v="4.1495968397577764E-2"/>
    <x v="0"/>
  </r>
  <r>
    <s v="NY"/>
    <s v="UnitedHealth Group Inc. "/>
    <n v="1"/>
    <n v="13"/>
    <s v="UnitedHealthcare of NY Inc."/>
    <n v="2015"/>
    <x v="0"/>
    <n v="106034.702"/>
    <n v="259882.984"/>
    <n v="3.5050826719102099"/>
    <n v="470.66989109999997"/>
    <n v="3025169.787"/>
    <n v="477178"/>
    <n v="5556646"/>
    <n v="388.05521028332561"/>
    <n v="2156285.432"/>
    <n v="2156285.432"/>
    <n v="1721203.817"/>
    <n v="79.822633472209077"/>
    <n v="1677733.216"/>
    <n v="5021138"/>
    <n v="10843.529711988131"/>
    <n v="277714"/>
    <n v="48283"/>
    <n v="599.74452214519329"/>
    <n v="5.7517966986309883"/>
    <n v="2156285.4330000002"/>
    <n v="0"/>
    <m/>
    <m/>
    <m/>
    <m/>
    <m/>
    <n v="1253309.378"/>
    <n v="67891.296000000002"/>
    <n v="0"/>
    <n v="0"/>
    <n v="384851.62099999998"/>
    <n v="0"/>
    <n v="15151.52"/>
    <n v="1721203.8149999999"/>
    <n v="0"/>
    <n v="1721203.8149999999"/>
    <n v="0.79822633342438376"/>
    <n v="100865.554"/>
    <n v="188356.93900000001"/>
    <n v="8.7352507287470973E-2"/>
    <n v="2010426.308"/>
    <n v="145859.125"/>
    <n v="0"/>
    <s v="No"/>
    <x v="1"/>
    <x v="0"/>
    <n v="8.5906908470655033E-2"/>
    <n v="0.11586675680725415"/>
    <x v="4"/>
  </r>
  <r>
    <s v="FL"/>
    <s v="Centene Corp. "/>
    <n v="2"/>
    <n v="14"/>
    <s v="Sunshine State Health Plan Inc"/>
    <n v="2015"/>
    <x v="0"/>
    <n v="27075.542000000001"/>
    <n v="141156.19899999999"/>
    <n v="0.86630506725945411"/>
    <n v="318.0665937"/>
    <n v="3125405.0129999998"/>
    <n v="462073"/>
    <n v="5307784"/>
    <n v="275.22835160586789"/>
    <n v="1460852.6410000001"/>
    <n v="1460852.6410000001"/>
    <n v="1366346.004"/>
    <n v="93.530720734754794"/>
    <n v="1327350.04"/>
    <n v="2293729"/>
    <n v="5185.7325015486686"/>
    <n v="223590"/>
    <n v="60437"/>
    <n v="505.4990934069661"/>
    <n v="3.6995549084170292"/>
    <n v="1455176.182"/>
    <n v="0"/>
    <m/>
    <m/>
    <m/>
    <m/>
    <m/>
    <n v="715683.15800000005"/>
    <n v="260025.967"/>
    <n v="0"/>
    <n v="127816.32799999999"/>
    <n v="248712.55499999999"/>
    <n v="0"/>
    <n v="14107.995999999999"/>
    <n v="1366346.004"/>
    <n v="19808.724999999999"/>
    <n v="1346537.2790000001"/>
    <n v="0.92534312728326396"/>
    <n v="37711.654000000002"/>
    <n v="106470.01"/>
    <n v="7.316640508344989E-2"/>
    <n v="1471396.9580000001"/>
    <n v="-16220.776"/>
    <n v="0"/>
    <s v="No"/>
    <x v="1"/>
    <x v="0"/>
    <n v="4.51641302208406E-2"/>
    <n v="1.9528662431611492E-2"/>
    <x v="2"/>
  </r>
  <r>
    <s v="KY"/>
    <s v="WellCare Health Plans Inc. "/>
    <n v="5"/>
    <n v="15"/>
    <s v="WellCare Hlth Ins Co. of KY"/>
    <n v="2015"/>
    <x v="1"/>
    <n v="118976.118"/>
    <n v="220615.01800000001"/>
    <n v="4.3057489508892006"/>
    <n v="352.82649479999998"/>
    <n v="2763192.173"/>
    <n v="439782"/>
    <n v="5232734"/>
    <n v="499.31295418417983"/>
    <n v="2612771.872"/>
    <n v="2612771.872"/>
    <n v="2157266.89"/>
    <n v="82.566216864110515"/>
    <n v="2124520.923"/>
    <n v="2894234"/>
    <n v="6637.2202370691875"/>
    <n v="339577"/>
    <n v="67414"/>
    <n v="778.73708084530949"/>
    <n v="5.0371881211617762"/>
    <n v="2612408.3629999999"/>
    <n v="0"/>
    <m/>
    <m/>
    <m/>
    <m/>
    <m/>
    <n v="1340665.537"/>
    <n v="179973.54500000001"/>
    <n v="0"/>
    <n v="148647.45499999999"/>
    <n v="487980.35100000002"/>
    <n v="0"/>
    <n v="0"/>
    <n v="2157266.8879999998"/>
    <n v="714.29899999999998"/>
    <n v="2156552.5890000002"/>
    <n v="0.82550363088085099"/>
    <n v="48020.169000000002"/>
    <n v="201085.106"/>
    <n v="7.6973075437976615E-2"/>
    <n v="2405657.8640000001"/>
    <n v="206750.49900000001"/>
    <n v="0"/>
    <s v="No"/>
    <x v="1"/>
    <x v="0"/>
    <n v="7.9840635101567373E-2"/>
    <n v="4.3057489508892009E-2"/>
    <x v="0"/>
  </r>
  <r>
    <s v="TX"/>
    <s v="Centene Corp. "/>
    <n v="2"/>
    <n v="16"/>
    <s v="Bankers Reserve Life Ins Co."/>
    <n v="2015"/>
    <x v="0"/>
    <n v="-21681.026999999998"/>
    <n v="203085.666"/>
    <n v="-1.0314421613905085"/>
    <n v="359.9575926"/>
    <n v="2102010.9330000002"/>
    <n v="436951"/>
    <n v="5225117"/>
    <n v="326.03749619386514"/>
    <n v="1704079.2509999999"/>
    <n v="1703584.064"/>
    <n v="1502897.6629999999"/>
    <n v="88.219753563038722"/>
    <n v="1549059.0930000001"/>
    <n v="2407995"/>
    <n v="5530.1996108412504"/>
    <n v="156259"/>
    <n v="37476"/>
    <n v="358.86430868437969"/>
    <n v="4.1695751947913333"/>
    <n v="1703881.0149999999"/>
    <n v="495.18699999991804"/>
    <m/>
    <m/>
    <m/>
    <m/>
    <m/>
    <n v="1104114.2520000001"/>
    <n v="69875.599000000002"/>
    <n v="0"/>
    <n v="64310.47"/>
    <n v="251715.16099999999"/>
    <n v="0"/>
    <n v="12882.181"/>
    <n v="1502897.6629999999"/>
    <n v="-75.8"/>
    <n v="1502973.4639999999"/>
    <n v="0.88234470387997144"/>
    <n v="40676.173999999999"/>
    <n v="173620.386"/>
    <n v="0.10192663526140362"/>
    <n v="1717270.023"/>
    <n v="-13884.195"/>
    <n v="0"/>
    <s v="No"/>
    <x v="1"/>
    <x v="0"/>
    <n v="9.6614942772992693E-2"/>
    <n v="2.1187521596620032E-2"/>
    <x v="2"/>
  </r>
  <r>
    <s v="TX"/>
    <s v="Centene Corp. "/>
    <n v="2"/>
    <n v="17"/>
    <s v="Superior HealthPlan Inc."/>
    <n v="2015"/>
    <x v="0"/>
    <n v="13642.123"/>
    <n v="243840.11600000001"/>
    <n v="0.47334677625594757"/>
    <n v="283.31500369999998"/>
    <n v="2882056.81"/>
    <n v="423838"/>
    <n v="5068576"/>
    <n v="507.46879695598921"/>
    <n v="2582710.2629999998"/>
    <n v="2572144.165"/>
    <n v="2275000.1269999999"/>
    <n v="88.4476133941738"/>
    <n v="2162375.7349999999"/>
    <n v="2336363"/>
    <n v="5531.4068487875093"/>
    <n v="217642"/>
    <n v="47058"/>
    <n v="515.27371790420034"/>
    <n v="4.6249734370351483"/>
    <n v="2582534.3620000002"/>
    <n v="10566.098000000231"/>
    <m/>
    <m/>
    <m/>
    <m/>
    <m/>
    <n v="1626315.9979999999"/>
    <n v="99521.577000000005"/>
    <n v="0"/>
    <n v="108666.079"/>
    <n v="404303.77100000001"/>
    <n v="0"/>
    <n v="36192.701999999997"/>
    <n v="2275000.1269999999"/>
    <n v="932.42899999999997"/>
    <n v="2274067.6979999999"/>
    <n v="0.88417408948246645"/>
    <n v="58272.302000000003"/>
    <n v="215703.83300000001"/>
    <n v="8.3867221854647275E-2"/>
    <n v="2548043.8330000001"/>
    <n v="23924.431"/>
    <n v="0"/>
    <s v="No"/>
    <x v="1"/>
    <x v="0"/>
    <n v="8.4606283663089907E-2"/>
    <n v="3.091758239517213E-2"/>
    <x v="0"/>
  </r>
  <r>
    <s v="MI"/>
    <s v="Meridian Health Plan Group "/>
    <n v="9"/>
    <n v="18"/>
    <s v="Meridian Hlth Plan of MI Inc."/>
    <n v="2015"/>
    <x v="1"/>
    <n v="6828.1679999999997"/>
    <n v="328865.34600000002"/>
    <n v="0.32311389636513049"/>
    <n v="253.01339859999999"/>
    <n v="2113238.73"/>
    <n v="444528"/>
    <n v="5039378"/>
    <n v="390.50688239699423"/>
    <n v="1967911.7919999999"/>
    <n v="1967911.7919999999"/>
    <n v="1660116.94"/>
    <n v="84.359316649696666"/>
    <n v="1581435.03"/>
    <n v="5101713"/>
    <n v="12148.434985428757"/>
    <n v="164973"/>
    <n v="44162"/>
    <n v="392.84133875252064"/>
    <n v="3.7356324441827815"/>
    <n v="1965288.318"/>
    <n v="-43496.138999999966"/>
    <m/>
    <m/>
    <m/>
    <m/>
    <m/>
    <n v="1311529.7069999999"/>
    <n v="10917.941999999999"/>
    <n v="97518.796000000002"/>
    <n v="21874.792000000001"/>
    <n v="206484.51500000001"/>
    <n v="321.505"/>
    <n v="11469.683000000001"/>
    <n v="1660116.94"/>
    <n v="4188.0940000000001"/>
    <n v="1655928.8459999999"/>
    <n v="0.82434371703225495"/>
    <n v="8031.2160000000003"/>
    <n v="317803.01"/>
    <n v="0.15820662535124347"/>
    <n v="1981763.0719999999"/>
    <n v="27021.384999999998"/>
    <n v="0"/>
    <s v="No"/>
    <x v="1"/>
    <x v="0"/>
    <n v="0.15562148342795137"/>
    <n v="3.2311389636513047E-3"/>
    <x v="2"/>
  </r>
  <r>
    <s v="TN"/>
    <s v="Anthem"/>
    <n v="3"/>
    <n v="19"/>
    <s v="AMERIGROUP Tennessee Inc."/>
    <n v="2015"/>
    <x v="1"/>
    <n v="22682.35"/>
    <n v="167544.818"/>
    <n v="1.3434186160773987"/>
    <n v="323.7265099"/>
    <n v="1688405.2169999999"/>
    <n v="419079"/>
    <n v="4870390"/>
    <n v="329.10153478468868"/>
    <n v="1594494.108"/>
    <n v="1602852.824"/>
    <n v="1294662.591"/>
    <n v="80.772393548217622"/>
    <n v="1193103.57"/>
    <n v="2041113"/>
    <n v="5029.0338145405194"/>
    <n v="267308"/>
    <n v="45050"/>
    <n v="658.61173335194928"/>
    <n v="5.9335849056603776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0"/>
    <n v="9.9232587244487303E-2"/>
    <n v="1.3434186160773987E-2"/>
    <x v="2"/>
  </r>
  <r>
    <s v="MN"/>
    <s v="UCare Minnesota "/>
    <n v="14"/>
    <n v="20"/>
    <s v="UCare Minnesota "/>
    <n v="2015"/>
    <x v="0"/>
    <n v="27691.669000000002"/>
    <n v="182241.986"/>
    <n v="0.78805411719161844"/>
    <n v="432.21794130000001"/>
    <n v="3513929.8679999998"/>
    <n v="397055"/>
    <n v="4757822"/>
    <n v="560.35109972588293"/>
    <n v="2666050.79"/>
    <n v="2666050.79"/>
    <n v="2344157.9849999999"/>
    <n v="87.926231330349111"/>
    <n v="2316609.409"/>
    <n v="1419678"/>
    <n v="3580.658545023332"/>
    <n v="175013"/>
    <n v="53208"/>
    <n v="441.41121714935952"/>
    <n v="3.2892234250488648"/>
    <n v="2659066.7799999998"/>
    <n v="-18.684000000357628"/>
    <m/>
    <m/>
    <m/>
    <m/>
    <m/>
    <n v="986025.33700000006"/>
    <n v="840559.93700000003"/>
    <n v="19580.608"/>
    <n v="148872.397"/>
    <n v="345278.47700000001"/>
    <n v="1060"/>
    <n v="2781.2289999999998"/>
    <n v="2344157.9849999999"/>
    <n v="6361.4610000000002"/>
    <n v="2337796.5240000002"/>
    <n v="0.87917314266511293"/>
    <n v="59570.396000000001"/>
    <n v="136233.424"/>
    <n v="5.1233187441469909E-2"/>
    <n v="2558808.2549999999"/>
    <n v="100277.209"/>
    <n v="0"/>
    <s v="No"/>
    <x v="0"/>
    <x v="0"/>
    <n v="5.1862727159015687E-2"/>
    <n v="6.8874959537493174E-2"/>
    <x v="5"/>
  </r>
  <r>
    <s v="GA"/>
    <s v="Centene Corp. "/>
    <n v="2"/>
    <n v="21"/>
    <s v="Peach State Health Plan Inc."/>
    <n v="2015"/>
    <x v="1"/>
    <n v="39103.076000000001"/>
    <n v="137464.99100000001"/>
    <n v="3.5496077902522414"/>
    <n v="454.3341254"/>
    <n v="1101616.807"/>
    <n v="391667"/>
    <n v="4600692"/>
    <n v="231.56887572565171"/>
    <n v="1065377.074"/>
    <n v="1065377.074"/>
    <n v="838895.23699999996"/>
    <n v="78.741626553904993"/>
    <n v="830470.00300000003"/>
    <n v="1611767"/>
    <n v="4203.9771408301185"/>
    <n v="125738"/>
    <n v="28594"/>
    <n v="327.96283689497147"/>
    <n v="4.3973560886899348"/>
    <n v="1050832.899"/>
    <n v="0"/>
    <m/>
    <m/>
    <m/>
    <m/>
    <m/>
    <n v="541015.26300000004"/>
    <n v="129476.64"/>
    <n v="0"/>
    <n v="60007.633999999998"/>
    <n v="105019.648"/>
    <n v="0"/>
    <n v="3376.0529999999999"/>
    <n v="838895.23800000001"/>
    <n v="11957.05"/>
    <n v="826938.18799999997"/>
    <n v="0.78693595222126744"/>
    <n v="29177.541000000001"/>
    <n v="127132.37300000001"/>
    <n v="0.12098248267729578"/>
    <n v="983248.10199999996"/>
    <n v="67584.797000000006"/>
    <n v="0"/>
    <s v="No"/>
    <x v="1"/>
    <x v="0"/>
    <n v="0.12478476193037967"/>
    <n v="3.5496077902522412E-2"/>
    <x v="0"/>
  </r>
  <r>
    <s v="CA"/>
    <s v="Care 1st Health Plan Inc,"/>
    <n v="24"/>
    <n v="22"/>
    <s v="Care 1st Health Plan Inc,"/>
    <n v="2015"/>
    <x v="0"/>
    <n v="16859.365000000002"/>
    <n v="199011.19899999999"/>
    <n v="0.90137352980526975"/>
    <n v="288.73909429999998"/>
    <n v="1870408.2649999999"/>
    <n v="378832"/>
    <n v="4459755"/>
    <n v="290.70615515874749"/>
    <n v="1296478.2290000001"/>
    <n v="1296478.2290000001"/>
    <n v="1086763.7679999999"/>
    <n v="83.824297523163423"/>
    <n v="1056556.0390000001"/>
    <n v="212147"/>
    <n v="570.83046041766863"/>
    <n v="128704"/>
    <n v="21289"/>
    <n v="346.30781287312868"/>
    <n v="6.0455634365165105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0"/>
    <x v="0"/>
    <n v="0.10639987147404954"/>
    <n v="5.5357153294316189E-2"/>
    <x v="5"/>
  </r>
  <r>
    <s v="IN"/>
    <s v="MDwise Inc. (Indiana University Health)"/>
    <n v="41"/>
    <n v="23"/>
    <s v="MDwise Inc. (Indiana University Health)"/>
    <n v="2015"/>
    <x v="1"/>
    <n v="20297.302"/>
    <n v="19180.723999999998"/>
    <n v="1.9644645715547402"/>
    <n v="382.26225310000001"/>
    <n v="1033223.113"/>
    <n v="378721"/>
    <n v="4162799"/>
    <n v="249.774997303497"/>
    <n v="1039763.1090000001"/>
    <n v="1039763.1090000001"/>
    <n v="923288.17500000005"/>
    <n v="88.797935511289609"/>
    <n v="923288.17500000005"/>
    <n v="1945821"/>
    <n v="5609.1711370162238"/>
    <n v="166302"/>
    <n v="43425"/>
    <n v="479.39475338588289"/>
    <n v="3.8296373056994817"/>
    <n v="1033223.113"/>
    <n v="0"/>
    <m/>
    <m/>
    <m/>
    <m/>
    <m/>
    <n v="593300.12800000003"/>
    <n v="82760.572"/>
    <n v="0"/>
    <n v="49510.188000000002"/>
    <n v="187901.21100000001"/>
    <n v="9816.0759999999991"/>
    <n v="0"/>
    <n v="923288.17500000005"/>
    <n v="0"/>
    <n v="923288.17500000005"/>
    <n v="0.89360000118386829"/>
    <n v="71039.051999999996"/>
    <n v="19180.723999999998"/>
    <n v="1.8563971090724139E-2"/>
    <n v="1013507.951"/>
    <n v="19715.163"/>
    <n v="0"/>
    <s v="No"/>
    <x v="1"/>
    <x v="0"/>
    <n v="1.8563971090724139E-2"/>
    <n v="1.9644645715547401E-2"/>
    <x v="2"/>
  </r>
  <r>
    <s v="LA"/>
    <s v="Centene Corp. "/>
    <n v="2"/>
    <n v="24"/>
    <s v="LA Healthcare Connections Inc."/>
    <n v="2015"/>
    <x v="1"/>
    <n v="-17085.365000000002"/>
    <n v="127866.364"/>
    <n v="-1.4380337748343308"/>
    <n v="265.64338550000002"/>
    <n v="1188105.9609999999"/>
    <n v="382198"/>
    <n v="4151638"/>
    <n v="287.689915883803"/>
    <n v="1194384.3870000001"/>
    <n v="1194384.3870000001"/>
    <n v="1054935.7479999999"/>
    <n v="88.324643178712265"/>
    <n v="987432.27599999995"/>
    <n v="1614038"/>
    <n v="4665.2564602212424"/>
    <n v="143750"/>
    <n v="29679"/>
    <n v="415.49865378436175"/>
    <n v="4.8434920314026755"/>
    <n v="1188105.9609999999"/>
    <n v="0"/>
    <m/>
    <m/>
    <m/>
    <m/>
    <m/>
    <n v="467082.02100000001"/>
    <n v="52268.947"/>
    <n v="0"/>
    <n v="86939.024999999994"/>
    <n v="218855.55600000001"/>
    <n v="217853.34"/>
    <n v="11936.859"/>
    <n v="1054935.7479999999"/>
    <n v="4150.2879999999996"/>
    <n v="1050785.46"/>
    <n v="0.88442066153390853"/>
    <n v="27495.442999999999"/>
    <n v="127866.364"/>
    <n v="0.10762202042347974"/>
    <n v="1206147.267"/>
    <n v="-18041.306"/>
    <n v="0"/>
    <s v="No"/>
    <x v="1"/>
    <x v="0"/>
    <n v="0.10762202042347974"/>
    <n v="-1.4380337748343307E-2"/>
    <x v="6"/>
  </r>
  <r>
    <s v="GA"/>
    <s v="Anthem"/>
    <n v="3"/>
    <n v="25"/>
    <s v="AMGP Georgia Managed Care Co."/>
    <n v="2015"/>
    <x v="1"/>
    <n v="26059.16"/>
    <n v="130799.69"/>
    <n v="2.1666502961232545"/>
    <n v="411.66358400000001"/>
    <n v="1202739.5490000001"/>
    <n v="349065"/>
    <n v="4062898"/>
    <n v="279.04236975675985"/>
    <n v="1133720.686"/>
    <n v="1133720.686"/>
    <n v="887524.03700000001"/>
    <n v="78.284188333139411"/>
    <n v="866705.17599999998"/>
    <n v="2090388"/>
    <n v="6174.0796840088033"/>
    <n v="213870"/>
    <n v="47967"/>
    <n v="631.67719199448277"/>
    <n v="4.4586903496153605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0"/>
    <n v="0.10875146669015037"/>
    <n v="2.1666502961232546E-2"/>
    <x v="2"/>
  </r>
  <r>
    <s v="SC"/>
    <s v="Independence Health Group Inc. "/>
    <n v="7"/>
    <n v="26"/>
    <s v="Select Health of SC Inc."/>
    <n v="2015"/>
    <x v="1"/>
    <n v="32245.688999999998"/>
    <n v="79842.292000000001"/>
    <n v="2.7423559876231649"/>
    <n v="345.27578599999998"/>
    <n v="1175838.919"/>
    <n v="331922"/>
    <n v="4048858"/>
    <n v="288.52302352910374"/>
    <n v="1168188.7520000001"/>
    <n v="1168188.7520000001"/>
    <n v="1005132.7439999999"/>
    <n v="86.041980996577834"/>
    <n v="1033392.903"/>
    <n v="2453985"/>
    <n v="7273.1175062202728"/>
    <n v="180639"/>
    <n v="42460"/>
    <n v="535.37762993910872"/>
    <n v="4.2543334903438534"/>
    <n v="1168188.7520000001"/>
    <n v="0"/>
    <m/>
    <m/>
    <m/>
    <m/>
    <m/>
    <n v="402642.76500000001"/>
    <n v="160721.601"/>
    <n v="44430.675999999999"/>
    <n v="75349.252999999997"/>
    <n v="217718.20600000001"/>
    <n v="104270.243"/>
    <n v="0"/>
    <n v="1005132.7439999999"/>
    <n v="0"/>
    <n v="1005132.7439999999"/>
    <n v="0.86041980996577838"/>
    <n v="28251.602999999999"/>
    <n v="74220.232999999993"/>
    <n v="6.3534452692624449E-2"/>
    <n v="1107604.58"/>
    <n v="60584.171999999999"/>
    <n v="0"/>
    <s v="No"/>
    <x v="0"/>
    <x v="0"/>
    <n v="6.7902406281893105E-2"/>
    <n v="2.742355987623165E-2"/>
    <x v="0"/>
  </r>
  <r>
    <s v="FL"/>
    <s v="Anthem"/>
    <n v="3"/>
    <n v="27"/>
    <s v="AMERIGROUP Florida Inc."/>
    <n v="2015"/>
    <x v="0"/>
    <n v="-1935.759"/>
    <n v="65958.505000000005"/>
    <n v="-0.14778747365472925"/>
    <n v="193.91148029999999"/>
    <n v="1309826.166"/>
    <n v="340957"/>
    <n v="4023582"/>
    <n v="261.33267372207155"/>
    <n v="1051493.442"/>
    <n v="1051493.442"/>
    <n v="933718.23899999994"/>
    <n v="88.79924512168283"/>
    <n v="915126.56900000002"/>
    <n v="1879571"/>
    <n v="5605.6648031530112"/>
    <n v="162903"/>
    <n v="37693"/>
    <n v="485.84470255608062"/>
    <n v="4.3218369458520147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0"/>
    <n v="5.0356686033709915E-2"/>
    <n v="6.1650862749461736E-2"/>
    <x v="5"/>
  </r>
  <r>
    <s v="TX"/>
    <s v="Texas Children's Hlth Plan Inc"/>
    <s v="-"/>
    <n v="29"/>
    <s v="Texas Children's Hlth Plan Inc"/>
    <n v="2015"/>
    <x v="0"/>
    <n v="15700.597"/>
    <n v="52791.701999999997"/>
    <n v="1.6381240046649241"/>
    <n v="350.96923800000002"/>
    <n v="958449.84600000002"/>
    <n v="332975"/>
    <n v="3995685"/>
    <n v="208.18244806585105"/>
    <n v="831831.48499999999"/>
    <n v="831831.48499999999"/>
    <n v="745438.70700000005"/>
    <n v="89.614149072513172"/>
    <n v="744346.47600000002"/>
    <n v="1623525"/>
    <n v="4875.8348067978332"/>
    <n v="78158"/>
    <n v="13289"/>
    <n v="234.72721197992334"/>
    <n v="5.8814056738656033"/>
    <n v="830790.74199999997"/>
    <n v="-889.94500000006519"/>
    <m/>
    <m/>
    <m/>
    <m/>
    <m/>
    <n v="521872.33199999999"/>
    <n v="6466.8959999999997"/>
    <n v="0"/>
    <n v="71856.69"/>
    <n v="127277.46799999999"/>
    <n v="13110.576999999999"/>
    <n v="4854.7430000000004"/>
    <n v="745438.70700000005"/>
    <n v="297.05"/>
    <n v="745141.65700000001"/>
    <n v="0.89594680824901729"/>
    <n v="31551.25"/>
    <n v="45846.442999999999"/>
    <n v="5.5125054262562187E-2"/>
    <n v="822539.35"/>
    <n v="9141.3379999999997"/>
    <n v="0"/>
    <s v="Yes"/>
    <x v="0"/>
    <x v="0"/>
    <n v="5.5080296815030211E-2"/>
    <n v="4.8778212459838072E-2"/>
    <x v="0"/>
  </r>
  <r>
    <s v="OH"/>
    <s v="Molina"/>
    <n v="4"/>
    <n v="30"/>
    <s v="Molina Healthcare of Ohio Inc."/>
    <n v="2015"/>
    <x v="1"/>
    <n v="110034.061"/>
    <n v="334454.03200000001"/>
    <n v="4.8456371089011787"/>
    <n v="315.18450050000001"/>
    <n v="2270786.2459999998"/>
    <n v="314420"/>
    <n v="3913899"/>
    <n v="527.05340991170181"/>
    <n v="2073940.855"/>
    <n v="2062833.814"/>
    <n v="1479554.926"/>
    <n v="71.724387876453534"/>
    <n v="1523879.997"/>
    <n v="1497326"/>
    <n v="4590.7960322941399"/>
    <n v="1440018"/>
    <n v="95990"/>
    <n v="4415.0899141750979"/>
    <n v="15.001750182310657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0"/>
    <n v="0.14728556357479367"/>
    <n v="4.8456371089011789E-2"/>
    <x v="0"/>
  </r>
  <r>
    <s v="IN"/>
    <s v="Anthem"/>
    <n v="3"/>
    <n v="31"/>
    <s v="Anthem Insurance Companies Inc"/>
    <n v="2015"/>
    <x v="0"/>
    <n v="405548.07199999999"/>
    <n v="353717.35200000001"/>
    <n v="7.6231211483542642"/>
    <n v="394.86493300000001"/>
    <n v="5319974.1169999996"/>
    <n v="371480"/>
    <n v="3841843"/>
    <n v="282.30616399472859"/>
    <n v="1080393.7560000001"/>
    <n v="1084575.96"/>
    <n v="920269.38100000005"/>
    <n v="84.850615811178415"/>
    <n v="791918.89899999998"/>
    <n v="1420569"/>
    <n v="4437.1485248095769"/>
    <n v="146697"/>
    <n v="34230"/>
    <n v="458.20820892472699"/>
    <n v="4.2856266432953554"/>
    <n v="1077809.416"/>
    <s v="-"/>
    <m/>
    <m/>
    <m/>
    <m/>
    <m/>
    <n v="678555.25399999996"/>
    <n v="49692.082999999999"/>
    <n v="0"/>
    <n v="16742.044000000002"/>
    <n v="175280.17300000001"/>
    <n v="0"/>
    <n v="-0.17299999999999999"/>
    <n v="920269.38100000005"/>
    <n v="4412.6390000000001"/>
    <n v="915856.74199999997"/>
    <s v="-"/>
    <n v="24425.358"/>
    <n v="100177.78599999999"/>
    <s v="-"/>
    <n v="1040459.8860000001"/>
    <n v="41531.735000000001"/>
    <s v="-"/>
    <s v="No"/>
    <x v="1"/>
    <x v="0"/>
    <n v="6.6488547541931592E-2"/>
    <n v="8.5005294346284316E-2"/>
    <x v="3"/>
  </r>
  <r>
    <s v="FL"/>
    <s v="Humana Inc. "/>
    <n v="8"/>
    <n v="32"/>
    <s v="Humana Medical Plan Inc."/>
    <n v="2015"/>
    <x v="0"/>
    <n v="328274.89500000002"/>
    <n v="860905.72100000002"/>
    <n v="3.7018851359821756"/>
    <n v="357.20843289999999"/>
    <n v="8867776.3609999996"/>
    <n v="332518"/>
    <n v="3785768"/>
    <n v="315.51501359829763"/>
    <n v="1194466.642"/>
    <n v="1194466.642"/>
    <n v="1076641.858"/>
    <n v="90.135782795682289"/>
    <n v="1106751.031"/>
    <n v="3859251"/>
    <n v="12232.92394039994"/>
    <n v="232771"/>
    <n v="38095"/>
    <n v="737.82968211469904"/>
    <n v="6.1102769392308698"/>
    <n v="1194466.642"/>
    <n v="0"/>
    <m/>
    <m/>
    <m/>
    <m/>
    <m/>
    <n v="700983.179"/>
    <n v="55459.497000000003"/>
    <n v="0"/>
    <n v="96113.062999999995"/>
    <n v="224086.11900000001"/>
    <n v="0"/>
    <n v="0"/>
    <n v="1076641.858"/>
    <n v="0"/>
    <n v="1076641.858"/>
    <n v="0.90135782795682295"/>
    <n v="48866.332000000002"/>
    <n v="135656.58199999999"/>
    <n v="0.11357084177156954"/>
    <n v="1261164.7720000001"/>
    <n v="-66698.13"/>
    <n v="0"/>
    <s v="Yes"/>
    <x v="1"/>
    <x v="0"/>
    <n v="9.7082479976177208E-2"/>
    <n v="1.5596920669999487E-3"/>
    <x v="2"/>
  </r>
  <r>
    <s v="FL"/>
    <s v="Independence Health Group Inc. "/>
    <n v="7"/>
    <n v="33"/>
    <s v="Florida True Health Inc."/>
    <n v="2015"/>
    <x v="1"/>
    <n v="-152468.34299999999"/>
    <n v="55626.851999999999"/>
    <n v="-16.180879432469482"/>
    <n v="227.33901209999999"/>
    <n v="942274.76100000006"/>
    <n v="314783"/>
    <n v="3682637"/>
    <n v="255.78710418648376"/>
    <n v="941971.054"/>
    <n v="941971.054"/>
    <n v="996704.46699999995"/>
    <n v="105.81051962983142"/>
    <n v="951008.255"/>
    <n v="4714483"/>
    <n v="15362.305869408252"/>
    <n v="195684"/>
    <n v="58564"/>
    <n v="637.64308021670342"/>
    <n v="3.3413701249914625"/>
    <n v="941971.054"/>
    <n v="0"/>
    <m/>
    <m/>
    <m/>
    <m/>
    <m/>
    <n v="522458.39600000001"/>
    <n v="261925.46900000001"/>
    <n v="1.0349999999999999"/>
    <n v="24.291"/>
    <n v="202905.52900000001"/>
    <n v="9389.7469999999994"/>
    <n v="0"/>
    <n v="996704.46699999995"/>
    <n v="0"/>
    <n v="996704.46699999995"/>
    <n v="1.0581051962983141"/>
    <n v="31022.732"/>
    <n v="55323.144999999997"/>
    <n v="5.8731257998932092E-2"/>
    <n v="1094420.344"/>
    <n v="-152449.29"/>
    <n v="0"/>
    <s v="No"/>
    <x v="0"/>
    <x v="0"/>
    <n v="5.9034640746362936E-2"/>
    <n v="-0.1618087943246948"/>
    <x v="7"/>
  </r>
  <r>
    <s v="PA"/>
    <s v="Humana Inc. "/>
    <n v="8"/>
    <n v="34"/>
    <s v="Gateway Health Plan Inc."/>
    <n v="2015"/>
    <x v="0"/>
    <n v="10865.018"/>
    <n v="179274.29"/>
    <n v="0.50096584417904799"/>
    <n v="331.19116630000002"/>
    <n v="2168814.1269999999"/>
    <n v="310274"/>
    <n v="3641307"/>
    <n v="417.58912637687513"/>
    <n v="1520570.209"/>
    <n v="1520570.209"/>
    <n v="1283225.226"/>
    <n v="84.391053987826751"/>
    <n v="1234505.564"/>
    <n v="1246988"/>
    <n v="4109.473878472757"/>
    <n v="156000"/>
    <n v="34287"/>
    <n v="514.1011180875438"/>
    <n v="4.5498293813981974"/>
    <n v="1520570.209"/>
    <n v="0"/>
    <m/>
    <m/>
    <m/>
    <m/>
    <m/>
    <n v="549400.723"/>
    <n v="243226.69099999999"/>
    <n v="0"/>
    <n v="52746.822"/>
    <n v="409854.283"/>
    <n v="27996.706999999999"/>
    <n v="0"/>
    <n v="1283225.226"/>
    <n v="0"/>
    <n v="1283225.226"/>
    <n v="0.84391053987826747"/>
    <n v="70801.497000000003"/>
    <n v="142282.93700000001"/>
    <n v="9.3572092993701422E-2"/>
    <n v="1487627.456"/>
    <n v="32942.752999999997"/>
    <n v="0"/>
    <s v="No"/>
    <x v="0"/>
    <x v="0"/>
    <n v="8.2660052684173618E-2"/>
    <n v="7.3429407437558908E-2"/>
    <x v="5"/>
  </r>
  <r>
    <s v="WA"/>
    <s v="Community Health Plan of WA"/>
    <n v="20"/>
    <n v="35"/>
    <s v="Community Health Plan of WA"/>
    <n v="2015"/>
    <x v="0"/>
    <n v="39637.673000000003"/>
    <n v="92955.014999999999"/>
    <n v="3.703634418266414"/>
    <n v="453.02801890000001"/>
    <n v="1070237.192"/>
    <n v="288662"/>
    <n v="3482906"/>
    <n v="244.45106787263279"/>
    <n v="851400.09100000001"/>
    <n v="851400.09100000001"/>
    <n v="756275.21600000001"/>
    <n v="88.827241621706605"/>
    <n v="752441.25100000005"/>
    <n v="870027"/>
    <n v="2997.5899435701108"/>
    <n v="73653"/>
    <n v="17886"/>
    <n v="253.7639545827536"/>
    <n v="4.1179134518617913"/>
    <n v="856530.08600000001"/>
    <n v="0"/>
    <m/>
    <m/>
    <m/>
    <m/>
    <m/>
    <n v="719721.11300000001"/>
    <n v="0"/>
    <n v="0"/>
    <n v="0"/>
    <n v="26969.54"/>
    <n v="0"/>
    <n v="9584.5630000000001"/>
    <n v="756275.21600000001"/>
    <n v="9785.5439999999999"/>
    <n v="746489.67200000002"/>
    <n v="0.87152767217566252"/>
    <n v="13705.031000000001"/>
    <n v="73137.686000000002"/>
    <n v="8.538834443230521E-2"/>
    <n v="833332.38899999997"/>
    <n v="23197.697"/>
    <n v="0"/>
    <s v="Yes"/>
    <x v="0"/>
    <x v="0"/>
    <n v="8.6854592322932467E-2"/>
    <n v="2.4872991460001437E-2"/>
    <x v="2"/>
  </r>
  <r>
    <s v="OH"/>
    <s v="UnitedHealth Group Inc. "/>
    <n v="1"/>
    <n v="36"/>
    <s v="UnitedHealthcare Cmnty (OH)"/>
    <n v="2015"/>
    <x v="1"/>
    <n v="120549.48699999999"/>
    <n v="235022.84599999999"/>
    <n v="5.6195639065223473"/>
    <n v="379.43481309999999"/>
    <n v="2145175.1239999998"/>
    <n v="290732"/>
    <n v="3476329"/>
    <n v="618.63585207268932"/>
    <n v="2111458.8730000001"/>
    <n v="2150581.753"/>
    <n v="1646994.79"/>
    <n v="76.583686609564566"/>
    <n v="1650424.612"/>
    <n v="3132498"/>
    <n v="10813.123844147087"/>
    <n v="2146524"/>
    <n v="110072"/>
    <n v="7409.6231973440945"/>
    <n v="19.501090195508393"/>
    <n v="2099716.8119999999"/>
    <n v="-45458.311999999918"/>
    <m/>
    <m/>
    <m/>
    <m/>
    <m/>
    <n v="1345391.0260000001"/>
    <n v="40261.177000000003"/>
    <n v="0"/>
    <n v="0"/>
    <n v="260507.09"/>
    <n v="0"/>
    <n v="835.49699999999996"/>
    <n v="1646994.79"/>
    <n v="8775.8919999999998"/>
    <n v="1638218.898"/>
    <n v="0.76367606526468379"/>
    <n v="80668.03"/>
    <n v="235022.84599999999"/>
    <n v="0.10955881567457521"/>
    <n v="1953909.774"/>
    <n v="191265.35"/>
    <n v="0"/>
    <s v="No"/>
    <x v="1"/>
    <x v="0"/>
    <n v="0.10955881567457521"/>
    <n v="5.6195639065223471E-2"/>
    <x v="5"/>
  </r>
  <r>
    <s v="OH"/>
    <s v="Centene Corp. "/>
    <n v="2"/>
    <n v="37"/>
    <s v="Buckeye Cmnty Health Plan Inc."/>
    <n v="2015"/>
    <x v="0"/>
    <n v="25946.969000000001"/>
    <n v="295335.56900000002"/>
    <n v="1.3091753212196193"/>
    <n v="321.09822380000003"/>
    <n v="1981932.334"/>
    <n v="296087"/>
    <n v="3475752"/>
    <n v="512.74366784511665"/>
    <n v="1782169.8289999999"/>
    <n v="1782169.8289999999"/>
    <n v="1393438.5530000001"/>
    <n v="78.187753508422801"/>
    <n v="1367879.8589999999"/>
    <n v="1924074"/>
    <n v="6642.8467853862994"/>
    <n v="1261506"/>
    <n v="67158"/>
    <n v="4355.337204725769"/>
    <n v="18.784150808541053"/>
    <n v="1771635.483"/>
    <n v="0"/>
    <m/>
    <m/>
    <m/>
    <m/>
    <m/>
    <n v="914533.33100000001"/>
    <n v="107460.766"/>
    <n v="0"/>
    <n v="96875.486999999994"/>
    <n v="264736.89500000002"/>
    <n v="563.149"/>
    <n v="9268.9249999999993"/>
    <n v="1393438.5530000001"/>
    <n v="14182.476000000001"/>
    <n v="1379256.077"/>
    <n v="0.77852136640683889"/>
    <n v="38959.864999999998"/>
    <n v="271310.49300000002"/>
    <n v="0.15314126162147995"/>
    <n v="1690564.2479999999"/>
    <n v="81071.235000000001"/>
    <n v="0"/>
    <s v="No"/>
    <x v="1"/>
    <x v="0"/>
    <n v="0.14901395165391151"/>
    <n v="6.9108513261860516E-2"/>
    <x v="5"/>
  </r>
  <r>
    <s v="MA"/>
    <s v="Boston Med Center Health Plan"/>
    <n v="16"/>
    <n v="38"/>
    <s v="Boston Med Center Health Plan"/>
    <n v="2015"/>
    <x v="1"/>
    <n v="47799.305999999997"/>
    <n v="58582.305999999997"/>
    <n v="3.0560660879718196"/>
    <n v="491.41469389999997"/>
    <n v="1564079.5919999999"/>
    <n v="276913"/>
    <n v="3436434"/>
    <n v="440.28629125424789"/>
    <n v="1513014.781"/>
    <n v="1513014.781"/>
    <n v="1341910.156"/>
    <n v="88.69114650109951"/>
    <n v="1341798.1000000001"/>
    <n v="3356182"/>
    <n v="11719.760658869049"/>
    <n v="184989"/>
    <n v="41118"/>
    <n v="645.9801061216366"/>
    <n v="4.4989785495403476"/>
    <n v="1513014.7819999999"/>
    <n v="32274.116999999853"/>
    <m/>
    <m/>
    <m/>
    <m/>
    <m/>
    <n v="788199.35199999996"/>
    <n v="130620.959"/>
    <n v="0"/>
    <n v="140695.50899999999"/>
    <n v="280004.092"/>
    <n v="0"/>
    <n v="2390.2440000000001"/>
    <n v="1341910.156"/>
    <n v="112.056"/>
    <n v="1341798.1000000001"/>
    <n v="0.90616684725140584"/>
    <n v="57807.28"/>
    <n v="52889.815000000002"/>
    <n v="3.5718486194204709E-2"/>
    <n v="1437047.1950000001"/>
    <n v="43693.47"/>
    <n v="0"/>
    <s v="Yes"/>
    <x v="0"/>
    <x v="0"/>
    <n v="3.7454811314998601E-2"/>
    <n v="3.0560660879718194E-2"/>
    <x v="0"/>
  </r>
  <r>
    <s v="FL"/>
    <s v="UnitedHealth Group Inc. "/>
    <n v="1"/>
    <n v="39"/>
    <s v="UnitedHealthcare of FL Inc."/>
    <n v="2015"/>
    <x v="0"/>
    <n v="-12901.791999999999"/>
    <n v="258498.22"/>
    <n v="-0.39712681742926143"/>
    <n v="246.81732729999999"/>
    <n v="3248783.8730000001"/>
    <n v="289403"/>
    <n v="3412930"/>
    <n v="534.2865449921328"/>
    <n v="1827611.125"/>
    <n v="1823482.578"/>
    <n v="1709065.3149999999"/>
    <n v="93.725343780059958"/>
    <n v="1732393.11"/>
    <n v="2440748"/>
    <n v="8581.7687441582457"/>
    <n v="1350053"/>
    <n v="88547"/>
    <n v="4746.8409841397279"/>
    <n v="15.246739019955504"/>
    <n v="1825778.818"/>
    <n v="4128.5470000000205"/>
    <m/>
    <m/>
    <m/>
    <m/>
    <m/>
    <n v="1479077.1129999999"/>
    <n v="28428.047999999999"/>
    <n v="0"/>
    <n v="0"/>
    <n v="201382.54800000001"/>
    <n v="0"/>
    <n v="177.60599999999999"/>
    <n v="1709065.3149999999"/>
    <n v="0"/>
    <n v="1709065.3149999999"/>
    <n v="0.93819617420955548"/>
    <n v="85459.778000000006"/>
    <n v="64451.697"/>
    <n v="3.5380938935451682E-2"/>
    <n v="1756458.79"/>
    <n v="65191.481"/>
    <n v="0"/>
    <s v="No"/>
    <x v="1"/>
    <x v="0"/>
    <n v="7.9567687511726326E-2"/>
    <n v="-1.682112531232588E-2"/>
    <x v="6"/>
  </r>
  <r>
    <s v="KY"/>
    <s v="Aetna"/>
    <n v="6"/>
    <n v="40"/>
    <s v="Coventry Health &amp; Life Ins Co."/>
    <n v="2015"/>
    <x v="0"/>
    <n v="260169.288"/>
    <n v="432723.51899999997"/>
    <n v="6.398440501519417"/>
    <n v="769.11528799999996"/>
    <n v="4066135.9270000001"/>
    <n v="270540"/>
    <n v="3373130"/>
    <n v="407.26064189639891"/>
    <n v="1373743.0889999999"/>
    <n v="1373743.0889999999"/>
    <n v="890569.85400000005"/>
    <n v="64.827977016305127"/>
    <n v="1003703.937"/>
    <n v="1524113"/>
    <n v="5422.0726743410423"/>
    <n v="119020"/>
    <n v="24539"/>
    <n v="423.41682650831723"/>
    <n v="4.8502383960226574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0"/>
    <n v="0.10642131172414196"/>
    <n v="0.24529891811280677"/>
    <x v="8"/>
  </r>
  <r>
    <m/>
    <s v="Merit Health Insurance Co."/>
    <n v="38"/>
    <n v="41"/>
    <s v="Merit Health Insurance Co."/>
    <n v="2015"/>
    <x v="1"/>
    <n v="10361.16"/>
    <n v="4207.1729999999998"/>
    <n v="8.740463121821497"/>
    <n v="794.77940430000001"/>
    <n v="118542.46"/>
    <n v="4422"/>
    <n v="3328820"/>
    <n v="34.472863356985357"/>
    <n v="114753.95699999999"/>
    <n v="114753.95699999999"/>
    <n v="95414.407000000007"/>
    <n v="83.146942810869703"/>
    <n v="109999.217"/>
    <n v="113835"/>
    <n v="410.36162964654142"/>
    <n v="111542"/>
    <n v="15581"/>
    <n v="402.09563749316573"/>
    <n v="7.1588473140363265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m/>
    <x v="2"/>
    <x v="1"/>
    <n v="3.5490852813413853E-2"/>
    <n v="8.740463121821497E-2"/>
    <x v="3"/>
  </r>
  <r>
    <s v="MA"/>
    <s v="Neighborhood Health Plan Inc."/>
    <n v="18"/>
    <n v="42"/>
    <s v="Neighborhood Health Plan Inc."/>
    <n v="2015"/>
    <x v="0"/>
    <n v="-25493.901000000002"/>
    <n v="74065.769"/>
    <n v="-1.1786215821994619"/>
    <n v="241.2121507"/>
    <n v="2163026.8259999999"/>
    <n v="289724"/>
    <n v="3262983"/>
    <n v="485.82557340936194"/>
    <n v="1585240.5859999999"/>
    <n v="1585240.5870000001"/>
    <n v="1570906.7420000001"/>
    <n v="99.095793716263216"/>
    <n v="1548461.452"/>
    <n v="2140981"/>
    <n v="7873.7069730366356"/>
    <n v="185087"/>
    <n v="32034"/>
    <n v="680.67899832760395"/>
    <n v="5.7778298058313045"/>
    <n v="1581744.8929999999"/>
    <n v="0"/>
    <m/>
    <m/>
    <m/>
    <m/>
    <m/>
    <n v="1048552.118"/>
    <n v="190094.41899999999"/>
    <n v="0"/>
    <n v="62368.595000000001"/>
    <n v="270895.51"/>
    <n v="-1003.899"/>
    <n v="0"/>
    <n v="1570906.743"/>
    <n v="3812.3110000000001"/>
    <n v="1567094.432"/>
    <n v="0.99073778517330113"/>
    <n v="42349.561000000002"/>
    <n v="49960.447999999997"/>
    <n v="3.1585654691284028E-2"/>
    <n v="1619263.9739999999"/>
    <n v="-37519.080999999998"/>
    <n v="0"/>
    <s v="Yes"/>
    <x v="0"/>
    <x v="0"/>
    <n v="3.4241724656261845E-2"/>
    <n v="-2.5199661818893986E-2"/>
    <x v="9"/>
  </r>
  <r>
    <s v="WI"/>
    <s v="Humana Inc. "/>
    <n v="8"/>
    <n v="43"/>
    <s v="University Health Care Inc."/>
    <n v="2015"/>
    <x v="1"/>
    <n v="39136.135999999999"/>
    <n v="107528.988"/>
    <n v="2.3674882113791438"/>
    <n v="451.39211510000001"/>
    <n v="1653065.7180000001"/>
    <n v="281029"/>
    <n v="3248370"/>
    <n v="508.89083386436891"/>
    <n v="1656424.912"/>
    <n v="1653065.7180000001"/>
    <n v="1512473.057"/>
    <n v="91.495034984446988"/>
    <n v="1467242.773"/>
    <n v="1786491"/>
    <n v="6599.5844069487157"/>
    <n v="117327"/>
    <n v="29728"/>
    <n v="433.42476380461585"/>
    <n v="3.9466832615715823"/>
    <n v="1653065.7180000001"/>
    <n v="0"/>
    <m/>
    <m/>
    <m/>
    <m/>
    <m/>
    <n v="681938.44799999997"/>
    <n v="291544.614"/>
    <n v="0"/>
    <n v="102052.72"/>
    <n v="298856.89"/>
    <n v="138080.38500000001"/>
    <n v="0"/>
    <n v="1512473.057"/>
    <n v="3649.578"/>
    <n v="1508823.4790000001"/>
    <n v="0.91274258643841766"/>
    <n v="2149.2890000000002"/>
    <n v="107528.988"/>
    <n v="6.5048223327803592E-2"/>
    <n v="1619782.2150000001"/>
    <n v="33283.502999999997"/>
    <n v="0"/>
    <s v="No"/>
    <x v="1"/>
    <x v="0"/>
    <n v="6.5048223327803592E-2"/>
    <n v="2.3674882113791439E-2"/>
    <x v="2"/>
  </r>
  <r>
    <s v="LA"/>
    <s v="UnitedHealth Group Inc. "/>
    <n v="1"/>
    <n v="44"/>
    <s v="UnitedHealthcare of LA Inc."/>
    <n v="2015"/>
    <x v="0"/>
    <n v="29477.200000000001"/>
    <n v="74239.721999999994"/>
    <n v="2.7553855084820911"/>
    <n v="252.20462789999999"/>
    <n v="1069803.115"/>
    <n v="316717"/>
    <n v="3230354"/>
    <n v="281.06595066670712"/>
    <n v="907942.51800000004"/>
    <n v="907942.51800000004"/>
    <n v="781362.08400000003"/>
    <n v="86.058540987943914"/>
    <n v="705232.66500000004"/>
    <n v="2164967"/>
    <n v="8042.3396321270056"/>
    <n v="88476"/>
    <n v="19391"/>
    <n v="328.6673844414575"/>
    <n v="4.5627352895673248"/>
    <n v="907158.11699999997"/>
    <n v="0"/>
    <m/>
    <m/>
    <m/>
    <m/>
    <m/>
    <n v="476028.06400000001"/>
    <n v="8211.7569999999996"/>
    <n v="0"/>
    <n v="0"/>
    <n v="161040.81200000001"/>
    <n v="124010.76700000001"/>
    <n v="12070.683999999999"/>
    <n v="781362.08400000003"/>
    <n v="0"/>
    <n v="781362.08400000003"/>
    <n v="0.86132954041572007"/>
    <n v="37394.53"/>
    <n v="41835.307999999997"/>
    <n v="4.6116886589022271E-2"/>
    <n v="850152.92200000002"/>
    <n v="57005.195"/>
    <n v="0"/>
    <s v="No"/>
    <x v="1"/>
    <x v="0"/>
    <n v="6.9395686887675584E-2"/>
    <n v="7.0018903232885316E-2"/>
    <x v="5"/>
  </r>
  <r>
    <s v="MI"/>
    <s v="UnitedHealth Group Inc. "/>
    <n v="1"/>
    <n v="45"/>
    <s v="UnitedHealthcare Cmnty (MI)"/>
    <n v="2015"/>
    <x v="1"/>
    <n v="44193.353999999999"/>
    <n v="149158.63699999999"/>
    <n v="3.5866381141297672"/>
    <n v="319.42315059999999"/>
    <n v="1232166.5190000001"/>
    <n v="252388"/>
    <n v="3092789"/>
    <n v="393.33127542810064"/>
    <n v="1218792.851"/>
    <n v="1216490.642"/>
    <n v="949291.43299999996"/>
    <n v="78.035243365234209"/>
    <n v="923689.72100000002"/>
    <n v="2594861"/>
    <n v="10068.042792443972"/>
    <n v="127972"/>
    <n v="25113"/>
    <n v="496.53047783085105"/>
    <n v="5.0958467725879029"/>
    <n v="1216760.743"/>
    <n v="2302.2080000001006"/>
    <m/>
    <m/>
    <m/>
    <m/>
    <m/>
    <n v="792411.03"/>
    <n v="13597.227999999999"/>
    <n v="0"/>
    <n v="0"/>
    <n v="140160.19399999999"/>
    <n v="0"/>
    <n v="3122.9810000000002"/>
    <n v="949291.43299999996"/>
    <n v="3550.7570000000001"/>
    <n v="945740.67599999998"/>
    <n v="0.77873443081364657"/>
    <n v="45921.754999999997"/>
    <n v="143666.489"/>
    <n v="0.11829674283609856"/>
    <n v="1135328.92"/>
    <n v="79129.615000000005"/>
    <n v="0"/>
    <s v="No"/>
    <x v="1"/>
    <x v="0"/>
    <n v="0.12105396040224656"/>
    <n v="3.5866381141297671E-2"/>
    <x v="0"/>
  </r>
  <r>
    <s v="MI"/>
    <s v="Molina"/>
    <n v="4"/>
    <n v="46"/>
    <s v="Molina Healthcare of MI Inc."/>
    <n v="2015"/>
    <x v="0"/>
    <n v="53764.624000000003"/>
    <n v="181299.96599999999"/>
    <n v="3.662605927660656"/>
    <n v="409.18969750000002"/>
    <n v="1467933.6259999999"/>
    <n v="299586"/>
    <n v="3076579"/>
    <n v="400.13588144494258"/>
    <n v="1239668.6710000001"/>
    <n v="1231049.6499999999"/>
    <n v="960145.12199999997"/>
    <n v="77.994020956019128"/>
    <n v="884893.82"/>
    <n v="1466265"/>
    <n v="5719.0730353421768"/>
    <n v="221749"/>
    <n v="22101"/>
    <n v="864.91781943515832"/>
    <n v="10.033437401022578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0"/>
    <n v="0.12350692346630664"/>
    <n v="9.6552866973502086E-2"/>
    <x v="3"/>
  </r>
  <r>
    <s v="VA"/>
    <s v="Anthem"/>
    <n v="3"/>
    <n v="47"/>
    <s v="HealthKeepers Inc."/>
    <n v="2015"/>
    <x v="0"/>
    <n v="46167.714"/>
    <n v="242550.09700000001"/>
    <n v="1.6452657362276826"/>
    <n v="363.48862279999997"/>
    <n v="2806094.662"/>
    <n v="257307"/>
    <n v="3050492"/>
    <n v="354.15829348183831"/>
    <n v="1080357.041"/>
    <n v="1080357.041"/>
    <n v="919290.02599999995"/>
    <n v="85.091316214229209"/>
    <n v="901585.40500000003"/>
    <n v="1611820"/>
    <n v="6340.5640794993069"/>
    <n v="155369"/>
    <n v="36749"/>
    <n v="611.18927700843017"/>
    <n v="4.2278429345016191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0"/>
    <n v="8.6436890488621729E-2"/>
    <n v="6.2649947369086204E-2"/>
    <x v="5"/>
  </r>
  <r>
    <s v="MO"/>
    <s v="Aetna"/>
    <n v="6"/>
    <n v="48"/>
    <s v="Aetna Better Health of MO LLC"/>
    <n v="2015"/>
    <x v="1"/>
    <n v="20137.005000000001"/>
    <n v="40582.169000000002"/>
    <n v="2.8484151450782687"/>
    <n v="682.05427310000005"/>
    <n v="706954.70900000003"/>
    <n v="253500"/>
    <n v="2899234"/>
    <n v="237.48230222189724"/>
    <n v="688516.76500000001"/>
    <n v="688516.76500000001"/>
    <n v="600822.147"/>
    <n v="87.263255964435373"/>
    <n v="553231.62"/>
    <n v="953779"/>
    <n v="3947.7144652691022"/>
    <n v="84550"/>
    <n v="24160"/>
    <n v="349.95450522448346"/>
    <n v="3.4995860927152318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0"/>
    <n v="5.7404199283719599E-2"/>
    <n v="2.8484151450782688E-2"/>
    <x v="0"/>
  </r>
  <r>
    <s v="TX"/>
    <s v="Community Health Choice Inc."/>
    <n v="23"/>
    <n v="49"/>
    <s v="Community Health Choice Inc."/>
    <n v="2015"/>
    <x v="0"/>
    <n v="5355.5619999999999"/>
    <n v="71152.558000000005"/>
    <n v="0.62894736161891063"/>
    <n v="357.73958579999999"/>
    <n v="851511.95900000003"/>
    <n v="233885"/>
    <n v="2851651"/>
    <n v="250.32635269884008"/>
    <n v="713843.39399999997"/>
    <n v="713843.39399999997"/>
    <n v="646787.70600000001"/>
    <n v="90.606386699993763"/>
    <n v="647326.696"/>
    <n v="2226501"/>
    <n v="9369.3134258014034"/>
    <n v="146789"/>
    <n v="39981"/>
    <n v="617.70111419665307"/>
    <n v="3.6714689477501814"/>
    <n v="711728.30900000001"/>
    <n v="0"/>
    <m/>
    <m/>
    <m/>
    <m/>
    <m/>
    <n v="335163.337"/>
    <n v="75607.476999999999"/>
    <n v="108097.538"/>
    <n v="23012.395"/>
    <n v="100761.192"/>
    <n v="0"/>
    <n v="4170.6769999999997"/>
    <n v="646812.61600000004"/>
    <n v="1299.1400000000001"/>
    <n v="645513.47600000002"/>
    <n v="0.90696613839481266"/>
    <n v="12051.471"/>
    <n v="59382.466"/>
    <n v="8.3434177408840432E-2"/>
    <n v="716947.41299999994"/>
    <n v="-5219.1040000000003"/>
    <n v="0"/>
    <s v="Yes"/>
    <x v="0"/>
    <x v="2"/>
    <n v="8.3560256844261188E-2"/>
    <n v="1.0375876155801128E-2"/>
    <x v="2"/>
  </r>
  <r>
    <s v="IN"/>
    <s v="Centene Corp. "/>
    <n v="2"/>
    <n v="50"/>
    <s v="Coordinated Care Corp."/>
    <n v="2015"/>
    <x v="0"/>
    <n v="15304.331"/>
    <n v="92312.558000000005"/>
    <n v="1.8852155092487901"/>
    <n v="356.90963770000002"/>
    <n v="811808.03599999996"/>
    <n v="270229"/>
    <n v="2810372"/>
    <n v="256.42294578795975"/>
    <n v="720643.86699999997"/>
    <n v="720643.86699999997"/>
    <n v="604839.84900000005"/>
    <n v="83.93047893655357"/>
    <n v="619555.56400000001"/>
    <n v="1328932"/>
    <n v="5674.4032462606374"/>
    <n v="99090"/>
    <n v="20258"/>
    <n v="423.10412998706221"/>
    <n v="4.8914009280284336"/>
    <n v="719076.99899999995"/>
    <n v="0"/>
    <m/>
    <m/>
    <m/>
    <m/>
    <m/>
    <n v="377412.26899999997"/>
    <n v="59417.760000000002"/>
    <n v="0"/>
    <n v="49015.758000000002"/>
    <n v="124879.299"/>
    <n v="0"/>
    <n v="-5885.2359999999999"/>
    <n v="604839.85"/>
    <n v="1928.626"/>
    <n v="602911.22400000005"/>
    <n v="0.83845154947029543"/>
    <n v="19836.14"/>
    <n v="75162.842999999993"/>
    <n v="0.1045268352409086"/>
    <n v="697910.20700000005"/>
    <n v="21166.792000000001"/>
    <n v="0"/>
    <s v="No"/>
    <x v="1"/>
    <x v="0"/>
    <n v="0.11371229885189263"/>
    <n v="4.6982911782571718E-2"/>
    <x v="0"/>
  </r>
  <r>
    <s v="IL"/>
    <s v="Meridian Health Plan Group "/>
    <n v="9"/>
    <n v="52"/>
    <s v="Meridian Health Plan of IL Inc"/>
    <n v="2015"/>
    <x v="0"/>
    <n v="7223.1819999999998"/>
    <n v="85612.709000000003"/>
    <n v="0.71013652794160109"/>
    <n v="262.30195140000001"/>
    <n v="1017153.986"/>
    <n v="235853"/>
    <n v="2738040"/>
    <n v="303.46745299557347"/>
    <n v="830906.02500000002"/>
    <n v="830906.02500000002"/>
    <n v="752012.96400000004"/>
    <n v="90.50517644278726"/>
    <n v="693979.83499999996"/>
    <n v="1664488"/>
    <n v="7294.9467502300913"/>
    <n v="88209"/>
    <n v="21040"/>
    <n v="386.59332953499586"/>
    <n v="4.1924429657794677"/>
    <n v="829350.77099999995"/>
    <n v="-7379.2010000000009"/>
    <m/>
    <m/>
    <m/>
    <m/>
    <m/>
    <n v="556217.93200000003"/>
    <n v="4311.7870000000003"/>
    <n v="50135.294000000002"/>
    <n v="12233.567999999999"/>
    <n v="124534.27499999999"/>
    <n v="145.32599999999999"/>
    <n v="4434.7820000000002"/>
    <n v="752012.96400000004"/>
    <n v="2826.17"/>
    <n v="749186.79399999999"/>
    <n v="0.89537463586878663"/>
    <n v="4100.83"/>
    <n v="64671.881000000001"/>
    <n v="7.7291220781081332E-2"/>
    <n v="817959.505"/>
    <n v="18770.467000000001"/>
    <n v="0"/>
    <s v="No"/>
    <x v="1"/>
    <x v="2"/>
    <n v="8.4168877257882566E-2"/>
    <n v="1.0779358314244827E-2"/>
    <x v="2"/>
  </r>
  <r>
    <s v="MD"/>
    <s v="Anthem"/>
    <n v="3"/>
    <n v="53"/>
    <s v="AMERIGROUP Maryland Inc."/>
    <n v="2015"/>
    <x v="1"/>
    <n v="3939.0720000000001"/>
    <n v="69448.909"/>
    <n v="0.41636921097355278"/>
    <n v="304.09484859999998"/>
    <n v="946052.66099999996"/>
    <n v="221391"/>
    <n v="2715201"/>
    <n v="332.33424818273124"/>
    <n v="884806.65700000001"/>
    <n v="902354.28300000005"/>
    <n v="777100.875"/>
    <n v="86.119264865283512"/>
    <n v="771187.53899999999"/>
    <n v="1237274"/>
    <n v="5468.2095358686156"/>
    <n v="95126"/>
    <n v="23897"/>
    <n v="420.41528417233201"/>
    <n v="3.9806670293342261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7.3409136576594869E-2"/>
    <n v="4.163692109735528E-3"/>
    <x v="2"/>
  </r>
  <r>
    <s v="NY"/>
    <s v="Health Ins Plan of Greater NY/Emblem"/>
    <n v="19"/>
    <n v="54"/>
    <s v="Health Ins Plan of Greater NY/Emblem"/>
    <n v="2015"/>
    <x v="0"/>
    <n v="-143154.198"/>
    <n v="452226.57400000002"/>
    <n v="-2.8263683470203915"/>
    <n v="301.14660029999999"/>
    <n v="5064951.9249999998"/>
    <n v="213501"/>
    <n v="2713887"/>
    <n v="466.06621241046514"/>
    <n v="1264851.0349999999"/>
    <n v="1264851.0349999999"/>
    <n v="1146307.8089999999"/>
    <n v="90.627890342833922"/>
    <n v="1132445.9010000001"/>
    <n v="1620308"/>
    <n v="7164.5193775569878"/>
    <n v="67764"/>
    <n v="13813"/>
    <n v="299.63222492314532"/>
    <n v="4.9058133642221096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8.9285462270207047E-2"/>
    <n v="4.4356343014537863E-3"/>
    <x v="2"/>
  </r>
  <r>
    <s v="NM"/>
    <s v="Molina"/>
    <n v="4"/>
    <n v="55"/>
    <s v="Molina Healthcare of NM Inc."/>
    <n v="2015"/>
    <x v="1"/>
    <n v="-1599.366"/>
    <n v="181114.44"/>
    <n v="-0.12134628509376791"/>
    <n v="268.6319464"/>
    <n v="1318018.0989999999"/>
    <n v="224232"/>
    <n v="2699417"/>
    <n v="477.05982439912026"/>
    <n v="1379926.345"/>
    <n v="1287783.3999999999"/>
    <n v="1021933.189"/>
    <n v="79.355984010975774"/>
    <n v="1063708.8640000001"/>
    <n v="793606"/>
    <n v="3527.8995427531204"/>
    <n v="332056"/>
    <n v="38751"/>
    <n v="1476.1231777083719"/>
    <n v="8.5689659621687184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0.13741422833071432"/>
    <n v="-1.213462850937679E-3"/>
    <x v="6"/>
  </r>
  <r>
    <s v="IL"/>
    <s v="Family Health Network Inc. "/>
    <s v="-"/>
    <n v="56"/>
    <s v="Family Health Network Inc. "/>
    <n v="2015"/>
    <x v="1"/>
    <n v="1840.953"/>
    <n v="17690.035"/>
    <n v="0.39501189248959134"/>
    <n v="151.76982390000001"/>
    <n v="466050.01899999997"/>
    <n v="228482"/>
    <n v="2697572"/>
    <n v="172.19038565050349"/>
    <n v="464495.96299999999"/>
    <n v="464495.96299999999"/>
    <n v="434617.299"/>
    <n v="93.567508357440772"/>
    <n v="399939.55300000001"/>
    <n v="928389"/>
    <n v="4129.8871726130019"/>
    <n v="67703"/>
    <n v="15387"/>
    <n v="301.17305488046287"/>
    <n v="4.4000129979853124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0"/>
    <x v="2"/>
    <n v="3.795737427059305E-2"/>
    <n v="3.9501189248959132E-3"/>
    <x v="2"/>
  </r>
  <r>
    <s v="OH"/>
    <s v="Paramount Advantage (ProMedica)"/>
    <n v="29"/>
    <n v="57"/>
    <s v="Paramount Advantage (ProMedica)"/>
    <n v="2015"/>
    <x v="1"/>
    <n v="47211.978000000003"/>
    <n v="126607.409"/>
    <n v="4.7016602155324625"/>
    <n v="479.30470309999998"/>
    <n v="1004155.465"/>
    <n v="227592"/>
    <n v="2694709"/>
    <n v="372.80542908343722"/>
    <n v="1004602.145"/>
    <n v="1004602.145"/>
    <n v="796468.99699999997"/>
    <n v="79.282032291499831"/>
    <n v="144297"/>
    <n v="642.57921727355347"/>
    <n v="151324"/>
    <n v="28296"/>
    <n v="673.87164996294587"/>
    <n v="5.3478936952219396"/>
    <s v="-"/>
    <n v="1001072.3540000001"/>
    <n v="-3083.1109999999171"/>
    <m/>
    <m/>
    <m/>
    <m/>
    <m/>
    <n v="585321.60600000003"/>
    <n v="4322.6210000000001"/>
    <n v="0"/>
    <n v="31751.206999999999"/>
    <n v="175073.56299999999"/>
    <n v="0"/>
    <n v="0"/>
    <n v="796468.99699999997"/>
    <n v="5131.8580000000002"/>
    <n v="791337.13899999997"/>
    <n v="0.78806237338956275"/>
    <n v="13563.749"/>
    <n v="126607.409"/>
    <n v="0.12608347353863178"/>
    <n v="931508.29700000002"/>
    <n v="72647.168000000005"/>
    <n v="0"/>
    <s v="Yes"/>
    <x v="0"/>
    <x v="2"/>
    <n v="0.12608347353863178"/>
    <n v="4.7016602155324626E-2"/>
    <x v="0"/>
  </r>
  <r>
    <s v="NV"/>
    <s v="UnitedHealth Group Inc. "/>
    <n v="1"/>
    <n v="58"/>
    <s v="Health Plan of Nevada Inc."/>
    <n v="2015"/>
    <x v="0"/>
    <n v="99547.404999999999"/>
    <n v="187668.815"/>
    <n v="4.2450766443429409"/>
    <n v="403.24028140000001"/>
    <n v="2345008.426"/>
    <n v="240215"/>
    <n v="2650800"/>
    <n v="290.98630828429151"/>
    <n v="778118.18299999996"/>
    <n v="771346.50600000005"/>
    <n v="654584.81599999999"/>
    <n v="84.862615038538848"/>
    <n v="632635.21900000004"/>
    <n v="1413583"/>
    <n v="6399.198732458126"/>
    <n v="83431"/>
    <n v="17223"/>
    <n v="377.68673607967406"/>
    <n v="4.8441618765604133"/>
    <n v="778118.18299999996"/>
    <n v="6771.6769999999087"/>
    <m/>
    <m/>
    <m/>
    <m/>
    <m/>
    <n v="492191.53100000002"/>
    <n v="31960.771000000001"/>
    <n v="0"/>
    <n v="27382.877"/>
    <n v="103049.636"/>
    <n v="0"/>
    <n v="0"/>
    <n v="654584.81499999994"/>
    <n v="0"/>
    <n v="654584.81499999994"/>
    <n v="0.84862614908895417"/>
    <n v="14814.112999999999"/>
    <n v="58267.978999999999"/>
    <n v="7.5540601463488052E-2"/>
    <n v="727666.90700000001"/>
    <n v="43679.599000000002"/>
    <n v="0"/>
    <s v="No"/>
    <x v="1"/>
    <x v="2"/>
    <n v="8.0029057857210442E-2"/>
    <n v="7.1344791757401091E-2"/>
    <x v="5"/>
  </r>
  <r>
    <s v="PA"/>
    <s v="Health Partners Plans Inc."/>
    <n v="25"/>
    <n v="59"/>
    <s v="Health Partners Plans Inc."/>
    <n v="2015"/>
    <x v="1"/>
    <n v="0"/>
    <n v="301901.56900000002"/>
    <n v="0"/>
    <n v="213.9423438"/>
    <n v="1502933.858"/>
    <n v="228237"/>
    <n v="2533297"/>
    <n v="507.18036534997674"/>
    <n v="1377237.3840000001"/>
    <n v="1284838.4979999999"/>
    <n v="1085449.7239999999"/>
    <n v="84.481413476450797"/>
    <n v="911586.48800000001"/>
    <n v="1656592"/>
    <n v="7847.1272811675854"/>
    <n v="143079"/>
    <n v="35146"/>
    <n v="677.75235197452173"/>
    <n v="4.0709895862971601"/>
    <n v="1284838.4979999999"/>
    <n v="0"/>
    <m/>
    <m/>
    <m/>
    <m/>
    <m/>
    <n v="292107.89399999997"/>
    <n v="338370.07900000003"/>
    <n v="0"/>
    <n v="70163.872000000003"/>
    <n v="280847.73599999998"/>
    <n v="73930.384000000005"/>
    <n v="30029.758999999998"/>
    <n v="1085449.7239999999"/>
    <n v="90297.922000000006"/>
    <n v="995151.80200000003"/>
    <n v="0.77453454543047173"/>
    <n v="18247.098000000002"/>
    <n v="273811.05900000001"/>
    <n v="0.21310932029684562"/>
    <n v="1287209.959"/>
    <n v="-2371.4609999999998"/>
    <n v="0"/>
    <s v="Yes"/>
    <x v="0"/>
    <x v="2"/>
    <n v="0.20087482053385214"/>
    <n v="0"/>
    <x v="2"/>
  </r>
  <r>
    <s v="NM"/>
    <s v="Presbyterian Health Plan Inc."/>
    <n v="21"/>
    <n v="60"/>
    <s v="Presbyterian Health Plan Inc."/>
    <n v="2015"/>
    <x v="0"/>
    <n v="29785.382000000001"/>
    <n v="160333.524"/>
    <n v="1.7958515425656525"/>
    <n v="447.87036899999998"/>
    <n v="1658565.939"/>
    <n v="213116"/>
    <n v="2511794"/>
    <n v="431.51522935399959"/>
    <n v="1083877.3640000001"/>
    <n v="1083877.3640000001"/>
    <n v="871301.33100000001"/>
    <n v="80.387446028442"/>
    <n v="872756.53399999999"/>
    <n v="1754935"/>
    <n v="8384.1350047018186"/>
    <n v="66877"/>
    <n v="19875"/>
    <n v="319.50231587462986"/>
    <n v="3.3648805031446543"/>
    <n v="1080157.014"/>
    <n v="0"/>
    <m/>
    <m/>
    <m/>
    <m/>
    <m/>
    <n v="715410.26"/>
    <n v="74130.910999999993"/>
    <n v="0"/>
    <n v="0"/>
    <n v="82450.106"/>
    <n v="-670.78300000000002"/>
    <n v="-19.161999999999999"/>
    <n v="871301.33100000001"/>
    <n v="2200.2530000000002"/>
    <n v="869101.07799999998"/>
    <n v="0.80460624403259207"/>
    <n v="38553.285000000003"/>
    <n v="113844.63499999999"/>
    <n v="0.10539637619758122"/>
    <n v="1021498.998"/>
    <n v="58658.016000000003"/>
    <n v="0"/>
    <s v="Yes"/>
    <x v="0"/>
    <x v="2"/>
    <n v="9.6669972673302323E-2"/>
    <n v="9.9455567042277676E-2"/>
    <x v="3"/>
  </r>
  <r>
    <s v="MA"/>
    <s v="Tufts Health Public Plans Inc."/>
    <s v="-"/>
    <n v="61"/>
    <s v="Tufts Health Public Plans Inc."/>
    <n v="2015"/>
    <x v="0"/>
    <n v="34004.03"/>
    <n v="74837.009000000005"/>
    <n v="2.5629630948254647"/>
    <n v="387.1171721"/>
    <n v="1326746.767"/>
    <n v="208205"/>
    <n v="2508601"/>
    <n v="460.91516107982096"/>
    <n v="1156252.2339999999"/>
    <n v="1156252.2339999999"/>
    <n v="1041186.1629999999"/>
    <n v="90.048359033051611"/>
    <n v="1036972.147"/>
    <n v="2933652"/>
    <n v="14033.249608048471"/>
    <n v="171730"/>
    <n v="34968"/>
    <n v="821.47778781878822"/>
    <n v="4.9110615419812396"/>
    <n v="1156243.94"/>
    <n v="0"/>
    <m/>
    <m/>
    <m/>
    <m/>
    <m/>
    <n v="767054.93700000003"/>
    <n v="1113.0530000000001"/>
    <n v="0"/>
    <n v="57965.305999999997"/>
    <n v="214667.10800000001"/>
    <n v="0"/>
    <n v="385.75900000000001"/>
    <n v="1041186.1629999999"/>
    <n v="0"/>
    <n v="1041186.1629999999"/>
    <n v="0.90049004970352531"/>
    <n v="24197.215"/>
    <n v="62339.783000000003"/>
    <n v="5.3915770576925148E-2"/>
    <n v="1124318.733"/>
    <n v="31925.206999999999"/>
    <n v="0"/>
    <s v="No"/>
    <x v="0"/>
    <x v="2"/>
    <n v="5.640640012202118E-2"/>
    <n v="4.311000954746276E-2"/>
    <x v="0"/>
  </r>
  <r>
    <s v="IL"/>
    <s v="HlthCare Svc Corp. a Mutual"/>
    <n v="27"/>
    <n v="62"/>
    <s v="HlthCare Svc Corp. a Mutual"/>
    <n v="2015"/>
    <x v="0"/>
    <n v="-65881.379000000001"/>
    <n v="2986959.977"/>
    <n v="-0.21125764033992317"/>
    <n v="766.17642699999999"/>
    <n v="31185323.708999999"/>
    <n v="271953"/>
    <n v="2505800"/>
    <n v="284.25015923058504"/>
    <n v="712274.049"/>
    <n v="712274.049"/>
    <n v="657567.12600000005"/>
    <n v="92.319399664103159"/>
    <n v="611458.40500000003"/>
    <n v="651708"/>
    <n v="3120.9577779551441"/>
    <n v="357007"/>
    <n v="166101"/>
    <n v="1709.6671721605874"/>
    <n v="2.14933684926641"/>
    <n v="717484.25300000003"/>
    <n v="0"/>
    <m/>
    <m/>
    <m/>
    <m/>
    <m/>
    <n v="551120.02300000004"/>
    <n v="0"/>
    <n v="0"/>
    <n v="0"/>
    <n v="105773.878"/>
    <n v="0"/>
    <n v="673.22500000000002"/>
    <n v="657567.12600000005"/>
    <n v="-4216.1719999999996"/>
    <n v="661783.29799999995"/>
    <n v="0.92236630313892054"/>
    <n v="86891.426000000007"/>
    <n v="44996.220999999998"/>
    <n v="6.271387951980599E-2"/>
    <n v="877253.94499999995"/>
    <n v="-159769.693"/>
    <n v="0"/>
    <s v="No"/>
    <x v="0"/>
    <x v="0"/>
    <n v="9.5780951478081702E-2"/>
    <n v="-1.8974948119113336E-2"/>
    <x v="6"/>
  </r>
  <r>
    <s v="MS"/>
    <s v="Centene Corp. "/>
    <n v="2"/>
    <n v="63"/>
    <s v="Magnolia Health Plan Inc."/>
    <n v="2015"/>
    <x v="1"/>
    <n v="-28834.560000000001"/>
    <n v="113034.755"/>
    <n v="-3.278154602924614"/>
    <n v="208.60675029999999"/>
    <n v="879597.31900000002"/>
    <n v="266918"/>
    <n v="2478793"/>
    <n v="342.70220546854858"/>
    <n v="849487.82799999998"/>
    <n v="849487.82799999998"/>
    <n v="743156.72"/>
    <n v="87.482915646909078"/>
    <n v="705029.56400000001"/>
    <n v="1107229"/>
    <n v="5360.1684368158212"/>
    <n v="11746"/>
    <n v="2665"/>
    <n v="56.863158803498315"/>
    <n v="4.4075046904315194"/>
    <n v="846440.84400000004"/>
    <n v="0"/>
    <m/>
    <m/>
    <m/>
    <m/>
    <m/>
    <n v="299299.39299999998"/>
    <n v="141454.51999999999"/>
    <n v="0"/>
    <n v="83503.451000000001"/>
    <n v="218899.35699999999"/>
    <n v="0"/>
    <n v="0"/>
    <n v="743156.72100000002"/>
    <n v="1275.943"/>
    <n v="741880.77800000005"/>
    <n v="0.87647091141551769"/>
    <n v="23671.174999999999"/>
    <n v="105533.973"/>
    <n v="0.12467967932795077"/>
    <n v="884035.35100000002"/>
    <n v="-37594.506999999998"/>
    <n v="0"/>
    <s v="No"/>
    <x v="1"/>
    <x v="0"/>
    <n v="0.12850738918634652"/>
    <n v="-3.2781546029246142E-2"/>
    <x v="9"/>
  </r>
  <r>
    <s v="MN"/>
    <s v="Medica Health Plans"/>
    <n v="17"/>
    <n v="64"/>
    <s v="Medica Health Plans"/>
    <n v="2015"/>
    <x v="1"/>
    <n v="45445.167999999998"/>
    <n v="110777.183"/>
    <n v="2.5573693309331711"/>
    <n v="777.56268590000002"/>
    <n v="1777027.9580000001"/>
    <n v="197829"/>
    <n v="2378978"/>
    <n v="698.52850005338428"/>
    <n v="1661783.9339999999"/>
    <n v="1661783.9339999999"/>
    <n v="1515799.317"/>
    <n v="91.215186642910481"/>
    <n v="1498905.0249999999"/>
    <n v="2749992"/>
    <n v="13871.462451523301"/>
    <n v="92518"/>
    <n v="26336"/>
    <n v="466.67770782243468"/>
    <n v="3.5129860267314701"/>
    <n v="1661462.5160000001"/>
    <n v="-3038.6720000000205"/>
    <m/>
    <m/>
    <m/>
    <m/>
    <m/>
    <n v="1181574.7760000001"/>
    <n v="23851.629000000001"/>
    <n v="0"/>
    <n v="98289.884000000005"/>
    <n v="207864.973"/>
    <n v="0"/>
    <n v="5481.9380000000001"/>
    <n v="1517063.2"/>
    <n v="634.76700000000005"/>
    <n v="1516428.433"/>
    <n v="0.91104076340256712"/>
    <n v="15716.111999999999"/>
    <n v="96892.232999999993"/>
    <n v="5.8210972571561777E-2"/>
    <n v="1624236.7779999999"/>
    <n v="40264.410000000003"/>
    <n v="0"/>
    <s v="No"/>
    <x v="0"/>
    <x v="2"/>
    <n v="6.233845815497293E-2"/>
    <n v="2.5573693309331711E-2"/>
    <x v="0"/>
  </r>
  <r>
    <s v="NJ"/>
    <s v="Anthem"/>
    <n v="3"/>
    <n v="65"/>
    <s v="AMERIGROUP New Jersey Inc."/>
    <n v="2015"/>
    <x v="0"/>
    <n v="59087.544000000002"/>
    <n v="101839.62300000001"/>
    <n v="4.890600013961758"/>
    <n v="418.19749419999999"/>
    <n v="1208185.986"/>
    <n v="189517"/>
    <n v="2372993"/>
    <n v="448.05801744885053"/>
    <n v="1063238.5390000001"/>
    <n v="1063238.5390000001"/>
    <n v="826770.27300000004"/>
    <n v="77.759622387051195"/>
    <n v="807935.50199999998"/>
    <n v="1077213"/>
    <n v="5447.363730107927"/>
    <n v="115442"/>
    <n v="19178"/>
    <n v="583.7792189020364"/>
    <n v="6.019501512149338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8.4291346017979718E-2"/>
    <n v="0.13811243011150831"/>
    <x v="4"/>
  </r>
  <r>
    <s v="PA"/>
    <s v="UnitedHealth Group Inc. "/>
    <n v="1"/>
    <n v="66"/>
    <s v="UnitedHealthcare of PA Inc."/>
    <n v="2015"/>
    <x v="1"/>
    <n v="8773.6869999999999"/>
    <n v="139818.86600000001"/>
    <n v="0.78124025529626961"/>
    <n v="425.52430149999998"/>
    <n v="1123045.9439999999"/>
    <n v="209350"/>
    <n v="2357990"/>
    <n v="422.72583089834984"/>
    <n v="1062024.726"/>
    <n v="996783.28200000001"/>
    <n v="810173.11800000002"/>
    <n v="81.27876265886249"/>
    <n v="785712.77099999995"/>
    <n v="1436059"/>
    <n v="7308.2192884617834"/>
    <n v="116233"/>
    <n v="19155"/>
    <n v="591.51904800274815"/>
    <n v="6.0680240146175937"/>
    <n v="1062024.726"/>
    <n v="62880.349999999977"/>
    <m/>
    <m/>
    <m/>
    <m/>
    <m/>
    <n v="569979.81200000003"/>
    <n v="16094.406999999999"/>
    <n v="0"/>
    <n v="0"/>
    <n v="167559.49600000001"/>
    <n v="56112.892"/>
    <n v="426.51100000000002"/>
    <n v="810173.11800000002"/>
    <n v="0"/>
    <n v="810173.11800000002"/>
    <n v="0.81086691519344545"/>
    <n v="46633.264999999999"/>
    <n v="114483.447"/>
    <n v="0.11458148566909412"/>
    <n v="971289.83"/>
    <n v="27854.545999999998"/>
    <n v="0"/>
    <s v="No"/>
    <x v="1"/>
    <x v="2"/>
    <n v="0.12449968476089347"/>
    <n v="7.812402552962696E-3"/>
    <x v="2"/>
  </r>
  <r>
    <s v="TX"/>
    <s v="UnitedHealth Group Inc. "/>
    <n v="1"/>
    <n v="67"/>
    <s v="UnitedHealthcare Cmnty (TX)"/>
    <n v="2015"/>
    <x v="0"/>
    <n v="73419.626999999993"/>
    <n v="145638.068"/>
    <n v="3.542554598913414"/>
    <n v="373.73362500000002"/>
    <n v="2072505.1640000001"/>
    <n v="196182"/>
    <n v="2346163"/>
    <n v="682.04456680972294"/>
    <n v="1593872.3"/>
    <n v="1600187.727"/>
    <n v="1351897.4369999999"/>
    <n v="84.483677395433489"/>
    <n v="1309554.5020000001"/>
    <n v="2565357"/>
    <n v="13121.119035633927"/>
    <n v="3585778"/>
    <n v="450941"/>
    <n v="18340.301164070868"/>
    <n v="7.9517675261286955"/>
    <n v="1548434.3629999999"/>
    <n v="-6315.4270000001416"/>
    <m/>
    <m/>
    <m/>
    <m/>
    <m/>
    <n v="1069193.0079999999"/>
    <n v="11432.143"/>
    <n v="0"/>
    <n v="0"/>
    <n v="270844.353"/>
    <n v="0"/>
    <n v="427.93299999999999"/>
    <n v="1351897.4369999999"/>
    <n v="45884.087"/>
    <n v="1306013.3500000001"/>
    <n v="0.84001513195251831"/>
    <n v="89531.671000000002"/>
    <n v="104746.728"/>
    <n v="6.7372080494058142E-2"/>
    <n v="1500291.7490000001"/>
    <n v="54458.040999999997"/>
    <n v="0"/>
    <s v="No"/>
    <x v="1"/>
    <x v="2"/>
    <n v="7.0271510310215085E-2"/>
    <n v="8.4891715735450041E-2"/>
    <x v="3"/>
  </r>
  <r>
    <s v="TX"/>
    <s v="Molina"/>
    <n v="4"/>
    <n v="68"/>
    <s v="Molina Hlthcr of Texas Inc."/>
    <n v="2015"/>
    <x v="0"/>
    <n v="-12278.281999999999"/>
    <n v="208421.856"/>
    <n v="-0.59707630866796357"/>
    <n v="218.1232675"/>
    <n v="2056400.8019999999"/>
    <n v="190038"/>
    <n v="2345309"/>
    <n v="745.28142048659686"/>
    <n v="1750952.5120000001"/>
    <n v="1747915.223"/>
    <n v="1524791.848"/>
    <n v="87.234885761962389"/>
    <n v="1451936.777"/>
    <n v="1144121"/>
    <n v="5854.0055915872917"/>
    <n v="2567525"/>
    <n v="368824"/>
    <n v="13136.989624821292"/>
    <n v="6.9613826649025006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0.10135274008709515"/>
    <n v="2.6298402293280967E-2"/>
    <x v="0"/>
  </r>
  <r>
    <s v="IL"/>
    <s v="Centene Corp. "/>
    <n v="2"/>
    <n v="69"/>
    <s v="IlliniCare Health Plan Inc."/>
    <n v="2015"/>
    <x v="1"/>
    <n v="-33392.93"/>
    <n v="61133.436999999998"/>
    <n v="-3.0952397842091033"/>
    <n v="271.3833654"/>
    <n v="1078847.919"/>
    <n v="205240"/>
    <n v="2341456"/>
    <n v="453.67924060926191"/>
    <n v="1066790.655"/>
    <n v="1062269.98"/>
    <n v="1031907.535"/>
    <n v="97.14173933447691"/>
    <n v="970163.66299999994"/>
    <n v="1170496"/>
    <n v="5998.8109962348217"/>
    <n v="124925"/>
    <n v="24570"/>
    <n v="640.24265243506602"/>
    <n v="5.0844525844525847"/>
    <n v="1053045.33"/>
    <n v="4520.6750000000466"/>
    <m/>
    <m/>
    <m/>
    <m/>
    <m/>
    <n v="637998.94700000004"/>
    <n v="118332.601"/>
    <n v="0"/>
    <n v="47449.832999999999"/>
    <n v="228413.72200000001"/>
    <n v="0"/>
    <n v="-287.56900000000002"/>
    <n v="1031907.534"/>
    <n v="12368.319"/>
    <n v="1019539.215"/>
    <n v="0.97235597669374774"/>
    <n v="23709.413"/>
    <n v="60263.92"/>
    <n v="5.7474967052634537E-2"/>
    <n v="1103512.548"/>
    <n v="-54987.892999999996"/>
    <n v="0"/>
    <s v="No"/>
    <x v="1"/>
    <x v="2"/>
    <n v="5.6665481689639335E-2"/>
    <n v="-3.0952397842091032E-2"/>
    <x v="9"/>
  </r>
  <r>
    <s v="MD"/>
    <s v="UnitedHealth Group Inc. "/>
    <n v="1"/>
    <n v="70"/>
    <s v="UnitedHealthcare"/>
    <n v="2015"/>
    <x v="1"/>
    <n v="-64214.843000000001"/>
    <n v="77595.706999999995"/>
    <n v="-7.2318633857562515"/>
    <n v="384.63493979999998"/>
    <n v="887943.25300000003"/>
    <n v="166696"/>
    <n v="2332582"/>
    <n v="362.71187293737154"/>
    <n v="845812.18599999999"/>
    <n v="846055.18599999999"/>
    <n v="816921.23"/>
    <n v="96.556494601996334"/>
    <n v="838239.36199999996"/>
    <n v="1548906"/>
    <n v="7968.3681002425637"/>
    <n v="90528"/>
    <n v="18085"/>
    <n v="465.72253408454668"/>
    <n v="5.0056953276195744"/>
    <n v="844965.05099999998"/>
    <n v="-243"/>
    <m/>
    <m/>
    <m/>
    <m/>
    <m/>
    <n v="707145.48499999999"/>
    <n v="4942.4399999999996"/>
    <n v="0"/>
    <n v="0"/>
    <n v="104833.30499999999"/>
    <n v="0"/>
    <n v="0"/>
    <n v="816921.23"/>
    <n v="0"/>
    <n v="816921.23"/>
    <n v="0.96653271231085325"/>
    <n v="39686.330999999998"/>
    <n v="71192.880999999994"/>
    <n v="8.4231191262043481E-2"/>
    <n v="937326.44200000004"/>
    <n v="-92118.391000000003"/>
    <n v="0"/>
    <s v="No"/>
    <x v="1"/>
    <x v="2"/>
    <n v="8.7388137403866278E-2"/>
    <n v="-7.2318633857562514E-2"/>
    <x v="10"/>
  </r>
  <r>
    <s v="FL"/>
    <s v="Molina"/>
    <n v="4"/>
    <n v="71"/>
    <s v="Molina Healthcare of FL Inc."/>
    <n v="2015"/>
    <x v="0"/>
    <n v="-38651.919999999998"/>
    <n v="181645.628"/>
    <n v="-3.1752939315180182"/>
    <n v="339.0980859"/>
    <n v="1217270.6159999999"/>
    <n v="299054"/>
    <n v="2322817"/>
    <n v="250.20437770173027"/>
    <n v="581178.98199999996"/>
    <n v="581178.98199999996"/>
    <n v="572941.93799999997"/>
    <n v="98.582700982810152"/>
    <n v="528893.36199999996"/>
    <n v="996647"/>
    <n v="5148.818869501988"/>
    <n v="237075"/>
    <n v="29087"/>
    <n v="1224.762863368057"/>
    <n v="8.1505483549351947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0"/>
    <n v="0.1492237022831413"/>
    <n v="-0.13505071211124287"/>
    <x v="11"/>
  </r>
  <r>
    <s v="WA"/>
    <s v="UnitedHealth Group Inc. "/>
    <n v="1"/>
    <n v="72"/>
    <s v="UnitedHealthcare of WA Inc."/>
    <n v="2015"/>
    <x v="0"/>
    <n v="14961.963"/>
    <n v="120759.6"/>
    <n v="1.0476382776749953"/>
    <n v="529.8049446"/>
    <n v="1428161.162"/>
    <n v="199131"/>
    <n v="2263208"/>
    <n v="293.24190131883591"/>
    <n v="481342.967"/>
    <n v="663667.41700000002"/>
    <n v="568788.83900000004"/>
    <n v="85.703896926432961"/>
    <n v="570445.348"/>
    <n v="1705506"/>
    <n v="9042.9478863630738"/>
    <n v="103778"/>
    <n v="15806"/>
    <n v="550.25256185025853"/>
    <n v="6.565734531190687"/>
    <n v="481342.967"/>
    <n v="-182324.45099999994"/>
    <m/>
    <m/>
    <m/>
    <m/>
    <m/>
    <n v="443403.73"/>
    <n v="2002.461"/>
    <n v="0"/>
    <n v="0"/>
    <n v="123069.07"/>
    <n v="0"/>
    <n v="313.57799999999997"/>
    <n v="568788.83900000004"/>
    <n v="0"/>
    <n v="568788.83900000004"/>
    <n v="0.85703896797296153"/>
    <n v="35191.366999999998"/>
    <n v="47461.565999999999"/>
    <n v="7.1514081771602053E-2"/>
    <n v="651441.772"/>
    <n v="12225.646000000001"/>
    <n v="0"/>
    <s v="No"/>
    <x v="1"/>
    <x v="2"/>
    <n v="8.4556003351111991E-2"/>
    <n v="5.8405027384558356E-2"/>
    <x v="5"/>
  </r>
  <r>
    <s v="MS"/>
    <s v="UnitedHealth Group Inc. "/>
    <n v="1"/>
    <n v="73"/>
    <s v="UnitedHealthCare of MS Inc."/>
    <n v="2015"/>
    <x v="0"/>
    <n v="-14563.224"/>
    <n v="93330.875"/>
    <n v="-1.6232232284912069"/>
    <n v="226.49063889999999"/>
    <n v="897179.37399999995"/>
    <n v="249257"/>
    <n v="2241121"/>
    <n v="315.90076751768424"/>
    <n v="707971.84400000004"/>
    <n v="707971.84400000004"/>
    <n v="624168.19499999995"/>
    <n v="88.162855668593494"/>
    <n v="591131.85499999998"/>
    <n v="1684566"/>
    <n v="9019.9467141667046"/>
    <n v="831"/>
    <n v="283"/>
    <n v="4.4495589484012692"/>
    <n v="2.9363957597173145"/>
    <n v="664739.13899999997"/>
    <n v="0"/>
    <m/>
    <m/>
    <m/>
    <m/>
    <m/>
    <n v="392874.20400000003"/>
    <n v="48995.779000000002"/>
    <n v="0"/>
    <n v="0"/>
    <n v="181939.834"/>
    <n v="0"/>
    <n v="358.37799999999999"/>
    <n v="624168.19499999995"/>
    <n v="39849.152999999998"/>
    <n v="584319.04200000002"/>
    <n v="0.87902006624586615"/>
    <n v="34844.428"/>
    <n v="48390.000999999997"/>
    <n v="7.2795474436476645E-2"/>
    <n v="677936.47100000002"/>
    <n v="-13197.332"/>
    <n v="0"/>
    <s v="No"/>
    <x v="1"/>
    <x v="2"/>
    <n v="0.10402699583238524"/>
    <n v="1.4344447481679776E-2"/>
    <x v="2"/>
  </r>
  <r>
    <s v="TX"/>
    <s v="Parkland Cmnty Health Plan Inc"/>
    <n v="45"/>
    <n v="74"/>
    <s v="Parkland Cmnty Health Plan Inc"/>
    <n v="2015"/>
    <x v="1"/>
    <n v="-13544.915999999999"/>
    <n v="62154.580999999998"/>
    <n v="-2.5764237798416416"/>
    <n v="663.29740530000004"/>
    <n v="525725.46900000004"/>
    <n v="182139"/>
    <n v="2192424"/>
    <n v="218.62457809255875"/>
    <n v="479317.772"/>
    <n v="479317.772"/>
    <n v="399924.32900000003"/>
    <n v="83.436157046978863"/>
    <n v="396266.96100000001"/>
    <n v="1336161"/>
    <n v="7313.3353767336976"/>
    <n v="39062"/>
    <n v="5857"/>
    <n v="213.80170988823329"/>
    <n v="6.6692846166979685"/>
    <n v="477331.21299999999"/>
    <n v="2911.11599999998"/>
    <m/>
    <m/>
    <m/>
    <m/>
    <m/>
    <n v="205943.429"/>
    <n v="54018.154999999999"/>
    <n v="28146.252"/>
    <n v="44887.366000000002"/>
    <n v="66929.126999999993"/>
    <n v="0"/>
    <n v="0"/>
    <n v="399924.32900000003"/>
    <n v="2183.0120000000002"/>
    <n v="397741.31800000003"/>
    <n v="0.83837367032956878"/>
    <n v="27958.007000000001"/>
    <n v="56739.88"/>
    <n v="0.11959839045351402"/>
    <n v="488932.20500000002"/>
    <n v="-14512.108"/>
    <n v="0"/>
    <s v="Yes"/>
    <x v="0"/>
    <x v="2"/>
    <n v="0.1182263075787945"/>
    <n v="-2.5764237798416415E-2"/>
    <x v="9"/>
  </r>
  <r>
    <s v="NY"/>
    <s v="Excellus Health Plan Inc."/>
    <n v="28"/>
    <n v="75"/>
    <s v="Excellus Health Plan Inc."/>
    <n v="2015"/>
    <x v="0"/>
    <n v="57922.597000000002"/>
    <n v="585096.58499999996"/>
    <n v="0.97789926526862769"/>
    <n v="481.14832000000001"/>
    <n v="5923166.0209999997"/>
    <n v="179289"/>
    <n v="2127839"/>
    <n v="402.80960918565739"/>
    <n v="857962.48499999999"/>
    <n v="857113.99600000004"/>
    <n v="771427.88800000004"/>
    <n v="90.002950786023561"/>
    <n v="772404.73699999996"/>
    <n v="1684384"/>
    <n v="9499.1246988141484"/>
    <n v="104912"/>
    <n v="21120"/>
    <n v="591.65378583624044"/>
    <n v="4.9674242424242427"/>
    <n v="857962.48499999999"/>
    <n v="848.48899999994319"/>
    <m/>
    <m/>
    <m/>
    <m/>
    <m/>
    <n v="453300.38500000001"/>
    <n v="48045.794000000002"/>
    <n v="0"/>
    <n v="37403.997000000003"/>
    <n v="209885.283"/>
    <n v="21212.816999999999"/>
    <n v="1579.6120000000001"/>
    <n v="771427.88800000004"/>
    <n v="0"/>
    <n v="771427.88800000004"/>
    <n v="0.90002950786023561"/>
    <n v="21782.244999999999"/>
    <n v="66426.622000000003"/>
    <n v="7.7500335206286838E-2"/>
    <n v="859636.755"/>
    <n v="-2522.759"/>
    <n v="0"/>
    <s v="No"/>
    <x v="0"/>
    <x v="2"/>
    <n v="9.8781054410022925E-2"/>
    <n v="1.1894377297414632E-3"/>
    <x v="2"/>
  </r>
  <r>
    <s v="WA"/>
    <s v="Centene Corp. "/>
    <n v="2"/>
    <n v="76"/>
    <s v="Coordinated Care of WA Inc."/>
    <n v="2015"/>
    <x v="1"/>
    <n v="-8570.6299999999992"/>
    <n v="59766.718000000001"/>
    <n v="-1.5346959845779724"/>
    <n v="503.36906929999998"/>
    <n v="558457.83700000006"/>
    <n v="178541"/>
    <n v="2122692"/>
    <n v="266.56406534721003"/>
    <n v="565833.40899999999"/>
    <n v="565833.40899999999"/>
    <n v="536365.61100000003"/>
    <n v="94.792142434276101"/>
    <n v="469309.72100000002"/>
    <n v="712584"/>
    <n v="4028.3790582901333"/>
    <n v="69477"/>
    <n v="14721"/>
    <n v="392.76729737521975"/>
    <n v="4.7195842673731407"/>
    <n v="555006.43799999997"/>
    <n v="0"/>
    <m/>
    <m/>
    <m/>
    <m/>
    <m/>
    <n v="328852.283"/>
    <n v="43248.17"/>
    <n v="0"/>
    <n v="41336.093999999997"/>
    <n v="121102.12300000001"/>
    <n v="0"/>
    <n v="1826.941"/>
    <n v="536365.61100000003"/>
    <n v="7114.2169999999996"/>
    <n v="529251.39399999997"/>
    <n v="0.95359505361269337"/>
    <n v="16763.978999999999"/>
    <n v="59427.148000000001"/>
    <n v="0.10707470027581915"/>
    <n v="581730.11899999995"/>
    <n v="-26723.681"/>
    <n v="0"/>
    <s v="No"/>
    <x v="1"/>
    <x v="2"/>
    <n v="0.10702100327047608"/>
    <n v="-1.5346959845779724E-2"/>
    <x v="6"/>
  </r>
  <r>
    <s v="VA"/>
    <s v="Optima Health Plan (Sentara)"/>
    <n v="30"/>
    <n v="77"/>
    <s v="Optima Health Plan (Sentara)"/>
    <n v="2015"/>
    <x v="0"/>
    <n v="15486.344999999999"/>
    <n v="110253.56200000001"/>
    <n v="1.1409566647502101"/>
    <n v="455.40309930000001"/>
    <n v="1357312.287"/>
    <n v="174251"/>
    <n v="2085265"/>
    <n v="343.74674585724119"/>
    <n v="716803.05700000003"/>
    <n v="716803.05799999996"/>
    <n v="660164.071"/>
    <n v="92.098389317976384"/>
    <n v="976638"/>
    <n v="5620.2238084847731"/>
    <n v="83661"/>
    <n v="15918"/>
    <n v="481.4409679345311"/>
    <n v="5.2557482095740671"/>
    <s v="-"/>
    <n v="716803.05799999996"/>
    <n v="0"/>
    <m/>
    <m/>
    <m/>
    <m/>
    <m/>
    <n v="446813.44799999997"/>
    <n v="0"/>
    <n v="384.17099999999999"/>
    <n v="43859.606"/>
    <n v="144091.264"/>
    <n v="15972.955"/>
    <n v="9042.6270000000004"/>
    <n v="660164.071"/>
    <n v="0"/>
    <n v="660164.071"/>
    <n v="0.92098389317976381"/>
    <n v="6401.3490000000002"/>
    <n v="33959.531999999999"/>
    <n v="4.7376377124775049E-2"/>
    <n v="700524.95200000005"/>
    <n v="16278.106"/>
    <n v="0"/>
    <s v="Yes"/>
    <x v="0"/>
    <x v="2"/>
    <n v="8.1229325819843559E-2"/>
    <n v="-2.213218999607372E-3"/>
    <x v="6"/>
  </r>
  <r>
    <s v="PA"/>
    <s v="Aetna"/>
    <n v="6"/>
    <n v="78"/>
    <s v="Aetna Better Health Inc. (PA)"/>
    <n v="2015"/>
    <x v="1"/>
    <n v="32724.309000000001"/>
    <n v="112537.895"/>
    <n v="3.9980345454851802"/>
    <n v="451.27350139999999"/>
    <n v="818509.91099999996"/>
    <n v="189576"/>
    <n v="2075760"/>
    <n v="409.00762275022163"/>
    <n v="849001.66299999994"/>
    <n v="849001.66299999994"/>
    <n v="669808.30200000003"/>
    <n v="78.893638397973319"/>
    <n v="568126.375"/>
    <n v="800235"/>
    <n v="4626.1706555671171"/>
    <n v="74977"/>
    <n v="15129"/>
    <n v="433.44317262111224"/>
    <n v="4.9558463877321701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0.13749118182638598"/>
    <n v="3.9980345454851803E-2"/>
    <x v="0"/>
  </r>
  <r>
    <s v="IL"/>
    <s v="WellCare Health Plans Inc. "/>
    <n v="5"/>
    <n v="79"/>
    <s v="Harmony Health Plan of IL Inc."/>
    <n v="2015"/>
    <x v="0"/>
    <n v="30396.347000000002"/>
    <n v="100473.113"/>
    <n v="3.1393215094597262"/>
    <n v="598.08620440000004"/>
    <n v="968245.74699999997"/>
    <n v="167962"/>
    <n v="2046250"/>
    <n v="175.24367354917533"/>
    <n v="358592.36700000003"/>
    <n v="358592.36700000003"/>
    <n v="308816.84000000003"/>
    <n v="86.119189480684071"/>
    <n v="288866.30300000001"/>
    <n v="429465"/>
    <n v="2518.5485644471596"/>
    <n v="74545"/>
    <n v="16246"/>
    <n v="437.16065974343309"/>
    <n v="4.5885140957774224"/>
    <n v="358091.06"/>
    <n v="0"/>
    <m/>
    <m/>
    <m/>
    <m/>
    <m/>
    <n v="233126.06899999999"/>
    <n v="4972.424"/>
    <n v="0"/>
    <n v="24484.381000000001"/>
    <n v="46233.966"/>
    <n v="0"/>
    <n v="0"/>
    <n v="308816.84000000003"/>
    <n v="4020.1370000000002"/>
    <n v="304796.70299999998"/>
    <n v="0.85117093680026523"/>
    <n v="6750.9769999999999"/>
    <n v="35341.807999999997"/>
    <n v="9.8695030252919466E-2"/>
    <n v="346889.48800000001"/>
    <n v="11201.572"/>
    <n v="0"/>
    <s v="No"/>
    <x v="1"/>
    <x v="2"/>
    <n v="0.10376819450155561"/>
    <n v="3.5039910691603726E-2"/>
    <x v="0"/>
  </r>
  <r>
    <s v="MI"/>
    <s v="McLaren Health Plan Inc."/>
    <n v="35"/>
    <n v="80"/>
    <s v="McLaren Health Plan Inc."/>
    <n v="2015"/>
    <x v="0"/>
    <n v="23358.425999999999"/>
    <n v="79606.332999999999"/>
    <n v="2.5878517863338226"/>
    <n v="260.03533119999997"/>
    <n v="902618.38500000001"/>
    <n v="175039"/>
    <n v="2016975"/>
    <n v="394.95923449720499"/>
    <n v="796622.902"/>
    <n v="796622.902"/>
    <n v="693858.86899999995"/>
    <n v="87.100040340040323"/>
    <n v="656010.55000000005"/>
    <n v="1319605"/>
    <n v="7850.994682631168"/>
    <n v="468395"/>
    <n v="60110"/>
    <n v="2786.7177332391329"/>
    <n v="7.7922974546664445"/>
    <n v="795133.61699999997"/>
    <n v="1854.6180000000168"/>
    <m/>
    <m/>
    <m/>
    <m/>
    <m/>
    <n v="545191.94700000004"/>
    <n v="13589.101000000001"/>
    <n v="0"/>
    <n v="30651.06"/>
    <n v="102562.069"/>
    <n v="0"/>
    <n v="1864.692"/>
    <n v="693858.86899999995"/>
    <n v="1331.7760000000001"/>
    <n v="692527.09400000004"/>
    <n v="0.87299310188848211"/>
    <n v="5200.2079999999996"/>
    <n v="66118.748999999996"/>
    <n v="8.3348669362668965E-2"/>
    <n v="763846.05099999998"/>
    <n v="29432.949000000001"/>
    <n v="0"/>
    <s v="Yes"/>
    <x v="0"/>
    <x v="2"/>
    <n v="8.819489423539717E-2"/>
    <n v="4.0804702364199641E-2"/>
    <x v="0"/>
  </r>
  <r>
    <s v="NV"/>
    <s v="Anthem"/>
    <n v="3"/>
    <n v="81"/>
    <s v="AMERIGROUP Nevada Inc."/>
    <n v="2015"/>
    <x v="1"/>
    <n v="9536.2819999999992"/>
    <n v="62588.896999999997"/>
    <n v="1.7028228818657918"/>
    <n v="364.74647950000002"/>
    <n v="560027.82799999998"/>
    <n v="175069"/>
    <n v="2014729"/>
    <n v="272.4337193736726"/>
    <n v="538839.52300000004"/>
    <n v="548880.11499999999"/>
    <n v="440274.74099999998"/>
    <n v="80.213279542837881"/>
    <n v="433873.92800000001"/>
    <n v="977553"/>
    <n v="5822.438650557966"/>
    <n v="112948"/>
    <n v="25744"/>
    <n v="672.73365301239028"/>
    <n v="4.3873523927905529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0.11176033380969776"/>
    <n v="1.7028228818657919E-2"/>
    <x v="2"/>
  </r>
  <r>
    <s v="IL"/>
    <s v="Aetna"/>
    <n v="6"/>
    <n v="82"/>
    <s v="Aetna Better Hlth Inc. (IL)"/>
    <n v="2015"/>
    <x v="1"/>
    <n v="-11248.132"/>
    <n v="76196.296000000002"/>
    <n v="-0.8259138702421065"/>
    <n v="334.03441780000003"/>
    <n v="1361901.3319999999"/>
    <n v="173354"/>
    <n v="1905845"/>
    <n v="660.58256626325851"/>
    <n v="1261846.8689999999"/>
    <n v="1258967.9809999999"/>
    <n v="1191245.1769999999"/>
    <n v="94.620768357729972"/>
    <n v="1080058.1410000001"/>
    <n v="1606552"/>
    <n v="10115.525659222025"/>
    <n v="134046"/>
    <n v="23387"/>
    <n v="844.00987488489363"/>
    <n v="5.7316457861204944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5.5948470134839404E-2"/>
    <n v="-8.259138702421065E-3"/>
    <x v="6"/>
  </r>
  <r>
    <s v="RI"/>
    <s v="Neighborhood Health Plan of RI"/>
    <n v="22"/>
    <n v="83"/>
    <s v="Neighborhood Health Plan of RI"/>
    <n v="2015"/>
    <x v="1"/>
    <n v="28575.651000000002"/>
    <n v="78880.735000000001"/>
    <n v="2.825426059401575"/>
    <n v="251.24148310000001"/>
    <n v="1011374.936"/>
    <n v="161516"/>
    <n v="1877818"/>
    <n v="517.12929314768519"/>
    <n v="971074.69499999995"/>
    <n v="971074.69499999995"/>
    <n v="852580.61399999994"/>
    <n v="87.79763476382216"/>
    <n v="862194.54"/>
    <n v="3010951"/>
    <n v="19241.168206929531"/>
    <n v="1387920"/>
    <n v="34586"/>
    <n v="8869.3579462972448"/>
    <n v="40.129532180651132"/>
    <n v="966780.54700000002"/>
    <n v="-1945.6969999999274"/>
    <m/>
    <m/>
    <m/>
    <m/>
    <m/>
    <n v="395052.08"/>
    <n v="173401.845"/>
    <n v="89732.262000000002"/>
    <n v="37393.574000000001"/>
    <n v="99520.009000000005"/>
    <n v="48610.391000000003"/>
    <n v="8870.4529999999995"/>
    <n v="852580.61499999999"/>
    <n v="928.97500000000002"/>
    <n v="851651.64"/>
    <n v="0.87914583224608089"/>
    <n v="23013.241000000002"/>
    <n v="68614.157000000007"/>
    <n v="7.0829253801035677E-2"/>
    <n v="943279.03799999994"/>
    <n v="25447.205999999998"/>
    <n v="0"/>
    <s v="Yes"/>
    <x v="0"/>
    <x v="2"/>
    <n v="7.799356321007346E-2"/>
    <n v="2.825426059401575E-2"/>
    <x v="0"/>
  </r>
  <r>
    <s v="PA"/>
    <s v="Geisinger Health Plan"/>
    <n v="40"/>
    <n v="84"/>
    <s v="Geisinger Health Plan"/>
    <n v="2015"/>
    <x v="0"/>
    <n v="16264.62"/>
    <n v="199673.56099999999"/>
    <n v="0.86294529116839047"/>
    <n v="302.94680829999999"/>
    <n v="1884779.97"/>
    <n v="167753"/>
    <n v="1872674"/>
    <n v="362.25670191394767"/>
    <n v="678388.70700000005"/>
    <n v="678388.70700000005"/>
    <n v="569092.571"/>
    <n v="83.888862701837397"/>
    <n v="562355.598"/>
    <n v="1049080"/>
    <n v="6722.4514250745187"/>
    <n v="42786"/>
    <n v="11537"/>
    <n v="274.17051766618215"/>
    <n v="3.7085897547022624"/>
    <n v="677656.277"/>
    <n v="0"/>
    <m/>
    <m/>
    <m/>
    <m/>
    <m/>
    <n v="381435.174"/>
    <n v="0"/>
    <n v="0"/>
    <n v="13835.291999999999"/>
    <n v="169770.837"/>
    <n v="0"/>
    <n v="4051.268"/>
    <n v="569092.571"/>
    <n v="401.57400000000001"/>
    <n v="568690.99699999997"/>
    <n v="0.83920272902600146"/>
    <n v="12717.933999999999"/>
    <n v="80736.438999999998"/>
    <n v="0.11914069380043535"/>
    <n v="662145.37"/>
    <n v="15510.906999999999"/>
    <n v="0"/>
    <s v="Yes"/>
    <x v="0"/>
    <x v="2"/>
    <n v="0.10593998460202227"/>
    <n v="5.5171388379603767E-2"/>
    <x v="5"/>
  </r>
  <r>
    <s v="LA"/>
    <s v="Independence Health Group Inc. "/>
    <n v="7"/>
    <n v="85"/>
    <s v="AmeriHealth Caritas LA Inc."/>
    <n v="2015"/>
    <x v="1"/>
    <n v="9734.6020000000008"/>
    <n v="55164.714"/>
    <n v="1.5630717071161391"/>
    <n v="315.30071850000002"/>
    <n v="622786.65500000003"/>
    <n v="175893"/>
    <n v="1868487"/>
    <n v="333.32107635750208"/>
    <n v="622806.098"/>
    <n v="622806.098"/>
    <n v="526543.01500000001"/>
    <n v="84.543651176645994"/>
    <n v="569947.21"/>
    <n v="1017948"/>
    <n v="6537.5761244258056"/>
    <n v="64131"/>
    <n v="11938"/>
    <n v="411.86906839598026"/>
    <n v="5.3720053610319987"/>
    <n v="622806.098"/>
    <n v="0"/>
    <m/>
    <m/>
    <m/>
    <m/>
    <m/>
    <n v="183595.77499999999"/>
    <n v="98641.760999999999"/>
    <n v="0"/>
    <n v="29285.894"/>
    <n v="115769.386"/>
    <n v="97595.081999999995"/>
    <n v="1655.117"/>
    <n v="526543.01500000001"/>
    <n v="0"/>
    <n v="526543.01500000001"/>
    <n v="0.84543651176645995"/>
    <n v="21540.832999999999"/>
    <n v="55158.544000000002"/>
    <n v="8.8564553521760805E-2"/>
    <n v="603242.39199999999"/>
    <n v="19563.705999999998"/>
    <n v="0"/>
    <s v="No"/>
    <x v="0"/>
    <x v="2"/>
    <n v="8.8577225534802115E-2"/>
    <n v="1.5630717071161392E-2"/>
    <x v="2"/>
  </r>
  <r>
    <s v="HI"/>
    <s v="Hawaii Medical Service Assn."/>
    <n v="42"/>
    <n v="86"/>
    <s v="Hawaii Medical Service Assn."/>
    <n v="2015"/>
    <x v="0"/>
    <n v="7613.1530000000002"/>
    <n v="226633.62400000001"/>
    <n v="0.25567419565897442"/>
    <n v="379.71823699999999"/>
    <n v="2977677.5010000002"/>
    <n v="155381"/>
    <n v="1835443"/>
    <n v="299.43237845032507"/>
    <n v="549591.06299999997"/>
    <n v="549591.06299999997"/>
    <n v="478721.21899999998"/>
    <n v="87.104986093996956"/>
    <n v="460410.87800000003"/>
    <n v="1064080"/>
    <n v="6956.8817991078995"/>
    <n v="44077"/>
    <n v="0"/>
    <n v="288.17239216908399"/>
    <s v="NA"/>
    <n v="545498.18799999997"/>
    <n v="0"/>
    <m/>
    <m/>
    <m/>
    <m/>
    <m/>
    <n v="389812.53100000002"/>
    <n v="1795.2180000000001"/>
    <n v="0"/>
    <n v="0"/>
    <n v="74361.896999999997"/>
    <n v="0"/>
    <n v="12751.573"/>
    <n v="478721.21899999998"/>
    <n v="1251.7650000000001"/>
    <n v="477469.45400000003"/>
    <n v="0.87529063249610661"/>
    <n v="19666.5"/>
    <n v="37243.351000000002"/>
    <n v="6.8274014138430109E-2"/>
    <n v="534379.30500000005"/>
    <n v="11118.883"/>
    <n v="0"/>
    <s v="No"/>
    <x v="0"/>
    <x v="2"/>
    <n v="7.6110869603538037E-2"/>
    <n v="5.2839269456492352E-2"/>
    <x v="5"/>
  </r>
  <r>
    <s v="WI"/>
    <s v="UnitedHealth Group Inc. "/>
    <n v="1"/>
    <n v="87"/>
    <s v="UnitedHealthcare of WI Inc."/>
    <n v="2015"/>
    <x v="0"/>
    <n v="53561.190999999999"/>
    <n v="160738.58199999999"/>
    <n v="3.5646394875134604"/>
    <n v="627.67832120000003"/>
    <n v="1502569.648"/>
    <n v="145047"/>
    <n v="1717317"/>
    <n v="202.73210013061072"/>
    <n v="346331.04100000003"/>
    <n v="348155.28200000001"/>
    <n v="270961.89799999999"/>
    <n v="77.827886580792978"/>
    <n v="268355.016"/>
    <n v="1644756"/>
    <n v="11492.969556581575"/>
    <n v="32779"/>
    <n v="14512"/>
    <n v="229.0479858989342"/>
    <n v="2.2587513781697903"/>
    <n v="345982.886"/>
    <n v="-1824.2399999999907"/>
    <m/>
    <m/>
    <m/>
    <m/>
    <m/>
    <n v="265896.48599999998"/>
    <n v="5065.4139999999998"/>
    <n v="0"/>
    <n v="0"/>
    <n v="0"/>
    <n v="0"/>
    <n v="0"/>
    <n v="270961.90000000002"/>
    <n v="0"/>
    <n v="270961.90000000002"/>
    <n v="0.77905793109023314"/>
    <n v="24432.973999999998"/>
    <n v="30880.438999999998"/>
    <n v="8.8786102099587233E-2"/>
    <n v="326275.31300000002"/>
    <n v="21531.812999999998"/>
    <n v="0"/>
    <s v="No"/>
    <x v="1"/>
    <x v="2"/>
    <n v="0.10697579457561357"/>
    <n v="0.11474533961645661"/>
    <x v="4"/>
  </r>
  <r>
    <s v="WA"/>
    <s v="Anthem"/>
    <n v="3"/>
    <n v="88"/>
    <s v="AMERIGROUP Washington Inc."/>
    <n v="2015"/>
    <x v="0"/>
    <n v="18719.164000000001"/>
    <n v="33162.239999999998"/>
    <n v="3.6735367213141301"/>
    <n v="720.6403401"/>
    <n v="509567.902"/>
    <n v="139587"/>
    <n v="1642703"/>
    <n v="303.79184855692114"/>
    <n v="306391.03499999997"/>
    <n v="499039.78100000002"/>
    <n v="408231.658"/>
    <n v="81.803430015532157"/>
    <n v="396697.77799999999"/>
    <n v="706644"/>
    <n v="5162.0579009108769"/>
    <n v="56180"/>
    <n v="12123"/>
    <n v="410.39676679229296"/>
    <n v="4.6341664604470845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6.5079138363781791E-2"/>
    <n v="0.11688656148089668"/>
    <x v="4"/>
  </r>
  <r>
    <s v="TX"/>
    <s v="Driscoll Children's Hlth Plan"/>
    <n v="48"/>
    <n v="89"/>
    <s v="Driscoll Children's Hlth Plan"/>
    <n v="2015"/>
    <x v="1"/>
    <n v="-15618.528"/>
    <n v="20927.073"/>
    <n v="-3.585905577991312"/>
    <n v="175.36161870000001"/>
    <n v="435553.24200000003"/>
    <n v="137460"/>
    <n v="1640595"/>
    <n v="258.14485293445364"/>
    <n v="423511.15500000003"/>
    <n v="423511.15500000003"/>
    <n v="394152.36"/>
    <n v="93.067763468945699"/>
    <n v="391491.03899999999"/>
    <n v="1231012"/>
    <n v="9004.1381328115713"/>
    <n v="78782"/>
    <n v="19613"/>
    <n v="576.24459418686513"/>
    <n v="4.016825574873808"/>
    <n v="422822.06300000002"/>
    <n v="0"/>
    <m/>
    <m/>
    <m/>
    <m/>
    <m/>
    <n v="239157.019"/>
    <n v="13040.556"/>
    <n v="25839.8"/>
    <n v="28878.555"/>
    <n v="68530.380999999994"/>
    <n v="0"/>
    <n v="18706.048999999999"/>
    <n v="394152.36"/>
    <n v="587.39499999999998"/>
    <n v="393564.96399999998"/>
    <n v="0.93080517418505659"/>
    <n v="22350.127"/>
    <n v="20192.007000000001"/>
    <n v="4.7755329645605554E-2"/>
    <n v="436107.098"/>
    <n v="-13285.035"/>
    <n v="0"/>
    <s v="Yes"/>
    <x v="0"/>
    <x v="2"/>
    <n v="4.8047106488992679E-2"/>
    <n v="-3.5859055779913121E-2"/>
    <x v="9"/>
  </r>
  <r>
    <s v="WI"/>
    <s v="Children's Cmnty Hlth Plan Inc"/>
    <n v="58"/>
    <n v="91"/>
    <s v="Children's Cmnty Hlth Plan Inc"/>
    <n v="2015"/>
    <x v="1"/>
    <n v="10743.501"/>
    <n v="4598.1099999999997"/>
    <n v="4.521275307487409"/>
    <n v="483.61201640000002"/>
    <n v="237621.03099999999"/>
    <n v="132932"/>
    <n v="1618356"/>
    <n v="146.90653601556147"/>
    <n v="237747.07399999999"/>
    <n v="237747.07399999999"/>
    <n v="207626.99400000001"/>
    <n v="87.331040717666212"/>
    <n v="203512.88399999999"/>
    <n v="384282"/>
    <n v="2849.4249720086309"/>
    <n v="47276"/>
    <n v="12824"/>
    <n v="350.54833423548342"/>
    <n v="3.686525265127885"/>
    <n v="237520.52100000001"/>
    <n v="-100.84599999999045"/>
    <m/>
    <m/>
    <m/>
    <m/>
    <m/>
    <n v="187857.17199999999"/>
    <n v="16267.439"/>
    <n v="0"/>
    <n v="0"/>
    <n v="0"/>
    <n v="3089.395"/>
    <n v="412.98700000000002"/>
    <n v="207626.99400000001"/>
    <n v="180.04599999999999"/>
    <n v="207446.948"/>
    <n v="0.87301470662779246"/>
    <n v="14953.367"/>
    <n v="4598.1099999999997"/>
    <n v="1.9350574647607342E-2"/>
    <n v="226998.42600000001"/>
    <n v="10622.941000000001"/>
    <n v="0"/>
    <s v="Yes"/>
    <x v="0"/>
    <x v="2"/>
    <n v="1.9350602009634409E-2"/>
    <n v="4.5212753074874087E-2"/>
    <x v="0"/>
  </r>
  <r>
    <s v="LA"/>
    <s v="Anthem"/>
    <n v="3"/>
    <n v="92"/>
    <s v="AMERIGROUP Louisiana Inc."/>
    <n v="2015"/>
    <x v="1"/>
    <n v="-3885.73"/>
    <n v="43276.144999999997"/>
    <n v="-0.76745984933364786"/>
    <n v="306.5149649"/>
    <n v="506310.52600000001"/>
    <n v="155124"/>
    <n v="1585798"/>
    <n v="299.84555536077102"/>
    <n v="475494.48200000002"/>
    <n v="475494.48200000002"/>
    <n v="414865.43699999998"/>
    <n v="87.249264230157763"/>
    <n v="394856.94400000002"/>
    <n v="729183"/>
    <n v="5517.8503188930745"/>
    <n v="89564"/>
    <n v="20474"/>
    <n v="677.74584152584373"/>
    <n v="4.3745237862655078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8.5473524206368154E-2"/>
    <n v="-7.6745984933364788E-3"/>
    <x v="6"/>
  </r>
  <r>
    <s v="TX"/>
    <s v="Anthem"/>
    <n v="3"/>
    <n v="93"/>
    <s v="AMERIGROUP Insurance Co."/>
    <n v="2015"/>
    <x v="1"/>
    <n v="-105.099"/>
    <n v="29178.355"/>
    <n v="-2.1369723321343362E-2"/>
    <n v="551.35088169999995"/>
    <n v="491812.63799999998"/>
    <n v="126145"/>
    <n v="1507162"/>
    <n v="326.35490345430685"/>
    <n v="490852.30699999997"/>
    <n v="491869.70899999997"/>
    <n v="425057.58299999998"/>
    <n v="86.416702476793503"/>
    <n v="395745.48"/>
    <n v="503518"/>
    <n v="4009.0023501123305"/>
    <n v="52010"/>
    <n v="12099"/>
    <n v="414.10279717774199"/>
    <n v="4.2987023720968676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5.932819278222777E-2"/>
    <n v="-2.1369723321343362E-4"/>
    <x v="6"/>
  </r>
  <r>
    <s v="KY"/>
    <s v="Humana Inc. "/>
    <n v="8"/>
    <n v="94"/>
    <s v="Humana Health Plan Inc."/>
    <n v="2015"/>
    <x v="0"/>
    <n v="-102885.89"/>
    <n v="523929.15600000002"/>
    <n v="-1.7766724786105241"/>
    <n v="365.98611039999997"/>
    <n v="5790931.7130000005"/>
    <n v="150045"/>
    <n v="1499976"/>
    <n v="705.84477418305346"/>
    <n v="1061870.8910000001"/>
    <n v="1058750.2209999999"/>
    <n v="880644.68"/>
    <n v="83.177756427594659"/>
    <n v="878820.40800000005"/>
    <n v="1226634"/>
    <n v="9813.2290116641871"/>
    <n v="94730"/>
    <n v="23474"/>
    <n v="757.85212563401012"/>
    <n v="4.0355286700178921"/>
    <n v="301161.87300000002"/>
    <n v="3120.6689999999944"/>
    <m/>
    <m/>
    <m/>
    <m/>
    <m/>
    <n v="737156.62600000005"/>
    <n v="-5543.0159999999996"/>
    <n v="0"/>
    <n v="2723.752"/>
    <n v="146307.318"/>
    <n v="0"/>
    <n v="0"/>
    <n v="880644.68"/>
    <n v="615065.80200000003"/>
    <n v="265578.87800000003"/>
    <n v="0.89108108018514109"/>
    <n v="17675.153999999999"/>
    <n v="16922.297999999999"/>
    <n v="5.6778384239784499E-2"/>
    <n v="294099.68199999997"/>
    <n v="3941.5219999999999"/>
    <n v="0"/>
    <s v="Yes"/>
    <x v="1"/>
    <x v="2"/>
    <n v="9.0474069107711469E-2"/>
    <n v="7.7748366616341907E-2"/>
    <x v="3"/>
  </r>
  <r>
    <s v="NM"/>
    <s v="HCSC Insurance Services Co."/>
    <n v="26"/>
    <n v="95"/>
    <s v="HCSC Insurance Services Co."/>
    <n v="2015"/>
    <x v="0"/>
    <n v="-122092.601"/>
    <n v="132551.89499999999"/>
    <n v="-9.3419726071821092"/>
    <n v="478.73782940000001"/>
    <n v="1306925.273"/>
    <n v="125440"/>
    <n v="1489626"/>
    <n v="585.87853528335302"/>
    <n v="872739.89899999998"/>
    <n v="872739.89899999998"/>
    <n v="730805.06099999999"/>
    <n v="83.736868434383325"/>
    <n v="729904.90500000003"/>
    <n v="626776"/>
    <n v="5049.1277676410054"/>
    <n v="596777"/>
    <n v="38389"/>
    <n v="4807.4644239560803"/>
    <n v="15.54552085232749"/>
    <n v="867529.696"/>
    <n v="0"/>
    <m/>
    <m/>
    <m/>
    <m/>
    <m/>
    <n v="646256.16200000001"/>
    <n v="0"/>
    <n v="0"/>
    <n v="0"/>
    <n v="84548.899000000005"/>
    <n v="0"/>
    <n v="0"/>
    <n v="730805.06099999999"/>
    <n v="4216.1719999999996"/>
    <n v="726588.88899999997"/>
    <n v="0.83753777230929505"/>
    <n v="80957.308999999994"/>
    <n v="82854.366999999998"/>
    <n v="9.5506087436573461E-2"/>
    <n v="959965.56499999994"/>
    <n v="-92435.869000000006"/>
    <n v="0"/>
    <s v="No"/>
    <x v="0"/>
    <x v="2"/>
    <n v="0.1014227039130798"/>
    <n v="6.1208611743086935E-2"/>
    <x v="5"/>
  </r>
  <r>
    <s v="KS"/>
    <s v="Centene Corp. "/>
    <n v="2"/>
    <n v="96"/>
    <s v="Sunflower State Hlth Plan Inc."/>
    <n v="2015"/>
    <x v="1"/>
    <n v="20790.661"/>
    <n v="101452.36900000001"/>
    <n v="1.8647125581102735"/>
    <n v="352.17525810000001"/>
    <n v="1114952.5919999999"/>
    <n v="121224"/>
    <n v="1485998"/>
    <n v="728.98785731878513"/>
    <n v="1083274.4979999999"/>
    <n v="1083274.4979999999"/>
    <n v="979202.505"/>
    <n v="90.392832731487431"/>
    <n v="987602.37800000003"/>
    <n v="665985"/>
    <n v="5378.0826084557311"/>
    <n v="58630"/>
    <n v="15109"/>
    <n v="473.45958742878526"/>
    <n v="3.8804685948772253"/>
    <n v="1076247.139"/>
    <n v="0"/>
    <m/>
    <m/>
    <m/>
    <m/>
    <m/>
    <n v="703839.56599999999"/>
    <n v="120140.09699999999"/>
    <n v="0"/>
    <n v="19552.395"/>
    <n v="134830.18400000001"/>
    <n v="0"/>
    <n v="840.26300000000003"/>
    <n v="979202.505"/>
    <n v="5184.12"/>
    <n v="974018.38500000001"/>
    <n v="0.90501368106308155"/>
    <n v="20384.636999999999"/>
    <n v="97463.638999999996"/>
    <n v="9.0558790326317418E-2"/>
    <n v="1056257.068"/>
    <n v="19990.071"/>
    <n v="0"/>
    <s v="No"/>
    <x v="1"/>
    <x v="2"/>
    <n v="9.0992540604811656E-2"/>
    <n v="1.8647125581102736E-2"/>
    <x v="2"/>
  </r>
  <r>
    <s v="KS"/>
    <s v="UnitedHealth Group Inc. "/>
    <n v="1"/>
    <n v="97"/>
    <s v="UnitedHealthcare of the MW Inc"/>
    <n v="2015"/>
    <x v="0"/>
    <n v="13966.672"/>
    <n v="85885.732000000004"/>
    <n v="1.3622960005516653"/>
    <n v="441.61805459999999"/>
    <n v="1025230.346"/>
    <n v="111669"/>
    <n v="1375495"/>
    <n v="625.46782503753195"/>
    <n v="860327.86600000004"/>
    <n v="860327.86600000004"/>
    <n v="715119.55700000003"/>
    <n v="83.121747564085055"/>
    <n v="723313.15500000003"/>
    <n v="1106081"/>
    <n v="9649.5966906459125"/>
    <n v="76994"/>
    <n v="15940"/>
    <n v="671.70582226761996"/>
    <n v="4.8302383939774156"/>
    <n v="342153.44199999998"/>
    <n v="0"/>
    <m/>
    <m/>
    <m/>
    <m/>
    <m/>
    <n v="596831.11499999999"/>
    <n v="20571.645"/>
    <n v="0"/>
    <n v="0"/>
    <n v="97393.615999999995"/>
    <n v="0"/>
    <n v="323.18099999999998"/>
    <n v="715119.55700000003"/>
    <n v="429044.44699999999"/>
    <n v="286075.11"/>
    <n v="0.83610180370478338"/>
    <n v="15267.32"/>
    <n v="27487.845000000001"/>
    <n v="8.0337771379193096E-2"/>
    <n v="328830.27500000002"/>
    <n v="13323.166999999999"/>
    <n v="0"/>
    <s v="No"/>
    <x v="1"/>
    <x v="2"/>
    <n v="8.3772132121418888E-2"/>
    <n v="8.5010392237730534E-2"/>
    <x v="3"/>
  </r>
  <r>
    <s v="KS"/>
    <s v="Anthem"/>
    <n v="3"/>
    <n v="98"/>
    <s v="AMERIGROUP Kansas Inc."/>
    <n v="2015"/>
    <x v="1"/>
    <n v="87160.051000000007"/>
    <n v="61585.235999999997"/>
    <n v="8.6736868238393132"/>
    <n v="526.67973959999995"/>
    <n v="1004878.926"/>
    <n v="112370"/>
    <n v="1345048"/>
    <n v="721.53497496000148"/>
    <n v="932747.52500000002"/>
    <n v="970499.17500000005"/>
    <n v="820596.04700000002"/>
    <n v="84.554017987702053"/>
    <n v="830717.73"/>
    <n v="727229"/>
    <n v="6488.0569317972295"/>
    <n v="100418"/>
    <n v="15932"/>
    <n v="895.89070427226386"/>
    <n v="6.3029123776048204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6.1286225043194906E-2"/>
    <n v="8.6736868238393133E-2"/>
    <x v="3"/>
  </r>
  <r>
    <s v="TX"/>
    <s v="Community First Hlth Plans Inc"/>
    <n v="56"/>
    <n v="99"/>
    <s v="Community First Hlth Plans Inc"/>
    <n v="2015"/>
    <x v="0"/>
    <n v="14584.007"/>
    <n v="21468.6"/>
    <n v="4.1065425740528605"/>
    <n v="623.21640760000003"/>
    <n v="355140.772"/>
    <n v="111871"/>
    <n v="1321303"/>
    <n v="228.75722147001861"/>
    <n v="306633.00900000002"/>
    <n v="302257.603"/>
    <n v="264381.59700000001"/>
    <n v="87.468965007308682"/>
    <n v="266443.565"/>
    <n v="463570"/>
    <n v="4210.1168316427038"/>
    <n v="0"/>
    <n v="0"/>
    <n v="0"/>
    <s v="NA"/>
    <n v="305833.83399999997"/>
    <n v="4375.405999999959"/>
    <m/>
    <m/>
    <m/>
    <m/>
    <m/>
    <n v="185972.70300000001"/>
    <n v="2131.4259999999999"/>
    <n v="0"/>
    <n v="0"/>
    <n v="49278.790999999997"/>
    <n v="26998.677"/>
    <n v="0"/>
    <n v="264381.59700000001"/>
    <n v="662.88400000000001"/>
    <n v="263718.71299999999"/>
    <n v="0.87480955417176121"/>
    <n v="10106.118"/>
    <n v="17827.513999999999"/>
    <n v="5.9137553785691466E-2"/>
    <n v="291652.34499999997"/>
    <n v="9806.0830000000005"/>
    <n v="0"/>
    <s v="Yes"/>
    <x v="0"/>
    <x v="2"/>
    <n v="6.0450958303373846E-2"/>
    <n v="6.4859391623539292E-2"/>
    <x v="5"/>
  </r>
  <r>
    <s v="SC"/>
    <s v="Molina"/>
    <n v="4"/>
    <n v="100"/>
    <s v="Molina Healthcare of SC LLC"/>
    <n v="2015"/>
    <x v="1"/>
    <n v="17330.867999999999"/>
    <n v="48725.374000000003"/>
    <n v="4.6929740568733909"/>
    <n v="750.98105710000004"/>
    <n v="369293.92300000001"/>
    <n v="99443"/>
    <n v="1300049"/>
    <n v="282.92846269640609"/>
    <n v="367820.86499999999"/>
    <n v="367820.86499999999"/>
    <n v="277042.50799999997"/>
    <n v="75.319954456634747"/>
    <n v="292172.91200000001"/>
    <n v="526008"/>
    <n v="4855.2754550020809"/>
    <n v="43196"/>
    <n v="9209"/>
    <n v="398.71727911794096"/>
    <n v="4.6906287327614287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3"/>
    <n v="0.13194198703345575"/>
    <n v="4.6929740568733912E-2"/>
    <x v="0"/>
  </r>
  <r>
    <s v="MI"/>
    <s v="Priority Health Choice Inc. (Spectrum Health System)"/>
    <n v="49"/>
    <n v="101"/>
    <s v="Priority Health Choice Inc. (Spectrum Health System)"/>
    <n v="2015"/>
    <x v="1"/>
    <n v="15164.894"/>
    <n v="41764.758999999998"/>
    <n v="3.3547237827444016"/>
    <n v="364.81256439999999"/>
    <n v="452045.98"/>
    <n v="110535"/>
    <n v="1283404"/>
    <n v="344.346354694235"/>
    <n v="442308.93400000001"/>
    <n v="441935.489"/>
    <n v="378877.49300000002"/>
    <n v="85.731402530562562"/>
    <n v="359341.28"/>
    <n v="1316584"/>
    <n v="12310.237462248831"/>
    <n v="45461"/>
    <n v="10351"/>
    <n v="425.06646387263868"/>
    <n v="4.391942807458217"/>
    <n v="441935.489"/>
    <n v="0"/>
    <m/>
    <m/>
    <m/>
    <m/>
    <m/>
    <n v="277115.598"/>
    <n v="11475.254999999999"/>
    <n v="5163.9620000000004"/>
    <n v="17771.776999999998"/>
    <n v="62689.684999999998"/>
    <n v="0"/>
    <n v="4661.2169999999996"/>
    <n v="378877.49400000001"/>
    <n v="277.00099999999998"/>
    <n v="378600.49300000002"/>
    <n v="0.8566872369917321"/>
    <n v="9066.7270000000008"/>
    <n v="41315.853000000003"/>
    <n v="9.3488425411338713E-2"/>
    <n v="428983.07299999997"/>
    <n v="12952.415999999999"/>
    <n v="0"/>
    <s v="Yes"/>
    <x v="0"/>
    <x v="2"/>
    <n v="9.2390510806002524E-2"/>
    <n v="3.3547237827444017E-2"/>
    <x v="0"/>
  </r>
  <r>
    <s v="SC"/>
    <s v="Centene Corp. "/>
    <n v="2"/>
    <n v="102"/>
    <s v="Absolute Total Care Inc."/>
    <n v="2015"/>
    <x v="1"/>
    <n v="-1437.3810000000001"/>
    <n v="46162.849000000002"/>
    <n v="-0.32992384112191053"/>
    <n v="352.18975060000002"/>
    <n v="435670.54599999997"/>
    <n v="103464"/>
    <n v="1281028"/>
    <n v="336.98591834058271"/>
    <n v="431688.397"/>
    <n v="431688.397"/>
    <n v="373071.24099999998"/>
    <n v="86.421419614852425"/>
    <n v="371348.06900000002"/>
    <n v="661812"/>
    <n v="6199.5085197200997"/>
    <n v="55853"/>
    <n v="11845"/>
    <n v="523.20167865183271"/>
    <n v="4.7153229210637404"/>
    <n v="429126.34100000001"/>
    <n v="0"/>
    <m/>
    <m/>
    <m/>
    <m/>
    <m/>
    <n v="246217.94500000001"/>
    <n v="18311.319"/>
    <n v="0"/>
    <n v="40079.197"/>
    <n v="67031.013999999996"/>
    <n v="0"/>
    <n v="1431.7670000000001"/>
    <n v="373071.24200000003"/>
    <n v="641.1"/>
    <n v="372430.14199999999"/>
    <n v="0.86787993748442482"/>
    <n v="11897.581"/>
    <n v="45429.023999999998"/>
    <n v="0.10586398377255521"/>
    <n v="428555.81699999998"/>
    <n v="570.524"/>
    <n v="0"/>
    <s v="No"/>
    <x v="1"/>
    <x v="2"/>
    <n v="0.10595815903515314"/>
    <n v="-3.2992384112191051E-3"/>
    <x v="6"/>
  </r>
  <r>
    <s v="MN"/>
    <s v="HealthPartners Inc. "/>
    <n v="34"/>
    <n v="103"/>
    <s v="HealthPartners Inc. "/>
    <n v="2015"/>
    <x v="0"/>
    <n v="76815"/>
    <n v="100700"/>
    <n v="5.3904733567529863"/>
    <n v="664.26974259999997"/>
    <n v="1425014"/>
    <n v="104292"/>
    <n v="1262724"/>
    <n v="553.97616581295676"/>
    <n v="699519"/>
    <n v="699519"/>
    <n v="516381"/>
    <n v="73.819438785794233"/>
    <n v="525013"/>
    <n v="1097578"/>
    <n v="10430.573902135384"/>
    <n v="58812"/>
    <n v="7971"/>
    <n v="558.90598420557467"/>
    <n v="7.3782461422657128"/>
    <n v="699519"/>
    <n v="0"/>
    <m/>
    <m/>
    <m/>
    <m/>
    <m/>
    <n v="477086"/>
    <n v="30439"/>
    <n v="0"/>
    <n v="0"/>
    <n v="84908"/>
    <n v="0"/>
    <n v="0"/>
    <n v="592433"/>
    <n v="0"/>
    <n v="592433"/>
    <n v="0.84691480860419799"/>
    <n v="13896"/>
    <n v="39492"/>
    <n v="5.6455936150411924E-2"/>
    <n v="645821"/>
    <n v="53698"/>
    <n v="0"/>
    <s v="Yes"/>
    <x v="0"/>
    <x v="2"/>
    <n v="7.0665972404481636E-2"/>
    <n v="0.19113963973757603"/>
    <x v="8"/>
  </r>
  <r>
    <s v="MO"/>
    <s v="WellCare Health Plans Inc. "/>
    <n v="5"/>
    <n v="104"/>
    <s v="Missouri Care Inc."/>
    <n v="2015"/>
    <x v="1"/>
    <n v="-725.048"/>
    <n v="25995.527999999998"/>
    <n v="-0.23472210622681963"/>
    <n v="349.93520610000002"/>
    <n v="308896.342"/>
    <n v="110109"/>
    <n v="1245177"/>
    <n v="243.21322269845973"/>
    <n v="302843.511"/>
    <n v="302843.511"/>
    <n v="269752.65299999999"/>
    <n v="89.073281481008848"/>
    <n v="266772.94500000001"/>
    <n v="387991"/>
    <n v="3739.140700478727"/>
    <n v="51367"/>
    <n v="15364"/>
    <n v="495.03323623870341"/>
    <n v="3.3433350689924497"/>
    <n v="302745.37300000002"/>
    <n v="0"/>
    <m/>
    <m/>
    <m/>
    <m/>
    <m/>
    <n v="226542.59599999999"/>
    <n v="7415.7030000000004"/>
    <n v="0"/>
    <n v="35789.788999999997"/>
    <n v="4.5650000000000004"/>
    <n v="0"/>
    <n v="0"/>
    <n v="269752.65299999999"/>
    <n v="0"/>
    <n v="269752.65299999999"/>
    <n v="0.89102155493553969"/>
    <n v="6024.5469999999996"/>
    <n v="25610.118999999999"/>
    <n v="8.4592932820809777E-2"/>
    <n v="301387.31900000002"/>
    <n v="1358.0540000000001"/>
    <n v="0"/>
    <s v="No"/>
    <x v="1"/>
    <x v="2"/>
    <n v="8.4156153587600591E-2"/>
    <n v="-2.3472210622681963E-3"/>
    <x v="6"/>
  </r>
  <r>
    <s v="WV"/>
    <s v="Anthem"/>
    <n v="3"/>
    <n v="105"/>
    <s v="UNICARE Health Plan of WV Inc."/>
    <n v="2015"/>
    <x v="1"/>
    <n v="2005.5530000000001"/>
    <n v="17911.508999999998"/>
    <n v="0.63735113254986497"/>
    <n v="548.71790899999996"/>
    <n v="314670.03000000003"/>
    <n v="126548"/>
    <n v="1228936"/>
    <n v="256.05078702226967"/>
    <n v="311652.66800000001"/>
    <n v="314670.03000000003"/>
    <n v="266529.70899999997"/>
    <n v="84.701332694441845"/>
    <n v="254914.84599999999"/>
    <n v="645454"/>
    <n v="6302.5641693302177"/>
    <n v="39780"/>
    <n v="11002"/>
    <n v="388.43357180520383"/>
    <n v="3.615706235229958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5.6921560022732375E-2"/>
    <n v="6.3735113254986498E-3"/>
    <x v="2"/>
  </r>
  <r>
    <s v="DC"/>
    <s v="Independence Health Group Inc. "/>
    <n v="7"/>
    <n v="106"/>
    <s v="AmeriHealth Caritas District"/>
    <n v="2015"/>
    <x v="1"/>
    <n v="9525.0120000000006"/>
    <n v="51536.309000000001"/>
    <n v="1.9954881284632675"/>
    <n v="373.15003050000001"/>
    <n v="477327.42"/>
    <n v="98258"/>
    <n v="1198943"/>
    <n v="380.31832956195581"/>
    <n v="455979.99900000001"/>
    <n v="455979.99900000001"/>
    <n v="367671.73599999998"/>
    <n v="80.633303391888447"/>
    <n v="348563.75599999999"/>
    <n v="645196"/>
    <n v="6457.6481117117328"/>
    <n v="35218"/>
    <n v="7550"/>
    <n v="352.49048536919605"/>
    <n v="4.6646357615894036"/>
    <n v="455979.99900000001"/>
    <n v="0"/>
    <m/>
    <m/>
    <m/>
    <m/>
    <m/>
    <n v="181558.69899999999"/>
    <n v="85103.967000000004"/>
    <n v="0"/>
    <n v="52747.777000000002"/>
    <n v="39824.623"/>
    <n v="8436.6710000000003"/>
    <n v="0"/>
    <n v="367671.73700000002"/>
    <n v="0"/>
    <n v="367671.73700000002"/>
    <n v="0.80633303611196339"/>
    <n v="20770.838"/>
    <n v="47447.972000000002"/>
    <n v="0.10405713431303376"/>
    <n v="435890.54700000002"/>
    <n v="20089.452000000001"/>
    <n v="0"/>
    <s v="No"/>
    <x v="0"/>
    <x v="3"/>
    <n v="0.10796846533559711"/>
    <n v="1.9954881284632676E-2"/>
    <x v="2"/>
  </r>
  <r>
    <s v="TX"/>
    <s v="Cook Children's Health Plan"/>
    <n v="57"/>
    <n v="107"/>
    <s v="Cook Children's Health Plan"/>
    <n v="2015"/>
    <x v="0"/>
    <n v="11284.575000000001"/>
    <n v="19753.191999999999"/>
    <n v="3.7977454145705032"/>
    <n v="630.10910809999996"/>
    <n v="297138.79599999997"/>
    <n v="99099"/>
    <n v="1195887"/>
    <n v="219.43550184925499"/>
    <n v="262006.38800000001"/>
    <n v="262420.06400000001"/>
    <n v="223836.43799999999"/>
    <n v="85.296998479506499"/>
    <n v="222943.258"/>
    <n v="2310316"/>
    <n v="23182.618424650489"/>
    <n v="42114"/>
    <n v="11129"/>
    <n v="422.58842181577359"/>
    <n v="3.7841674903405518"/>
    <n v="260076.83900000001"/>
    <n v="0"/>
    <m/>
    <m/>
    <m/>
    <m/>
    <m/>
    <n v="144011.68100000001"/>
    <n v="26280.448"/>
    <n v="0"/>
    <n v="14393.073"/>
    <n v="37958.784"/>
    <n v="0"/>
    <n v="1192.454"/>
    <n v="223836.43799999999"/>
    <n v="1146.4069999999999"/>
    <n v="222690.03099999999"/>
    <n v="0.8562470685826814"/>
    <n v="9778.3089999999993"/>
    <n v="16963.659"/>
    <n v="6.5225565895162235E-2"/>
    <n v="249431.99900000001"/>
    <n v="10644.84"/>
    <n v="0"/>
    <s v="Yes"/>
    <x v="0"/>
    <x v="3"/>
    <n v="6.647799703677873E-2"/>
    <n v="8.0552018168156242E-2"/>
    <x v="3"/>
  </r>
  <r>
    <s v="NY"/>
    <s v="Cap District Physicians' Hlth"/>
    <n v="46"/>
    <n v="108"/>
    <s v="Cap District Physicians' Hlth"/>
    <n v="2015"/>
    <x v="0"/>
    <n v="85702.312999999995"/>
    <n v="77325.737999999998"/>
    <n v="5.6671019937132145"/>
    <n v="512.71567059999995"/>
    <n v="1512277.5819999999"/>
    <n v="96422"/>
    <n v="1172734"/>
    <n v="419.91208918646515"/>
    <n v="492445.18400000001"/>
    <n v="492445.18400000001"/>
    <n v="435522.69500000001"/>
    <n v="88.440847661939969"/>
    <n v="424501.00699999998"/>
    <n v="669923"/>
    <n v="6854.9867233319746"/>
    <n v="82820"/>
    <n v="14522"/>
    <n v="847.4556037430483"/>
    <n v="5.7030712023137307"/>
    <n v="492445.18400000001"/>
    <n v="0"/>
    <m/>
    <m/>
    <m/>
    <m/>
    <m/>
    <n v="239327.587"/>
    <n v="48662.743000000002"/>
    <n v="0"/>
    <n v="14386.003000000001"/>
    <n v="120809.147"/>
    <n v="10676.608"/>
    <n v="1660.607"/>
    <n v="435522.69500000001"/>
    <n v="5711.7780000000002"/>
    <n v="429810.91700000002"/>
    <n v="0.87280966687248585"/>
    <n v="23728.81"/>
    <n v="18358.897000000001"/>
    <n v="3.7281097666293755E-2"/>
    <n v="471898.62400000001"/>
    <n v="20546.560000000001"/>
    <n v="0"/>
    <s v="No"/>
    <x v="0"/>
    <x v="3"/>
    <n v="5.1131973997614946E-2"/>
    <n v="6.4459549382985357E-2"/>
    <x v="5"/>
  </r>
  <r>
    <s v="IL"/>
    <s v="Molina"/>
    <n v="4"/>
    <n v="109"/>
    <s v="Molina Healthcare of IL Inc"/>
    <n v="2015"/>
    <x v="0"/>
    <n v="-5929.6390000000001"/>
    <n v="40349.794000000002"/>
    <n v="-1.2686066694866822"/>
    <n v="325.78400970000001"/>
    <n v="467413.51299999998"/>
    <n v="94587"/>
    <n v="1157446"/>
    <n v="356.05252772051568"/>
    <n v="412948.18099999998"/>
    <n v="412111.57400000002"/>
    <n v="364436.32799999998"/>
    <n v="88.43147123065269"/>
    <n v="356220.40100000001"/>
    <n v="597698"/>
    <n v="6196.7262403602417"/>
    <n v="403376"/>
    <n v="26402"/>
    <n v="4182.0629212939521"/>
    <n v="15.278236497235058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3"/>
    <n v="8.6325689946409406E-2"/>
    <n v="2.9359597747063676E-2"/>
    <x v="0"/>
  </r>
  <r>
    <s v="MN"/>
    <s v="HMO Minnesota (BCBS-MN)"/>
    <n v="47"/>
    <n v="110"/>
    <s v="HMO Minnesota (BCBS-MN)"/>
    <n v="2015"/>
    <x v="0"/>
    <n v="51955.392"/>
    <n v="43187.499000000003"/>
    <n v="5.8049158033733752"/>
    <n v="1624.7237994"/>
    <n v="895024.04099999997"/>
    <n v="96316"/>
    <n v="1140573"/>
    <n v="463.02156284604325"/>
    <n v="528109.89300000004"/>
    <n v="528109.89300000004"/>
    <n v="439149.484"/>
    <n v="83.154943662454727"/>
    <n v="418367.95699999999"/>
    <n v="540822"/>
    <n v="5690.0031826108452"/>
    <n v="59572"/>
    <n v="12631"/>
    <n v="626.75865551788445"/>
    <n v="4.7163328319214628"/>
    <n v="528109.89300000004"/>
    <n v="0"/>
    <m/>
    <m/>
    <m/>
    <m/>
    <m/>
    <n v="325494.05499999999"/>
    <n v="17148.618999999999"/>
    <n v="439.15"/>
    <n v="14296.002"/>
    <n v="74805.892000000007"/>
    <n v="0"/>
    <n v="6965.7659999999996"/>
    <n v="439149.484"/>
    <n v="0"/>
    <n v="439149.484"/>
    <n v="0.83154943662454728"/>
    <n v="40326.813000000002"/>
    <n v="26884.865000000002"/>
    <n v="5.0907709467961054E-2"/>
    <n v="506361.16200000001"/>
    <n v="21748.731"/>
    <n v="0"/>
    <s v="No"/>
    <x v="0"/>
    <x v="3"/>
    <n v="4.8252892684030158E-2"/>
    <n v="0.12019767069142256"/>
    <x v="4"/>
  </r>
  <r>
    <s v="OR"/>
    <s v="Centene Corp. "/>
    <n v="2"/>
    <n v="111"/>
    <s v="Trillium Cmnty Health Plan Inc"/>
    <n v="2015"/>
    <x v="0"/>
    <n v="14122.023999999999"/>
    <n v="33966.483999999997"/>
    <n v="2.7008065579220237"/>
    <n v="256.39712709999998"/>
    <n v="522881.728"/>
    <n v="95704"/>
    <n v="1138973"/>
    <n v="386.68552546899707"/>
    <n v="440424.37300000002"/>
    <n v="440424.37300000002"/>
    <n v="391252.57900000003"/>
    <n v="88.835360390011843"/>
    <n v="364439.00900000002"/>
    <n v="771591"/>
    <n v="8129.3340579627438"/>
    <n v="40695"/>
    <n v="8252"/>
    <n v="428.75467636195066"/>
    <n v="4.9315317498788174"/>
    <n v="437731.6"/>
    <n v="-30478.210000000021"/>
    <m/>
    <m/>
    <m/>
    <m/>
    <m/>
    <n v="254355.39199999999"/>
    <n v="42641.021000000001"/>
    <n v="0"/>
    <n v="34312.078999999998"/>
    <n v="54346.048000000003"/>
    <n v="0"/>
    <n v="5598.0389999999998"/>
    <n v="391252.57900000003"/>
    <n v="6160.7790000000005"/>
    <n v="385091.8"/>
    <n v="0.82247700021492498"/>
    <n v="19242.673999999999"/>
    <n v="27676.871999999999"/>
    <n v="5.9112114716263632E-2"/>
    <n v="432011.34600000002"/>
    <n v="36198.464"/>
    <n v="0"/>
    <s v="No"/>
    <x v="1"/>
    <x v="3"/>
    <n v="6.4960166288312138E-2"/>
    <n v="4.6686229811569446E-2"/>
    <x v="0"/>
  </r>
  <r>
    <s v="TX"/>
    <s v="St. Joseph Health System (SHA)"/>
    <n v="51"/>
    <n v="112"/>
    <s v="St. Joseph Health System (SHA)"/>
    <n v="2015"/>
    <x v="0"/>
    <n v="-1170.81"/>
    <n v="60806.021000000001"/>
    <n v="-0.2295531646999891"/>
    <n v="392.91499729999998"/>
    <n v="510038.71"/>
    <n v="95530"/>
    <n v="1131873"/>
    <n v="240.1892323608744"/>
    <n v="271996.75"/>
    <n v="271863.70699999999"/>
    <n v="225115.611"/>
    <n v="82.804583768880931"/>
    <n v="227101.88200000001"/>
    <n v="439339"/>
    <n v="4657.826452260987"/>
    <n v="57566"/>
    <n v="18601"/>
    <n v="610.30875372060291"/>
    <n v="3.0947798505456694"/>
    <n v="269592.80499999999"/>
    <n v="133.04300000000512"/>
    <m/>
    <m/>
    <m/>
    <m/>
    <m/>
    <n v="163334.73800000001"/>
    <n v="0"/>
    <n v="15525.924999999999"/>
    <n v="9547.2620000000006"/>
    <n v="36676.720000000001"/>
    <n v="0"/>
    <n v="0"/>
    <n v="225084.64499999999"/>
    <n v="2933.5050000000001"/>
    <n v="222151.139"/>
    <n v="0.82443158618985202"/>
    <n v="8850.7080000000005"/>
    <n v="28793.447"/>
    <n v="0.10685620289384803"/>
    <n v="259795.29399999999"/>
    <n v="9664.4680000000008"/>
    <n v="0"/>
    <s v="Yes"/>
    <x v="0"/>
    <x v="3"/>
    <n v="0.11921844324325892"/>
    <n v="5.273571906793173E-2"/>
    <x v="5"/>
  </r>
  <r>
    <s v="IL"/>
    <s v="Anthem"/>
    <n v="3"/>
    <n v="113"/>
    <s v="Better Health Inc."/>
    <n v="2015"/>
    <x v="1"/>
    <n v="-191.66800000000001"/>
    <n v="23717.325000000001"/>
    <n v="-7.1694824382392788E-2"/>
    <n v="157.241637"/>
    <n v="267338.68400000001"/>
    <n v="95517"/>
    <n v="1115606"/>
    <n v="240.2728203326264"/>
    <n v="268049.8"/>
    <n v="268049.8"/>
    <n v="238295.29300000001"/>
    <n v="88.899634694747022"/>
    <n v="231603.36600000001"/>
    <n v="577425"/>
    <n v="6211.0637626545576"/>
    <n v="39289"/>
    <n v="8206"/>
    <n v="422.61156716618592"/>
    <n v="4.7878381671947352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3"/>
    <n v="8.8716397661327606E-2"/>
    <n v="-7.1694824382392787E-4"/>
    <x v="6"/>
  </r>
  <r>
    <s v="FL"/>
    <s v="Anthem"/>
    <n v="3"/>
    <n v="114"/>
    <s v="Simply Healthcare Plans Inc."/>
    <n v="2015"/>
    <x v="0"/>
    <n v="21810.919000000002"/>
    <n v="85788.144"/>
    <n v="2.2116016996021921"/>
    <n v="130.84963730000001"/>
    <n v="986204.65899999999"/>
    <n v="91310"/>
    <n v="1100918"/>
    <n v="552.58132394964935"/>
    <n v="607708.34"/>
    <n v="608346.72600000002"/>
    <n v="523526.84700000001"/>
    <n v="86.057313144806827"/>
    <n v="523848.16100000002"/>
    <n v="526426"/>
    <n v="5738.0404353457752"/>
    <n v="50774"/>
    <n v="9034"/>
    <n v="553.43631405790438"/>
    <n v="5.6203232233783487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3"/>
    <n v="8.6988175544605695E-2"/>
    <n v="5.2438693007326065E-2"/>
    <x v="5"/>
  </r>
  <r>
    <s v="MI"/>
    <s v="HAP Midwest Health Plan Inc."/>
    <n v="32"/>
    <n v="115"/>
    <s v="HAP Midwest Health Plan Inc."/>
    <n v="2015"/>
    <x v="0"/>
    <n v="27483.353999999999"/>
    <n v="49048.805999999997"/>
    <n v="5.4756592389746963"/>
    <n v="418.5532905"/>
    <n v="501918.63299999997"/>
    <n v="85471"/>
    <n v="1094918"/>
    <n v="408.10576225799559"/>
    <n v="446842.34499999997"/>
    <n v="446842.34499999997"/>
    <n v="355434.016"/>
    <n v="79.543494473425525"/>
    <n v="342979.69900000002"/>
    <n v="652394"/>
    <n v="7150.058725858923"/>
    <n v="40032"/>
    <n v="9090"/>
    <n v="438.73970470848047"/>
    <n v="4.4039603960396043"/>
    <n v="445129.886"/>
    <n v="923.92499999998836"/>
    <m/>
    <m/>
    <m/>
    <m/>
    <m/>
    <n v="233170.08300000001"/>
    <n v="37953.716999999997"/>
    <n v="5952.0190000000002"/>
    <n v="23385.918000000001"/>
    <n v="50737.754000000001"/>
    <n v="0"/>
    <n v="4234.5259999999998"/>
    <n v="355434.016"/>
    <n v="1070.0060000000001"/>
    <n v="354364.01"/>
    <n v="0.79774708381277215"/>
    <n v="4016.2510000000002"/>
    <n v="42276.650999999998"/>
    <n v="9.5173533702308868E-2"/>
    <n v="400656.913"/>
    <n v="43549.048000000003"/>
    <n v="0"/>
    <s v="Yes"/>
    <x v="0"/>
    <x v="3"/>
    <n v="9.7722624296356822E-2"/>
    <n v="0.10684243096938793"/>
    <x v="4"/>
  </r>
  <r>
    <s v="WV"/>
    <s v="Aetna"/>
    <n v="6"/>
    <n v="116"/>
    <s v="Coventry Health Care of WV Inc"/>
    <n v="2015"/>
    <x v="0"/>
    <n v="18554.403999999999"/>
    <n v="18856.95"/>
    <n v="5.4128135584917505"/>
    <n v="564.33505700000001"/>
    <n v="342786.68199999997"/>
    <n v="121537"/>
    <n v="1084029"/>
    <n v="272.47846136957588"/>
    <n v="295374.554"/>
    <n v="295374.554"/>
    <n v="247904.538"/>
    <n v="83.928874252316263"/>
    <n v="232998.78599999999"/>
    <n v="410723"/>
    <n v="4546.6274426237678"/>
    <n v="45762"/>
    <n v="11595"/>
    <n v="506.57685357126053"/>
    <n v="3.9467011642949545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2"/>
    <n v="5.5010742803595858E-2"/>
    <n v="0.10570051467324149"/>
    <x v="4"/>
  </r>
  <r>
    <s v="UT"/>
    <s v="SelectHealth Inc. (Intermountain)"/>
    <n v="54"/>
    <n v="117"/>
    <s v="SelectHealth Inc. (Intermountain)"/>
    <n v="2015"/>
    <x v="0"/>
    <n v="-373979"/>
    <n v="161548.28400000001"/>
    <n v="-18.429796560645116"/>
    <n v="356.92174290000003"/>
    <n v="2029208.5090000001"/>
    <n v="96293"/>
    <n v="1074124"/>
    <n v="267.87052332877767"/>
    <n v="287726.158"/>
    <n v="287726.158"/>
    <n v="261752.234"/>
    <n v="90.972692861661884"/>
    <n v="258094.745"/>
    <n v="574666"/>
    <n v="6420.1079205007991"/>
    <n v="39145"/>
    <n v="10780"/>
    <n v="437.32380991393916"/>
    <n v="3.63126159554731"/>
    <n v="287439.91899999999"/>
    <n v="-728.52199999999721"/>
    <m/>
    <m/>
    <m/>
    <m/>
    <m/>
    <n v="144344.397"/>
    <n v="14231.45"/>
    <n v="0"/>
    <n v="25760.577000000001"/>
    <n v="39450.224999999999"/>
    <n v="8144.4830000000002"/>
    <n v="29821.101999999999"/>
    <n v="261752.234"/>
    <n v="402.94"/>
    <n v="261349.29399999999"/>
    <n v="0.9069323937523055"/>
    <n v="13083.915000000001"/>
    <n v="6825.4520000000002"/>
    <n v="2.3685633223105095E-2"/>
    <n v="281258.66100000002"/>
    <n v="6909.78"/>
    <n v="0"/>
    <s v="Yes"/>
    <x v="0"/>
    <x v="3"/>
    <n v="7.9611475747069227E-2"/>
    <n v="1.0661595636311916E-2"/>
    <x v="2"/>
  </r>
  <r>
    <s v="MI"/>
    <s v="Blue Cross Complete of MI LLC (BCBS-MI)"/>
    <n v="55"/>
    <n v="118"/>
    <s v="Blue Cross Complete of MI LLC (BCBS-MI)"/>
    <n v="2015"/>
    <x v="1"/>
    <n v="-1158.5809999999999"/>
    <n v="53119.267999999996"/>
    <n v="-0.27687314048234879"/>
    <n v="328.47108659999998"/>
    <n v="418451.93"/>
    <n v="88533"/>
    <n v="1036110"/>
    <n v="407.81775101099305"/>
    <n v="422544.05"/>
    <n v="422544.05"/>
    <n v="357394.26"/>
    <n v="84.581538895175541"/>
    <n v="353756.47700000001"/>
    <n v="719272"/>
    <n v="8330.4513999478822"/>
    <n v="52469"/>
    <n v="11603"/>
    <n v="607.68451226221157"/>
    <n v="4.5220201671981384"/>
    <n v="418451.93"/>
    <n v="0"/>
    <m/>
    <m/>
    <m/>
    <m/>
    <m/>
    <n v="186233.36199999999"/>
    <n v="16400.326000000001"/>
    <n v="0"/>
    <n v="17002.722000000002"/>
    <n v="41357.394"/>
    <n v="93935.796000000002"/>
    <n v="2464.66"/>
    <n v="357394.26"/>
    <n v="-1345.5920000000001"/>
    <n v="358739.85200000001"/>
    <n v="0.85730241942007535"/>
    <n v="11809.096"/>
    <n v="53119.267999999996"/>
    <n v="0.1269423419794001"/>
    <n v="420058.21600000001"/>
    <n v="-1606.2860000000001"/>
    <n v="0"/>
    <s v="No"/>
    <x v="0"/>
    <x v="3"/>
    <n v="0.1269423419794001"/>
    <n v="-2.7687314048234881E-3"/>
    <x v="6"/>
  </r>
  <r>
    <s v="NE"/>
    <s v="Aetna"/>
    <n v="6"/>
    <n v="119"/>
    <s v="Coventry Health Care of NE Inc"/>
    <n v="2015"/>
    <x v="0"/>
    <n v="-4188.7"/>
    <n v="66277.998000000007"/>
    <n v="-0.69420031821644057"/>
    <n v="364.1670641"/>
    <n v="603384.91500000004"/>
    <n v="86956"/>
    <n v="1028247"/>
    <n v="269.56139526786853"/>
    <n v="277175.696"/>
    <n v="277175.696"/>
    <n v="240614.41"/>
    <n v="86.809346372129255"/>
    <n v="237052.85800000001"/>
    <n v="457091"/>
    <n v="5334.410895436602"/>
    <n v="37227"/>
    <n v="9917"/>
    <n v="434.45203341220542"/>
    <n v="3.75385701320964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3"/>
    <n v="0.1098436443343964"/>
    <n v="2.2062891944311006E-2"/>
    <x v="2"/>
  </r>
  <r>
    <s v="NM"/>
    <s v="UnitedHealth Group Inc. "/>
    <n v="1"/>
    <n v="120"/>
    <s v="UnitedHealthcare of New Mexico"/>
    <n v="2015"/>
    <x v="1"/>
    <n v="14946.959000000001"/>
    <n v="97777.447"/>
    <n v="1.6265908634431141"/>
    <n v="1578.7059435000001"/>
    <n v="918913.25199999998"/>
    <n v="86539"/>
    <n v="1012031"/>
    <n v="908.2427060040651"/>
    <n v="943962.02399999998"/>
    <n v="919169.77399999998"/>
    <n v="761736.397"/>
    <n v="82.872219969234976"/>
    <n v="745129.473"/>
    <n v="1439884"/>
    <n v="17073.200326867456"/>
    <n v="848870"/>
    <n v="54080"/>
    <n v="10065.343848162755"/>
    <n v="15.696560650887575"/>
    <n v="943705.50300000003"/>
    <n v="24792.251000000047"/>
    <m/>
    <m/>
    <m/>
    <m/>
    <m/>
    <n v="676334.745"/>
    <n v="36183.887000000002"/>
    <n v="0"/>
    <n v="0"/>
    <n v="48946.277999999998"/>
    <n v="0"/>
    <n v="271.48700000000002"/>
    <n v="761736.397"/>
    <n v="2404.3249999999998"/>
    <n v="759332.07200000004"/>
    <n v="0.82633705667790291"/>
    <n v="45351.415000000001"/>
    <n v="97777.447"/>
    <n v="0.10640552499073112"/>
    <n v="902460.93400000001"/>
    <n v="16452.317999999999"/>
    <n v="0"/>
    <s v="No"/>
    <x v="1"/>
    <x v="3"/>
    <n v="0.10640552499073112"/>
    <n v="1.6265908634431142E-2"/>
    <x v="2"/>
  </r>
  <r>
    <s v="WI"/>
    <s v="Anthem"/>
    <n v="3"/>
    <n v="121"/>
    <s v="Compcare Health Svcs Ins Corp."/>
    <n v="2015"/>
    <x v="0"/>
    <n v="6819.2610000000004"/>
    <n v="67606.489000000001"/>
    <n v="1.0011369847085196"/>
    <n v="416.79335120000002"/>
    <n v="681151.64099999995"/>
    <n v="83502"/>
    <n v="1002996"/>
    <n v="177.45518327092032"/>
    <n v="177986.83900000001"/>
    <n v="177986.83900000001"/>
    <n v="139305.60000000001"/>
    <n v="78.26735998159954"/>
    <n v="137892.52600000001"/>
    <n v="452867"/>
    <n v="5418.171159207016"/>
    <n v="33429"/>
    <n v="9045"/>
    <n v="399.94975054736011"/>
    <n v="3.6958540630182419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3"/>
    <n v="9.9253213132903556E-2"/>
    <n v="0.11807318705110106"/>
    <x v="4"/>
  </r>
  <r>
    <s v="SC"/>
    <s v="BlueChoice HealthPlan of SC/BCBS-SC"/>
    <n v="52"/>
    <n v="122"/>
    <s v="BlueChoice HealthPlan of SC/BCBS-SC"/>
    <n v="2015"/>
    <x v="0"/>
    <n v="14440.432000000001"/>
    <n v="75693.248000000007"/>
    <n v="2.1734262981094461"/>
    <n v="1007.920202"/>
    <n v="664408.63500000001"/>
    <n v="79150"/>
    <n v="986926"/>
    <n v="329.49806976409576"/>
    <n v="325190.212"/>
    <n v="325190.212"/>
    <n v="260850.09899999999"/>
    <n v="80.214621896430259"/>
    <n v="266321.55900000001"/>
    <n v="682008"/>
    <n v="8292.5123058871686"/>
    <n v="48867"/>
    <n v="12062"/>
    <n v="594.17220744007147"/>
    <n v="4.0513181893549994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0"/>
    <x v="3"/>
    <n v="0.11392574390608275"/>
    <n v="8.3928037129614649E-2"/>
    <x v="3"/>
  </r>
  <r>
    <s v="MO"/>
    <s v="Centene Corp. "/>
    <n v="2"/>
    <n v="124"/>
    <s v="Home State Health Plan Inc."/>
    <n v="2015"/>
    <x v="1"/>
    <n v="-15593.918"/>
    <n v="25288.75"/>
    <n v="-5.8494033224635542"/>
    <n v="341.20673579999999"/>
    <n v="266589.89199999999"/>
    <n v="93506"/>
    <n v="982990"/>
    <n v="278.18305272688428"/>
    <n v="273451.15899999999"/>
    <n v="273451.15899999999"/>
    <n v="257875.84299999999"/>
    <n v="94.304168957645572"/>
    <n v="240003.18799999999"/>
    <n v="359392"/>
    <n v="4387.3325262718845"/>
    <n v="48837"/>
    <n v="10412"/>
    <n v="596.18510869896943"/>
    <n v="4.690453323088744"/>
    <n v="266589.89199999999"/>
    <n v="0"/>
    <m/>
    <m/>
    <m/>
    <m/>
    <m/>
    <n v="180312.02600000001"/>
    <n v="29376.377"/>
    <n v="0"/>
    <n v="47845.129000000001"/>
    <n v="0"/>
    <n v="0"/>
    <n v="342.31099999999998"/>
    <n v="257875.84299999999"/>
    <n v="5079.2650000000003"/>
    <n v="252796.57800000001"/>
    <n v="0.94826017634607096"/>
    <n v="8183.8680000000004"/>
    <n v="25288.75"/>
    <n v="9.4860123203770991E-2"/>
    <n v="287437.973"/>
    <n v="-20848.080999999998"/>
    <n v="0"/>
    <s v="No"/>
    <x v="1"/>
    <x v="3"/>
    <n v="9.4860123203770991E-2"/>
    <n v="-5.849403322463554E-2"/>
    <x v="10"/>
  </r>
  <r>
    <s v="RI"/>
    <s v="UnitedHealth Group Inc. "/>
    <n v="1"/>
    <n v="125"/>
    <s v="UnitedHealthcare (New England)"/>
    <n v="2015"/>
    <x v="0"/>
    <n v="27515.048999999999"/>
    <n v="53702.328999999998"/>
    <n v="3.5803215898070451"/>
    <n v="580.9165405"/>
    <n v="768507.75300000003"/>
    <n v="84208"/>
    <n v="981091"/>
    <n v="518.15630354370796"/>
    <n v="508358.48599999998"/>
    <n v="508358.48599999998"/>
    <n v="417246.34399999998"/>
    <n v="82.077186766977661"/>
    <n v="403870.70899999997"/>
    <n v="822463"/>
    <n v="10059.776310250527"/>
    <n v="68505"/>
    <n v="14977"/>
    <n v="837.9039253239506"/>
    <n v="4.5740134873472655"/>
    <n v="507232.326"/>
    <n v="0"/>
    <m/>
    <m/>
    <m/>
    <m/>
    <m/>
    <n v="348998.185"/>
    <n v="0"/>
    <n v="0"/>
    <n v="0"/>
    <n v="87311.262000000002"/>
    <n v="0"/>
    <n v="187.23699999999999"/>
    <n v="436496.68400000001"/>
    <n v="363.47800000000001"/>
    <n v="436133.20600000001"/>
    <n v="0.85982928067561692"/>
    <n v="19890.440999999999"/>
    <n v="30225.835999999999"/>
    <n v="5.9589727331376748E-2"/>
    <n v="486249.48300000001"/>
    <n v="20982.843000000001"/>
    <n v="0"/>
    <s v="No"/>
    <x v="1"/>
    <x v="3"/>
    <n v="6.9878708172251836E-2"/>
    <n v="0.10934942415797155"/>
    <x v="4"/>
  </r>
  <r>
    <s v="WI"/>
    <s v="Molina"/>
    <n v="4"/>
    <n v="126"/>
    <s v="Molina Healthcare of WI Inc."/>
    <n v="2015"/>
    <x v="0"/>
    <n v="4188.4279999999999"/>
    <n v="40778.258000000002"/>
    <n v="1.5744181421315759"/>
    <n v="346.9113845"/>
    <n v="266030.217"/>
    <n v="73312"/>
    <n v="933285"/>
    <n v="156.3701452396642"/>
    <n v="145937.91099999999"/>
    <n v="145937.91099999999"/>
    <n v="102380.626"/>
    <n v="70.1535504369389"/>
    <n v="110333.034"/>
    <n v="353681"/>
    <n v="4547.5626416367986"/>
    <n v="26817"/>
    <n v="6962"/>
    <n v="344.80785612112055"/>
    <n v="3.8519103705831657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3"/>
    <n v="0.15328430905275697"/>
    <n v="0.14518018657785398"/>
    <x v="4"/>
  </r>
  <r>
    <s v="NY"/>
    <s v="Independent Health Assn."/>
    <n v="50"/>
    <n v="127"/>
    <s v="Independent Health Assn."/>
    <n v="2015"/>
    <x v="0"/>
    <n v="-43876.733999999997"/>
    <n v="116549.136"/>
    <n v="-2.9101841532544617"/>
    <n v="654.11699320000002"/>
    <n v="1507696.135"/>
    <n v="79563"/>
    <n v="908135"/>
    <n v="430.44276566809998"/>
    <n v="390900.141"/>
    <n v="390900.141"/>
    <n v="365769.60399999999"/>
    <n v="93.571110786578089"/>
    <n v="352602.913"/>
    <n v="484729"/>
    <n v="6405.157823451359"/>
    <n v="56037"/>
    <n v="11624"/>
    <n v="740.46700105160573"/>
    <n v="4.8208017894012389"/>
    <n v="388142.58299999998"/>
    <n v="0"/>
    <m/>
    <m/>
    <m/>
    <m/>
    <m/>
    <n v="208074.046"/>
    <n v="21792.466"/>
    <n v="0"/>
    <n v="23926.346000000001"/>
    <n v="100650.02499999999"/>
    <n v="9373.2960000000003"/>
    <n v="1953.425"/>
    <n v="365769.60399999999"/>
    <n v="3535.04"/>
    <n v="362234.56400000001"/>
    <n v="0.93325128410350178"/>
    <n v="9949.6720000000005"/>
    <n v="26195.164000000001"/>
    <n v="6.7488508469064318E-2"/>
    <n v="373879.39899999998"/>
    <n v="14263.183999999999"/>
    <n v="0"/>
    <s v="No"/>
    <x v="0"/>
    <x v="3"/>
    <n v="7.730280213260611E-2"/>
    <n v="-1.3013909998387044E-2"/>
    <x v="6"/>
  </r>
  <r>
    <s v="KY"/>
    <s v="Anthem"/>
    <n v="3"/>
    <n v="128"/>
    <s v="Anthem KY Mngd Care Plan Inc."/>
    <n v="2015"/>
    <x v="1"/>
    <n v="61870.26"/>
    <n v="21523.178"/>
    <n v="12.616372702339698"/>
    <n v="725.65193599999998"/>
    <n v="490396.57799999998"/>
    <n v="92929"/>
    <n v="903414"/>
    <n v="538.89571115789659"/>
    <n v="493212.24400000001"/>
    <n v="486845.93"/>
    <n v="351304.55699999997"/>
    <n v="72.159288052382394"/>
    <n v="321938.58299999998"/>
    <n v="522793"/>
    <n v="6944.2315483266811"/>
    <n v="67921"/>
    <n v="13365"/>
    <n v="902.19102205633294"/>
    <n v="5.0820052375607929"/>
    <n v="4161.7929999999997"/>
    <s v="-"/>
    <m/>
    <m/>
    <m/>
    <m/>
    <m/>
    <n v="-2361.634"/>
    <n v="-252.393"/>
    <n v="0"/>
    <n v="-71.227000000000004"/>
    <n v="-29.456"/>
    <n v="0"/>
    <n v="0"/>
    <n v="-2714.71"/>
    <n v="0"/>
    <n v="-2714.71"/>
    <s v="-"/>
    <n v="1718.366"/>
    <n v="7472.9769999999999"/>
    <s v="-"/>
    <n v="6476.6329999999998"/>
    <n v="10425.224"/>
    <s v="-"/>
    <s v="No"/>
    <x v="1"/>
    <x v="3"/>
    <n v="4.388933154423439E-2"/>
    <n v="0.12616372702339698"/>
    <x v="4"/>
  </r>
  <r>
    <s v="UT"/>
    <s v="Molina"/>
    <n v="4"/>
    <n v="129"/>
    <s v="Molina Healthcare of Utah Inc."/>
    <n v="2015"/>
    <x v="0"/>
    <n v="577.98"/>
    <n v="35788.862000000001"/>
    <n v="0.16814128378136373"/>
    <n v="434.27994519999999"/>
    <n v="343746.63199999998"/>
    <n v="79654"/>
    <n v="898935"/>
    <n v="235.74636542130409"/>
    <n v="211920.658"/>
    <n v="211920.65900000001"/>
    <n v="173369.13800000001"/>
    <n v="81.808512118679275"/>
    <n v="174183.75399999999"/>
    <n v="420108"/>
    <n v="5608.0762235311786"/>
    <n v="30470"/>
    <n v="7583"/>
    <n v="406.74798511572027"/>
    <n v="4.0181986021363576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3"/>
    <n v="0.10411407318166831"/>
    <n v="7.7800805631538919E-2"/>
    <x v="3"/>
  </r>
  <r>
    <s v="MA"/>
    <s v="Health New England Inc."/>
    <n v="68"/>
    <n v="130"/>
    <s v="Health New England Inc."/>
    <n v="2015"/>
    <x v="0"/>
    <n v="-20468.187000000002"/>
    <n v="48600.421999999999"/>
    <n v="-2.2780942423462616"/>
    <n v="115.4355388"/>
    <n v="898478.50100000005"/>
    <n v="81894"/>
    <n v="863888"/>
    <n v="446.11794815994665"/>
    <n v="385395.94199999998"/>
    <n v="385395.94199999998"/>
    <n v="382186.94300000003"/>
    <n v="99.167350080712595"/>
    <n v="369829.47100000002"/>
    <n v="449010"/>
    <n v="6237.0585075843164"/>
    <n v="27570"/>
    <n v="12583"/>
    <n v="382.96631044765064"/>
    <n v="2.1910514185806247"/>
    <n v="385395.94199999998"/>
    <n v="0"/>
    <m/>
    <m/>
    <m/>
    <m/>
    <m/>
    <n v="271936.89"/>
    <n v="1128.4190000000001"/>
    <n v="0"/>
    <n v="22346.637999999999"/>
    <n v="81083.11"/>
    <n v="3584.3919999999998"/>
    <n v="2107.4940000000001"/>
    <n v="382186.94300000003"/>
    <n v="0"/>
    <n v="382186.94300000003"/>
    <n v="0.99167350080712591"/>
    <n v="6669.4459999999999"/>
    <n v="12848.281999999999"/>
    <n v="3.333787567488191E-2"/>
    <n v="401704.67099999997"/>
    <n v="-16308.728999999999"/>
    <n v="0"/>
    <s v="Yes"/>
    <x v="0"/>
    <x v="3"/>
    <n v="5.4091914214873346E-2"/>
    <n v="-4.5765415021999253E-2"/>
    <x v="9"/>
  </r>
  <r>
    <s v="NH"/>
    <s v="Centene Corp. "/>
    <n v="2"/>
    <n v="131"/>
    <s v="Granite State Health Plan Inc."/>
    <n v="2015"/>
    <x v="1"/>
    <n v="-16726.165000000001"/>
    <n v="35045.786"/>
    <n v="-5.1346295426195958"/>
    <n v="706.49020559999997"/>
    <n v="325752.12800000003"/>
    <n v="72337"/>
    <n v="849106"/>
    <n v="388.59331226018895"/>
    <n v="329956.913"/>
    <n v="329956.913"/>
    <n v="302683.06300000002"/>
    <n v="91.734117721000743"/>
    <n v="303048.42"/>
    <n v="344171"/>
    <n v="4864.0004899270525"/>
    <n v="28023"/>
    <n v="6179"/>
    <n v="396.03535954286036"/>
    <n v="4.5351998705292118"/>
    <n v="325752.12800000003"/>
    <n v="0"/>
    <m/>
    <m/>
    <m/>
    <m/>
    <m/>
    <n v="136408.54399999999"/>
    <n v="62619.337"/>
    <n v="0"/>
    <n v="24575.665000000001"/>
    <n v="79079.516000000003"/>
    <n v="0"/>
    <n v="0"/>
    <n v="302683.06199999998"/>
    <n v="426.48399999999998"/>
    <n v="302256.57799999998"/>
    <n v="0.92787291937506533"/>
    <n v="9538.1640000000007"/>
    <n v="35045.786999999997"/>
    <n v="0.1075842150753348"/>
    <n v="348597.25599999999"/>
    <n v="-22845.128000000001"/>
    <n v="0"/>
    <s v="No"/>
    <x v="1"/>
    <x v="3"/>
    <n v="0.10758421200551604"/>
    <n v="-5.1346295426195961E-2"/>
    <x v="10"/>
  </r>
  <r>
    <s v="SC"/>
    <s v="WellCare Health Plans Inc. "/>
    <n v="5"/>
    <n v="132"/>
    <s v="WellCare of South Carolina Inc"/>
    <n v="2015"/>
    <x v="1"/>
    <n v="12493.064"/>
    <n v="22045.588"/>
    <n v="5.6089993623786123"/>
    <n v="609.80874340000003"/>
    <n v="222732.49100000001"/>
    <n v="59726"/>
    <n v="782557"/>
    <n v="284.7545967897546"/>
    <n v="222836.70300000001"/>
    <n v="222836.70300000001"/>
    <n v="172565.05900000001"/>
    <n v="77.440141896193836"/>
    <n v="169266.511"/>
    <n v="302800"/>
    <n v="4643.2400451340927"/>
    <n v="35290"/>
    <n v="7185"/>
    <n v="541.14907923640067"/>
    <n v="4.911621433542102"/>
    <n v="222732.49100000001"/>
    <n v="0"/>
    <m/>
    <m/>
    <m/>
    <m/>
    <m/>
    <n v="115840.265"/>
    <n v="2159.0450000000001"/>
    <n v="0"/>
    <n v="17421.947"/>
    <n v="37143.803"/>
    <n v="0"/>
    <n v="0"/>
    <n v="172565.06"/>
    <n v="0"/>
    <n v="172565.06"/>
    <n v="0.77476375011672627"/>
    <n v="3871.3240000000001"/>
    <n v="22045.588"/>
    <n v="9.8977872069863387E-2"/>
    <n v="198481.97200000001"/>
    <n v="24250.519"/>
    <n v="0"/>
    <s v="No"/>
    <x v="1"/>
    <x v="3"/>
    <n v="9.8977872069863387E-2"/>
    <n v="5.6089993623786125E-2"/>
    <x v="5"/>
  </r>
  <r>
    <s v="HI"/>
    <s v="AlohaCare"/>
    <n v="59"/>
    <n v="133"/>
    <s v="AlohaCare"/>
    <n v="2015"/>
    <x v="0"/>
    <n v="-19174.86"/>
    <n v="17330.649000000001"/>
    <n v="-7.0757381433481061"/>
    <n v="449.02560590000002"/>
    <n v="270994.48300000001"/>
    <n v="67584"/>
    <n v="777057"/>
    <n v="338.69813282680678"/>
    <n v="235195.37899999999"/>
    <n v="263187.755"/>
    <n v="262023.53099999999"/>
    <n v="99.557645073571138"/>
    <n v="252830.66200000001"/>
    <n v="363034"/>
    <n v="5606.2914303583902"/>
    <n v="58111"/>
    <n v="6766"/>
    <n v="897.40134893579238"/>
    <n v="8.588678687555424"/>
    <n v="263187.755"/>
    <n v="-390.67399999999907"/>
    <m/>
    <m/>
    <m/>
    <m/>
    <m/>
    <n v="178089.87100000001"/>
    <n v="12625.589"/>
    <n v="0"/>
    <n v="23341.712"/>
    <n v="31168.368999999999"/>
    <n v="15326.129000000001"/>
    <n v="1471.86"/>
    <n v="262023.53099999999"/>
    <n v="2671.8110000000001"/>
    <n v="259351.72"/>
    <n v="0.98396413160198326"/>
    <n v="6322.6559999999999"/>
    <n v="13974.021000000001"/>
    <n v="5.3016557739632028E-2"/>
    <n v="279648.397"/>
    <n v="-16069.967000000001"/>
    <n v="0"/>
    <s v="Yes"/>
    <x v="0"/>
    <x v="3"/>
    <n v="6.3952036248649397E-2"/>
    <n v="-5.9528486984360723E-2"/>
    <x v="10"/>
  </r>
  <r>
    <s v="TX"/>
    <s v="El Paso First Health Plans Inc"/>
    <n v="65"/>
    <n v="134"/>
    <s v="El Paso First Health Plans Inc"/>
    <n v="2015"/>
    <x v="1"/>
    <n v="2614.884"/>
    <n v="10468.873"/>
    <n v="1.3620757930824556"/>
    <n v="499.53358229999998"/>
    <n v="191977.86300000001"/>
    <n v="65524"/>
    <n v="768765"/>
    <n v="231.58839697436798"/>
    <n v="177882.24799999999"/>
    <n v="178037.054"/>
    <n v="160561.389"/>
    <n v="90.184254003663753"/>
    <n v="158559.21599999999"/>
    <n v="475282"/>
    <n v="7418.8913387055863"/>
    <n v="25143"/>
    <n v="6752"/>
    <n v="392.46843964020212"/>
    <n v="3.7237855450236967"/>
    <n v="177292.13500000001"/>
    <n v="-154.8059999999823"/>
    <m/>
    <m/>
    <m/>
    <m/>
    <m/>
    <n v="96423.997000000003"/>
    <n v="16374.75"/>
    <n v="5816.8580000000002"/>
    <n v="12746.611999999999"/>
    <n v="27979.421999999999"/>
    <n v="1219.75"/>
    <n v="0"/>
    <n v="160561.389"/>
    <n v="816.63699999999994"/>
    <n v="159744.75200000001"/>
    <n v="0.90023953695544412"/>
    <n v="7065.9489999999996"/>
    <n v="9296.1869999999999"/>
    <n v="5.2388544697425925E-2"/>
    <n v="176106.88800000001"/>
    <n v="1340.0530000000001"/>
    <n v="0"/>
    <s v="Yes"/>
    <x v="0"/>
    <x v="3"/>
    <n v="5.4531667539189137E-2"/>
    <n v="1.3620757930824557E-2"/>
    <x v="2"/>
  </r>
  <r>
    <s v="MI"/>
    <s v="Total Health Care Inc."/>
    <n v="53"/>
    <n v="135"/>
    <s v="Total Health Care Inc."/>
    <n v="2015"/>
    <x v="1"/>
    <n v="5869.0550000000003"/>
    <n v="49602.366000000002"/>
    <n v="1.8204226266467849"/>
    <n v="303.32922200000002"/>
    <n v="322400.68400000001"/>
    <n v="62307"/>
    <n v="767100"/>
    <n v="418.70214183287709"/>
    <n v="321186.413"/>
    <n v="321186.413"/>
    <n v="263151.511"/>
    <n v="81.931084363771021"/>
    <n v="253486.92300000001"/>
    <n v="425086"/>
    <n v="6649.7614391865463"/>
    <n v="56852"/>
    <n v="10879"/>
    <n v="889.35471255377399"/>
    <n v="5.2258479639672766"/>
    <n v="320431.30499999999"/>
    <n v="1247.1329999999725"/>
    <m/>
    <m/>
    <m/>
    <m/>
    <m/>
    <n v="192740.723"/>
    <n v="11939.852000000001"/>
    <n v="0"/>
    <n v="26329.716"/>
    <n v="31701.361000000001"/>
    <n v="779.00300000000004"/>
    <n v="-339.14400000000001"/>
    <n v="263151.511"/>
    <n v="429.43200000000002"/>
    <n v="262722.07900000003"/>
    <n v="0.82310497213502176"/>
    <n v="568.51099999999997"/>
    <n v="49232.955999999998"/>
    <n v="0.15424623248548802"/>
    <n v="312523.54599999997"/>
    <n v="6660.6260000000002"/>
    <n v="0"/>
    <s v="No"/>
    <x v="1"/>
    <x v="3"/>
    <n v="0.15385316614278646"/>
    <n v="1.8204226266467848E-2"/>
    <x v="2"/>
  </r>
  <r>
    <s v="NE"/>
    <s v="UnitedHealth Group Inc. "/>
    <n v="1"/>
    <n v="137"/>
    <s v="UnitedHealthcare (Midlands)"/>
    <n v="2015"/>
    <x v="0"/>
    <n v="-11573.6"/>
    <n v="26501.77"/>
    <n v="-4.0411185276691493"/>
    <n v="275.97203309999998"/>
    <n v="286395.95500000002"/>
    <n v="59692"/>
    <n v="718180"/>
    <n v="255.61120053468491"/>
    <n v="183574.85200000001"/>
    <n v="183574.85200000001"/>
    <n v="155113.15599999999"/>
    <n v="84.49586330049172"/>
    <n v="150695.685"/>
    <n v="493584"/>
    <n v="8247.2472082207805"/>
    <n v="29065"/>
    <n v="5672"/>
    <n v="485.64426745384168"/>
    <n v="5.1242947813822282"/>
    <n v="182868.641"/>
    <n v="0"/>
    <m/>
    <m/>
    <m/>
    <m/>
    <m/>
    <n v="143625.62"/>
    <n v="1655.652"/>
    <n v="0"/>
    <n v="0"/>
    <n v="1360.085"/>
    <n v="7022.0150000000003"/>
    <n v="1449.7840000000001"/>
    <n v="155113.15599999999"/>
    <n v="0"/>
    <n v="155113.15599999999"/>
    <n v="0.8482217352946807"/>
    <n v="11475.805"/>
    <n v="12290.986999999999"/>
    <n v="6.7212108827341258E-2"/>
    <n v="178879.948"/>
    <n v="3988.6930000000002"/>
    <n v="0"/>
    <s v="No"/>
    <x v="1"/>
    <x v="3"/>
    <n v="9.2535420062060586E-2"/>
    <n v="6.2505946933022166E-2"/>
    <x v="5"/>
  </r>
  <r>
    <s v="MI"/>
    <s v="HealthPlus Partners Inc."/>
    <n v="33"/>
    <n v="138"/>
    <s v="HealthPlus Partners Inc."/>
    <n v="2015"/>
    <x v="1"/>
    <n v="37914.752"/>
    <n v="34274.152000000002"/>
    <n v="14.650940121407338"/>
    <n v="96.794031500000003"/>
    <n v="258787.16099999999"/>
    <n v="0"/>
    <n v="716924"/>
    <n v="361.14806032438582"/>
    <n v="258915.712"/>
    <n v="258915.712"/>
    <n v="230892.89"/>
    <n v="89.176855362103325"/>
    <n v="255785.19899999999"/>
    <n v="167673"/>
    <n v="2806.5401632530088"/>
    <n v="30702"/>
    <n v="7484"/>
    <n v="513.89547567106138"/>
    <n v="4.102351683591662"/>
    <n v="258787.16099999999"/>
    <n v="0"/>
    <m/>
    <m/>
    <m/>
    <m/>
    <m/>
    <n v="179972.12599999999"/>
    <n v="0"/>
    <n v="0"/>
    <n v="13307.986000000001"/>
    <n v="32605.11"/>
    <n v="1986.069"/>
    <n v="3021.5990000000002"/>
    <n v="230892.89"/>
    <n v="0"/>
    <n v="230892.89"/>
    <n v="0.89221153440452183"/>
    <n v="5005.8389999999999"/>
    <n v="34274.152000000002"/>
    <n v="0.13244146992284522"/>
    <n v="270172.88099999999"/>
    <n v="-11385.72"/>
    <n v="0"/>
    <s v="Yes"/>
    <x v="0"/>
    <x v="1"/>
    <n v="0.13244146992284522"/>
    <n v="0.14650940121407338"/>
    <x v="4"/>
  </r>
  <r>
    <s v="IA"/>
    <s v="Meridian Health Plan Group "/>
    <n v="9"/>
    <n v="139"/>
    <s v="Meridian Health Plan of IA Inc"/>
    <n v="2015"/>
    <x v="1"/>
    <n v="-3611.8389999999999"/>
    <n v="18301.460999999999"/>
    <n v="-2.3802117403430945"/>
    <n v="200.1684788"/>
    <n v="151744.44099999999"/>
    <n v="60374"/>
    <n v="711889"/>
    <n v="208.45299899282051"/>
    <n v="148395.397"/>
    <n v="148395.397"/>
    <n v="132713.16899999999"/>
    <n v="89.432133127417686"/>
    <n v="139632.984"/>
    <n v="415985"/>
    <n v="7012.0763208871049"/>
    <n v="22424"/>
    <n v="6456"/>
    <n v="377.99151272178671"/>
    <n v="3.4733581164807932"/>
    <n v="147955.505"/>
    <n v="-438.28699999998207"/>
    <m/>
    <m/>
    <m/>
    <m/>
    <m/>
    <n v="124536.19899999999"/>
    <n v="1227.6410000000001"/>
    <n v="3433.529"/>
    <n v="2919.1390000000001"/>
    <n v="10.275"/>
    <n v="25.242000000000001"/>
    <n v="561.14400000000001"/>
    <n v="132713.16899999999"/>
    <n v="338.18799999999999"/>
    <n v="132374.981"/>
    <n v="0.89205201387400368"/>
    <n v="959.88599999999997"/>
    <n v="17774.382000000001"/>
    <n v="0.1197784742908922"/>
    <n v="151109.24900000001"/>
    <n v="-2715.4569999999999"/>
    <n v="0"/>
    <s v="No"/>
    <x v="1"/>
    <x v="3"/>
    <n v="0.12060712655694583"/>
    <n v="-2.3802117403430946E-2"/>
    <x v="6"/>
  </r>
  <r>
    <s v="NJ"/>
    <s v="WellCare Health Plans Inc. "/>
    <n v="5"/>
    <n v="140"/>
    <s v="WellCare Hlth Plans of NJ Inc."/>
    <n v="2015"/>
    <x v="1"/>
    <n v="1340.596"/>
    <n v="42731.712"/>
    <n v="0.38300908134212064"/>
    <n v="394.64614779999999"/>
    <n v="350016.766"/>
    <n v="56393"/>
    <n v="710522"/>
    <n v="479.35699668694286"/>
    <n v="340593.69199999998"/>
    <n v="340593.69199999998"/>
    <n v="289588.16700000002"/>
    <n v="85.024524470641126"/>
    <n v="270304.37599999999"/>
    <n v="341247"/>
    <n v="5763.3176734851277"/>
    <n v="106870"/>
    <n v="8454"/>
    <n v="1804.9265188129291"/>
    <n v="12.641353205583156"/>
    <n v="340541.09299999999"/>
    <n v="0"/>
    <m/>
    <m/>
    <m/>
    <m/>
    <m/>
    <n v="214574.01"/>
    <n v="9737.3349999999991"/>
    <n v="0"/>
    <n v="20999.863000000001"/>
    <n v="44276.961000000003"/>
    <n v="0"/>
    <n v="0"/>
    <n v="289588.16899999999"/>
    <n v="0"/>
    <n v="289588.16899999999"/>
    <n v="0.85037657702003089"/>
    <n v="6883.8339999999998"/>
    <n v="41698.373"/>
    <n v="0.1224474046073494"/>
    <n v="338170.37599999999"/>
    <n v="2370.7170000000001"/>
    <n v="0"/>
    <s v="No"/>
    <x v="1"/>
    <x v="3"/>
    <n v="0.1220847575055876"/>
    <n v="3.8300908134212062E-3"/>
    <x v="2"/>
  </r>
  <r>
    <s v="VA"/>
    <s v="INTotal Health LLC"/>
    <n v="61"/>
    <n v="141"/>
    <s v="INTotal Health LLC"/>
    <n v="2015"/>
    <x v="1"/>
    <n v="1868.3920000000001"/>
    <n v="10066.666999999999"/>
    <n v="0.9904290556616091"/>
    <n v="817.99236150000002"/>
    <n v="188644.70800000001"/>
    <n v="58429"/>
    <n v="706089"/>
    <n v="268.68729437790421"/>
    <n v="189717.14300000001"/>
    <n v="189717.14300000001"/>
    <n v="165856.29"/>
    <n v="87.422932570727141"/>
    <n v="163061.519"/>
    <n v="432579"/>
    <n v="7351.6907925204896"/>
    <n v="23973"/>
    <n v="5804"/>
    <n v="407.42172728933605"/>
    <n v="4.1304272915230875"/>
    <n v="188644.70800000001"/>
    <n v="0"/>
    <m/>
    <m/>
    <m/>
    <m/>
    <m/>
    <n v="111261.698"/>
    <n v="4376.67"/>
    <n v="0"/>
    <n v="11153.617"/>
    <n v="38826.25"/>
    <n v="0"/>
    <n v="238.05500000000001"/>
    <n v="165856.29"/>
    <n v="2676.55"/>
    <n v="163179.74"/>
    <n v="0.8650109601802346"/>
    <n v="13583.992"/>
    <n v="10066.666999999999"/>
    <n v="5.3363103087948796E-2"/>
    <n v="186830.399"/>
    <n v="1814.309"/>
    <n v="0"/>
    <s v="Yes"/>
    <x v="0"/>
    <x v="3"/>
    <n v="5.3363103087948796E-2"/>
    <n v="9.9042905566160914E-3"/>
    <x v="2"/>
  </r>
  <r>
    <s v="WI"/>
    <s v="Security Health Plan of WI Inc"/>
    <n v="73"/>
    <n v="142"/>
    <s v="Security Health Plan of WI Inc"/>
    <n v="2015"/>
    <x v="0"/>
    <n v="18605.776999999998"/>
    <n v="89910.805999999997"/>
    <n v="1.6063146378665027"/>
    <n v="485.94889169999999"/>
    <n v="1158289.7"/>
    <n v="55691"/>
    <n v="662287"/>
    <n v="181.57304763644765"/>
    <n v="120253.469"/>
    <n v="120253.469"/>
    <n v="90843.392000000007"/>
    <n v="75.543261043055665"/>
    <n v="88157.971999999994"/>
    <n v="0"/>
    <n v="0"/>
    <n v="15774"/>
    <n v="4270"/>
    <n v="285.80962634024223"/>
    <n v="3.6941451990632319"/>
    <n v="120253.469"/>
    <n v="0"/>
    <m/>
    <m/>
    <m/>
    <m/>
    <m/>
    <n v="78680.956000000006"/>
    <n v="655.15499999999997"/>
    <n v="6021.7470000000003"/>
    <n v="5485.5339999999997"/>
    <n v="0"/>
    <n v="0"/>
    <n v="0"/>
    <n v="90843.392000000007"/>
    <n v="16.300999999999998"/>
    <n v="90827.091"/>
    <n v="0.75529705508952927"/>
    <n v="2659.9470000000001"/>
    <n v="11468.907999999999"/>
    <n v="9.5372782967283881E-2"/>
    <n v="104955.946"/>
    <n v="15297.522999999999"/>
    <n v="0"/>
    <s v="Yes"/>
    <x v="0"/>
    <x v="3"/>
    <n v="7.762376372681204E-2"/>
    <n v="0.16694362584263131"/>
    <x v="8"/>
  </r>
  <r>
    <s v="WA"/>
    <s v="Columbia United Providers Inc."/>
    <s v="-"/>
    <n v="143"/>
    <s v="Columbia United Providers Inc."/>
    <n v="2015"/>
    <x v="1"/>
    <n v="3907.2869999999998"/>
    <n v="17876.261999999999"/>
    <n v="2.7104133305636937"/>
    <n v="408.36282940000001"/>
    <n v="144158.345"/>
    <n v="55730"/>
    <n v="625787"/>
    <n v="228.15059596955513"/>
    <n v="142773.677"/>
    <n v="142773.677"/>
    <n v="131977.981"/>
    <n v="92.43859496593339"/>
    <n v="129387.141"/>
    <n v="264854"/>
    <n v="5078.8015730592042"/>
    <n v="16010"/>
    <n v="4963"/>
    <n v="307.00541877667644"/>
    <n v="3.225871448720532"/>
    <n v="141986.984"/>
    <n v="0"/>
    <m/>
    <m/>
    <m/>
    <m/>
    <m/>
    <n v="95905.975000000006"/>
    <n v="0"/>
    <n v="0"/>
    <n v="5709.8069999999998"/>
    <n v="30362.199000000001"/>
    <n v="0"/>
    <n v="0"/>
    <n v="131977.981"/>
    <n v="674.27700000000004"/>
    <n v="131303.704"/>
    <n v="0.92475873704029099"/>
    <n v="5096.741"/>
    <n v="17371.062999999998"/>
    <n v="0.1223426437454295"/>
    <n v="153771.508"/>
    <n v="-11784.523999999999"/>
    <n v="0"/>
    <s v="Yes"/>
    <x v="0"/>
    <x v="3"/>
    <n v="0.12400435091010513"/>
    <n v="2.7104133305636938E-2"/>
    <x v="0"/>
  </r>
  <r>
    <s v="FL"/>
    <s v="HealthSpring L&amp;H Insurance Co."/>
    <n v="43"/>
    <n v="144"/>
    <s v="HealthSpring L&amp;H Insurance Co."/>
    <n v="2015"/>
    <x v="0"/>
    <n v="46054.71"/>
    <n v="223274.842"/>
    <n v="2.0806285753902096"/>
    <n v="459.65726360000002"/>
    <n v="2213499.8309999998"/>
    <n v="53122"/>
    <n v="624169"/>
    <n v="1329.8404598754505"/>
    <n v="825835.34"/>
    <n v="830045.19"/>
    <n v="699916.78899999999"/>
    <n v="84.322732958671821"/>
    <n v="689271.99300000002"/>
    <n v="1702866"/>
    <n v="32738.556384568921"/>
    <n v="30112"/>
    <n v="5572"/>
    <n v="578.92013220778347"/>
    <n v="5.4041636755204596"/>
    <n v="825835.34"/>
    <n v="-4203.7690000000875"/>
    <m/>
    <m/>
    <m/>
    <m/>
    <m/>
    <n v="500069.43"/>
    <n v="4687.098"/>
    <n v="74306.228000000003"/>
    <n v="14733.727000000001"/>
    <n v="104928.87699999999"/>
    <n v="0"/>
    <n v="1191.4290000000001"/>
    <n v="699916.78899999999"/>
    <n v="0"/>
    <n v="699916.78899999999"/>
    <n v="0.84323350720574297"/>
    <n v="56826.300999999999"/>
    <n v="103244.902"/>
    <n v="0.12438558723381792"/>
    <n v="829742.94499999995"/>
    <n v="296.16399999999999"/>
    <n v="0"/>
    <s v="No"/>
    <x v="1"/>
    <x v="3"/>
    <n v="0.10086959975015242"/>
    <n v="5.5903070663129384E-2"/>
    <x v="5"/>
  </r>
  <r>
    <s v="MA"/>
    <s v="Centene Corp. "/>
    <n v="2"/>
    <n v="145"/>
    <s v="CeltiCare Hlth Plan of MA Inc."/>
    <n v="2015"/>
    <x v="1"/>
    <n v="26599.173999999999"/>
    <n v="21295.244999999999"/>
    <n v="12.085404316103602"/>
    <n v="1029.6441652999999"/>
    <n v="220093.37299999999"/>
    <n v="49051"/>
    <n v="565620"/>
    <n v="388.55975036243416"/>
    <n v="219777.166"/>
    <n v="219777.166"/>
    <n v="146617.152"/>
    <n v="66.711731099490109"/>
    <n v="141480.848"/>
    <n v="184247"/>
    <n v="3908.9211838336691"/>
    <n v="18199"/>
    <n v="3399"/>
    <n v="386.10374456348785"/>
    <n v="5.3542218299499851"/>
    <n v="217209.25099999999"/>
    <n v="0"/>
    <m/>
    <m/>
    <m/>
    <m/>
    <m/>
    <n v="73563.395999999993"/>
    <n v="30672.287"/>
    <n v="0"/>
    <n v="16917.589"/>
    <n v="25583.68"/>
    <n v="0"/>
    <n v="-119.8"/>
    <n v="146617.152"/>
    <n v="-20"/>
    <n v="146637.152"/>
    <n v="0.67509625545368701"/>
    <n v="6555.0259999999998"/>
    <n v="20882.467000000001"/>
    <n v="9.6139860083583648E-2"/>
    <n v="174074.64499999999"/>
    <n v="43134.606"/>
    <n v="0"/>
    <s v="No"/>
    <x v="1"/>
    <x v="4"/>
    <n v="9.6755502947378613E-2"/>
    <n v="0.12085404316103603"/>
    <x v="4"/>
  </r>
  <r>
    <s v="HI"/>
    <s v="WellCare Health Plans Inc. "/>
    <n v="5"/>
    <n v="146"/>
    <s v="WellCare Health Ins of AZ Inc."/>
    <n v="2015"/>
    <x v="0"/>
    <n v="1021.783"/>
    <n v="76085.638999999996"/>
    <n v="0.13820321112293529"/>
    <n v="353.84298280000002"/>
    <n v="739333.76199999999"/>
    <n v="49042"/>
    <n v="564775"/>
    <n v="921.08494710282855"/>
    <n v="520205.75099999999"/>
    <n v="520205.75099999999"/>
    <n v="451147.35399999999"/>
    <n v="86.724791706503069"/>
    <n v="449485.01"/>
    <n v="201722"/>
    <n v="4286.067903147271"/>
    <n v="76957"/>
    <n v="13492"/>
    <n v="1635.1361161524501"/>
    <n v="5.7038986065816779"/>
    <n v="520112.67200000002"/>
    <n v="0"/>
    <m/>
    <m/>
    <m/>
    <m/>
    <m/>
    <n v="354076.73200000002"/>
    <n v="11356.585999999999"/>
    <n v="0"/>
    <n v="17220.423999999999"/>
    <n v="68493.611999999994"/>
    <n v="0"/>
    <n v="0"/>
    <n v="451147.35399999999"/>
    <n v="918.32600000000002"/>
    <n v="450229.02799999999"/>
    <n v="0.86563749017828195"/>
    <n v="10034.23"/>
    <n v="44628.135000000002"/>
    <n v="8.5804744630409616E-2"/>
    <n v="504891.39299999998"/>
    <n v="15221.279"/>
    <n v="0"/>
    <s v="No"/>
    <x v="1"/>
    <x v="4"/>
    <n v="0.10291108415525058"/>
    <n v="2.9840998779718741E-2"/>
    <x v="0"/>
  </r>
  <r>
    <s v="WV"/>
    <s v="Health Plan of the Upper OH"/>
    <n v="70"/>
    <n v="147"/>
    <s v="Health Plan of the Upper OH"/>
    <n v="2015"/>
    <x v="0"/>
    <n v="-8378.5329999999994"/>
    <n v="32300.627"/>
    <n v="-2.0551884345513147"/>
    <n v="918.00803689999998"/>
    <n v="407677.11900000001"/>
    <n v="67735"/>
    <n v="552293"/>
    <n v="265.98395779052061"/>
    <n v="146901.07800000001"/>
    <n v="146901.07800000001"/>
    <n v="141350.573"/>
    <n v="96.221603629076156"/>
    <n v="120292.98699999999"/>
    <n v="245195"/>
    <n v="5327.4982663187839"/>
    <n v="15984"/>
    <n v="1997"/>
    <n v="347.29391826439951"/>
    <n v="8.004006009013521"/>
    <n v="146648.995"/>
    <n v="8359.622000000003"/>
    <m/>
    <m/>
    <m/>
    <m/>
    <m/>
    <n v="79696.785999999993"/>
    <n v="20567.236000000001"/>
    <n v="0"/>
    <n v="11605.739"/>
    <n v="38553.606"/>
    <n v="-9072.7939999999999"/>
    <n v="0"/>
    <n v="141350.573"/>
    <n v="342.91199999999998"/>
    <n v="141007.66099999999"/>
    <n v="1.0196565212570601"/>
    <n v="2116.1610000000001"/>
    <n v="6277.5429999999997"/>
    <n v="4.5394254553457261E-2"/>
    <n v="149401.36499999999"/>
    <n v="-11111.992"/>
    <n v="0"/>
    <s v="No"/>
    <x v="0"/>
    <x v="3"/>
    <n v="7.9230904788649664E-2"/>
    <n v="-4.1446941079411243E-2"/>
    <x v="9"/>
  </r>
  <r>
    <s v="MI"/>
    <s v="Aetna"/>
    <n v="6"/>
    <n v="148"/>
    <s v="Aetna Better Health of MI Inc."/>
    <n v="2015"/>
    <x v="0"/>
    <n v="5587.3339999999998"/>
    <n v="34989.913999999997"/>
    <n v="1.9804069673449844"/>
    <n v="472.59761409999999"/>
    <n v="282130.59700000001"/>
    <n v="41583"/>
    <n v="512833"/>
    <n v="449.45738476268104"/>
    <n v="230496.579"/>
    <n v="230496.579"/>
    <n v="180291.77799999999"/>
    <n v="78.218852003005225"/>
    <n v="157215.905"/>
    <n v="236733"/>
    <n v="5539.4173151883751"/>
    <n v="19499"/>
    <n v="4993"/>
    <n v="456.26548993532009"/>
    <n v="3.9052673743240538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4"/>
    <n v="0.12402027419946939"/>
    <n v="9.3791205770478378E-2"/>
    <x v="3"/>
  </r>
  <r>
    <s v="WI"/>
    <s v="Dean Health Plan Inc. (SSM Health Care)"/>
    <n v="78"/>
    <n v="149"/>
    <s v="Dean Health Plan Inc. (SSM Health Care)"/>
    <n v="2015"/>
    <x v="0"/>
    <n v="5290.3959999999997"/>
    <n v="136398.1"/>
    <n v="0.43342853674588233"/>
    <n v="417.37900810000002"/>
    <n v="1220592.4509999999"/>
    <n v="42058"/>
    <n v="509286"/>
    <n v="144.31238832404583"/>
    <n v="73496.278999999995"/>
    <n v="73496.278999999995"/>
    <n v="65239.42"/>
    <n v="88.765609480719434"/>
    <n v="65010.55"/>
    <n v="154600"/>
    <n v="3642.7469044898153"/>
    <n v="12189"/>
    <n v="3078"/>
    <n v="287.20208291608253"/>
    <n v="3.960038986354776"/>
    <n v="73496.278999999995"/>
    <n v="0"/>
    <m/>
    <m/>
    <m/>
    <m/>
    <m/>
    <n v="45792.633000000002"/>
    <n v="6422.2049999999999"/>
    <n v="0"/>
    <n v="13024.581"/>
    <n v="0"/>
    <n v="0"/>
    <n v="0"/>
    <n v="65239.419000000002"/>
    <n v="0"/>
    <n v="65239.419000000002"/>
    <n v="0.88765608120106332"/>
    <n v="1147.2670000000001"/>
    <n v="8221.1880000000001"/>
    <n v="0.11185856089394676"/>
    <n v="74607.873999999996"/>
    <n v="-1111.595"/>
    <n v="0"/>
    <s v="Yes"/>
    <x v="1"/>
    <x v="4"/>
    <n v="0.11174745500699482"/>
    <n v="5.9645018581086506E-4"/>
    <x v="2"/>
  </r>
  <r>
    <s v="TX"/>
    <s v="Scott &amp; White Health Plan"/>
    <n v="64"/>
    <n v="150"/>
    <s v="Scott &amp; White Health Plan"/>
    <n v="2015"/>
    <x v="0"/>
    <n v="-12184.023999999999"/>
    <n v="82009.467000000004"/>
    <n v="-1.7685777132143026"/>
    <n v="331.262674"/>
    <n v="688916.51800000004"/>
    <n v="43923"/>
    <n v="506447"/>
    <n v="223.0510438407178"/>
    <n v="112963.53200000001"/>
    <n v="112963.53200000001"/>
    <n v="85437.317999999999"/>
    <n v="75.632654616358849"/>
    <n v="88358.493000000002"/>
    <n v="250193"/>
    <n v="5928.1938682626214"/>
    <n v="21652"/>
    <n v="5122"/>
    <n v="513.03295310269391"/>
    <n v="4.2272549785240141"/>
    <n v="112294.772"/>
    <n v="0"/>
    <m/>
    <m/>
    <m/>
    <m/>
    <m/>
    <n v="54627.762999999999"/>
    <n v="3233.393"/>
    <n v="4627.7150000000001"/>
    <n v="6630.0720000000001"/>
    <n v="16318.375"/>
    <n v="0"/>
    <n v="0"/>
    <n v="85437.317999999999"/>
    <n v="560.90599999999995"/>
    <n v="84876.411999999997"/>
    <n v="0.75583582822537809"/>
    <n v="2294.2080000000001"/>
    <n v="14726.736000000001"/>
    <n v="0.1311435584908619"/>
    <n v="101897.356"/>
    <n v="10397.415999999999"/>
    <n v="0"/>
    <s v="Yes"/>
    <x v="0"/>
    <x v="4"/>
    <n v="0.11904122612429507"/>
    <n v="0.12463222771211641"/>
    <x v="4"/>
  </r>
  <r>
    <s v="VA"/>
    <s v="Aetna"/>
    <n v="6"/>
    <n v="151"/>
    <s v="Coventry HlthCare of VA Inc."/>
    <n v="2015"/>
    <x v="0"/>
    <n v="14860.734"/>
    <n v="54623.311000000002"/>
    <n v="3.2095801173991303"/>
    <n v="418.34220590000001"/>
    <n v="463011.77899999998"/>
    <n v="40839"/>
    <n v="494996"/>
    <n v="354.87526565871241"/>
    <n v="175661.837"/>
    <n v="175661.837"/>
    <n v="143728.302"/>
    <n v="81.821017276507249"/>
    <n v="142838.75399999999"/>
    <n v="236779"/>
    <n v="5740.1433546937751"/>
    <n v="40048"/>
    <n v="10002"/>
    <n v="970.86845146223402"/>
    <n v="4.003999200159968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4"/>
    <n v="0.11797391227923816"/>
    <n v="6.3815914955689376E-2"/>
    <x v="5"/>
  </r>
  <r>
    <s v="MI"/>
    <s v="Upper Peninsula Hlth Plan LLC"/>
    <n v="62"/>
    <n v="152"/>
    <s v="Upper Peninsula Hlth Plan LLC"/>
    <n v="2015"/>
    <x v="0"/>
    <n v="13073.352000000001"/>
    <n v="24713.441999999999"/>
    <n v="5.2702760459418316"/>
    <n v="470.27410630000003"/>
    <n v="248058.20199999999"/>
    <n v="41898"/>
    <n v="490939"/>
    <n v="437.06121738138546"/>
    <n v="214570.397"/>
    <n v="214570.397"/>
    <n v="175571.98199999999"/>
    <n v="81.824885657456278"/>
    <n v="166230.62899999999"/>
    <n v="138483"/>
    <n v="3384.9337697758783"/>
    <n v="9903"/>
    <n v="2889"/>
    <n v="242.05858568987185"/>
    <n v="3.4278296988577361"/>
    <n v="214152.36600000001"/>
    <n v="-295.07999999998719"/>
    <m/>
    <m/>
    <m/>
    <m/>
    <m/>
    <n v="134033.83100000001"/>
    <n v="11614.868"/>
    <n v="0"/>
    <n v="5213.1310000000003"/>
    <n v="24710.151999999998"/>
    <n v="0"/>
    <n v="0"/>
    <n v="175571.98199999999"/>
    <n v="126.667"/>
    <n v="175445.315"/>
    <n v="0.81812732337227279"/>
    <n v="1173.047"/>
    <n v="22675.574000000001"/>
    <n v="0.10573953862803291"/>
    <n v="199293.93599999999"/>
    <n v="15153.51"/>
    <n v="0"/>
    <s v="Yes"/>
    <x v="1"/>
    <x v="4"/>
    <n v="9.9627594656192822E-2"/>
    <n v="8.2123548769244367E-2"/>
    <x v="3"/>
  </r>
  <r>
    <s v="FL"/>
    <s v="Florida MHS Inc."/>
    <n v="37"/>
    <n v="153"/>
    <s v="Florida MHS Inc."/>
    <n v="2015"/>
    <x v="1"/>
    <n v="-21510.344000000001"/>
    <n v="28829.530999999999"/>
    <n v="-4.878881735910932"/>
    <n v="197.15520849999999"/>
    <n v="440886.76799999998"/>
    <n v="42320"/>
    <n v="489934"/>
    <n v="887.84851633077108"/>
    <n v="434987.17499999999"/>
    <n v="434987.17499999999"/>
    <n v="426637.24"/>
    <n v="98.080418118074405"/>
    <n v="430807.96899999998"/>
    <n v="357372"/>
    <n v="8753.146342160373"/>
    <n v="164838"/>
    <n v="124770"/>
    <n v="4037.3927916821449"/>
    <n v="1.3211348881942775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m/>
    <x v="2"/>
    <x v="4"/>
    <n v="6.5389875796862201E-2"/>
    <n v="-4.8788817359109317E-2"/>
    <x v="9"/>
  </r>
  <r>
    <s v="WI"/>
    <s v="Centene Corp. "/>
    <n v="2"/>
    <n v="154"/>
    <s v="Managed Health Svcs Ins Corp."/>
    <n v="2015"/>
    <x v="0"/>
    <n v="15757.178"/>
    <n v="18304.004000000001"/>
    <n v="8.0078065296361132"/>
    <n v="756.16051730000004"/>
    <n v="196772.71100000001"/>
    <n v="38707"/>
    <n v="481204"/>
    <n v="208.6373201386522"/>
    <n v="100397.113"/>
    <n v="100397.113"/>
    <n v="139803.59099999999"/>
    <n v="139.2506087301534"/>
    <n v="137627.989"/>
    <n v="203763"/>
    <n v="5081.3293322582522"/>
    <n v="26852"/>
    <n v="6807"/>
    <n v="669.62036890798913"/>
    <n v="3.9447627442338771"/>
    <n v="100179.08"/>
    <n v="-85133.575999999986"/>
    <m/>
    <m/>
    <m/>
    <m/>
    <m/>
    <n v="105887.287"/>
    <n v="19309.775000000001"/>
    <n v="0"/>
    <n v="13899.834000000001"/>
    <n v="0"/>
    <n v="0"/>
    <n v="706.69500000000005"/>
    <n v="139803.59099999999"/>
    <n v="390.62299999999999"/>
    <n v="139412.96799999999"/>
    <n v="0.75231217882927548"/>
    <n v="5516.6279999999997"/>
    <n v="16185.396000000001"/>
    <n v="8.7341017874138088E-2"/>
    <n v="161114.992"/>
    <n v="24197.664000000001"/>
    <n v="0"/>
    <s v="No"/>
    <x v="1"/>
    <x v="4"/>
    <n v="9.302104904170376E-2"/>
    <n v="-0.4855271363432378"/>
    <x v="7"/>
  </r>
  <r>
    <s v="OR"/>
    <s v="Providence Health Assurance"/>
    <n v="67"/>
    <n v="155"/>
    <s v="Providence Health Assurance"/>
    <n v="2015"/>
    <x v="1"/>
    <n v="4509.4449999999997"/>
    <n v="4378.2039999999997"/>
    <n v="3.4521164480178377"/>
    <n v="412.26071130000003"/>
    <n v="130628.41499999999"/>
    <n v="36463"/>
    <n v="468853"/>
    <n v="279.42202993262282"/>
    <n v="131007.857"/>
    <n v="131007.857"/>
    <n v="114873.929"/>
    <n v="87.68476305966901"/>
    <n v="126572.19100000001"/>
    <n v="167814"/>
    <n v="4295.0946245411678"/>
    <n v="15288"/>
    <n v="3756"/>
    <n v="391.28682124247899"/>
    <n v="4.0702875399361025"/>
    <n v="130628.41499999999"/>
    <n v="0"/>
    <m/>
    <m/>
    <m/>
    <m/>
    <m/>
    <n v="45704.724000000002"/>
    <n v="17759.673999999999"/>
    <n v="9717.3760000000002"/>
    <n v="7248.4470000000001"/>
    <n v="30770.455999999998"/>
    <n v="3673.25"/>
    <n v="0"/>
    <n v="114873.927"/>
    <n v="419.84300000000002"/>
    <n v="114454.084"/>
    <n v="0.87618060741225412"/>
    <n v="7405.1210000000001"/>
    <n v="4378.2039999999997"/>
    <n v="3.3516474956846107E-2"/>
    <n v="126237.409"/>
    <n v="4391.0060000000003"/>
    <n v="0"/>
    <s v="Yes"/>
    <x v="0"/>
    <x v="4"/>
    <n v="3.3516474956846107E-2"/>
    <n v="3.4521164480178376E-2"/>
    <x v="0"/>
  </r>
  <r>
    <s v="WI"/>
    <s v="Network Health Plan (Ministry Health Care)"/>
    <n v="76"/>
    <n v="156"/>
    <s v="Network Health Plan (Ministry Health Care)"/>
    <n v="2015"/>
    <x v="0"/>
    <n v="5953.65"/>
    <n v="33662.703000000001"/>
    <n v="1.4758552410262991"/>
    <n v="372.2187965"/>
    <n v="403403.38500000001"/>
    <n v="37367"/>
    <n v="457679"/>
    <n v="186.01154083975888"/>
    <n v="85133.576000000001"/>
    <n v="85133.576000000001"/>
    <n v="74892.258000000002"/>
    <n v="87.970295057263897"/>
    <n v="74892.258000000002"/>
    <n v="190257"/>
    <n v="4988.3957970542669"/>
    <n v="12641"/>
    <n v="3253"/>
    <n v="331.4375359149098"/>
    <n v="3.8859514294497388"/>
    <n v="85133.576000000001"/>
    <n v="0"/>
    <m/>
    <m/>
    <m/>
    <m/>
    <m/>
    <n v="57384.495999999999"/>
    <n v="9811.2530000000006"/>
    <n v="0"/>
    <n v="7696.509"/>
    <n v="0"/>
    <n v="0"/>
    <n v="0"/>
    <n v="74892.258000000002"/>
    <n v="0"/>
    <n v="74892.258000000002"/>
    <n v="0.87970295057263892"/>
    <n v="10241.317999999999"/>
    <n v="0"/>
    <n v="0"/>
    <n v="85133.576000000001"/>
    <n v="0"/>
    <n v="0"/>
    <s v="Yes"/>
    <x v="1"/>
    <x v="4"/>
    <n v="8.3446753923495209E-2"/>
    <n v="3.6850295503865871E-2"/>
    <x v="0"/>
  </r>
  <r>
    <s v="WI"/>
    <s v="Group Hlth Coop of Eau Claire"/>
    <n v="80"/>
    <n v="157"/>
    <s v="Group Hlth Coop of Eau Claire"/>
    <n v="2015"/>
    <x v="0"/>
    <n v="6544.7219999999998"/>
    <n v="16028.495000000001"/>
    <n v="3.9976605515234511"/>
    <n v="512.7216128"/>
    <n v="163713.79999999999"/>
    <n v="40074"/>
    <n v="455418"/>
    <n v="181.87812515096022"/>
    <n v="82830.572"/>
    <n v="82830.572"/>
    <n v="67498.126999999993"/>
    <n v="81.489388966189921"/>
    <n v="61600.258000000002"/>
    <n v="231565"/>
    <n v="6101.6033621859478"/>
    <n v="11512"/>
    <n v="2833"/>
    <n v="303.33451905721779"/>
    <n v="4.0635368866925523"/>
    <n v="82671.225999999995"/>
    <n v="-46707.735000000001"/>
    <m/>
    <m/>
    <m/>
    <m/>
    <m/>
    <n v="94587.331999999995"/>
    <n v="0"/>
    <n v="0"/>
    <n v="12168.07"/>
    <n v="-5.0000000000000001E-3"/>
    <n v="0"/>
    <n v="-20.126000000000001"/>
    <n v="106735.27099999999"/>
    <n v="107.026"/>
    <n v="106628.245"/>
    <n v="0.82415443883492001"/>
    <n v="3433.3130000000001"/>
    <n v="13415.701999999999"/>
    <n v="0.10369307263180139"/>
    <n v="123477.26"/>
    <n v="5901.701"/>
    <n v="0"/>
    <s v="No"/>
    <x v="0"/>
    <x v="4"/>
    <n v="9.7905582791432383E-2"/>
    <n v="8.7200527546668377E-2"/>
    <x v="3"/>
  </r>
  <r>
    <s v="CO"/>
    <s v="Rocky Mtn Hlth Maintenance Org"/>
    <n v="86"/>
    <n v="158"/>
    <s v="Rocky Mtn Hlth Maintenance Org"/>
    <n v="2015"/>
    <x v="0"/>
    <n v="-21841.031999999999"/>
    <n v="29314.751"/>
    <n v="-4.5405781526052129"/>
    <n v="224.73841089999999"/>
    <n v="481018.74400000001"/>
    <n v="35560"/>
    <n v="399891"/>
    <n v="399.93856575916936"/>
    <n v="159931.83300000001"/>
    <n v="159931.83300000001"/>
    <n v="141598.73199999999"/>
    <n v="88.536928104863264"/>
    <n v="133560.609"/>
    <n v="313894"/>
    <n v="9419.3867828983402"/>
    <n v="4294"/>
    <n v="669"/>
    <n v="128.85511301829749"/>
    <n v="6.4185351270553062"/>
    <n v="159831.85999999999"/>
    <n v="0"/>
    <m/>
    <m/>
    <m/>
    <m/>
    <m/>
    <n v="91781.535000000003"/>
    <n v="0"/>
    <n v="0"/>
    <n v="12075.75"/>
    <n v="37396.392999999996"/>
    <n v="345.05399999999997"/>
    <n v="0"/>
    <n v="141598.73199999999"/>
    <n v="0"/>
    <n v="141598.73199999999"/>
    <n v="0.88592306940556154"/>
    <n v="10053.852999999999"/>
    <n v="7616.924"/>
    <n v="4.7655855346987769E-2"/>
    <n v="159269.50899999999"/>
    <n v="562.351"/>
    <n v="0"/>
    <s v="No"/>
    <x v="0"/>
    <x v="4"/>
    <n v="6.0943053395856858E-2"/>
    <n v="5.368766555551048E-2"/>
    <x v="5"/>
  </r>
  <r>
    <s v="SC"/>
    <s v="Advicare Corp."/>
    <n v="71"/>
    <n v="159"/>
    <s v="Advicare Corp."/>
    <n v="2015"/>
    <x v="0"/>
    <n v="-10312.823"/>
    <n v="11385.406999999999"/>
    <n v="-7.7559072930785744"/>
    <n v="212.40494799999999"/>
    <n v="132967.33199999999"/>
    <n v="32065"/>
    <n v="393674"/>
    <n v="23.742449336252839"/>
    <n v="9346.7849999999999"/>
    <n v="9346.7849999999999"/>
    <n v="9037.5239999999994"/>
    <n v="96.691258010107205"/>
    <n v="9037.5239999999994"/>
    <n v="262730"/>
    <n v="8008.5553021027554"/>
    <n v="22853"/>
    <n v="5086"/>
    <n v="696.60683712919831"/>
    <n v="4.4933149823043648"/>
    <n v="123620.54700000001"/>
    <n v="0"/>
    <m/>
    <m/>
    <m/>
    <m/>
    <m/>
    <n v="52987.23"/>
    <n v="28805.72"/>
    <n v="0"/>
    <n v="10831.565000000001"/>
    <n v="27165.671999999999"/>
    <n v="1344.616"/>
    <n v="0"/>
    <n v="121134.804"/>
    <n v="0"/>
    <n v="121134.804"/>
    <n v="0.97989215336508739"/>
    <n v="10876.946"/>
    <n v="10627.701999999999"/>
    <n v="8.5970352485173832E-2"/>
    <n v="132709.45199999999"/>
    <n v="-9088.9050000000007"/>
    <n v="0"/>
    <s v="Yes"/>
    <x v="1"/>
    <x v="4"/>
    <n v="8.5625595616222488E-2"/>
    <n v="-5.253817571729455E-2"/>
    <x v="10"/>
  </r>
  <r>
    <s v="NY"/>
    <s v="HealthNow New York Inc."/>
    <n v="60"/>
    <n v="160"/>
    <s v="HealthNow New York Inc."/>
    <n v="2015"/>
    <x v="0"/>
    <n v="63816.849000000002"/>
    <n v="243854.59400000001"/>
    <n v="2.8460169692235624"/>
    <n v="718.73624240000004"/>
    <n v="2242321.4509999999"/>
    <n v="26657"/>
    <n v="370726"/>
    <n v="450.41260122030826"/>
    <n v="166979.66200000001"/>
    <n v="166979.66200000001"/>
    <n v="151552.12400000001"/>
    <n v="90.760828106119888"/>
    <n v="155141.59700000001"/>
    <n v="246204"/>
    <n v="7969.3574230024333"/>
    <n v="1939"/>
    <n v="-309"/>
    <n v="62.763334646072842"/>
    <n v="-6.275080906148867"/>
    <n v="166979.66200000001"/>
    <n v="0"/>
    <m/>
    <m/>
    <m/>
    <m/>
    <m/>
    <n v="81834.354000000007"/>
    <n v="10751.829"/>
    <n v="0"/>
    <n v="13462.3"/>
    <n v="47553.091"/>
    <n v="-213.11500000000001"/>
    <n v="-836.33399999999995"/>
    <n v="152552.125"/>
    <n v="1000"/>
    <n v="151552.125"/>
    <n v="0.90760828704995211"/>
    <n v="2975.1669999999999"/>
    <n v="12988.195"/>
    <n v="7.7783095524531595E-2"/>
    <n v="163373.04"/>
    <n v="3606.6219999999998"/>
    <n v="0"/>
    <s v="No"/>
    <x v="0"/>
    <x v="4"/>
    <n v="0.10875095267507211"/>
    <n v="-1.6359233736270948E-2"/>
    <x v="6"/>
  </r>
  <r>
    <s v="MA"/>
    <s v="Fallon Community Hlth Plan Inc"/>
    <n v="63"/>
    <n v="161"/>
    <s v="Fallon Community Hlth Plan Inc"/>
    <n v="2015"/>
    <x v="0"/>
    <n v="8801.8040000000001"/>
    <n v="117663.66499999999"/>
    <n v="0.80317127184413528"/>
    <n v="403.35877110000001"/>
    <n v="1095881.328"/>
    <n v="31660"/>
    <n v="366032"/>
    <n v="432.86752524369456"/>
    <n v="158443.36600000001"/>
    <n v="158443.36600000001"/>
    <n v="130397.606"/>
    <n v="82.299189478213933"/>
    <n v="131356.35200000001"/>
    <n v="103721"/>
    <n v="3400.3912226253442"/>
    <n v="26270"/>
    <n v="4808"/>
    <n v="861.23617607203744"/>
    <n v="5.4638103161397673"/>
    <n v="156975.88099999999"/>
    <n v="0"/>
    <m/>
    <m/>
    <m/>
    <m/>
    <m/>
    <n v="88972.673999999999"/>
    <n v="11806.290999999999"/>
    <n v="457.43700000000001"/>
    <n v="332.68099999999998"/>
    <n v="23161.968000000001"/>
    <n v="-28.146999999999998"/>
    <n v="5694.7030000000004"/>
    <n v="130397.607"/>
    <n v="459.78500000000003"/>
    <n v="129937.822"/>
    <n v="0.82775660293953057"/>
    <n v="2181.3380000000002"/>
    <n v="15305.361999999999"/>
    <n v="9.7501360734519468E-2"/>
    <n v="145424.522"/>
    <n v="11551.359"/>
    <n v="0"/>
    <s v="No"/>
    <x v="0"/>
    <x v="4"/>
    <n v="0.10736898420811491"/>
    <n v="6.9639121009745786E-2"/>
    <x v="5"/>
  </r>
  <r>
    <s v="NY"/>
    <s v="MVP Health Plan Inc."/>
    <n v="72"/>
    <n v="162"/>
    <s v="MVP Health Plan Inc."/>
    <n v="2015"/>
    <x v="0"/>
    <n v="5777.7809999999999"/>
    <n v="122745.48699999999"/>
    <n v="0.37034627128721354"/>
    <n v="763.60302669999999"/>
    <n v="1560102.382"/>
    <n v="33346"/>
    <n v="358742"/>
    <n v="413.40241176109851"/>
    <n v="148304.80799999999"/>
    <n v="148304.80799999999"/>
    <n v="133556.57"/>
    <n v="90.05545524862552"/>
    <n v="128618.197"/>
    <n v="317289"/>
    <n v="10613.387894364196"/>
    <n v="17516"/>
    <n v="3622"/>
    <n v="585.91411097669072"/>
    <n v="4.8360022087244614"/>
    <n v="147167.59599999999"/>
    <n v="0"/>
    <m/>
    <m/>
    <m/>
    <m/>
    <m/>
    <n v="87857.596999999994"/>
    <n v="5665.7709999999997"/>
    <n v="0"/>
    <n v="8531.1569999999992"/>
    <n v="27965.956999999999"/>
    <n v="2377.6489999999999"/>
    <n v="1158.44"/>
    <n v="133556.571"/>
    <n v="1022.212"/>
    <n v="132534.359"/>
    <n v="0.90056753390196032"/>
    <n v="3790.9050000000002"/>
    <n v="10139.198"/>
    <n v="6.8895587585734566E-2"/>
    <n v="146464.462"/>
    <n v="703.13400000000001"/>
    <n v="0"/>
    <s v="No"/>
    <x v="0"/>
    <x v="4"/>
    <n v="7.8677840900828772E-2"/>
    <n v="2.0767606612916073E-2"/>
    <x v="2"/>
  </r>
  <r>
    <s v="DC"/>
    <s v="Trusted Health Plan"/>
    <n v="69"/>
    <n v="163"/>
    <s v="Trusted Health Plan"/>
    <n v="2015"/>
    <x v="1"/>
    <n v="4328.0829999999996"/>
    <n v="14235.571"/>
    <n v="3.2897222428586002"/>
    <n v="279.54513179999998"/>
    <n v="131563.78200000001"/>
    <n v="28304"/>
    <n v="332101"/>
    <n v="370.51893550456037"/>
    <n v="123049.709"/>
    <n v="123049.709"/>
    <n v="93473.645000000004"/>
    <n v="75.964133324362436"/>
    <n v="86306.130999999994"/>
    <n v="173832"/>
    <n v="6281.1734984236728"/>
    <n v="11251"/>
    <n v="2199"/>
    <n v="406.53897458905573"/>
    <n v="5.1164165529786265"/>
    <n v="122576.19500000001"/>
    <n v="0"/>
    <m/>
    <m/>
    <m/>
    <m/>
    <m/>
    <n v="74817.323999999993"/>
    <n v="10356.241"/>
    <n v="0"/>
    <n v="0"/>
    <n v="8300.08"/>
    <n v="0"/>
    <n v="0"/>
    <n v="93473.645000000004"/>
    <n v="32.802999999999997"/>
    <n v="93440.842000000004"/>
    <n v="0.76230822795568098"/>
    <n v="5631.2169999999996"/>
    <n v="13261.769"/>
    <n v="0.10819204332456232"/>
    <n v="112333.82799999999"/>
    <n v="10242.367"/>
    <n v="0"/>
    <s v="No"/>
    <x v="1"/>
    <x v="4"/>
    <n v="0.1082028107097134"/>
    <n v="3.2897222428586004E-2"/>
    <x v="0"/>
  </r>
  <r>
    <s v="WV"/>
    <s v="WV Family Hlth Plan Inc./Highmark Insurance Group "/>
    <n v="99"/>
    <n v="164"/>
    <s v="WV Family Hlth Plan Inc./Highmark Insurance Group "/>
    <n v="2015"/>
    <x v="1"/>
    <n v="802.44799999999998"/>
    <n v="5397.527"/>
    <n v="0.86415413588893997"/>
    <n v="464.89803089999998"/>
    <n v="92859.36"/>
    <n v="157586"/>
    <n v="305361"/>
    <n v="304.09698684507845"/>
    <n v="92859.36"/>
    <n v="92859.36"/>
    <n v="84015.694000000003"/>
    <n v="90.476279397144239"/>
    <n v="62556.368999999999"/>
    <n v="63831"/>
    <n v="2508.4146305520353"/>
    <n v="10558"/>
    <n v="2619"/>
    <n v="414.90563627968208"/>
    <n v="4.0313096601756397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0"/>
    <x v="2"/>
    <n v="5.8125825980278135E-2"/>
    <n v="8.6415413588893999E-3"/>
    <x v="2"/>
  </r>
  <r>
    <s v="HI"/>
    <s v="Kaiser"/>
    <n v="31"/>
    <n v="165"/>
    <s v="Kaiser Fndtn Hlth Plan Inc. HI"/>
    <n v="2015"/>
    <x v="0"/>
    <n v="-17366.026999999998"/>
    <n v="85291.202000000005"/>
    <n v="-1.3667272149386964"/>
    <n v="354.01928900000001"/>
    <n v="1270628.6089999999"/>
    <n v="26519"/>
    <n v="302796"/>
    <n v="302.48384390810975"/>
    <n v="91590.898000000001"/>
    <n v="91590.898000000001"/>
    <n v="110839.428"/>
    <n v="121.01576730910533"/>
    <n v="110462.04"/>
    <n v="97219"/>
    <n v="3852.8514247215949"/>
    <n v="8812"/>
    <n v="1852"/>
    <n v="349.22522094083143"/>
    <n v="4.7580993520518362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0"/>
    <x v="4"/>
    <n v="6.7125201963715589E-2"/>
    <n v="-0.27728287505476884"/>
    <x v="7"/>
  </r>
  <r>
    <s v="LA"/>
    <s v="Aetna"/>
    <n v="6"/>
    <n v="166"/>
    <s v="Aetna Better Health Inc. (LA)"/>
    <n v="2015"/>
    <x v="1"/>
    <n v="-11873.011"/>
    <n v="15855.492"/>
    <n v="-6.571897661727288"/>
    <n v="292.207943"/>
    <n v="180663.35800000001"/>
    <n v="37986"/>
    <n v="299879"/>
    <n v="601.50913535125835"/>
    <n v="180379.95800000001"/>
    <n v="180379.95800000001"/>
    <n v="169648.60200000001"/>
    <n v="94.050693813777258"/>
    <n v="123890.31600000001"/>
    <n v="47827"/>
    <n v="1913.8519202745108"/>
    <n v="4724"/>
    <n v="996"/>
    <n v="189.03624461866286"/>
    <n v="4.7429718875502012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4"/>
    <n v="8.7762633084678965E-2"/>
    <n v="-6.5718976617272884E-2"/>
    <x v="10"/>
  </r>
  <r>
    <s v="TX"/>
    <s v="Aetna"/>
    <n v="6"/>
    <n v="167"/>
    <s v="Aetna Better Health of TX Inc."/>
    <n v="2015"/>
    <x v="1"/>
    <n v="4646.0479999999998"/>
    <n v="4373.9539999999997"/>
    <n v="6.609174742811728"/>
    <n v="983.71948259999999"/>
    <n v="70296.945999999996"/>
    <n v="74657"/>
    <n v="296818"/>
    <n v="221.70592079995151"/>
    <n v="74724.001999999993"/>
    <n v="65806.308000000005"/>
    <n v="52848.31"/>
    <n v="80.308881634873046"/>
    <n v="32923.328000000001"/>
    <n v="117773"/>
    <n v="4761.4228247613019"/>
    <n v="13240"/>
    <n v="14677"/>
    <n v="535.27751012404906"/>
    <n v="0.90209170811473738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3"/>
    <n v="6.2221109861586306E-2"/>
    <n v="6.6091747428117284E-2"/>
    <x v="5"/>
  </r>
  <r>
    <s v="MD"/>
    <s v="Kaiser"/>
    <n v="31"/>
    <n v="168"/>
    <s v="Kaiser Foundation Health Plan"/>
    <n v="2015"/>
    <x v="0"/>
    <n v="-5078.1170000000002"/>
    <n v="260251.47200000001"/>
    <n v="-0.17030937105977698"/>
    <n v="364.61543119999999"/>
    <n v="2981701.4580000001"/>
    <n v="32492"/>
    <n v="294908"/>
    <n v="377.76331601719858"/>
    <n v="111405.424"/>
    <n v="111405.424"/>
    <n v="113211.98"/>
    <n v="101.62160506655403"/>
    <n v="108600.817"/>
    <n v="96336"/>
    <n v="3919.9750430642775"/>
    <n v="9711"/>
    <n v="2411"/>
    <n v="395.14696108616926"/>
    <n v="4.0277892990460389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0"/>
    <x v="4"/>
    <n v="8.7282873777231124E-2"/>
    <n v="-0.10349892444277134"/>
    <x v="11"/>
  </r>
  <r>
    <s v="NE"/>
    <s v="Independence Health Group Inc. "/>
    <n v="7"/>
    <n v="169"/>
    <s v="AmeriHealth Nebraska Inc."/>
    <n v="2015"/>
    <x v="1"/>
    <n v="-3471.5639999999999"/>
    <n v="8226.2330000000002"/>
    <n v="-4.5497762557878341"/>
    <n v="387.86481909999998"/>
    <n v="76301.861999999994"/>
    <n v="24700"/>
    <n v="290354"/>
    <n v="264.75163421203081"/>
    <n v="76871.695999999996"/>
    <n v="76871.695999999996"/>
    <n v="67838.909"/>
    <n v="88.249528148826073"/>
    <n v="63912.775000000001"/>
    <n v="197746"/>
    <n v="8172.6168745737959"/>
    <n v="10376"/>
    <n v="2619"/>
    <n v="428.82825791964291"/>
    <n v="3.9618174875906833"/>
    <n v="76301.861999999994"/>
    <n v="0"/>
    <m/>
    <m/>
    <m/>
    <m/>
    <m/>
    <n v="48311.358999999997"/>
    <n v="14439.630999999999"/>
    <n v="0"/>
    <n v="2937.7919999999999"/>
    <n v="342.54599999999999"/>
    <n v="1671.1559999999999"/>
    <n v="136.42500000000001"/>
    <n v="67838.909"/>
    <n v="203.10300000000001"/>
    <n v="67635.805999999997"/>
    <n v="0.88642405607349406"/>
    <n v="3913.0920000000001"/>
    <n v="8226.232"/>
    <n v="0.10781168092595173"/>
    <n v="79775.13"/>
    <n v="-3473.268"/>
    <n v="0"/>
    <s v="No"/>
    <x v="0"/>
    <x v="1"/>
    <n v="0.10781169403179179"/>
    <n v="-4.5497762557878338E-2"/>
    <x v="9"/>
  </r>
  <r>
    <s v="MI"/>
    <s v="Sparrow PHP"/>
    <n v="77"/>
    <n v="170"/>
    <s v="Sparrow PHP"/>
    <n v="2015"/>
    <x v="1"/>
    <n v="2894.018"/>
    <n v="11498.514999999999"/>
    <n v="3.256464043735098"/>
    <n v="309.86221769999997"/>
    <n v="88869.951000000001"/>
    <n v="20881"/>
    <n v="247025"/>
    <n v="349.22173464224267"/>
    <n v="86266.498999999996"/>
    <n v="86266.498999999996"/>
    <n v="73582.266000000003"/>
    <n v="85.296455580050846"/>
    <n v="73990.619000000006"/>
    <n v="106690"/>
    <n v="5182.7952636372838"/>
    <n v="11922"/>
    <n v="2627"/>
    <n v="579.14785952838781"/>
    <n v="4.5382565664255807"/>
    <n v="86003.053"/>
    <n v="0"/>
    <m/>
    <m/>
    <m/>
    <m/>
    <m/>
    <n v="46988.875999999997"/>
    <n v="3654.0390000000002"/>
    <n v="0"/>
    <n v="7989.47"/>
    <n v="14245.371999999999"/>
    <n v="0"/>
    <n v="883.18299999999999"/>
    <n v="73760.941000000006"/>
    <n v="298.041"/>
    <n v="73462.899000000005"/>
    <n v="0.85418943208911435"/>
    <n v="3190.5390000000002"/>
    <n v="11311.911"/>
    <n v="0.13152917955133522"/>
    <n v="87965.349000000002"/>
    <n v="-1962.297"/>
    <n v="0"/>
    <s v="Yes"/>
    <x v="0"/>
    <x v="1"/>
    <n v="0.12938585956911353"/>
    <n v="3.2564640437350981E-2"/>
    <x v="0"/>
  </r>
  <r>
    <s v="WI"/>
    <s v="Humana Inc. "/>
    <n v="8"/>
    <n v="171"/>
    <s v="Independent Care Health Plan"/>
    <n v="2015"/>
    <x v="0"/>
    <n v="5291.5770000000002"/>
    <n v="17154.46"/>
    <n v="2.5087213957297734"/>
    <n v="396.63871080000001"/>
    <n v="210927.24799999999"/>
    <n v="19873"/>
    <n v="233018"/>
    <n v="516.70241783896518"/>
    <n v="120400.96400000001"/>
    <n v="120400.96400000001"/>
    <n v="89637.148000000001"/>
    <n v="74.448862386184885"/>
    <n v="85375.679999999993"/>
    <n v="188139"/>
    <n v="9688.813739711095"/>
    <n v="28955"/>
    <n v="5331"/>
    <n v="1491.1294406440704"/>
    <n v="5.4314387544550744"/>
    <n v="120223.65700000001"/>
    <n v="0"/>
    <m/>
    <m/>
    <m/>
    <m/>
    <m/>
    <n v="82533.64"/>
    <n v="3568.6970000000001"/>
    <n v="0"/>
    <n v="0"/>
    <n v="3534.8119999999999"/>
    <n v="0"/>
    <n v="0"/>
    <n v="89637.149000000005"/>
    <n v="44.401000000000003"/>
    <n v="89592.748000000007"/>
    <n v="0.74521729113597002"/>
    <n v="8620.3539999999994"/>
    <n v="9461.4599999999991"/>
    <n v="7.8698820482561091E-2"/>
    <n v="107674.56200000001"/>
    <n v="12549.094999999999"/>
    <n v="0"/>
    <s v="Yes"/>
    <x v="1"/>
    <x v="1"/>
    <n v="8.132880015577694E-2"/>
    <n v="0.17418257598237419"/>
    <x v="8"/>
  </r>
  <r>
    <s v="SD"/>
    <s v="Sanford Health Plan"/>
    <n v="66"/>
    <n v="172"/>
    <s v="Sanford Health Plan"/>
    <n v="2015"/>
    <x v="0"/>
    <n v="-73243.122000000003"/>
    <n v="16955.035"/>
    <n v="-11.944643769756237"/>
    <n v="208.28624550000001"/>
    <n v="613187.99800000002"/>
    <n v="19933"/>
    <n v="223523"/>
    <n v="1244.2337209146262"/>
    <n v="278114.85399999999"/>
    <n v="278114.85399999999"/>
    <n v="271998.05599999998"/>
    <n v="97.800621609372939"/>
    <n v="255914.82699999999"/>
    <n v="102907"/>
    <n v="5524.6395225547258"/>
    <n v="23670"/>
    <n v="4590"/>
    <n v="1270.741713380726"/>
    <n v="5.1568627450980395"/>
    <n v="278157.88799999998"/>
    <n v="0"/>
    <m/>
    <m/>
    <m/>
    <m/>
    <m/>
    <n v="140077.495"/>
    <n v="62415.281000000003"/>
    <n v="7661.0649999999996"/>
    <n v="28794.038"/>
    <n v="33050.175999999999"/>
    <n v="0"/>
    <n v="0"/>
    <n v="271998.05599999998"/>
    <n v="3.3039999999999998"/>
    <n v="271994.75199999998"/>
    <n v="0.97784302992694572"/>
    <n v="1877.865"/>
    <n v="3135.2310000000002"/>
    <n v="1.1271407841578091E-2"/>
    <n v="277007.848"/>
    <n v="1150.04"/>
    <n v="0"/>
    <s v="Yes"/>
    <x v="0"/>
    <x v="1"/>
    <n v="2.7650630891832947E-2"/>
    <n v="-5.6568469855623436E-3"/>
    <x v="6"/>
  </r>
  <r>
    <s v="TX"/>
    <s v="Seton Health Plan Inc."/>
    <n v="85"/>
    <n v="173"/>
    <s v="Seton Health Plan Inc."/>
    <n v="2015"/>
    <x v="0"/>
    <n v="1511.817"/>
    <n v="3071.1759999999999"/>
    <n v="2.8247303840300901"/>
    <n v="511.1792049"/>
    <n v="53520.754000000001"/>
    <n v="17349"/>
    <n v="206395"/>
    <n v="194.50110710046272"/>
    <n v="40144.055999999997"/>
    <n v="40144.055999999997"/>
    <n v="35351.987000000001"/>
    <n v="88.062818067013467"/>
    <n v="35288.156000000003"/>
    <n v="146528"/>
    <n v="8519.2761452554569"/>
    <n v="6482"/>
    <n v="1409"/>
    <n v="376.86959470917418"/>
    <n v="4.6004258339247697"/>
    <n v="39675.436000000002"/>
    <n v="40.724000000001979"/>
    <m/>
    <m/>
    <m/>
    <m/>
    <m/>
    <n v="18115.77"/>
    <n v="9307.6679999999997"/>
    <n v="1467.316"/>
    <n v="605.41"/>
    <n v="5855.8239999999996"/>
    <n v="0"/>
    <n v="0"/>
    <n v="35351.987000000001"/>
    <n v="598.02800000000002"/>
    <n v="34753.959000000003"/>
    <n v="0.87685660488715056"/>
    <n v="2996.8240000000001"/>
    <n v="2224.5549999999998"/>
    <n v="5.6126432809704779E-2"/>
    <n v="38169.163"/>
    <n v="1465.549"/>
    <n v="0"/>
    <s v="Yes"/>
    <x v="0"/>
    <x v="1"/>
    <n v="5.7382898604156435E-2"/>
    <n v="6.1988920725708857E-2"/>
    <x v="5"/>
  </r>
  <r>
    <s v="PA"/>
    <s v="Gundersen Health Plan Inc."/>
    <n v="88"/>
    <n v="174"/>
    <s v="Gundersen Health Plan Inc."/>
    <n v="2015"/>
    <x v="0"/>
    <n v="-4999.5029999999997"/>
    <n v="15272.951999999999"/>
    <n v="-1.6770830305548108"/>
    <n v="215.23845589999999"/>
    <n v="298107.065"/>
    <n v="17063"/>
    <n v="205445"/>
    <n v="138.69290564384627"/>
    <n v="28550.196"/>
    <n v="28493.763999999999"/>
    <n v="25795.794999999998"/>
    <n v="90.531370302638848"/>
    <n v="25795.794999999998"/>
    <n v="77988"/>
    <n v="4555.2629657572588"/>
    <n v="6154"/>
    <n v="1809"/>
    <n v="359.45386843194041"/>
    <n v="3.4018794914317301"/>
    <n v="28493.763999999999"/>
    <n v="0"/>
    <m/>
    <m/>
    <m/>
    <m/>
    <m/>
    <n v="20032.025000000001"/>
    <n v="0"/>
    <n v="1770.921"/>
    <n v="2408.375"/>
    <n v="0"/>
    <n v="1584.4739999999999"/>
    <n v="0"/>
    <n v="25795.794999999998"/>
    <n v="0"/>
    <n v="25795.794999999998"/>
    <n v="0.90531370302638847"/>
    <n v="898.43899999999996"/>
    <n v="1084.2360000000001"/>
    <n v="3.8051694398816532E-2"/>
    <n v="27778.47"/>
    <n v="715.29399999999998"/>
    <n v="0"/>
    <s v="Yes"/>
    <x v="0"/>
    <x v="1"/>
    <n v="5.1233109822472672E-2"/>
    <n v="4.3453187151138856E-2"/>
    <x v="0"/>
  </r>
  <r>
    <s v="FL"/>
    <s v="Preferred Medical Plan Inc."/>
    <n v="75"/>
    <n v="176"/>
    <s v="Preferred Medical Plan Inc."/>
    <n v="2015"/>
    <x v="0"/>
    <n v="27699.813999999998"/>
    <n v="48763.917999999998"/>
    <n v="10.895902608826232"/>
    <n v="222.96338280000001"/>
    <n v="254222.29800000001"/>
    <n v="15836.75"/>
    <n v="190041"/>
    <n v="274.97313211359653"/>
    <n v="52397.947"/>
    <n v="52256.169000000002"/>
    <n v="45994.98"/>
    <n v="88.018277803717297"/>
    <n v="85080.991999999998"/>
    <n v="76190"/>
    <n v="4810.9618450755361"/>
    <n v="10225"/>
    <n v="2132"/>
    <n v="645.65014917833525"/>
    <n v="4.7959662288930582"/>
    <n v="52256.169000000002"/>
    <n v="0"/>
    <m/>
    <m/>
    <m/>
    <m/>
    <m/>
    <n v="14270.306"/>
    <n v="3326.5909999999999"/>
    <n v="0"/>
    <n v="18208.786"/>
    <n v="10189.297"/>
    <n v="0"/>
    <n v="0"/>
    <n v="45994.98"/>
    <n v="1153.6590000000001"/>
    <n v="44841.321000000004"/>
    <n v="0.85810578651488978"/>
    <n v="184.178"/>
    <n v="8891.0390000000007"/>
    <n v="0.1701433375263311"/>
    <n v="53916.538"/>
    <n v="-1660.3689999999999"/>
    <n v="0"/>
    <m/>
    <x v="2"/>
    <x v="1"/>
    <n v="0.19181605383804687"/>
    <n v="-7.1998831875219799E-2"/>
    <x v="10"/>
  </r>
  <r>
    <s v="WI"/>
    <s v="Unity Health Plans Ins Corp."/>
    <n v="87"/>
    <n v="177"/>
    <s v="Unity Health Plans Ins Corp."/>
    <n v="2015"/>
    <x v="0"/>
    <n v="-2749.1"/>
    <n v="61148.750999999997"/>
    <n v="-0.33039470413260008"/>
    <n v="324.96405229999999"/>
    <n v="832065.39500000002"/>
    <n v="15507"/>
    <n v="182106"/>
    <n v="158.98017088948194"/>
    <n v="28951.242999999999"/>
    <n v="28951.242999999999"/>
    <n v="20929.654999999999"/>
    <n v="72.292768224148446"/>
    <n v="22015.331999999999"/>
    <n v="70832"/>
    <n v="4667.5233105993211"/>
    <n v="4252"/>
    <n v="1198"/>
    <n v="280.18846166518404"/>
    <n v="3.5492487479131887"/>
    <n v="28951.242999999999"/>
    <n v="19.619999999998981"/>
    <m/>
    <m/>
    <m/>
    <m/>
    <m/>
    <n v="18141.763999999999"/>
    <n v="1625.1310000000001"/>
    <n v="0"/>
    <n v="1160.808"/>
    <n v="1.952"/>
    <n v="0"/>
    <n v="0"/>
    <n v="20929.654999999999"/>
    <n v="0"/>
    <n v="20929.654999999999"/>
    <n v="0.72341793614551109"/>
    <n v="2107.806"/>
    <n v="1945.3679999999999"/>
    <n v="6.724019596135343E-2"/>
    <n v="24982.829000000002"/>
    <n v="3948.7939999999999"/>
    <n v="0"/>
    <s v="Yes"/>
    <x v="1"/>
    <x v="1"/>
    <n v="7.3490318630544657E-2"/>
    <n v="0.20358199912797081"/>
    <x v="8"/>
  </r>
  <r>
    <s v="WI"/>
    <s v="MercyCare HMO Inc. (Mercy Alliance)"/>
    <n v="90"/>
    <n v="178"/>
    <s v="MercyCare HMO Inc. (Mercy Alliance)"/>
    <n v="2015"/>
    <x v="0"/>
    <n v="-42.597999999999999"/>
    <n v="5976.3029999999999"/>
    <n v="-5.3596577861397397E-2"/>
    <n v="429.96327129999997"/>
    <n v="79478.955000000002"/>
    <n v="14415"/>
    <n v="174766"/>
    <n v="145.62691827929919"/>
    <n v="25758.851999999999"/>
    <n v="25450.633999999998"/>
    <n v="20844.936000000002"/>
    <n v="81.903405628323455"/>
    <n v="20802.187000000002"/>
    <n v="0"/>
    <n v="0"/>
    <n v="3323"/>
    <n v="938"/>
    <n v="228.16795028781343"/>
    <n v="3.5426439232409384"/>
    <n v="25714.920999999998"/>
    <n v="0"/>
    <m/>
    <m/>
    <m/>
    <m/>
    <m/>
    <n v="20844.936000000002"/>
    <n v="0"/>
    <n v="0"/>
    <n v="0"/>
    <n v="0"/>
    <n v="0"/>
    <n v="0"/>
    <n v="20844.936000000002"/>
    <n v="150.08699999999999"/>
    <n v="20694.848999999998"/>
    <n v="0.80477980080125466"/>
    <n v="498.19600000000003"/>
    <n v="2105.0740000000001"/>
    <n v="8.1861966443529041E-2"/>
    <n v="23298.118999999999"/>
    <n v="2416.8020000000001"/>
    <n v="0"/>
    <s v="Yes"/>
    <x v="1"/>
    <x v="1"/>
    <n v="7.519352764514832E-2"/>
    <n v="0.10577241607161712"/>
    <x v="4"/>
  </r>
  <r>
    <s v="MN"/>
    <s v="Metropolitan Health Plan"/>
    <n v="90"/>
    <n v="179"/>
    <s v="Metropolitan Health Plan"/>
    <n v="2015"/>
    <x v="1"/>
    <n v="-3436.2579999999998"/>
    <n v="15123.825999999999"/>
    <n v="-2.3925215336532459"/>
    <n v="678.0211663"/>
    <n v="143624.95600000001"/>
    <n v="13268"/>
    <n v="163850"/>
    <n v="877.98555996338109"/>
    <n v="139602.459"/>
    <n v="143857.93400000001"/>
    <n v="117493.598"/>
    <n v="81.673352823209598"/>
    <n v="101786.493"/>
    <n v="81342"/>
    <n v="5957.3024107415322"/>
    <n v="18452"/>
    <n v="3837"/>
    <n v="1351.382361916387"/>
    <n v="4.8089653375032579"/>
    <n v="143576.20000000001"/>
    <n v="0"/>
    <m/>
    <m/>
    <m/>
    <m/>
    <m/>
    <n v="76593.569000000003"/>
    <n v="3152.4949999999999"/>
    <n v="0"/>
    <n v="5936.37"/>
    <n v="18929.525000000001"/>
    <n v="2380.498"/>
    <n v="10501.141"/>
    <n v="117493.598"/>
    <n v="0"/>
    <n v="117493.598"/>
    <n v="0.81833617270829007"/>
    <n v="9976.9670000000006"/>
    <n v="15054.931"/>
    <n v="0.1048567311295326"/>
    <n v="147525.49600000001"/>
    <n v="-3949.2959999999998"/>
    <n v="0"/>
    <s v="No"/>
    <x v="0"/>
    <x v="1"/>
    <n v="0.10530082251165319"/>
    <n v="-2.3925215336532458E-2"/>
    <x v="6"/>
  </r>
  <r>
    <s v="TN"/>
    <s v="HealthSpring of Tennessee Inc."/>
    <n v="90"/>
    <n v="180"/>
    <s v="HealthSpring of Tennessee Inc."/>
    <n v="2015"/>
    <x v="0"/>
    <n v="21174.431"/>
    <n v="213826.70199999999"/>
    <n v="1.3320518794595166"/>
    <n v="308.34950830000002"/>
    <n v="1589610.084"/>
    <n v="12142"/>
    <n v="152274"/>
    <n v="993.49030037957891"/>
    <n v="151282.742"/>
    <n v="151282.742"/>
    <n v="108975.89"/>
    <n v="72.034581446177114"/>
    <n v="104288.04399999999"/>
    <n v="158064"/>
    <n v="12456.282753457583"/>
    <n v="250105"/>
    <n v="11896"/>
    <n v="19709.602427203594"/>
    <n v="21.024293880295897"/>
    <n v="151282.742"/>
    <n v="-702.99299999998766"/>
    <m/>
    <m/>
    <m/>
    <m/>
    <m/>
    <n v="95890.864000000001"/>
    <n v="2285.4479999999999"/>
    <n v="0"/>
    <n v="0"/>
    <n v="10799.578"/>
    <n v="0"/>
    <n v="0"/>
    <n v="108975.89"/>
    <n v="0"/>
    <n v="108975.89"/>
    <n v="0.71701393555125426"/>
    <n v="133.15"/>
    <n v="16833.471000000001"/>
    <n v="0.1107569141275002"/>
    <n v="125942.511"/>
    <n v="26043.223999999998"/>
    <n v="0"/>
    <s v="No"/>
    <x v="1"/>
    <x v="1"/>
    <n v="0.13451518970107387"/>
    <n v="0.14513899583715498"/>
    <x v="4"/>
  </r>
  <r>
    <s v="TX"/>
    <s v="Sendero Health Plans Inc."/>
    <n v="90"/>
    <n v="181"/>
    <s v="Sendero Health Plans Inc."/>
    <n v="2015"/>
    <x v="0"/>
    <n v="-4791.3010000000004"/>
    <n v="8904.4950000000008"/>
    <n v="-8.1699031899157237"/>
    <n v="402.22797550000001"/>
    <n v="58645.75"/>
    <n v="12198"/>
    <n v="146166"/>
    <n v="247.5379363189798"/>
    <n v="36181.629999999997"/>
    <n v="36181.629999999997"/>
    <n v="30214.163"/>
    <n v="83.506914973150742"/>
    <n v="35047.527000000002"/>
    <n v="85690"/>
    <n v="7035.0149829645743"/>
    <n v="5836"/>
    <n v="1363"/>
    <n v="479.12647264069619"/>
    <n v="4.281731474688188"/>
    <n v="35202.862999999998"/>
    <n v="0"/>
    <m/>
    <m/>
    <m/>
    <m/>
    <m/>
    <n v="18993.688999999998"/>
    <n v="3117.8339999999998"/>
    <n v="0"/>
    <n v="4834.2659999999996"/>
    <n v="3268.3739999999998"/>
    <n v="0"/>
    <n v="0"/>
    <n v="30214.163"/>
    <n v="0"/>
    <n v="30214.163"/>
    <n v="0.85828709443320006"/>
    <n v="2358.11"/>
    <n v="4182.9340000000002"/>
    <n v="0.11882368772108111"/>
    <n v="30720.656999999999"/>
    <n v="4482.2060000000001"/>
    <n v="0"/>
    <s v="No"/>
    <x v="0"/>
    <x v="1"/>
    <n v="0.15183529923310726"/>
    <n v="1.3095551035385261E-2"/>
    <x v="2"/>
  </r>
  <r>
    <s v="NY"/>
    <s v="Elderplan Inc."/>
    <n v="90"/>
    <n v="182"/>
    <s v="Elderplan Inc."/>
    <n v="2015"/>
    <x v="0"/>
    <n v="-30652.823"/>
    <n v="81895.828999999998"/>
    <n v="-3.7754072732874402"/>
    <n v="139.96606589999999"/>
    <n v="811907.71699999995"/>
    <n v="11806"/>
    <n v="141582"/>
    <n v="4316.2926925739148"/>
    <n v="611109.35199999996"/>
    <n v="611109.35199999996"/>
    <n v="503326.65"/>
    <n v="82.362779812278191"/>
    <n v="500230.34399999998"/>
    <n v="28556"/>
    <n v="2420.3076662287581"/>
    <n v="0"/>
    <n v="0"/>
    <n v="0"/>
    <s v="NA"/>
    <n v="611109.35199999996"/>
    <n v="-3826.3740000000689"/>
    <m/>
    <m/>
    <m/>
    <m/>
    <m/>
    <n v="64351.803"/>
    <n v="438974.84700000001"/>
    <n v="0"/>
    <n v="0"/>
    <n v="0"/>
    <n v="0"/>
    <n v="0"/>
    <n v="503326.65"/>
    <n v="0"/>
    <n v="503326.65"/>
    <n v="0.81850285927280797"/>
    <n v="53025.695"/>
    <n v="62027.58"/>
    <n v="0.10086839547195213"/>
    <n v="618379.92500000005"/>
    <n v="-3444.1990000000001"/>
    <n v="0"/>
    <s v="Yes"/>
    <x v="0"/>
    <x v="1"/>
    <n v="0.10086839585982159"/>
    <n v="7.5503806017396549E-2"/>
    <x v="3"/>
  </r>
  <r>
    <s v="UT"/>
    <s v="Health Choice Utah Inc."/>
    <n v="90"/>
    <n v="183"/>
    <s v="Health Choice Utah Inc."/>
    <n v="2015"/>
    <x v="1"/>
    <n v="834.00800000000004"/>
    <n v="3113.259"/>
    <n v="2.5372171041473521"/>
    <n v="436.65904180000001"/>
    <n v="32870.974999999999"/>
    <n v="16846"/>
    <n v="139796"/>
    <n v="244.43236573292512"/>
    <n v="34170.667000000001"/>
    <n v="34170.667000000001"/>
    <n v="29652.560000000001"/>
    <n v="86.777820286621846"/>
    <n v="26419.260999999999"/>
    <n v="30719"/>
    <n v="2636.8994821024921"/>
    <n v="3872"/>
    <n v="1141"/>
    <n v="332.37002489341614"/>
    <n v="3.3935144609991235"/>
    <n v="32870.974999999999"/>
    <n v="0"/>
    <m/>
    <m/>
    <m/>
    <m/>
    <m/>
    <n v="24612.811000000002"/>
    <n v="0"/>
    <n v="0"/>
    <n v="1648.038"/>
    <n v="3391.7109999999998"/>
    <n v="0"/>
    <n v="0"/>
    <n v="29652.560000000001"/>
    <n v="1579.046"/>
    <n v="28073.513999999999"/>
    <n v="0.85405175842821823"/>
    <n v="0"/>
    <n v="3113.259"/>
    <n v="9.4711489391476833E-2"/>
    <n v="31186.773000000001"/>
    <n v="1684.202"/>
    <n v="0"/>
    <s v="Yes"/>
    <x v="1"/>
    <x v="1"/>
    <n v="9.4711489391476833E-2"/>
    <n v="2.5372171041473521E-2"/>
    <x v="0"/>
  </r>
  <r>
    <s v="NJ"/>
    <s v="Aetna"/>
    <n v="90"/>
    <n v="184"/>
    <s v="Aetna Better Health Inc. (NJ)"/>
    <n v="2015"/>
    <x v="1"/>
    <n v="-2635.4250000000002"/>
    <n v="4248.2879999999996"/>
    <n v="-3.8535467837402284"/>
    <n v="335.7525564"/>
    <n v="68389.593999999997"/>
    <n v="18578"/>
    <n v="136592"/>
    <n v="501.41872144781541"/>
    <n v="68489.785999999993"/>
    <n v="68489.785999999993"/>
    <n v="64452.995999999999"/>
    <n v="94.105997060642011"/>
    <n v="29914.348000000002"/>
    <n v="41471"/>
    <n v="3643.3466088789974"/>
    <n v="26137"/>
    <n v="3779"/>
    <n v="2296.2106126273866"/>
    <n v="6.9163799947075946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1"/>
    <n v="6.2118924115853062E-2"/>
    <n v="-3.8535467837402283E-2"/>
    <x v="9"/>
  </r>
  <r>
    <s v="WI"/>
    <s v="Physicians Plus Insurance Corp"/>
    <n v="90"/>
    <n v="185"/>
    <s v="Physicians Plus Insurance Corp"/>
    <n v="2015"/>
    <x v="0"/>
    <n v="-9162.18"/>
    <n v="26904.285"/>
    <n v="-3.6356231499934362"/>
    <n v="398.23765470000001"/>
    <n v="252011.26800000001"/>
    <n v="10060"/>
    <n v="120182"/>
    <n v="157.59937428233846"/>
    <n v="18940.608"/>
    <n v="18940.608"/>
    <n v="15703.456"/>
    <n v="82.908933018412085"/>
    <n v="16169.958000000001"/>
    <n v="74829"/>
    <n v="7471.5681216821158"/>
    <n v="3908"/>
    <n v="1052"/>
    <n v="390.2081842538816"/>
    <n v="3.7148288973384029"/>
    <n v="18940.608"/>
    <n v="0"/>
    <m/>
    <m/>
    <m/>
    <m/>
    <m/>
    <n v="14772.241"/>
    <n v="260.67700000000002"/>
    <n v="0"/>
    <n v="670.53800000000001"/>
    <n v="0"/>
    <n v="0"/>
    <n v="0"/>
    <n v="15703.456"/>
    <n v="26.408999999999999"/>
    <n v="15677.047"/>
    <n v="0.82769502436247033"/>
    <n v="514.92499999999995"/>
    <n v="2025.943"/>
    <n v="0.10696293381923114"/>
    <n v="18217.915000000001"/>
    <n v="722.69299999999998"/>
    <n v="0"/>
    <s v="Yes"/>
    <x v="1"/>
    <x v="1"/>
    <n v="0.10675826209485204"/>
    <n v="6.4152407721027066E-2"/>
    <x v="5"/>
  </r>
  <r>
    <s v="WI"/>
    <s v="Health Tradition Health Plan"/>
    <n v="90"/>
    <n v="186"/>
    <s v="Health Tradition Health Plan"/>
    <n v="2015"/>
    <x v="0"/>
    <n v="-329.58300000000003"/>
    <n v="13422.891"/>
    <n v="-0.23163571998604215"/>
    <n v="391.9153124"/>
    <n v="142285.04999999999"/>
    <n v="8941"/>
    <n v="107396"/>
    <n v="133.17086297441244"/>
    <n v="14302.018"/>
    <n v="14302.018"/>
    <n v="11500.502"/>
    <n v="80.41174329384846"/>
    <n v="11439.89"/>
    <n v="14392"/>
    <n v="1608.1045849007412"/>
    <n v="2433"/>
    <n v="770"/>
    <n v="271.85370032403443"/>
    <n v="3.1597402597402597"/>
    <n v="14302.018"/>
    <n v="0"/>
    <m/>
    <m/>
    <m/>
    <m/>
    <m/>
    <n v="3850.16"/>
    <n v="4451.0330000000004"/>
    <n v="3084.0059999999999"/>
    <n v="115.30200000000001"/>
    <n v="0"/>
    <n v="0"/>
    <n v="0"/>
    <n v="11500.501"/>
    <n v="0"/>
    <n v="11500.501"/>
    <n v="0.80411736301828174"/>
    <n v="1034.864"/>
    <n v="1641.7329999999999"/>
    <n v="0.11479030441718084"/>
    <n v="14177.098"/>
    <n v="124.92"/>
    <n v="0"/>
    <s v="Yes"/>
    <x v="1"/>
    <x v="1"/>
    <n v="9.4338027782961034E-2"/>
    <n v="0.10154453927855438"/>
    <x v="4"/>
  </r>
  <r>
    <s v="PA"/>
    <s v="Keystone Hlth Plan Central Inc/Capital Blue Cross "/>
    <n v="90"/>
    <n v="187"/>
    <s v="Keystone Hlth Plan Central Inc/Capital Blue Cross "/>
    <n v="2015"/>
    <x v="0"/>
    <s v="-"/>
    <s v="-"/>
    <s v="-"/>
    <s v="-"/>
    <s v="-"/>
    <n v="8255.25"/>
    <n v="99063"/>
    <n v="412.5894834600204"/>
    <n v="40872.351999999999"/>
    <n v="40872.351999999999"/>
    <n v="27174.466"/>
    <n v="66.486181172054899"/>
    <n v="27534.055"/>
    <n v="84306"/>
    <n v="10212.410284364496"/>
    <n v="2192"/>
    <n v="547"/>
    <n v="265.52799733502923"/>
    <n v="4.0073126142595976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0"/>
    <x v="1"/>
    <n v="0"/>
    <n v="-100"/>
    <x v="1"/>
  </r>
  <r>
    <s v="MI"/>
    <s v="Harbor Health Plan Inc. (Tenet)"/>
    <n v="89"/>
    <n v="188"/>
    <s v="Harbor Health Plan Inc. (Tenet)"/>
    <n v="2015"/>
    <x v="1"/>
    <n v="4271.0619999999999"/>
    <n v="3501.8850000000002"/>
    <n v="11.676965631834419"/>
    <n v="965.67751429999998"/>
    <n v="36576.813999999998"/>
    <n v="6515"/>
    <n v="83508"/>
    <n v="419.71105762322173"/>
    <n v="35049.231"/>
    <n v="35049.231"/>
    <n v="22729.805"/>
    <n v="64.851080470210604"/>
    <n v="23114.402999999998"/>
    <n v="37047"/>
    <n v="5323.6097140393731"/>
    <n v="2290"/>
    <n v="1118"/>
    <n v="329.07026871676965"/>
    <n v="2.0483005366726297"/>
    <n v="34889.375999999997"/>
    <n v="-650.76200000000244"/>
    <m/>
    <m/>
    <m/>
    <m/>
    <m/>
    <n v="18725.873"/>
    <n v="1112.53"/>
    <n v="0"/>
    <n v="0"/>
    <n v="2891.402"/>
    <n v="0"/>
    <n v="0"/>
    <n v="22729.805"/>
    <n v="0"/>
    <n v="22729.805"/>
    <n v="0.63955308783550591"/>
    <n v="909.19200000000001"/>
    <n v="3393.5450000000001"/>
    <n v="9.5484857149401053E-2"/>
    <n v="27032.542000000001"/>
    <n v="8507.5959999999995"/>
    <n v="0"/>
    <s v="Yes"/>
    <x v="1"/>
    <x v="1"/>
    <n v="9.5740569421929433E-2"/>
    <n v="0.11676965631834418"/>
    <x v="4"/>
  </r>
  <r>
    <s v="OH"/>
    <s v="Aetna"/>
    <n v="6"/>
    <n v="189"/>
    <s v="Aetna Better Health Inc. (OH)"/>
    <n v="2015"/>
    <x v="0"/>
    <n v="-10092.255999999999"/>
    <n v="83492.218999999997"/>
    <n v="-1.2889925819566725"/>
    <n v="387.02871169999997"/>
    <n v="782956.87199999997"/>
    <n v="6902"/>
    <n v="79709"/>
    <n v="6862.4100540716854"/>
    <n v="554227.11800000002"/>
    <n v="546995.84299999999"/>
    <n v="437477.73200000002"/>
    <n v="79.978255337490751"/>
    <n v="439503.50400000002"/>
    <n v="462622"/>
    <n v="69646.639651733174"/>
    <n v="34159"/>
    <n v="7649"/>
    <n v="5142.5560476232295"/>
    <n v="4.4658125245130078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1"/>
    <n v="0.10663706008062217"/>
    <n v="9.3580386544470276E-2"/>
    <x v="3"/>
  </r>
  <r>
    <s v="WI"/>
    <s v="Trilogy Health Insurance Inc."/>
    <n v="99"/>
    <n v="190"/>
    <s v="Trilogy Health Insurance Inc."/>
    <n v="2015"/>
    <x v="1"/>
    <n v="3096.5720000000001"/>
    <n v="1475.354"/>
    <n v="17.476928620160134"/>
    <n v="597.62895409999999"/>
    <n v="17718.056"/>
    <n v="7263"/>
    <n v="77801"/>
    <n v="229.62154728088328"/>
    <n v="17864.786"/>
    <n v="17864.786"/>
    <n v="12425.74"/>
    <n v="69.554373615222701"/>
    <n v="11737.611000000001"/>
    <n v="40038"/>
    <n v="6175.447616354546"/>
    <n v="3140"/>
    <n v="736"/>
    <n v="484.3125409699104"/>
    <n v="4.2663043478260869"/>
    <n v="17718.056"/>
    <n v="0"/>
    <m/>
    <m/>
    <m/>
    <m/>
    <m/>
    <n v="10605.105"/>
    <n v="1820.635"/>
    <n v="0"/>
    <n v="0"/>
    <n v="0"/>
    <n v="0"/>
    <n v="0"/>
    <n v="12425.74"/>
    <n v="143.64699999999999"/>
    <n v="12282.093000000001"/>
    <n v="0.69319642064569609"/>
    <n v="743.90200000000004"/>
    <n v="1475.354"/>
    <n v="8.3268390166505848E-2"/>
    <n v="14501.349"/>
    <n v="3216.7069999999999"/>
    <n v="0"/>
    <s v="No"/>
    <x v="1"/>
    <x v="1"/>
    <n v="8.3268390166505848E-2"/>
    <n v="0.17476928620160134"/>
    <x v="8"/>
  </r>
  <r>
    <s v="WI"/>
    <s v="Grp Hlth Coop of South Central"/>
    <n v="98"/>
    <n v="191"/>
    <s v="Grp Hlth Coop of South Central"/>
    <n v="2015"/>
    <x v="0"/>
    <n v="185.291"/>
    <n v="30961.548999999999"/>
    <n v="4.8305987457680971E-2"/>
    <n v="363.75455740000001"/>
    <n v="383577.70899999997"/>
    <n v="5932"/>
    <n v="73141"/>
    <n v="169.32515278708249"/>
    <n v="12384.611000000001"/>
    <n v="12384.611000000001"/>
    <n v="10289.402"/>
    <n v="83.082157364490484"/>
    <n v="10258.982"/>
    <n v="27418"/>
    <n v="4498.3798416756672"/>
    <n v="2143"/>
    <n v="590"/>
    <n v="351.59486471336186"/>
    <n v="3.6322033898305084"/>
    <n v="12331.218000000001"/>
    <n v="0"/>
    <m/>
    <m/>
    <m/>
    <m/>
    <m/>
    <n v="5169.4610000000002"/>
    <n v="2411.3739999999998"/>
    <n v="8.9030000000000005"/>
    <n v="858.428"/>
    <n v="0"/>
    <n v="1841.2370000000001"/>
    <n v="0"/>
    <n v="10289.403"/>
    <n v="0"/>
    <n v="10289.403"/>
    <n v="0.83441903305902143"/>
    <n v="722.99199999999996"/>
    <n v="2344.395"/>
    <n v="0.19011868900541698"/>
    <n v="13356.79"/>
    <n v="-1025.5719999999999"/>
    <n v="0"/>
    <s v="No"/>
    <x v="0"/>
    <x v="1"/>
    <n v="8.071780052265759E-2"/>
    <n v="8.8460625832437578E-2"/>
    <x v="3"/>
  </r>
  <r>
    <s v="WI"/>
    <s v="Care Wisconsin Health Plan Inc"/>
    <n v="79"/>
    <n v="192"/>
    <s v="Care Wisconsin Health Plan Inc"/>
    <n v="2015"/>
    <x v="0"/>
    <n v="11011.39"/>
    <n v="6346.0929999999998"/>
    <n v="9.2662400863326155"/>
    <n v="490.1972912"/>
    <n v="118833.42"/>
    <n v="2750"/>
    <n v="32027"/>
    <n v="2413.4863708745747"/>
    <n v="77296.728000000003"/>
    <n v="77296.728000000003"/>
    <n v="63997.572"/>
    <n v="82.794671463971923"/>
    <n v="62851.44"/>
    <n v="37176"/>
    <n v="13929.247197676959"/>
    <n v="2217"/>
    <n v="351"/>
    <n v="830.67411871233651"/>
    <n v="6.316239316239316"/>
    <n v="77224.513000000006"/>
    <n v="-49.394999999989523"/>
    <m/>
    <m/>
    <m/>
    <m/>
    <m/>
    <n v="27369.079000000002"/>
    <n v="25363.856"/>
    <n v="0"/>
    <n v="536.92200000000003"/>
    <n v="4416.5889999999999"/>
    <n v="6311.1260000000002"/>
    <n v="0"/>
    <n v="63997.572"/>
    <n v="0"/>
    <n v="63997.572"/>
    <n v="0.8281912181793627"/>
    <n v="5814.8720000000003"/>
    <n v="4129.1859999999997"/>
    <n v="5.3435708208260928E-2"/>
    <n v="68700.288"/>
    <n v="8573.6200000000008"/>
    <n v="0"/>
    <s v="No"/>
    <x v="0"/>
    <x v="1"/>
    <n v="5.3403268205190091E-2"/>
    <n v="0.11865001715509066"/>
    <x v="4"/>
  </r>
  <r>
    <s v="FL"/>
    <s v="Aids Hlthcr Fndtn MCO of FL"/>
    <n v="84"/>
    <n v="193"/>
    <s v="Aids Hlthcr Fndtn MCO of FL"/>
    <n v="2015"/>
    <x v="0"/>
    <n v="-11255.718000000001"/>
    <n v="11472.106"/>
    <n v="-10.124569506119474"/>
    <n v="50.023051100000004"/>
    <n v="111172.31200000001"/>
    <n v="1884"/>
    <n v="21890"/>
    <n v="2046.3261763362266"/>
    <n v="44856.504999999997"/>
    <n v="44794.080000000002"/>
    <n v="46247.324999999997"/>
    <n v="103.24427915474544"/>
    <n v="60195.267999999996"/>
    <n v="29251"/>
    <n v="16035.267245317496"/>
    <n v="4570"/>
    <n v="868"/>
    <n v="2505.2535404294199"/>
    <n v="5.2649769585253452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0"/>
    <x v="1"/>
    <n v="0.10319211495754446"/>
    <n v="-0.13563490650499879"/>
    <x v="11"/>
  </r>
  <r>
    <s v="NY"/>
    <s v="AlphaCare of New York Inc."/>
    <n v="39"/>
    <n v="194"/>
    <s v="AlphaCare of New York Inc."/>
    <n v="2015"/>
    <x v="0"/>
    <n v="-10882.717000000001"/>
    <n v="24066.868999999999"/>
    <n v="-10.649078455003695"/>
    <n v="415.66024199999998"/>
    <n v="102193.97900000001"/>
    <n v="2106"/>
    <n v="21721"/>
    <n v="4011.6374936697207"/>
    <n v="87136.778000000006"/>
    <n v="87136.778000000006"/>
    <n v="68783.562000000005"/>
    <n v="78.937463122632323"/>
    <n v="71041.763999999996"/>
    <n v="0"/>
    <n v="0"/>
    <n v="0"/>
    <n v="0"/>
    <n v="0"/>
    <s v="NA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1"/>
    <n v="0.23550182932010111"/>
    <n v="-2.4876460546424339E-2"/>
    <x v="6"/>
  </r>
  <r>
    <s v="WI"/>
    <s v="Cmnty Care Hlth Plan Inc (WI)"/>
    <n v="81"/>
    <n v="195"/>
    <s v="Cmnty Care Hlth Plan Inc (WI)"/>
    <n v="2015"/>
    <x v="0"/>
    <n v="-1079.289"/>
    <n v="5230.5330000000004"/>
    <n v="-1.1224269311912001"/>
    <n v="276.8894209"/>
    <n v="96156.726999999999"/>
    <n v="1341"/>
    <n v="16234"/>
    <n v="3594.5387458420601"/>
    <n v="58353.741999999998"/>
    <n v="58353.741999999998"/>
    <n v="63279.379000000001"/>
    <n v="108.44099595189628"/>
    <n v="58058.324999999997"/>
    <n v="24000"/>
    <n v="17740.544536158679"/>
    <n v="608"/>
    <n v="128"/>
    <n v="449.42712824935319"/>
    <n v="4.75"/>
    <n v="58353.741999999998"/>
    <n v="0"/>
    <m/>
    <m/>
    <m/>
    <m/>
    <m/>
    <n v="4271.268"/>
    <n v="53734.938000000002"/>
    <n v="0"/>
    <n v="236.31200000000001"/>
    <n v="5036.8620000000001"/>
    <n v="0"/>
    <n v="0"/>
    <n v="63279.379000000001"/>
    <n v="1.87"/>
    <n v="63277.508999999998"/>
    <n v="1.0843779135877867"/>
    <n v="1284.5530000000001"/>
    <n v="3666.3240000000001"/>
    <n v="6.2829286937588338E-2"/>
    <n v="68228.385999999999"/>
    <n v="-9874.6440000000002"/>
    <n v="0"/>
    <s v="No"/>
    <x v="0"/>
    <x v="1"/>
    <n v="5.4395913454916164E-2"/>
    <n v="-0.13880587297387909"/>
    <x v="11"/>
  </r>
  <r>
    <s v="MA"/>
    <s v="Tufts Assocd Hlth Maintenance"/>
    <n v="10"/>
    <n v="196"/>
    <s v="Tufts Assocd Hlth Maintenance"/>
    <n v="2015"/>
    <x v="0"/>
    <n v="54638.506000000001"/>
    <n v="216846.109"/>
    <n v="2.1689694633923691"/>
    <n v="526.90588730000002"/>
    <n v="2519099.827"/>
    <n v="1598"/>
    <n v="14999"/>
    <n v="2024.609240616041"/>
    <n v="30367.114000000001"/>
    <n v="30367.114000000001"/>
    <n v="20666.878000000001"/>
    <n v="68.056773521514089"/>
    <n v="18121.775000000001"/>
    <n v="17899"/>
    <n v="14320.154676978465"/>
    <n v="19622"/>
    <n v="879"/>
    <n v="15698.646576438428"/>
    <n v="22.323094425483504"/>
    <n v="30367.114000000001"/>
    <n v="0"/>
    <m/>
    <m/>
    <m/>
    <m/>
    <m/>
    <n v="18606.827000000001"/>
    <n v="0"/>
    <n v="0"/>
    <n v="0"/>
    <n v="548.82899999999995"/>
    <n v="1511.222"/>
    <n v="0"/>
    <n v="20666.878000000001"/>
    <n v="0"/>
    <n v="20666.878000000001"/>
    <n v="0.68056773521514091"/>
    <n v="0"/>
    <n v="5686.4830000000002"/>
    <n v="0.18725793303901056"/>
    <n v="26353.361000000001"/>
    <n v="4013.7530000000002"/>
    <n v="0"/>
    <s v="No"/>
    <x v="0"/>
    <x v="1"/>
    <n v="8.6080792303591391E-2"/>
    <n v="0.2333514724812677"/>
    <x v="8"/>
  </r>
  <r>
    <s v="OR"/>
    <s v="Kaiser"/>
    <n v="31"/>
    <n v="197"/>
    <s v="Kaiser Fndtn Hlth Plan of NW"/>
    <n v="2015"/>
    <x v="0"/>
    <n v="-13498.514999999999"/>
    <n v="224451.05799999999"/>
    <n v="-0.40204066842128772"/>
    <n v="695.87850449999996"/>
    <n v="3357499.89"/>
    <n v="322"/>
    <n v="10666"/>
    <n v="156.95612225764111"/>
    <n v="1674.0940000000001"/>
    <n v="1674.0940000000001"/>
    <n v="6574.4560000000001"/>
    <n v="392.71725482559521"/>
    <n v="6518.4229999999998"/>
    <n v="8298"/>
    <n v="9335.8334895931002"/>
    <n v="706"/>
    <n v="99"/>
    <n v="794.29964372773293"/>
    <n v="7.1313131313131315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Yes"/>
    <x v="0"/>
    <x v="1"/>
    <n v="6.6850652376343037E-2"/>
    <n v="-2.9940232006322951"/>
    <x v="7"/>
  </r>
  <r>
    <s v="TX"/>
    <s v="Aetna"/>
    <n v="6"/>
    <n v="198"/>
    <s v="Aetna Health Inc. (a TX corp.)"/>
    <n v="2015"/>
    <x v="0"/>
    <n v="13882.425999999999"/>
    <n v="61771.409"/>
    <n v="2.6968471054105407"/>
    <n v="657.71085600000004"/>
    <n v="514765.03700000001"/>
    <n v="0"/>
    <n v="0"/>
    <s v="NA"/>
    <n v="151698.446"/>
    <n v="146287.70800000001"/>
    <n v="114418.83500000001"/>
    <n v="78.21493450427154"/>
    <n v="136124.11799999999"/>
    <n v="0"/>
    <s v="NA"/>
    <n v="0"/>
    <n v="0"/>
    <s v="NA"/>
    <s v="NA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1"/>
    <n v="0.11999923180485934"/>
    <n v="9.7851423152425274E-2"/>
    <x v="3"/>
  </r>
  <r>
    <s v="DE"/>
    <s v="Aetna"/>
    <n v="6"/>
    <n v="198"/>
    <s v="Coventry Health Care of DE Inc"/>
    <n v="2015"/>
    <x v="0"/>
    <n v="845.02700000000004"/>
    <n v="15842.734"/>
    <n v="0.99638971785078556"/>
    <n v="1161.5488731999999"/>
    <n v="84808.884000000005"/>
    <n v="0"/>
    <n v="0"/>
    <s v="NA"/>
    <n v="546.49300000000005"/>
    <n v="546.49300000000005"/>
    <n v="-100.589"/>
    <n v="-18.40627418832446"/>
    <n v="-56.305999999999997"/>
    <n v="0"/>
    <s v="NA"/>
    <n v="0"/>
    <n v="0"/>
    <s v="NA"/>
    <s v="NA"/>
    <s v="-"/>
    <s v="-"/>
    <m/>
    <m/>
    <m/>
    <m/>
    <m/>
    <s v="-"/>
    <s v="-"/>
    <s v="-"/>
    <s v="-"/>
    <s v="-"/>
    <s v="-"/>
    <s v="-"/>
    <s v="-"/>
    <s v="-"/>
    <s v="-"/>
    <s v="-"/>
    <s v="-"/>
    <s v="-"/>
    <s v="-"/>
    <s v="-"/>
    <s v="-"/>
    <s v="-"/>
    <s v="No"/>
    <x v="1"/>
    <x v="1"/>
    <n v="0.18680512291613222"/>
    <n v="0.99725761896711229"/>
    <x v="8"/>
  </r>
  <r>
    <s v="AZ"/>
    <s v="Aetna"/>
    <m/>
    <n v="28"/>
    <s v="Mercy Care Plan"/>
    <n v="2015"/>
    <x v="1"/>
    <n v="6648"/>
    <n v="126802"/>
    <n v="0.33938210811015013"/>
    <m/>
    <m/>
    <n v="334258"/>
    <n v="4011096"/>
    <m/>
    <m/>
    <n v="1958854"/>
    <n v="1791904"/>
    <n v="91.477159604544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0"/>
    <m/>
    <n v="3.3938210811015014E-3"/>
    <x v="2"/>
  </r>
  <r>
    <s v="AZ"/>
    <s v="Health Choice Arizona/IASIS "/>
    <m/>
    <n v="51"/>
    <s v="Health Choice Arizona/IASIS "/>
    <n v="2015"/>
    <x v="1"/>
    <n v="20714"/>
    <n v="80648"/>
    <n v="2.9268885453728481"/>
    <m/>
    <m/>
    <n v="230300"/>
    <n v="2763600"/>
    <m/>
    <m/>
    <n v="707714"/>
    <n v="606533"/>
    <n v="85.703123012968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  <m/>
    <n v="2.926888545372848E-2"/>
    <x v="0"/>
  </r>
  <r>
    <s v="AZ"/>
    <s v="University of Arizona Health Plans"/>
    <m/>
    <n v="90"/>
    <s v="University Family Care"/>
    <n v="2015"/>
    <x v="1"/>
    <n v="2827"/>
    <n v="26028"/>
    <n v="0.67604731135482088"/>
    <m/>
    <m/>
    <n v="135870"/>
    <n v="1630440"/>
    <m/>
    <m/>
    <n v="418166"/>
    <n v="380597"/>
    <n v="91.015768857343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  <m/>
    <n v="6.7604731135482085E-3"/>
    <x v="2"/>
  </r>
  <r>
    <s v="AZ"/>
    <s v="University of Arizona Health Plans"/>
    <m/>
    <n v="123"/>
    <s v="Maricopa Health Plan"/>
    <n v="2015"/>
    <x v="1"/>
    <n v="8854"/>
    <n v="21464"/>
    <n v="3.3785769070795952"/>
    <m/>
    <m/>
    <n v="82196"/>
    <n v="986352"/>
    <m/>
    <m/>
    <n v="262063"/>
    <n v="226028"/>
    <n v="86.249489626540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3"/>
    <m/>
    <n v="3.3785769070795953E-2"/>
    <x v="0"/>
  </r>
  <r>
    <s v="AZ"/>
    <s v="VHS Phoenix Health Plan"/>
    <m/>
    <n v="136"/>
    <s v="VHS Phoenix Health Plan"/>
    <n v="2015"/>
    <x v="1"/>
    <n v="15906"/>
    <n v="11689"/>
    <n v="8.9609248242293127"/>
    <m/>
    <m/>
    <n v="59937"/>
    <n v="719244"/>
    <m/>
    <m/>
    <n v="177504"/>
    <n v="140990"/>
    <n v="79.42919596178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3"/>
    <m/>
    <n v="8.9609248242293132E-2"/>
    <x v="3"/>
  </r>
  <r>
    <s v="AZ"/>
    <s v="Comp. Medical, Dental "/>
    <m/>
    <n v="175"/>
    <s v="Comp. Medical, Dental "/>
    <n v="2015"/>
    <x v="1"/>
    <n v="4291"/>
    <n v="5861"/>
    <n v="8.9165489153021369"/>
    <m/>
    <m/>
    <n v="16611"/>
    <n v="199332"/>
    <m/>
    <m/>
    <n v="48124"/>
    <n v="36968"/>
    <n v="76.818219599368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1"/>
    <m/>
    <n v="8.9165489153021374E-2"/>
    <x v="3"/>
  </r>
  <r>
    <s v="AZ"/>
    <s v="UnitedHealth Group Inc. "/>
    <m/>
    <s v="-"/>
    <s v="Arizona Physicians IPA"/>
    <n v="2015"/>
    <x v="1"/>
    <n v="58192"/>
    <n v="228829"/>
    <n v="2.36"/>
    <m/>
    <m/>
    <n v="396387"/>
    <n v="4756644"/>
    <m/>
    <m/>
    <n v="2463393"/>
    <n v="2100688"/>
    <n v="85.276202376153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0"/>
    <m/>
    <n v="2.3599999999999999E-2"/>
    <x v="2"/>
  </r>
  <r>
    <s v="AZ"/>
    <s v="Care1st Health Plan of Arizona"/>
    <m/>
    <s v="-"/>
    <s v="Care1st Health Plan of Arizona"/>
    <n v="2015"/>
    <x v="1"/>
    <n v="46938"/>
    <n v="241581"/>
    <n v="2.1"/>
    <m/>
    <m/>
    <n v="104279"/>
    <n v="1251348"/>
    <m/>
    <m/>
    <n v="2235186"/>
    <n v="1915709"/>
    <n v="85.706916560858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  <m/>
    <n v="2.1000000000000001E-2"/>
    <x v="2"/>
  </r>
  <r>
    <s v="AZ"/>
    <s v="Health Net Access"/>
    <m/>
    <s v="-"/>
    <s v="Health Net Access"/>
    <n v="2015"/>
    <x v="1"/>
    <n v="-28108.274000000001"/>
    <n v="31265.078000000001"/>
    <n v="-12.733000000000001"/>
    <m/>
    <m/>
    <n v="64945"/>
    <n v="779340"/>
    <m/>
    <m/>
    <n v="220755.37299999999"/>
    <n v="225201.14199999999"/>
    <n v="102.01388937428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3"/>
    <m/>
    <n v="-0.12733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5" indent="0" outline="1" outlineData="1" multipleFieldFilters="0">
  <location ref="AD26:AE37" firstHeaderRow="1" firstDataRow="1" firstDataCol="1" rowPageCount="3" colPageCount="1"/>
  <pivotFields count="57">
    <pivotField showAll="0"/>
    <pivotField showAll="0"/>
    <pivotField showAll="0"/>
    <pivotField showAll="0"/>
    <pivotField showAll="0"/>
    <pivotField showAll="0" defaultSubtotal="0"/>
    <pivotField axis="axisPage" multipleItemSelectionAllowed="1" showAll="0">
      <items count="4">
        <item x="0"/>
        <item h="1" x="1"/>
        <item h="1"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x="2"/>
        <item x="1"/>
        <item x="0"/>
        <item x="3"/>
        <item t="default"/>
      </items>
    </pivotField>
    <pivotField axis="axisPage" multipleItemSelectionAllowed="1" showAll="0">
      <items count="7">
        <item h="1" x="0"/>
        <item x="1"/>
        <item x="2"/>
        <item h="1" x="3"/>
        <item h="1" x="4"/>
        <item h="1" x="5"/>
        <item t="default"/>
      </items>
    </pivotField>
    <pivotField numFmtId="9" showAll="0"/>
    <pivotField numFmtId="9" showAll="0"/>
    <pivotField axis="axisRow" dataField="1" showAll="0">
      <items count="28">
        <item m="1" x="17"/>
        <item m="1" x="15"/>
        <item m="1" x="25"/>
        <item m="1" x="22"/>
        <item m="1" x="18"/>
        <item m="1" x="24"/>
        <item m="1" x="21"/>
        <item m="1" x="16"/>
        <item m="1" x="26"/>
        <item m="1" x="13"/>
        <item m="1" x="19"/>
        <item m="1" x="14"/>
        <item m="1" x="20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56"/>
  </rowFields>
  <rowItems count="11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3">
    <pageField fld="6" hier="-1"/>
    <pageField fld="53" hier="-1"/>
    <pageField fld="52" hier="-1"/>
  </pageFields>
  <dataFields count="1">
    <dataField name="Count of Bucket" fld="5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D5:AE18" firstHeaderRow="1" firstDataRow="1" firstDataCol="1" rowPageCount="3" colPageCount="1"/>
  <pivotFields count="56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m="1" x="2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showAll="0"/>
    <pivotField numFmtId="191" showAll="0"/>
    <pivotField numFmtId="191" showAll="0"/>
    <pivotField numFmtId="191" showAll="0"/>
    <pivotField numFmtId="185" showAll="0"/>
    <pivotField numFmtId="191" showAll="0"/>
    <pivotField numFmtId="3" showAll="0"/>
    <pivotField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x="0"/>
        <item h="1" x="2"/>
        <item t="default"/>
      </items>
    </pivotField>
    <pivotField axis="axisPage" multipleItemSelectionAllowed="1" showAll="0">
      <items count="6">
        <item x="0"/>
        <item x="1"/>
        <item x="2"/>
        <item x="3"/>
        <item x="4"/>
        <item t="default"/>
      </items>
    </pivotField>
    <pivotField numFmtId="9" showAll="0"/>
    <pivotField numFmtId="9" showAll="0"/>
    <pivotField axis="axisRow" dataField="1" showAll="0">
      <items count="26">
        <item m="1" x="15"/>
        <item m="1" x="23"/>
        <item m="1" x="20"/>
        <item m="1" x="16"/>
        <item m="1" x="22"/>
        <item m="1" x="19"/>
        <item m="1" x="14"/>
        <item m="1" x="24"/>
        <item m="1" x="12"/>
        <item m="1" x="17"/>
        <item m="1" x="13"/>
        <item m="1" x="18"/>
        <item m="1" x="21"/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55"/>
  </rowFields>
  <rowItems count="13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3">
    <pageField fld="6" hier="-1"/>
    <pageField fld="52" hier="-1"/>
    <pageField fld="51" hier="-1"/>
  </pageFields>
  <dataFields count="1">
    <dataField name="Count of Implied Margin2" fld="5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eme1">
  <a:themeElements>
    <a:clrScheme name="SOA Brand Colo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24D7C"/>
      </a:accent1>
      <a:accent2>
        <a:srgbClr val="77C4D5"/>
      </a:accent2>
      <a:accent3>
        <a:srgbClr val="D23138"/>
      </a:accent3>
      <a:accent4>
        <a:srgbClr val="FDCE07"/>
      </a:accent4>
      <a:accent5>
        <a:srgbClr val="BABF33"/>
      </a:accent5>
      <a:accent6>
        <a:srgbClr val="E27F26"/>
      </a:accent6>
      <a:hlink>
        <a:srgbClr val="D23138"/>
      </a:hlink>
      <a:folHlink>
        <a:srgbClr val="024D7C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indexed="56"/>
    <pageSetUpPr autoPageBreaks="0"/>
  </sheetPr>
  <dimension ref="B1:K34"/>
  <sheetViews>
    <sheetView showGridLines="0" workbookViewId="0"/>
  </sheetViews>
  <sheetFormatPr defaultRowHeight="11.25" outlineLevelRow="1" outlineLevelCol="1"/>
  <cols>
    <col min="1" max="1" width="2.83203125" customWidth="1"/>
    <col min="3" max="3" width="45.83203125" customWidth="1"/>
    <col min="4" max="4" width="11.83203125" hidden="1" customWidth="1" outlineLevel="1"/>
    <col min="5" max="5" width="11.83203125" customWidth="1" collapsed="1"/>
    <col min="6" max="11" width="11.83203125" customWidth="1"/>
  </cols>
  <sheetData>
    <row r="1" spans="2:11">
      <c r="K1" s="123" t="s">
        <v>33</v>
      </c>
    </row>
    <row r="2" spans="2:11" s="413" customFormat="1" ht="18">
      <c r="B2" s="411" t="s">
        <v>14</v>
      </c>
      <c r="C2" s="411"/>
      <c r="D2" s="411"/>
      <c r="E2" s="412"/>
      <c r="F2" s="412"/>
      <c r="G2" s="412"/>
      <c r="H2" s="412"/>
      <c r="I2" s="412"/>
      <c r="J2" s="412"/>
      <c r="K2" s="412"/>
    </row>
    <row r="3" spans="2:11" s="410" customFormat="1" ht="15">
      <c r="B3" s="375" t="str">
        <f ca="1">"Top "&amp;COUNTA(OFFSET($C$29,5,0,50,1))&amp;" Companies by Written Premium Sorted by Growth ($000)"</f>
        <v>Top 0 Companies by Written Premium Sorted by Growth ($000)</v>
      </c>
      <c r="C3" s="375"/>
      <c r="D3" s="375"/>
      <c r="E3" s="376"/>
      <c r="F3" s="376"/>
      <c r="G3" s="376"/>
      <c r="H3" s="376"/>
      <c r="I3" s="376"/>
      <c r="J3" s="376"/>
      <c r="K3" s="376"/>
    </row>
    <row r="4" spans="2:11" s="374" customFormat="1">
      <c r="B4" s="405" t="s">
        <v>15</v>
      </c>
      <c r="C4" s="405"/>
      <c r="D4" s="405"/>
      <c r="E4" s="406"/>
      <c r="F4" s="406"/>
      <c r="G4" s="406"/>
      <c r="H4" s="406"/>
      <c r="I4" s="406"/>
      <c r="J4" s="406"/>
      <c r="K4" s="406"/>
    </row>
    <row r="5" spans="2:11" s="409" customFormat="1" ht="12" thickBot="1">
      <c r="B5" s="407" t="e">
        <f>"Line of Business:  "&amp;State_LOB_Name</f>
        <v>#REF!</v>
      </c>
      <c r="C5" s="407"/>
      <c r="D5" s="407"/>
      <c r="E5" s="408"/>
      <c r="F5" s="408"/>
      <c r="G5" s="408"/>
      <c r="H5" s="408"/>
      <c r="I5" s="408"/>
      <c r="J5" s="408"/>
      <c r="K5" s="408"/>
    </row>
    <row r="6" spans="2:11">
      <c r="B6" s="16" t="s">
        <v>123</v>
      </c>
      <c r="C6" s="1"/>
      <c r="D6" s="4"/>
      <c r="E6" s="2"/>
      <c r="F6" s="2"/>
      <c r="G6" s="2"/>
      <c r="H6" s="2"/>
      <c r="I6" s="2"/>
      <c r="J6" s="2"/>
      <c r="K6" s="101" t="e">
        <f ca="1">IF($B$15="#","# = Company does not write any "&amp;State_LOB_Name&amp;", or they do not appear in the top "&amp;$D$29,"")</f>
        <v>#REF!</v>
      </c>
    </row>
    <row r="7" spans="2:11" ht="22.5">
      <c r="B7" s="89"/>
      <c r="C7" s="94"/>
      <c r="D7" s="17" t="s">
        <v>127</v>
      </c>
      <c r="E7" s="19" t="s">
        <v>105</v>
      </c>
      <c r="F7" s="19"/>
      <c r="G7" s="19"/>
      <c r="H7" s="20"/>
      <c r="I7" s="19" t="s">
        <v>16</v>
      </c>
      <c r="J7" s="19"/>
      <c r="K7" s="20"/>
    </row>
    <row r="8" spans="2:11" ht="34.5" thickBot="1">
      <c r="B8" s="93" t="s">
        <v>122</v>
      </c>
      <c r="C8" s="95" t="s">
        <v>11</v>
      </c>
      <c r="D8" s="28"/>
      <c r="E8" s="30" t="e">
        <f>E32</f>
        <v>#REF!</v>
      </c>
      <c r="F8" s="50" t="e">
        <f>F32</f>
        <v>#REF!</v>
      </c>
      <c r="G8" s="387" t="s">
        <v>0</v>
      </c>
      <c r="H8" s="388" t="s">
        <v>1</v>
      </c>
      <c r="I8" s="30" t="e">
        <f>I32</f>
        <v>#REF!</v>
      </c>
      <c r="J8" s="50" t="e">
        <f>J32</f>
        <v>#REF!</v>
      </c>
      <c r="K8" s="399" t="s">
        <v>19</v>
      </c>
    </row>
    <row r="9" spans="2:11" ht="12" hidden="1" outlineLevel="1" thickTop="1">
      <c r="B9" s="112"/>
      <c r="C9" s="103" t="s">
        <v>21</v>
      </c>
      <c r="D9" s="113"/>
      <c r="E9" s="105"/>
      <c r="F9" s="106"/>
      <c r="G9" s="110"/>
      <c r="H9" s="106"/>
      <c r="I9" s="398"/>
      <c r="J9" s="106"/>
      <c r="K9" s="400"/>
    </row>
    <row r="10" spans="2:11" ht="45" hidden="1" outlineLevel="1">
      <c r="B10" s="112"/>
      <c r="C10" s="37" t="s">
        <v>11</v>
      </c>
      <c r="D10" s="40" t="s">
        <v>12</v>
      </c>
      <c r="E10" s="5" t="s">
        <v>105</v>
      </c>
      <c r="F10" s="8" t="s">
        <v>105</v>
      </c>
      <c r="G10" s="53" t="s">
        <v>17</v>
      </c>
      <c r="H10" s="8" t="s">
        <v>18</v>
      </c>
      <c r="I10" s="7" t="s">
        <v>24</v>
      </c>
      <c r="J10" s="8" t="s">
        <v>24</v>
      </c>
      <c r="K10" s="401" t="s">
        <v>19</v>
      </c>
    </row>
    <row r="11" spans="2:11" hidden="1" outlineLevel="1">
      <c r="B11" s="112"/>
      <c r="C11" s="500">
        <v>116383</v>
      </c>
      <c r="D11" s="41"/>
      <c r="E11" s="5">
        <v>124055</v>
      </c>
      <c r="F11" s="8">
        <v>124055</v>
      </c>
      <c r="G11" s="98"/>
      <c r="H11" s="389"/>
      <c r="I11" s="7">
        <v>120068</v>
      </c>
      <c r="J11" s="8">
        <v>120068</v>
      </c>
      <c r="K11" s="402"/>
    </row>
    <row r="12" spans="2:11" hidden="1" outlineLevel="1">
      <c r="B12" s="112"/>
      <c r="C12" s="38"/>
      <c r="D12" s="42"/>
      <c r="E12" s="5" t="e">
        <f>LEFT(F12,4)-1&amp;"Y"</f>
        <v>#REF!</v>
      </c>
      <c r="F12" s="8" t="e">
        <f>Period_Y</f>
        <v>#REF!</v>
      </c>
      <c r="G12" s="98"/>
      <c r="H12" s="389"/>
      <c r="I12" s="7" t="e">
        <f>LEFT(J12,4)-1&amp;"Y"</f>
        <v>#REF!</v>
      </c>
      <c r="J12" s="8" t="e">
        <f>Period_Y</f>
        <v>#REF!</v>
      </c>
      <c r="K12" s="402"/>
    </row>
    <row r="13" spans="2:11" ht="12" hidden="1" outlineLevel="1" thickBot="1">
      <c r="B13" s="122"/>
      <c r="C13" s="39"/>
      <c r="D13" s="43"/>
      <c r="E13" s="117" t="e">
        <f>IF(AND(State_LOB_Code=18,LEFT(E12,4)&lt;"2009"),81,State_LOB_Code)</f>
        <v>#REF!</v>
      </c>
      <c r="F13" s="118" t="e">
        <f>IF(AND(State_LOB_Code=18,LEFT(F12,4)&lt;"2009"),81,State_LOB_Code)</f>
        <v>#REF!</v>
      </c>
      <c r="G13" s="120"/>
      <c r="H13" s="390"/>
      <c r="I13" s="116" t="e">
        <f>IF(AND(State_LOB_Code=18,LEFT(I12,4)&lt;"2009"),81,State_LOB_Code)</f>
        <v>#REF!</v>
      </c>
      <c r="J13" s="118" t="e">
        <f>IF(AND(State_LOB_Code=18,LEFT(J12,4)&lt;"2009"),81,State_LOB_Code)</f>
        <v>#REF!</v>
      </c>
      <c r="K13" s="403"/>
    </row>
    <row r="14" spans="2:11" ht="8.1" customHeight="1" collapsed="1" thickTop="1">
      <c r="B14" s="68"/>
      <c r="C14" s="68"/>
      <c r="D14" s="68"/>
      <c r="E14" s="26"/>
      <c r="F14" s="26"/>
      <c r="G14" s="26"/>
      <c r="H14" s="26"/>
      <c r="I14" s="26"/>
      <c r="J14" s="26"/>
      <c r="K14" s="115"/>
    </row>
    <row r="15" spans="2:11">
      <c r="B15" s="96" t="str">
        <f ca="1">IF(ISERROR(MATCH($C$15,OFFSET(Query_Growth,5,0,$D$29,1),0)),"#",MATCH($C$15,OFFSET(Query_Growth,5,0,$D$29,1),0))</f>
        <v>#</v>
      </c>
      <c r="C15" s="24"/>
      <c r="D15" s="44" t="e">
        <f>Entity_Code</f>
        <v>#REF!</v>
      </c>
      <c r="E15" s="55"/>
      <c r="F15" s="380"/>
      <c r="G15" s="391">
        <f>IF(ISERROR(F15-E15),"NA",F15-E15)</f>
        <v>0</v>
      </c>
      <c r="H15" s="152" t="str">
        <f>IF(ISERROR(G15/E15),"NA",100*G15/E15)</f>
        <v>NA</v>
      </c>
      <c r="I15" s="151"/>
      <c r="J15" s="157"/>
      <c r="K15" s="156">
        <f>IF(ISERROR(J15-I15),"NA",J15-I15)</f>
        <v>0</v>
      </c>
    </row>
    <row r="16" spans="2:11">
      <c r="B16" s="86" t="s">
        <v>136</v>
      </c>
      <c r="C16" s="34" t="str">
        <f ca="1">"Top "&amp;COUNTA(OFFSET($C$29,5,0,50,1))&amp;" Companies"</f>
        <v>Top 0 Companies</v>
      </c>
      <c r="D16" s="62"/>
      <c r="E16" s="70">
        <f ca="1">SUM(OFFSET(E$29,5,0,50,1))</f>
        <v>0</v>
      </c>
      <c r="F16" s="381">
        <f ca="1">SUM(OFFSET(F$29,5,0,50,1))</f>
        <v>0</v>
      </c>
      <c r="G16" s="392">
        <f ca="1">IF(ISERROR(F16-E16),"NA",F16-E16)</f>
        <v>0</v>
      </c>
      <c r="H16" s="134" t="str">
        <f ca="1">IF(ISERROR(G16/E16),"NA",100*G16/E16)</f>
        <v>NA</v>
      </c>
      <c r="I16" s="133" t="s">
        <v>20</v>
      </c>
      <c r="J16" s="144" t="s">
        <v>20</v>
      </c>
      <c r="K16" s="143" t="s">
        <v>20</v>
      </c>
    </row>
    <row r="17" spans="2:11">
      <c r="B17" s="102" t="s">
        <v>136</v>
      </c>
      <c r="C17" s="25"/>
      <c r="D17" s="45" t="s">
        <v>115</v>
      </c>
      <c r="E17" s="59"/>
      <c r="F17" s="382"/>
      <c r="G17" s="393">
        <f>IF(ISERROR(F17-E17),"NA",F17-E17)</f>
        <v>0</v>
      </c>
      <c r="H17" s="155" t="str">
        <f>IF(ISERROR(G17/E17),"NA",100*G17/E17)</f>
        <v>NA</v>
      </c>
      <c r="I17" s="154"/>
      <c r="J17" s="160"/>
      <c r="K17" s="159">
        <f>IF(ISERROR(J17-I17),"NA",J17-I17)</f>
        <v>0</v>
      </c>
    </row>
    <row r="18" spans="2:11" ht="8.1" customHeight="1">
      <c r="B18" s="64"/>
      <c r="C18" s="64"/>
      <c r="D18" s="64"/>
      <c r="E18" s="66"/>
      <c r="F18" s="66"/>
      <c r="G18" s="66"/>
      <c r="H18" s="67"/>
      <c r="I18" s="66"/>
      <c r="J18" s="66"/>
      <c r="K18" s="67"/>
    </row>
    <row r="19" spans="2:11" hidden="1" outlineLevel="1">
      <c r="B19" s="84"/>
      <c r="C19" s="33"/>
      <c r="D19" s="76"/>
      <c r="E19" s="77"/>
      <c r="F19" s="383"/>
      <c r="G19" s="394"/>
      <c r="H19" s="129"/>
      <c r="I19" s="128"/>
      <c r="J19" s="140"/>
      <c r="K19" s="139"/>
    </row>
    <row r="20" spans="2:11" hidden="1" outlineLevel="1">
      <c r="B20" s="85"/>
      <c r="C20" s="81"/>
      <c r="D20" s="82"/>
      <c r="E20" s="83"/>
      <c r="F20" s="384"/>
      <c r="G20" s="395"/>
      <c r="H20" s="131"/>
      <c r="I20" s="130"/>
      <c r="J20" s="142"/>
      <c r="K20" s="141"/>
    </row>
    <row r="21" spans="2:11" hidden="1" outlineLevel="1">
      <c r="B21" s="86"/>
      <c r="C21" s="34"/>
      <c r="D21" s="62"/>
      <c r="E21" s="70"/>
      <c r="F21" s="381"/>
      <c r="G21" s="392"/>
      <c r="H21" s="134"/>
      <c r="I21" s="133"/>
      <c r="J21" s="144"/>
      <c r="K21" s="143"/>
    </row>
    <row r="22" spans="2:11" hidden="1" outlineLevel="1">
      <c r="B22" s="85"/>
      <c r="C22" s="81"/>
      <c r="D22" s="82"/>
      <c r="E22" s="83"/>
      <c r="F22" s="384"/>
      <c r="G22" s="395"/>
      <c r="H22" s="131"/>
      <c r="I22" s="130"/>
      <c r="J22" s="142"/>
      <c r="K22" s="141"/>
    </row>
    <row r="23" spans="2:11" hidden="1" outlineLevel="1">
      <c r="B23" s="87"/>
      <c r="C23" s="35"/>
      <c r="D23" s="78"/>
      <c r="E23" s="79"/>
      <c r="F23" s="385"/>
      <c r="G23" s="396"/>
      <c r="H23" s="136"/>
      <c r="I23" s="135"/>
      <c r="J23" s="147"/>
      <c r="K23" s="146"/>
    </row>
    <row r="24" spans="2:11" hidden="1" outlineLevel="1">
      <c r="B24" s="85"/>
      <c r="C24" s="81"/>
      <c r="D24" s="82"/>
      <c r="E24" s="83"/>
      <c r="F24" s="384"/>
      <c r="G24" s="395"/>
      <c r="H24" s="131"/>
      <c r="I24" s="130"/>
      <c r="J24" s="142"/>
      <c r="K24" s="141"/>
    </row>
    <row r="25" spans="2:11" hidden="1" outlineLevel="1">
      <c r="B25" s="86"/>
      <c r="C25" s="34"/>
      <c r="D25" s="62"/>
      <c r="E25" s="70"/>
      <c r="F25" s="381"/>
      <c r="G25" s="392"/>
      <c r="H25" s="134"/>
      <c r="I25" s="133"/>
      <c r="J25" s="144"/>
      <c r="K25" s="143"/>
    </row>
    <row r="26" spans="2:11" hidden="1" outlineLevel="1">
      <c r="B26" s="85"/>
      <c r="C26" s="81"/>
      <c r="D26" s="82"/>
      <c r="E26" s="83"/>
      <c r="F26" s="384"/>
      <c r="G26" s="395"/>
      <c r="H26" s="131"/>
      <c r="I26" s="130"/>
      <c r="J26" s="142"/>
      <c r="K26" s="141"/>
    </row>
    <row r="27" spans="2:11" hidden="1" outlineLevel="1">
      <c r="B27" s="86"/>
      <c r="C27" s="34"/>
      <c r="D27" s="62"/>
      <c r="E27" s="70"/>
      <c r="F27" s="381"/>
      <c r="G27" s="392"/>
      <c r="H27" s="134"/>
      <c r="I27" s="133"/>
      <c r="J27" s="144"/>
      <c r="K27" s="143"/>
    </row>
    <row r="28" spans="2:11" hidden="1" outlineLevel="1">
      <c r="B28" s="124"/>
      <c r="C28" s="125"/>
      <c r="D28" s="126"/>
      <c r="E28" s="127"/>
      <c r="F28" s="386"/>
      <c r="G28" s="397"/>
      <c r="H28" s="138"/>
      <c r="I28" s="137"/>
      <c r="J28" s="149"/>
      <c r="K28" s="148"/>
    </row>
    <row r="29" spans="2:11" hidden="1" outlineLevel="1">
      <c r="B29" s="104">
        <f>COUNTA(B30:K30)</f>
        <v>10</v>
      </c>
      <c r="C29" s="103" t="s">
        <v>23</v>
      </c>
      <c r="D29" s="104">
        <f ca="1">IF(COUNTA(OFFSET($C$29,5,0,5000,1))=0,1,COUNTA(OFFSET($C$29,5,0,5000,1)))</f>
        <v>1</v>
      </c>
      <c r="E29" s="105"/>
      <c r="F29" s="106"/>
      <c r="G29" s="110"/>
      <c r="H29" s="108"/>
      <c r="I29" s="109"/>
      <c r="J29" s="106"/>
      <c r="K29" s="400"/>
    </row>
    <row r="30" spans="2:11" ht="45" hidden="1" outlineLevel="1">
      <c r="B30" s="97" t="s">
        <v>122</v>
      </c>
      <c r="C30" s="37" t="s">
        <v>11</v>
      </c>
      <c r="D30" s="40" t="s">
        <v>12</v>
      </c>
      <c r="E30" s="5" t="s">
        <v>105</v>
      </c>
      <c r="F30" s="8" t="s">
        <v>105</v>
      </c>
      <c r="G30" s="53" t="s">
        <v>17</v>
      </c>
      <c r="H30" s="6" t="s">
        <v>18</v>
      </c>
      <c r="I30" s="9" t="s">
        <v>24</v>
      </c>
      <c r="J30" s="8" t="s">
        <v>24</v>
      </c>
      <c r="K30" s="401" t="s">
        <v>19</v>
      </c>
    </row>
    <row r="31" spans="2:11" hidden="1" outlineLevel="1">
      <c r="B31" s="36"/>
      <c r="C31" s="37"/>
      <c r="D31" s="41"/>
      <c r="E31" s="5">
        <v>124055</v>
      </c>
      <c r="F31" s="8">
        <v>124055</v>
      </c>
      <c r="G31" s="98"/>
      <c r="H31" s="99"/>
      <c r="I31" s="9">
        <v>120068</v>
      </c>
      <c r="J31" s="8">
        <v>120068</v>
      </c>
      <c r="K31" s="402"/>
    </row>
    <row r="32" spans="2:11" hidden="1" outlineLevel="1">
      <c r="B32" s="404"/>
      <c r="C32" s="38"/>
      <c r="D32" s="42"/>
      <c r="E32" s="5" t="e">
        <f>LEFT(F32,4)-1&amp;"Y"</f>
        <v>#REF!</v>
      </c>
      <c r="F32" s="8" t="e">
        <f>Period_Y</f>
        <v>#REF!</v>
      </c>
      <c r="G32" s="98"/>
      <c r="H32" s="99"/>
      <c r="I32" s="9" t="e">
        <f>LEFT(J32,4)-1&amp;"Y"</f>
        <v>#REF!</v>
      </c>
      <c r="J32" s="8" t="e">
        <f>Period_Y</f>
        <v>#REF!</v>
      </c>
      <c r="K32" s="402"/>
    </row>
    <row r="33" spans="2:11" ht="12" hidden="1" outlineLevel="1" thickBot="1">
      <c r="B33" s="377" t="str">
        <f ca="1">IF(ISERROR(RANK(G33,OFFSET($G$29,5,0,$D$29,1))),"--",RANK(G33,OFFSET($G$29,5,0,$D$29,1)))</f>
        <v>--</v>
      </c>
      <c r="C33" s="378"/>
      <c r="D33" s="379"/>
      <c r="E33" s="117" t="e">
        <f>IF(AND(State_LOB_Code=18,LEFT(E32,4)&lt;"2009"),81,State_LOB_Code)</f>
        <v>#REF!</v>
      </c>
      <c r="F33" s="118" t="e">
        <f>IF(AND(State_LOB_Code=18,LEFT(F32,4)&lt;"2009"),81,State_LOB_Code)</f>
        <v>#REF!</v>
      </c>
      <c r="G33" s="120"/>
      <c r="H33" s="121"/>
      <c r="I33" s="119" t="e">
        <f>IF(AND(State_LOB_Code=18,LEFT(I32,4)&lt;"2009"),81,State_LOB_Code)</f>
        <v>#REF!</v>
      </c>
      <c r="J33" s="118" t="e">
        <f>IF(AND(State_LOB_Code=18,LEFT(J32,4)&lt;"2009"),81,State_LOB_Code)</f>
        <v>#REF!</v>
      </c>
      <c r="K33" s="403"/>
    </row>
    <row r="34" spans="2:11" collapsed="1"/>
  </sheetData>
  <phoneticPr fontId="0" type="noConversion"/>
  <hyperlinks>
    <hyperlink ref="K1" location="Instructions!A1" tooltip="Back to Instructions tab" display="Instructions"/>
  </hyperlinks>
  <pageMargins left="0.25" right="0.25" top="0.25" bottom="0.5" header="0.5" footer="0.25"/>
  <pageSetup scale="90" orientation="portrait" r:id="rId1"/>
  <headerFooter alignWithMargins="0">
    <oddFooter>&amp;LCopyright (C) SNL Financial, LC. 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indexed="56"/>
    <pageSetUpPr autoPageBreaks="0"/>
  </sheetPr>
  <dimension ref="B1:EN1851"/>
  <sheetViews>
    <sheetView showGridLines="0" zoomScaleNormal="100" workbookViewId="0"/>
  </sheetViews>
  <sheetFormatPr defaultRowHeight="11.25" outlineLevelCol="1"/>
  <cols>
    <col min="1" max="1" width="2.83203125" customWidth="1"/>
    <col min="2" max="2" width="8.83203125" style="236" customWidth="1"/>
    <col min="3" max="3" width="6.83203125" style="236" customWidth="1"/>
    <col min="4" max="10" width="6.83203125" customWidth="1"/>
    <col min="11" max="13" width="10.83203125" hidden="1" customWidth="1" outlineLevel="1"/>
    <col min="14" max="14" width="10.83203125" customWidth="1" collapsed="1"/>
    <col min="15" max="16" width="10.83203125" customWidth="1"/>
    <col min="17" max="19" width="11.83203125" hidden="1" customWidth="1" outlineLevel="1"/>
    <col min="20" max="20" width="11.83203125" customWidth="1" collapsed="1"/>
    <col min="21" max="22" width="11.83203125" customWidth="1"/>
    <col min="23" max="24" width="6.83203125" hidden="1" customWidth="1" outlineLevel="1"/>
    <col min="25" max="25" width="6.83203125" customWidth="1" collapsed="1"/>
    <col min="26" max="29" width="6.83203125" customWidth="1"/>
    <col min="30" max="31" width="6.83203125" hidden="1" customWidth="1" outlineLevel="1"/>
    <col min="32" max="32" width="6.83203125" customWidth="1" collapsed="1"/>
    <col min="33" max="36" width="6.83203125" customWidth="1"/>
    <col min="37" max="66" width="10.83203125" hidden="1" customWidth="1" outlineLevel="1"/>
    <col min="67" max="67" width="2.83203125" customWidth="1" collapsed="1"/>
    <col min="68" max="71" width="2.83203125" customWidth="1"/>
    <col min="72" max="72" width="2.83203125" hidden="1" customWidth="1" outlineLevel="1"/>
    <col min="73" max="73" width="15.5" hidden="1" customWidth="1" outlineLevel="1"/>
    <col min="74" max="74" width="11.33203125" style="163" hidden="1" customWidth="1" outlineLevel="1"/>
    <col min="75" max="75" width="7.83203125" style="163" hidden="1" customWidth="1" outlineLevel="1"/>
    <col min="76" max="76" width="9" style="163" hidden="1" customWidth="1" outlineLevel="1"/>
    <col min="77" max="78" width="13.83203125" style="162" hidden="1" customWidth="1" outlineLevel="1"/>
    <col min="79" max="81" width="2.83203125" hidden="1" customWidth="1" outlineLevel="1"/>
    <col min="82" max="82" width="31" hidden="1" customWidth="1" outlineLevel="1"/>
    <col min="83" max="83" width="21.83203125" style="4" hidden="1" customWidth="1" outlineLevel="1"/>
    <col min="84" max="143" width="9.33203125" hidden="1" customWidth="1" outlineLevel="1"/>
    <col min="144" max="144" width="9.33203125" customWidth="1" collapsed="1"/>
  </cols>
  <sheetData>
    <row r="1" spans="2:78">
      <c r="V1" s="123" t="s">
        <v>33</v>
      </c>
    </row>
    <row r="2" spans="2:78" s="10" customFormat="1" ht="18">
      <c r="B2" s="319" t="str">
        <f>"State Summary:  "&amp;IF($BZ$77="","-",$BZ$77&amp;" vs. P&amp;C Industry")</f>
        <v>State Summary:  -</v>
      </c>
      <c r="C2" s="320"/>
      <c r="BV2" s="319"/>
      <c r="BW2" s="319"/>
      <c r="BX2" s="319"/>
      <c r="BY2" s="11"/>
      <c r="BZ2" s="11"/>
    </row>
    <row r="3" spans="2:78" s="12" customFormat="1" ht="15">
      <c r="B3" s="321" t="s">
        <v>42</v>
      </c>
      <c r="C3" s="322"/>
      <c r="T3" s="333"/>
      <c r="BV3" s="321"/>
      <c r="BW3" s="321"/>
      <c r="BX3" s="321"/>
      <c r="BY3" s="13"/>
      <c r="BZ3" s="13"/>
    </row>
    <row r="4" spans="2:78" s="12" customFormat="1" ht="15.75" thickBot="1">
      <c r="B4" s="323" t="e">
        <f>"Line of Business:  "&amp;State_LOB_Name</f>
        <v>#REF!</v>
      </c>
      <c r="C4" s="32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V4" s="321"/>
      <c r="BW4" s="321"/>
      <c r="BX4" s="321"/>
      <c r="BY4" s="13"/>
      <c r="BZ4" s="13"/>
    </row>
    <row r="5" spans="2:78" ht="8.1" customHeight="1"/>
    <row r="6" spans="2:78" s="230" customFormat="1">
      <c r="B6" s="237"/>
      <c r="C6" s="237"/>
      <c r="D6" s="239" t="s">
        <v>36</v>
      </c>
      <c r="E6" s="240"/>
      <c r="F6" s="240"/>
      <c r="G6" s="241"/>
      <c r="H6" s="239" t="s">
        <v>128</v>
      </c>
      <c r="I6" s="243"/>
      <c r="J6" s="244"/>
      <c r="K6" s="239" t="s">
        <v>40</v>
      </c>
      <c r="L6" s="240"/>
      <c r="M6" s="243"/>
      <c r="N6" s="240" t="s">
        <v>105</v>
      </c>
      <c r="O6" s="243"/>
      <c r="P6" s="243"/>
      <c r="Q6" s="243"/>
      <c r="R6" s="243"/>
      <c r="S6" s="243"/>
      <c r="T6" s="243"/>
      <c r="U6" s="243"/>
      <c r="V6" s="244"/>
      <c r="W6" s="278" t="s">
        <v>41</v>
      </c>
      <c r="X6" s="243"/>
      <c r="Y6" s="239" t="s">
        <v>24</v>
      </c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4"/>
      <c r="AK6" s="18" t="s">
        <v>26</v>
      </c>
      <c r="AL6" s="19"/>
      <c r="AM6" s="19"/>
      <c r="AN6" s="19"/>
      <c r="AO6" s="19"/>
      <c r="AP6" s="19"/>
      <c r="AQ6" s="19"/>
      <c r="AR6" s="19"/>
      <c r="AS6" s="19"/>
      <c r="AT6" s="20"/>
      <c r="AU6" s="18" t="s">
        <v>25</v>
      </c>
      <c r="AV6" s="19"/>
      <c r="AW6" s="19"/>
      <c r="AX6" s="19"/>
      <c r="AY6" s="19"/>
      <c r="AZ6" s="19"/>
      <c r="BA6" s="19"/>
      <c r="BB6" s="19"/>
      <c r="BC6" s="19"/>
      <c r="BD6" s="20"/>
      <c r="BE6" s="18" t="s">
        <v>27</v>
      </c>
      <c r="BF6" s="19"/>
      <c r="BG6" s="19"/>
      <c r="BH6" s="19"/>
      <c r="BI6" s="19"/>
      <c r="BJ6" s="19"/>
      <c r="BK6" s="19"/>
      <c r="BL6" s="19"/>
      <c r="BM6" s="19"/>
      <c r="BN6" s="20"/>
      <c r="BX6" s="231"/>
      <c r="BY6" s="232"/>
      <c r="BZ6" s="232"/>
    </row>
    <row r="7" spans="2:78" s="230" customFormat="1" ht="22.5">
      <c r="B7" s="292" t="s">
        <v>39</v>
      </c>
      <c r="C7" s="238" t="s">
        <v>35</v>
      </c>
      <c r="D7" s="18" t="str">
        <f>IF($BZ$77="","-",$BZ$77)</f>
        <v>-</v>
      </c>
      <c r="E7" s="19"/>
      <c r="F7" s="242" t="s">
        <v>114</v>
      </c>
      <c r="G7" s="20"/>
      <c r="H7" s="18" t="str">
        <f>IF($BZ$77="","-",$BZ$77)</f>
        <v>-</v>
      </c>
      <c r="I7" s="19"/>
      <c r="J7" s="20"/>
      <c r="K7" s="18" t="str">
        <f>IF($BZ$77="","-",$BZ$77)</f>
        <v>-</v>
      </c>
      <c r="L7" s="19"/>
      <c r="M7" s="19"/>
      <c r="N7" s="19" t="str">
        <f>IF($BZ$77="","-",$BZ$77)</f>
        <v>-</v>
      </c>
      <c r="O7" s="19"/>
      <c r="P7" s="261"/>
      <c r="Q7" s="242" t="s">
        <v>114</v>
      </c>
      <c r="R7" s="19"/>
      <c r="S7" s="19"/>
      <c r="T7" s="19" t="s">
        <v>114</v>
      </c>
      <c r="U7" s="19"/>
      <c r="V7" s="19"/>
      <c r="W7" s="18" t="str">
        <f>IF($BZ$77="","-",$BZ$77)</f>
        <v>-</v>
      </c>
      <c r="X7" s="19"/>
      <c r="Y7" s="18" t="str">
        <f>IF($BZ$77="","-",$BZ$77)</f>
        <v>-</v>
      </c>
      <c r="Z7" s="19"/>
      <c r="AA7" s="19"/>
      <c r="AB7" s="19"/>
      <c r="AC7" s="280"/>
      <c r="AD7" s="19" t="s">
        <v>114</v>
      </c>
      <c r="AE7" s="19"/>
      <c r="AF7" s="19" t="s">
        <v>114</v>
      </c>
      <c r="AG7" s="19"/>
      <c r="AH7" s="19"/>
      <c r="AI7" s="19"/>
      <c r="AJ7" s="279"/>
      <c r="AK7" s="18" t="str">
        <f>IF($BZ$77="","-",$BZ$77)</f>
        <v>-</v>
      </c>
      <c r="AL7" s="19"/>
      <c r="AM7" s="19"/>
      <c r="AN7" s="19"/>
      <c r="AO7" s="19"/>
      <c r="AP7" s="242" t="s">
        <v>114</v>
      </c>
      <c r="AQ7" s="19"/>
      <c r="AR7" s="19"/>
      <c r="AS7" s="19"/>
      <c r="AT7" s="20"/>
      <c r="AU7" s="18" t="str">
        <f>IF($BZ$77="","-",$BZ$77)</f>
        <v>-</v>
      </c>
      <c r="AV7" s="19"/>
      <c r="AW7" s="19"/>
      <c r="AX7" s="19"/>
      <c r="AY7" s="19"/>
      <c r="AZ7" s="242" t="s">
        <v>114</v>
      </c>
      <c r="BA7" s="19"/>
      <c r="BB7" s="19"/>
      <c r="BC7" s="19"/>
      <c r="BD7" s="20"/>
      <c r="BE7" s="18" t="str">
        <f>IF($BZ$77="","-",$BZ$77)</f>
        <v>-</v>
      </c>
      <c r="BF7" s="19"/>
      <c r="BG7" s="19"/>
      <c r="BH7" s="19"/>
      <c r="BI7" s="19"/>
      <c r="BJ7" s="242" t="s">
        <v>114</v>
      </c>
      <c r="BK7" s="19"/>
      <c r="BL7" s="19"/>
      <c r="BM7" s="19"/>
      <c r="BN7" s="20"/>
      <c r="BX7" s="231"/>
      <c r="BY7" s="232"/>
      <c r="BZ7" s="232"/>
    </row>
    <row r="8" spans="2:78" s="233" customFormat="1" ht="23.25" thickBot="1">
      <c r="B8" s="277"/>
      <c r="C8" s="268" t="e">
        <f>Period_Y</f>
        <v>#REF!</v>
      </c>
      <c r="D8" s="269" t="s">
        <v>37</v>
      </c>
      <c r="E8" s="270" t="s">
        <v>38</v>
      </c>
      <c r="F8" s="271" t="s">
        <v>37</v>
      </c>
      <c r="G8" s="272" t="s">
        <v>38</v>
      </c>
      <c r="H8" s="269" t="e">
        <f>LEFT(I8,4)-1&amp;"Y"</f>
        <v>#REF!</v>
      </c>
      <c r="I8" s="270" t="e">
        <f>LEFT(J8,4)-1&amp;"Y"</f>
        <v>#REF!</v>
      </c>
      <c r="J8" s="272" t="e">
        <f>Period_Y</f>
        <v>#REF!</v>
      </c>
      <c r="K8" s="269" t="e">
        <f>LEFT(L8,4)-1&amp;"Y"</f>
        <v>#REF!</v>
      </c>
      <c r="L8" s="270" t="e">
        <f>LEFT(M8,4)-1&amp;"Y"</f>
        <v>#REF!</v>
      </c>
      <c r="M8" s="270" t="e">
        <f>LEFT(N8,4)-1&amp;"Y"</f>
        <v>#REF!</v>
      </c>
      <c r="N8" s="270" t="e">
        <f>LEFT(O8,4)-1&amp;"Y"</f>
        <v>#REF!</v>
      </c>
      <c r="O8" s="270" t="e">
        <f>LEFT(P8,4)-1&amp;"Y"</f>
        <v>#REF!</v>
      </c>
      <c r="P8" s="273" t="e">
        <f>Period_Y</f>
        <v>#REF!</v>
      </c>
      <c r="Q8" s="271" t="e">
        <f>LEFT(R8,4)-1&amp;"Y"</f>
        <v>#REF!</v>
      </c>
      <c r="R8" s="270" t="e">
        <f>LEFT(S8,4)-1&amp;"Y"</f>
        <v>#REF!</v>
      </c>
      <c r="S8" s="270" t="e">
        <f>LEFT(T8,4)-1&amp;"Y"</f>
        <v>#REF!</v>
      </c>
      <c r="T8" s="270" t="e">
        <f>LEFT(U8,4)-1&amp;"Y"</f>
        <v>#REF!</v>
      </c>
      <c r="U8" s="270" t="e">
        <f>LEFT(V8,4)-1&amp;"Y"</f>
        <v>#REF!</v>
      </c>
      <c r="V8" s="272" t="e">
        <f>Period_Y</f>
        <v>#REF!</v>
      </c>
      <c r="W8" s="269" t="e">
        <f>LEFT(X8,4)-1&amp;"Y"</f>
        <v>#REF!</v>
      </c>
      <c r="X8" s="270" t="e">
        <f>LEFT(Y8,4)-1&amp;"Y"</f>
        <v>#REF!</v>
      </c>
      <c r="Y8" s="270" t="e">
        <f>LEFT(Z8,4)-1&amp;"Y"</f>
        <v>#REF!</v>
      </c>
      <c r="Z8" s="270" t="e">
        <f>LEFT(AA8,4)-1&amp;"Y"</f>
        <v>#REF!</v>
      </c>
      <c r="AA8" s="270" t="e">
        <f>Period_Y</f>
        <v>#REF!</v>
      </c>
      <c r="AB8" s="326" t="s">
        <v>119</v>
      </c>
      <c r="AC8" s="273" t="s">
        <v>120</v>
      </c>
      <c r="AD8" s="270" t="e">
        <f>LEFT(AE8,4)-1&amp;"Y"</f>
        <v>#REF!</v>
      </c>
      <c r="AE8" s="270" t="e">
        <f>LEFT(AF8,4)-1&amp;"Y"</f>
        <v>#REF!</v>
      </c>
      <c r="AF8" s="270" t="e">
        <f>LEFT(AG8,4)-1&amp;"Y"</f>
        <v>#REF!</v>
      </c>
      <c r="AG8" s="270" t="e">
        <f>LEFT(AH8,4)-1&amp;"Y"</f>
        <v>#REF!</v>
      </c>
      <c r="AH8" s="270" t="e">
        <f>Period_Y</f>
        <v>#REF!</v>
      </c>
      <c r="AI8" s="326" t="s">
        <v>119</v>
      </c>
      <c r="AJ8" s="272" t="s">
        <v>120</v>
      </c>
      <c r="AK8" s="269" t="e">
        <f>LEFT(AL8,4)-1&amp;"Y"</f>
        <v>#REF!</v>
      </c>
      <c r="AL8" s="270" t="e">
        <f>LEFT(AM8,4)-1&amp;"Y"</f>
        <v>#REF!</v>
      </c>
      <c r="AM8" s="270" t="e">
        <f>LEFT(AN8,4)-1&amp;"Y"</f>
        <v>#REF!</v>
      </c>
      <c r="AN8" s="270" t="e">
        <f>LEFT(AO8,4)-1&amp;"Y"</f>
        <v>#REF!</v>
      </c>
      <c r="AO8" s="270" t="e">
        <f>Period_Y</f>
        <v>#REF!</v>
      </c>
      <c r="AP8" s="271" t="e">
        <f>LEFT(AQ8,4)-1&amp;"Y"</f>
        <v>#REF!</v>
      </c>
      <c r="AQ8" s="270" t="e">
        <f>LEFT(AR8,4)-1&amp;"Y"</f>
        <v>#REF!</v>
      </c>
      <c r="AR8" s="270" t="e">
        <f>LEFT(AS8,4)-1&amp;"Y"</f>
        <v>#REF!</v>
      </c>
      <c r="AS8" s="270" t="e">
        <f>LEFT(AT8,4)-1&amp;"Y"</f>
        <v>#REF!</v>
      </c>
      <c r="AT8" s="272" t="e">
        <f>Period_Y</f>
        <v>#REF!</v>
      </c>
      <c r="AU8" s="269" t="e">
        <f>LEFT(AV8,4)-1&amp;"Y"</f>
        <v>#REF!</v>
      </c>
      <c r="AV8" s="270" t="e">
        <f>LEFT(AW8,4)-1&amp;"Y"</f>
        <v>#REF!</v>
      </c>
      <c r="AW8" s="270" t="e">
        <f>LEFT(AX8,4)-1&amp;"Y"</f>
        <v>#REF!</v>
      </c>
      <c r="AX8" s="270" t="e">
        <f>LEFT(AY8,4)-1&amp;"Y"</f>
        <v>#REF!</v>
      </c>
      <c r="AY8" s="270" t="e">
        <f>Period_Y</f>
        <v>#REF!</v>
      </c>
      <c r="AZ8" s="271" t="e">
        <f>LEFT(BA8,4)-1&amp;"Y"</f>
        <v>#REF!</v>
      </c>
      <c r="BA8" s="270" t="e">
        <f>LEFT(BB8,4)-1&amp;"Y"</f>
        <v>#REF!</v>
      </c>
      <c r="BB8" s="270" t="e">
        <f>LEFT(BC8,4)-1&amp;"Y"</f>
        <v>#REF!</v>
      </c>
      <c r="BC8" s="270" t="e">
        <f>LEFT(BD8,4)-1&amp;"Y"</f>
        <v>#REF!</v>
      </c>
      <c r="BD8" s="272" t="e">
        <f>Period_Y</f>
        <v>#REF!</v>
      </c>
      <c r="BE8" s="269" t="e">
        <f>LEFT(BF8,4)-1&amp;"Y"</f>
        <v>#REF!</v>
      </c>
      <c r="BF8" s="270" t="e">
        <f>LEFT(BG8,4)-1&amp;"Y"</f>
        <v>#REF!</v>
      </c>
      <c r="BG8" s="270" t="e">
        <f>LEFT(BH8,4)-1&amp;"Y"</f>
        <v>#REF!</v>
      </c>
      <c r="BH8" s="270" t="e">
        <f>LEFT(BI8,4)-1&amp;"Y"</f>
        <v>#REF!</v>
      </c>
      <c r="BI8" s="270" t="e">
        <f>Period_Y</f>
        <v>#REF!</v>
      </c>
      <c r="BJ8" s="271" t="e">
        <f>LEFT(BK8,4)-1&amp;"Y"</f>
        <v>#REF!</v>
      </c>
      <c r="BK8" s="270" t="e">
        <f>LEFT(BL8,4)-1&amp;"Y"</f>
        <v>#REF!</v>
      </c>
      <c r="BL8" s="270" t="e">
        <f>LEFT(BM8,4)-1&amp;"Y"</f>
        <v>#REF!</v>
      </c>
      <c r="BM8" s="270" t="e">
        <f>LEFT(BN8,4)-1&amp;"Y"</f>
        <v>#REF!</v>
      </c>
      <c r="BN8" s="272" t="e">
        <f>Period_Y</f>
        <v>#REF!</v>
      </c>
      <c r="BX8" s="234"/>
      <c r="BY8" s="235"/>
      <c r="BZ8" s="235"/>
    </row>
    <row r="9" spans="2:78" ht="12" thickTop="1">
      <c r="B9" s="274" t="s">
        <v>47</v>
      </c>
      <c r="C9" s="367" t="str">
        <f t="shared" ref="C9:C40" ca="1" si="0">IF(OR($BZ263=0,$BZ263="NA"),"-",IF(ISERROR(RANK($BZ263,OFFSET($CF$76,5,$BT79,$CE$76,1))),"-",RANK($BZ263,OFFSET($CF$76,5,$BT79,$CE$76,1))))</f>
        <v>-</v>
      </c>
      <c r="D9" s="168" t="str">
        <f t="shared" ref="D9:D40" si="1">IF(ISERROR((P9/K9)^(1/5)-1),"NA",IF(ABS(100*((P9/K9)^(1/5)-1))&gt;999,"NM",100*((P9/K9)^(1/5)-1)))</f>
        <v>NA</v>
      </c>
      <c r="E9" s="248" t="str">
        <f t="shared" ref="E9:E40" si="2">IF(ISERROR(P9/O9-1),"NA",IF(ABS(100*(P9/O9-1))&gt;999,"NM",100*(P9/O9-1)))</f>
        <v>NA</v>
      </c>
      <c r="F9" s="285" t="str">
        <f t="shared" ref="F9:F40" si="3">IF(ISERROR((V9/Q9)^(1/5)-1),"NA",IF(ABS(100*((V9/Q9)^(1/5)-1))&gt;999,"NM",100*((V9/Q9)^(1/5)-1)))</f>
        <v>NA</v>
      </c>
      <c r="G9" s="169" t="str">
        <f t="shared" ref="G9:G40" si="4">IF(ISERROR(V9/U9-1),"NA",IF(ABS(100*(V9/U9-1))&gt;999,"NM",100*(V9/U9-1)))</f>
        <v>NA</v>
      </c>
      <c r="H9" s="168" t="str">
        <f t="shared" ref="H9:H40" si="5">IF(BZ201="","-",BZ201)</f>
        <v>-</v>
      </c>
      <c r="I9" s="248" t="str">
        <f t="shared" ref="I9:I40" si="6">IF(BZ140="","-",BZ140)</f>
        <v>-</v>
      </c>
      <c r="J9" s="169" t="str">
        <f t="shared" ref="J9:J40" si="7">IF(BZ79="","-",BZ79)</f>
        <v>-</v>
      </c>
      <c r="K9" s="255" t="str">
        <f t="shared" ref="K9:K40" si="8">IF(BZ568="","-",BZ568)</f>
        <v>-</v>
      </c>
      <c r="L9" s="256" t="str">
        <f t="shared" ref="L9:L40" si="9">IF(BZ507="","-",BZ507)</f>
        <v>-</v>
      </c>
      <c r="M9" s="256" t="str">
        <f t="shared" ref="M9:M40" si="10">IF(BZ446="","-",BZ446)</f>
        <v>-</v>
      </c>
      <c r="N9" s="256" t="str">
        <f t="shared" ref="N9:N40" si="11">IF(BZ385="","-",BZ385)</f>
        <v>-</v>
      </c>
      <c r="O9" s="256" t="str">
        <f t="shared" ref="O9:O40" si="12">IF(BZ324="","-",BZ324)</f>
        <v>-</v>
      </c>
      <c r="P9" s="264" t="str">
        <f t="shared" ref="P9:P40" si="13">IF(BZ263="","-",BZ263)</f>
        <v>-</v>
      </c>
      <c r="Q9" s="265" t="str">
        <f t="shared" ref="Q9:Q40" si="14">IF(BY568="","-",BY568)</f>
        <v>-</v>
      </c>
      <c r="R9" s="256" t="str">
        <f t="shared" ref="R9:R40" si="15">IF(BY507="","-",BY507)</f>
        <v>-</v>
      </c>
      <c r="S9" s="256" t="str">
        <f t="shared" ref="S9:S40" si="16">IF(BY446="","-",BY446)</f>
        <v>-</v>
      </c>
      <c r="T9" s="256" t="str">
        <f t="shared" ref="T9:T40" si="17">IF(BY385="","-",BY385)</f>
        <v>-</v>
      </c>
      <c r="U9" s="256" t="str">
        <f t="shared" ref="U9:U40" si="18">IF(BY324="","-",BY324)</f>
        <v>-</v>
      </c>
      <c r="V9" s="257" t="str">
        <f t="shared" ref="V9:V40" si="19">IF(BY263="","-",BY263)</f>
        <v>-</v>
      </c>
      <c r="W9" s="283" t="str">
        <f t="shared" ref="W9:W40" si="20">IF(BZ874="","-",BZ874)</f>
        <v>-</v>
      </c>
      <c r="X9" s="282" t="str">
        <f t="shared" ref="X9:X40" si="21">IF(BZ813="","-",BZ813)</f>
        <v>-</v>
      </c>
      <c r="Y9" s="282" t="str">
        <f t="shared" ref="Y9:Y40" si="22">IF(BZ752="","-",BZ752)</f>
        <v>-</v>
      </c>
      <c r="Z9" s="282" t="str">
        <f t="shared" ref="Z9:Z40" si="23">IF(BZ691="","-",BZ691)</f>
        <v>-</v>
      </c>
      <c r="AA9" s="282" t="str">
        <f t="shared" ref="AA9:AA40" si="24">IF(BZ630="","-",BZ630)</f>
        <v>-</v>
      </c>
      <c r="AB9" s="327" t="str">
        <f t="shared" ref="AB9:AB40" si="25">IF(ISERROR(SUM(AM9:AO9)/(SUM(AW9:AY9)-SUM(BG9:BI9))),"NA",IF(ABS(100*SUM(AM9:AO9)/(SUM(AW9:AY9)-SUM(BG9:BI9)))&gt;999,"NM",100*SUM(AM9:AO9)/(SUM(AW9:AY9)-SUM(BG9:BI9))))</f>
        <v>NA</v>
      </c>
      <c r="AC9" s="313" t="str">
        <f t="shared" ref="AC9:AC40" si="26">IF(ISERROR(SUM(AK9:AO9)/(SUM(AU9:AY9)-SUM(BE9:BI9))),"NA",IF(ABS(100*SUM(AK9:AO9)/(SUM(AU9:AY9)-SUM(BE9:BI9)))&gt;999,"NM",100*SUM(AK9:AO9)/(SUM(AU9:AY9)-SUM(BE9:BI9))))</f>
        <v>NA</v>
      </c>
      <c r="AD9" s="281" t="str">
        <f t="shared" ref="AD9:AD40" si="27">IF(BY874="","-",BY874)</f>
        <v>-</v>
      </c>
      <c r="AE9" s="282" t="str">
        <f t="shared" ref="AE9:AE40" si="28">IF(BY813="","-",BY813)</f>
        <v>-</v>
      </c>
      <c r="AF9" s="282" t="str">
        <f t="shared" ref="AF9:AF40" si="29">IF(BY752="","-",BY752)</f>
        <v>-</v>
      </c>
      <c r="AG9" s="282" t="str">
        <f t="shared" ref="AG9:AG40" si="30">IF(BY691="","-",BY691)</f>
        <v>-</v>
      </c>
      <c r="AH9" s="282" t="str">
        <f t="shared" ref="AH9:AH40" si="31">IF(BY630="","-",BY630)</f>
        <v>-</v>
      </c>
      <c r="AI9" s="327" t="str">
        <f t="shared" ref="AI9:AI40" si="32">IF(ISERROR(SUM(AR9:AT9)/(SUM(BB9:BD9)-SUM(BL9:BN9))),"NA",IF(ABS(100*SUM(AR9:AT9)/(SUM(BB9:BD9)-SUM(BL9:BN9)))&gt;999,"NM",100*SUM(AR9:AT9)/(SUM(BB9:BD9)-SUM(BL9:BN9))))</f>
        <v>NA</v>
      </c>
      <c r="AJ9" s="325" t="str">
        <f t="shared" ref="AJ9:AJ40" si="33">IF(ISERROR(SUM(AP9:AT9)/(SUM(AZ9:BD9)-SUM(BJ9:BN9))),"NA",IF(ABS(100*SUM(AP9:AT9)/(SUM(AZ9:BD9)-SUM(BJ9:BN9)))&gt;999,"NM",100*SUM(AP9:AT9)/(SUM(AZ9:BD9)-SUM(BJ9:BN9))))</f>
        <v>NA</v>
      </c>
      <c r="AK9" s="287" t="str">
        <f t="shared" ref="AK9:AK40" si="34">IF(BZ1486="","-",BZ1486)</f>
        <v>-</v>
      </c>
      <c r="AL9" s="288" t="str">
        <f t="shared" ref="AL9:AL40" si="35">IF(BZ1425="","-",BZ1425)</f>
        <v>-</v>
      </c>
      <c r="AM9" s="288" t="str">
        <f t="shared" ref="AM9:AM40" si="36">IF(BZ1364="","-",BZ1364)</f>
        <v>-</v>
      </c>
      <c r="AN9" s="288" t="str">
        <f t="shared" ref="AN9:AN40" si="37">IF(BZ1303="","-",BZ1303)</f>
        <v>-</v>
      </c>
      <c r="AO9" s="289" t="str">
        <f t="shared" ref="AO9:AO40" si="38">IF(BZ1242="","-",BZ1242)</f>
        <v>-</v>
      </c>
      <c r="AP9" s="290" t="str">
        <f t="shared" ref="AP9:AP40" si="39">IF(BY1486="","-",BY1486)</f>
        <v>-</v>
      </c>
      <c r="AQ9" s="288" t="str">
        <f t="shared" ref="AQ9:AQ40" si="40">IF(BY1425="","-",BY1425)</f>
        <v>-</v>
      </c>
      <c r="AR9" s="288" t="str">
        <f t="shared" ref="AR9:AR40" si="41">IF(BY1364="","-",BY1364)</f>
        <v>-</v>
      </c>
      <c r="AS9" s="288" t="str">
        <f t="shared" ref="AS9:AS40" si="42">IF(BY1303="","-",BY1303)</f>
        <v>-</v>
      </c>
      <c r="AT9" s="291" t="str">
        <f t="shared" ref="AT9:AT40" si="43">IF(BY1242="","-",BY1242)</f>
        <v>-</v>
      </c>
      <c r="AU9" s="287" t="str">
        <f t="shared" ref="AU9:AU40" si="44">IF(BZ1180="","-",BZ1180)</f>
        <v>-</v>
      </c>
      <c r="AV9" s="288" t="str">
        <f t="shared" ref="AV9:AV40" si="45">IF(BZ1119="","-",BZ1119)</f>
        <v>-</v>
      </c>
      <c r="AW9" s="288" t="str">
        <f t="shared" ref="AW9:AW40" si="46">IF(BZ1058="","-",BZ1058)</f>
        <v>-</v>
      </c>
      <c r="AX9" s="288" t="str">
        <f t="shared" ref="AX9:AX40" si="47">IF(BZ997="","-",BZ997)</f>
        <v>-</v>
      </c>
      <c r="AY9" s="289" t="str">
        <f t="shared" ref="AY9:AY40" si="48">IF(BZ936="","-",BZ936)</f>
        <v>-</v>
      </c>
      <c r="AZ9" s="290" t="str">
        <f t="shared" ref="AZ9:AZ40" si="49">IF(BY1180="","-",BY1180)</f>
        <v>-</v>
      </c>
      <c r="BA9" s="288" t="str">
        <f t="shared" ref="BA9:BA40" si="50">IF(BY1119="","-",BY1119)</f>
        <v>-</v>
      </c>
      <c r="BB9" s="288" t="str">
        <f t="shared" ref="BB9:BB40" si="51">IF(BY1058="","-",BY1058)</f>
        <v>-</v>
      </c>
      <c r="BC9" s="288" t="str">
        <f t="shared" ref="BC9:BC40" si="52">IF(BY997="","-",BY997)</f>
        <v>-</v>
      </c>
      <c r="BD9" s="291" t="str">
        <f t="shared" ref="BD9:BD40" si="53">IF(BY936="","-",BY936)</f>
        <v>-</v>
      </c>
      <c r="BE9" s="287" t="str">
        <f t="shared" ref="BE9:BE40" si="54">IF(BZ1792="","-",BZ1792)</f>
        <v>-</v>
      </c>
      <c r="BF9" s="288" t="str">
        <f t="shared" ref="BF9:BF40" si="55">IF(BZ1731="","-",BZ1731)</f>
        <v>-</v>
      </c>
      <c r="BG9" s="288" t="str">
        <f t="shared" ref="BG9:BG40" si="56">IF(BZ1670="","-",BZ1670)</f>
        <v>-</v>
      </c>
      <c r="BH9" s="288" t="str">
        <f t="shared" ref="BH9:BH40" si="57">IF(BZ1609="","-",BZ1609)</f>
        <v>-</v>
      </c>
      <c r="BI9" s="289" t="str">
        <f t="shared" ref="BI9:BI40" si="58">IF(BZ1548="","-",BZ1548)</f>
        <v>-</v>
      </c>
      <c r="BJ9" s="290" t="str">
        <f t="shared" ref="BJ9:BJ40" si="59">IF(BY1792="","-",BY1792)</f>
        <v>-</v>
      </c>
      <c r="BK9" s="288" t="str">
        <f t="shared" ref="BK9:BK40" si="60">IF(BY1731="","-",BY1731)</f>
        <v>-</v>
      </c>
      <c r="BL9" s="288" t="str">
        <f t="shared" ref="BL9:BL40" si="61">IF(BY1670="","-",BY1670)</f>
        <v>-</v>
      </c>
      <c r="BM9" s="288" t="str">
        <f t="shared" ref="BM9:BM40" si="62">IF(BY1609="","-",BY1609)</f>
        <v>-</v>
      </c>
      <c r="BN9" s="291" t="str">
        <f t="shared" ref="BN9:BN40" si="63">IF(BY1548="","-",BY1548)</f>
        <v>-</v>
      </c>
    </row>
    <row r="10" spans="2:78">
      <c r="B10" s="275" t="s">
        <v>48</v>
      </c>
      <c r="C10" s="368" t="str">
        <f t="shared" ca="1" si="0"/>
        <v>-</v>
      </c>
      <c r="D10" s="245" t="str">
        <f t="shared" si="1"/>
        <v>NA</v>
      </c>
      <c r="E10" s="246" t="str">
        <f t="shared" si="2"/>
        <v>NA</v>
      </c>
      <c r="F10" s="284" t="str">
        <f t="shared" si="3"/>
        <v>NA</v>
      </c>
      <c r="G10" s="247" t="str">
        <f t="shared" si="4"/>
        <v>NA</v>
      </c>
      <c r="H10" s="245" t="str">
        <f t="shared" si="5"/>
        <v>-</v>
      </c>
      <c r="I10" s="246" t="str">
        <f t="shared" si="6"/>
        <v>-</v>
      </c>
      <c r="J10" s="247" t="str">
        <f t="shared" si="7"/>
        <v>-</v>
      </c>
      <c r="K10" s="252" t="str">
        <f t="shared" si="8"/>
        <v>-</v>
      </c>
      <c r="L10" s="253" t="str">
        <f t="shared" si="9"/>
        <v>-</v>
      </c>
      <c r="M10" s="253" t="str">
        <f t="shared" si="10"/>
        <v>-</v>
      </c>
      <c r="N10" s="253" t="str">
        <f t="shared" si="11"/>
        <v>-</v>
      </c>
      <c r="O10" s="253" t="str">
        <f t="shared" si="12"/>
        <v>-</v>
      </c>
      <c r="P10" s="262" t="str">
        <f t="shared" si="13"/>
        <v>-</v>
      </c>
      <c r="Q10" s="263" t="str">
        <f t="shared" si="14"/>
        <v>-</v>
      </c>
      <c r="R10" s="253" t="str">
        <f t="shared" si="15"/>
        <v>-</v>
      </c>
      <c r="S10" s="253" t="str">
        <f t="shared" si="16"/>
        <v>-</v>
      </c>
      <c r="T10" s="253" t="str">
        <f t="shared" si="17"/>
        <v>-</v>
      </c>
      <c r="U10" s="253" t="str">
        <f t="shared" si="18"/>
        <v>-</v>
      </c>
      <c r="V10" s="254" t="str">
        <f t="shared" si="19"/>
        <v>-</v>
      </c>
      <c r="W10" s="284" t="str">
        <f t="shared" si="20"/>
        <v>-</v>
      </c>
      <c r="X10" s="246" t="str">
        <f t="shared" si="21"/>
        <v>-</v>
      </c>
      <c r="Y10" s="246" t="str">
        <f t="shared" si="22"/>
        <v>-</v>
      </c>
      <c r="Z10" s="246" t="str">
        <f t="shared" si="23"/>
        <v>-</v>
      </c>
      <c r="AA10" s="246" t="str">
        <f t="shared" si="24"/>
        <v>-</v>
      </c>
      <c r="AB10" s="328" t="str">
        <f t="shared" si="25"/>
        <v>NA</v>
      </c>
      <c r="AC10" s="314" t="str">
        <f t="shared" si="26"/>
        <v>NA</v>
      </c>
      <c r="AD10" s="245" t="str">
        <f t="shared" si="27"/>
        <v>-</v>
      </c>
      <c r="AE10" s="246" t="str">
        <f t="shared" si="28"/>
        <v>-</v>
      </c>
      <c r="AF10" s="246" t="str">
        <f t="shared" si="29"/>
        <v>-</v>
      </c>
      <c r="AG10" s="246" t="str">
        <f t="shared" si="30"/>
        <v>-</v>
      </c>
      <c r="AH10" s="246" t="str">
        <f t="shared" si="31"/>
        <v>-</v>
      </c>
      <c r="AI10" s="328" t="str">
        <f t="shared" si="32"/>
        <v>NA</v>
      </c>
      <c r="AJ10" s="247" t="str">
        <f t="shared" si="33"/>
        <v>NA</v>
      </c>
      <c r="AK10" s="252" t="str">
        <f t="shared" si="34"/>
        <v>-</v>
      </c>
      <c r="AL10" s="253" t="str">
        <f t="shared" si="35"/>
        <v>-</v>
      </c>
      <c r="AM10" s="253" t="str">
        <f t="shared" si="36"/>
        <v>-</v>
      </c>
      <c r="AN10" s="253" t="str">
        <f t="shared" si="37"/>
        <v>-</v>
      </c>
      <c r="AO10" s="262" t="str">
        <f t="shared" si="38"/>
        <v>-</v>
      </c>
      <c r="AP10" s="263" t="str">
        <f t="shared" si="39"/>
        <v>-</v>
      </c>
      <c r="AQ10" s="253" t="str">
        <f t="shared" si="40"/>
        <v>-</v>
      </c>
      <c r="AR10" s="253" t="str">
        <f t="shared" si="41"/>
        <v>-</v>
      </c>
      <c r="AS10" s="253" t="str">
        <f t="shared" si="42"/>
        <v>-</v>
      </c>
      <c r="AT10" s="254" t="str">
        <f t="shared" si="43"/>
        <v>-</v>
      </c>
      <c r="AU10" s="252" t="str">
        <f t="shared" si="44"/>
        <v>-</v>
      </c>
      <c r="AV10" s="253" t="str">
        <f t="shared" si="45"/>
        <v>-</v>
      </c>
      <c r="AW10" s="253" t="str">
        <f t="shared" si="46"/>
        <v>-</v>
      </c>
      <c r="AX10" s="253" t="str">
        <f t="shared" si="47"/>
        <v>-</v>
      </c>
      <c r="AY10" s="262" t="str">
        <f t="shared" si="48"/>
        <v>-</v>
      </c>
      <c r="AZ10" s="263" t="str">
        <f t="shared" si="49"/>
        <v>-</v>
      </c>
      <c r="BA10" s="253" t="str">
        <f t="shared" si="50"/>
        <v>-</v>
      </c>
      <c r="BB10" s="253" t="str">
        <f t="shared" si="51"/>
        <v>-</v>
      </c>
      <c r="BC10" s="253" t="str">
        <f t="shared" si="52"/>
        <v>-</v>
      </c>
      <c r="BD10" s="254" t="str">
        <f t="shared" si="53"/>
        <v>-</v>
      </c>
      <c r="BE10" s="252" t="str">
        <f t="shared" si="54"/>
        <v>-</v>
      </c>
      <c r="BF10" s="253" t="str">
        <f t="shared" si="55"/>
        <v>-</v>
      </c>
      <c r="BG10" s="253" t="str">
        <f t="shared" si="56"/>
        <v>-</v>
      </c>
      <c r="BH10" s="253" t="str">
        <f t="shared" si="57"/>
        <v>-</v>
      </c>
      <c r="BI10" s="262" t="str">
        <f t="shared" si="58"/>
        <v>-</v>
      </c>
      <c r="BJ10" s="263" t="str">
        <f t="shared" si="59"/>
        <v>-</v>
      </c>
      <c r="BK10" s="253" t="str">
        <f t="shared" si="60"/>
        <v>-</v>
      </c>
      <c r="BL10" s="253" t="str">
        <f t="shared" si="61"/>
        <v>-</v>
      </c>
      <c r="BM10" s="253" t="str">
        <f t="shared" si="62"/>
        <v>-</v>
      </c>
      <c r="BN10" s="254" t="str">
        <f t="shared" si="63"/>
        <v>-</v>
      </c>
    </row>
    <row r="11" spans="2:78">
      <c r="B11" s="274" t="s">
        <v>49</v>
      </c>
      <c r="C11" s="367" t="str">
        <f t="shared" ca="1" si="0"/>
        <v>-</v>
      </c>
      <c r="D11" s="168" t="str">
        <f t="shared" si="1"/>
        <v>NA</v>
      </c>
      <c r="E11" s="248" t="str">
        <f t="shared" si="2"/>
        <v>NA</v>
      </c>
      <c r="F11" s="285" t="str">
        <f t="shared" si="3"/>
        <v>NA</v>
      </c>
      <c r="G11" s="169" t="str">
        <f t="shared" si="4"/>
        <v>NA</v>
      </c>
      <c r="H11" s="168" t="str">
        <f t="shared" si="5"/>
        <v>-</v>
      </c>
      <c r="I11" s="248" t="str">
        <f t="shared" si="6"/>
        <v>-</v>
      </c>
      <c r="J11" s="169" t="str">
        <f t="shared" si="7"/>
        <v>-</v>
      </c>
      <c r="K11" s="255" t="str">
        <f t="shared" si="8"/>
        <v>-</v>
      </c>
      <c r="L11" s="256" t="str">
        <f t="shared" si="9"/>
        <v>-</v>
      </c>
      <c r="M11" s="256" t="str">
        <f t="shared" si="10"/>
        <v>-</v>
      </c>
      <c r="N11" s="256" t="str">
        <f t="shared" si="11"/>
        <v>-</v>
      </c>
      <c r="O11" s="256" t="str">
        <f t="shared" si="12"/>
        <v>-</v>
      </c>
      <c r="P11" s="264" t="str">
        <f t="shared" si="13"/>
        <v>-</v>
      </c>
      <c r="Q11" s="265" t="str">
        <f t="shared" si="14"/>
        <v>-</v>
      </c>
      <c r="R11" s="256" t="str">
        <f t="shared" si="15"/>
        <v>-</v>
      </c>
      <c r="S11" s="256" t="str">
        <f t="shared" si="16"/>
        <v>-</v>
      </c>
      <c r="T11" s="256" t="str">
        <f t="shared" si="17"/>
        <v>-</v>
      </c>
      <c r="U11" s="256" t="str">
        <f t="shared" si="18"/>
        <v>-</v>
      </c>
      <c r="V11" s="257" t="str">
        <f t="shared" si="19"/>
        <v>-</v>
      </c>
      <c r="W11" s="285" t="str">
        <f t="shared" si="20"/>
        <v>-</v>
      </c>
      <c r="X11" s="248" t="str">
        <f t="shared" si="21"/>
        <v>-</v>
      </c>
      <c r="Y11" s="248" t="str">
        <f t="shared" si="22"/>
        <v>-</v>
      </c>
      <c r="Z11" s="248" t="str">
        <f t="shared" si="23"/>
        <v>-</v>
      </c>
      <c r="AA11" s="248" t="str">
        <f t="shared" si="24"/>
        <v>-</v>
      </c>
      <c r="AB11" s="329" t="str">
        <f t="shared" si="25"/>
        <v>NA</v>
      </c>
      <c r="AC11" s="315" t="str">
        <f t="shared" si="26"/>
        <v>NA</v>
      </c>
      <c r="AD11" s="168" t="str">
        <f t="shared" si="27"/>
        <v>-</v>
      </c>
      <c r="AE11" s="248" t="str">
        <f t="shared" si="28"/>
        <v>-</v>
      </c>
      <c r="AF11" s="248" t="str">
        <f t="shared" si="29"/>
        <v>-</v>
      </c>
      <c r="AG11" s="248" t="str">
        <f t="shared" si="30"/>
        <v>-</v>
      </c>
      <c r="AH11" s="248" t="str">
        <f t="shared" si="31"/>
        <v>-</v>
      </c>
      <c r="AI11" s="329" t="str">
        <f t="shared" si="32"/>
        <v>NA</v>
      </c>
      <c r="AJ11" s="169" t="str">
        <f t="shared" si="33"/>
        <v>NA</v>
      </c>
      <c r="AK11" s="255" t="str">
        <f t="shared" si="34"/>
        <v>-</v>
      </c>
      <c r="AL11" s="256" t="str">
        <f t="shared" si="35"/>
        <v>-</v>
      </c>
      <c r="AM11" s="256" t="str">
        <f t="shared" si="36"/>
        <v>-</v>
      </c>
      <c r="AN11" s="256" t="str">
        <f t="shared" si="37"/>
        <v>-</v>
      </c>
      <c r="AO11" s="264" t="str">
        <f t="shared" si="38"/>
        <v>-</v>
      </c>
      <c r="AP11" s="265" t="str">
        <f t="shared" si="39"/>
        <v>-</v>
      </c>
      <c r="AQ11" s="256" t="str">
        <f t="shared" si="40"/>
        <v>-</v>
      </c>
      <c r="AR11" s="256" t="str">
        <f t="shared" si="41"/>
        <v>-</v>
      </c>
      <c r="AS11" s="256" t="str">
        <f t="shared" si="42"/>
        <v>-</v>
      </c>
      <c r="AT11" s="257" t="str">
        <f t="shared" si="43"/>
        <v>-</v>
      </c>
      <c r="AU11" s="255" t="str">
        <f t="shared" si="44"/>
        <v>-</v>
      </c>
      <c r="AV11" s="256" t="str">
        <f t="shared" si="45"/>
        <v>-</v>
      </c>
      <c r="AW11" s="256" t="str">
        <f t="shared" si="46"/>
        <v>-</v>
      </c>
      <c r="AX11" s="256" t="str">
        <f t="shared" si="47"/>
        <v>-</v>
      </c>
      <c r="AY11" s="264" t="str">
        <f t="shared" si="48"/>
        <v>-</v>
      </c>
      <c r="AZ11" s="265" t="str">
        <f t="shared" si="49"/>
        <v>-</v>
      </c>
      <c r="BA11" s="256" t="str">
        <f t="shared" si="50"/>
        <v>-</v>
      </c>
      <c r="BB11" s="256" t="str">
        <f t="shared" si="51"/>
        <v>-</v>
      </c>
      <c r="BC11" s="256" t="str">
        <f t="shared" si="52"/>
        <v>-</v>
      </c>
      <c r="BD11" s="257" t="str">
        <f t="shared" si="53"/>
        <v>-</v>
      </c>
      <c r="BE11" s="255" t="str">
        <f t="shared" si="54"/>
        <v>-</v>
      </c>
      <c r="BF11" s="256" t="str">
        <f t="shared" si="55"/>
        <v>-</v>
      </c>
      <c r="BG11" s="256" t="str">
        <f t="shared" si="56"/>
        <v>-</v>
      </c>
      <c r="BH11" s="256" t="str">
        <f t="shared" si="57"/>
        <v>-</v>
      </c>
      <c r="BI11" s="264" t="str">
        <f t="shared" si="58"/>
        <v>-</v>
      </c>
      <c r="BJ11" s="265" t="str">
        <f t="shared" si="59"/>
        <v>-</v>
      </c>
      <c r="BK11" s="256" t="str">
        <f t="shared" si="60"/>
        <v>-</v>
      </c>
      <c r="BL11" s="256" t="str">
        <f t="shared" si="61"/>
        <v>-</v>
      </c>
      <c r="BM11" s="256" t="str">
        <f t="shared" si="62"/>
        <v>-</v>
      </c>
      <c r="BN11" s="257" t="str">
        <f t="shared" si="63"/>
        <v>-</v>
      </c>
    </row>
    <row r="12" spans="2:78">
      <c r="B12" s="275" t="s">
        <v>50</v>
      </c>
      <c r="C12" s="368" t="str">
        <f t="shared" ca="1" si="0"/>
        <v>-</v>
      </c>
      <c r="D12" s="245" t="str">
        <f t="shared" si="1"/>
        <v>NA</v>
      </c>
      <c r="E12" s="246" t="str">
        <f t="shared" si="2"/>
        <v>NA</v>
      </c>
      <c r="F12" s="284" t="str">
        <f t="shared" si="3"/>
        <v>NA</v>
      </c>
      <c r="G12" s="247" t="str">
        <f t="shared" si="4"/>
        <v>NA</v>
      </c>
      <c r="H12" s="245" t="str">
        <f t="shared" si="5"/>
        <v>-</v>
      </c>
      <c r="I12" s="246" t="str">
        <f t="shared" si="6"/>
        <v>-</v>
      </c>
      <c r="J12" s="247" t="str">
        <f t="shared" si="7"/>
        <v>-</v>
      </c>
      <c r="K12" s="252" t="str">
        <f t="shared" si="8"/>
        <v>-</v>
      </c>
      <c r="L12" s="253" t="str">
        <f t="shared" si="9"/>
        <v>-</v>
      </c>
      <c r="M12" s="253" t="str">
        <f t="shared" si="10"/>
        <v>-</v>
      </c>
      <c r="N12" s="253" t="str">
        <f t="shared" si="11"/>
        <v>-</v>
      </c>
      <c r="O12" s="253" t="str">
        <f t="shared" si="12"/>
        <v>-</v>
      </c>
      <c r="P12" s="262" t="str">
        <f t="shared" si="13"/>
        <v>-</v>
      </c>
      <c r="Q12" s="263" t="str">
        <f t="shared" si="14"/>
        <v>-</v>
      </c>
      <c r="R12" s="253" t="str">
        <f t="shared" si="15"/>
        <v>-</v>
      </c>
      <c r="S12" s="253" t="str">
        <f t="shared" si="16"/>
        <v>-</v>
      </c>
      <c r="T12" s="253" t="str">
        <f t="shared" si="17"/>
        <v>-</v>
      </c>
      <c r="U12" s="253" t="str">
        <f t="shared" si="18"/>
        <v>-</v>
      </c>
      <c r="V12" s="254" t="str">
        <f t="shared" si="19"/>
        <v>-</v>
      </c>
      <c r="W12" s="284" t="str">
        <f t="shared" si="20"/>
        <v>-</v>
      </c>
      <c r="X12" s="246" t="str">
        <f t="shared" si="21"/>
        <v>-</v>
      </c>
      <c r="Y12" s="246" t="str">
        <f t="shared" si="22"/>
        <v>-</v>
      </c>
      <c r="Z12" s="246" t="str">
        <f t="shared" si="23"/>
        <v>-</v>
      </c>
      <c r="AA12" s="246" t="str">
        <f t="shared" si="24"/>
        <v>-</v>
      </c>
      <c r="AB12" s="328" t="str">
        <f t="shared" si="25"/>
        <v>NA</v>
      </c>
      <c r="AC12" s="314" t="str">
        <f t="shared" si="26"/>
        <v>NA</v>
      </c>
      <c r="AD12" s="245" t="str">
        <f t="shared" si="27"/>
        <v>-</v>
      </c>
      <c r="AE12" s="246" t="str">
        <f t="shared" si="28"/>
        <v>-</v>
      </c>
      <c r="AF12" s="246" t="str">
        <f t="shared" si="29"/>
        <v>-</v>
      </c>
      <c r="AG12" s="246" t="str">
        <f t="shared" si="30"/>
        <v>-</v>
      </c>
      <c r="AH12" s="246" t="str">
        <f t="shared" si="31"/>
        <v>-</v>
      </c>
      <c r="AI12" s="328" t="str">
        <f t="shared" si="32"/>
        <v>NA</v>
      </c>
      <c r="AJ12" s="247" t="str">
        <f t="shared" si="33"/>
        <v>NA</v>
      </c>
      <c r="AK12" s="252" t="str">
        <f t="shared" si="34"/>
        <v>-</v>
      </c>
      <c r="AL12" s="253" t="str">
        <f t="shared" si="35"/>
        <v>-</v>
      </c>
      <c r="AM12" s="253" t="str">
        <f t="shared" si="36"/>
        <v>-</v>
      </c>
      <c r="AN12" s="253" t="str">
        <f t="shared" si="37"/>
        <v>-</v>
      </c>
      <c r="AO12" s="262" t="str">
        <f t="shared" si="38"/>
        <v>-</v>
      </c>
      <c r="AP12" s="263" t="str">
        <f t="shared" si="39"/>
        <v>-</v>
      </c>
      <c r="AQ12" s="253" t="str">
        <f t="shared" si="40"/>
        <v>-</v>
      </c>
      <c r="AR12" s="253" t="str">
        <f t="shared" si="41"/>
        <v>-</v>
      </c>
      <c r="AS12" s="253" t="str">
        <f t="shared" si="42"/>
        <v>-</v>
      </c>
      <c r="AT12" s="254" t="str">
        <f t="shared" si="43"/>
        <v>-</v>
      </c>
      <c r="AU12" s="252" t="str">
        <f t="shared" si="44"/>
        <v>-</v>
      </c>
      <c r="AV12" s="253" t="str">
        <f t="shared" si="45"/>
        <v>-</v>
      </c>
      <c r="AW12" s="253" t="str">
        <f t="shared" si="46"/>
        <v>-</v>
      </c>
      <c r="AX12" s="253" t="str">
        <f t="shared" si="47"/>
        <v>-</v>
      </c>
      <c r="AY12" s="262" t="str">
        <f t="shared" si="48"/>
        <v>-</v>
      </c>
      <c r="AZ12" s="263" t="str">
        <f t="shared" si="49"/>
        <v>-</v>
      </c>
      <c r="BA12" s="253" t="str">
        <f t="shared" si="50"/>
        <v>-</v>
      </c>
      <c r="BB12" s="253" t="str">
        <f t="shared" si="51"/>
        <v>-</v>
      </c>
      <c r="BC12" s="253" t="str">
        <f t="shared" si="52"/>
        <v>-</v>
      </c>
      <c r="BD12" s="254" t="str">
        <f t="shared" si="53"/>
        <v>-</v>
      </c>
      <c r="BE12" s="252" t="str">
        <f t="shared" si="54"/>
        <v>-</v>
      </c>
      <c r="BF12" s="253" t="str">
        <f t="shared" si="55"/>
        <v>-</v>
      </c>
      <c r="BG12" s="253" t="str">
        <f t="shared" si="56"/>
        <v>-</v>
      </c>
      <c r="BH12" s="253" t="str">
        <f t="shared" si="57"/>
        <v>-</v>
      </c>
      <c r="BI12" s="262" t="str">
        <f t="shared" si="58"/>
        <v>-</v>
      </c>
      <c r="BJ12" s="263" t="str">
        <f t="shared" si="59"/>
        <v>-</v>
      </c>
      <c r="BK12" s="253" t="str">
        <f t="shared" si="60"/>
        <v>-</v>
      </c>
      <c r="BL12" s="253" t="str">
        <f t="shared" si="61"/>
        <v>-</v>
      </c>
      <c r="BM12" s="253" t="str">
        <f t="shared" si="62"/>
        <v>-</v>
      </c>
      <c r="BN12" s="254" t="str">
        <f t="shared" si="63"/>
        <v>-</v>
      </c>
    </row>
    <row r="13" spans="2:78">
      <c r="B13" s="274" t="s">
        <v>51</v>
      </c>
      <c r="C13" s="367" t="str">
        <f t="shared" ca="1" si="0"/>
        <v>-</v>
      </c>
      <c r="D13" s="168" t="str">
        <f t="shared" si="1"/>
        <v>NA</v>
      </c>
      <c r="E13" s="248" t="str">
        <f t="shared" si="2"/>
        <v>NA</v>
      </c>
      <c r="F13" s="285" t="str">
        <f t="shared" si="3"/>
        <v>NA</v>
      </c>
      <c r="G13" s="169" t="str">
        <f t="shared" si="4"/>
        <v>NA</v>
      </c>
      <c r="H13" s="168" t="str">
        <f t="shared" si="5"/>
        <v>-</v>
      </c>
      <c r="I13" s="248" t="str">
        <f t="shared" si="6"/>
        <v>-</v>
      </c>
      <c r="J13" s="169" t="str">
        <f t="shared" si="7"/>
        <v>-</v>
      </c>
      <c r="K13" s="255" t="str">
        <f t="shared" si="8"/>
        <v>-</v>
      </c>
      <c r="L13" s="256" t="str">
        <f t="shared" si="9"/>
        <v>-</v>
      </c>
      <c r="M13" s="256" t="str">
        <f t="shared" si="10"/>
        <v>-</v>
      </c>
      <c r="N13" s="256" t="str">
        <f t="shared" si="11"/>
        <v>-</v>
      </c>
      <c r="O13" s="256" t="str">
        <f t="shared" si="12"/>
        <v>-</v>
      </c>
      <c r="P13" s="264" t="str">
        <f t="shared" si="13"/>
        <v>-</v>
      </c>
      <c r="Q13" s="265" t="str">
        <f t="shared" si="14"/>
        <v>-</v>
      </c>
      <c r="R13" s="256" t="str">
        <f t="shared" si="15"/>
        <v>-</v>
      </c>
      <c r="S13" s="256" t="str">
        <f t="shared" si="16"/>
        <v>-</v>
      </c>
      <c r="T13" s="256" t="str">
        <f t="shared" si="17"/>
        <v>-</v>
      </c>
      <c r="U13" s="256" t="str">
        <f t="shared" si="18"/>
        <v>-</v>
      </c>
      <c r="V13" s="257" t="str">
        <f t="shared" si="19"/>
        <v>-</v>
      </c>
      <c r="W13" s="285" t="str">
        <f t="shared" si="20"/>
        <v>-</v>
      </c>
      <c r="X13" s="248" t="str">
        <f t="shared" si="21"/>
        <v>-</v>
      </c>
      <c r="Y13" s="248" t="str">
        <f t="shared" si="22"/>
        <v>-</v>
      </c>
      <c r="Z13" s="248" t="str">
        <f t="shared" si="23"/>
        <v>-</v>
      </c>
      <c r="AA13" s="248" t="str">
        <f t="shared" si="24"/>
        <v>-</v>
      </c>
      <c r="AB13" s="329" t="str">
        <f t="shared" si="25"/>
        <v>NA</v>
      </c>
      <c r="AC13" s="315" t="str">
        <f t="shared" si="26"/>
        <v>NA</v>
      </c>
      <c r="AD13" s="168" t="str">
        <f t="shared" si="27"/>
        <v>-</v>
      </c>
      <c r="AE13" s="248" t="str">
        <f t="shared" si="28"/>
        <v>-</v>
      </c>
      <c r="AF13" s="248" t="str">
        <f t="shared" si="29"/>
        <v>-</v>
      </c>
      <c r="AG13" s="248" t="str">
        <f t="shared" si="30"/>
        <v>-</v>
      </c>
      <c r="AH13" s="248" t="str">
        <f t="shared" si="31"/>
        <v>-</v>
      </c>
      <c r="AI13" s="329" t="str">
        <f t="shared" si="32"/>
        <v>NA</v>
      </c>
      <c r="AJ13" s="169" t="str">
        <f t="shared" si="33"/>
        <v>NA</v>
      </c>
      <c r="AK13" s="255" t="str">
        <f t="shared" si="34"/>
        <v>-</v>
      </c>
      <c r="AL13" s="256" t="str">
        <f t="shared" si="35"/>
        <v>-</v>
      </c>
      <c r="AM13" s="256" t="str">
        <f t="shared" si="36"/>
        <v>-</v>
      </c>
      <c r="AN13" s="256" t="str">
        <f t="shared" si="37"/>
        <v>-</v>
      </c>
      <c r="AO13" s="264" t="str">
        <f t="shared" si="38"/>
        <v>-</v>
      </c>
      <c r="AP13" s="265" t="str">
        <f t="shared" si="39"/>
        <v>-</v>
      </c>
      <c r="AQ13" s="256" t="str">
        <f t="shared" si="40"/>
        <v>-</v>
      </c>
      <c r="AR13" s="256" t="str">
        <f t="shared" si="41"/>
        <v>-</v>
      </c>
      <c r="AS13" s="256" t="str">
        <f t="shared" si="42"/>
        <v>-</v>
      </c>
      <c r="AT13" s="257" t="str">
        <f t="shared" si="43"/>
        <v>-</v>
      </c>
      <c r="AU13" s="255" t="str">
        <f t="shared" si="44"/>
        <v>-</v>
      </c>
      <c r="AV13" s="256" t="str">
        <f t="shared" si="45"/>
        <v>-</v>
      </c>
      <c r="AW13" s="256" t="str">
        <f t="shared" si="46"/>
        <v>-</v>
      </c>
      <c r="AX13" s="256" t="str">
        <f t="shared" si="47"/>
        <v>-</v>
      </c>
      <c r="AY13" s="264" t="str">
        <f t="shared" si="48"/>
        <v>-</v>
      </c>
      <c r="AZ13" s="265" t="str">
        <f t="shared" si="49"/>
        <v>-</v>
      </c>
      <c r="BA13" s="256" t="str">
        <f t="shared" si="50"/>
        <v>-</v>
      </c>
      <c r="BB13" s="256" t="str">
        <f t="shared" si="51"/>
        <v>-</v>
      </c>
      <c r="BC13" s="256" t="str">
        <f t="shared" si="52"/>
        <v>-</v>
      </c>
      <c r="BD13" s="257" t="str">
        <f t="shared" si="53"/>
        <v>-</v>
      </c>
      <c r="BE13" s="255" t="str">
        <f t="shared" si="54"/>
        <v>-</v>
      </c>
      <c r="BF13" s="256" t="str">
        <f t="shared" si="55"/>
        <v>-</v>
      </c>
      <c r="BG13" s="256" t="str">
        <f t="shared" si="56"/>
        <v>-</v>
      </c>
      <c r="BH13" s="256" t="str">
        <f t="shared" si="57"/>
        <v>-</v>
      </c>
      <c r="BI13" s="264" t="str">
        <f t="shared" si="58"/>
        <v>-</v>
      </c>
      <c r="BJ13" s="265" t="str">
        <f t="shared" si="59"/>
        <v>-</v>
      </c>
      <c r="BK13" s="256" t="str">
        <f t="shared" si="60"/>
        <v>-</v>
      </c>
      <c r="BL13" s="256" t="str">
        <f t="shared" si="61"/>
        <v>-</v>
      </c>
      <c r="BM13" s="256" t="str">
        <f t="shared" si="62"/>
        <v>-</v>
      </c>
      <c r="BN13" s="257" t="str">
        <f t="shared" si="63"/>
        <v>-</v>
      </c>
    </row>
    <row r="14" spans="2:78">
      <c r="B14" s="276" t="s">
        <v>52</v>
      </c>
      <c r="C14" s="369" t="str">
        <f t="shared" ca="1" si="0"/>
        <v>-</v>
      </c>
      <c r="D14" s="249" t="str">
        <f t="shared" si="1"/>
        <v>NA</v>
      </c>
      <c r="E14" s="250" t="str">
        <f t="shared" si="2"/>
        <v>NA</v>
      </c>
      <c r="F14" s="286" t="str">
        <f t="shared" si="3"/>
        <v>NA</v>
      </c>
      <c r="G14" s="251" t="str">
        <f t="shared" si="4"/>
        <v>NA</v>
      </c>
      <c r="H14" s="249" t="str">
        <f t="shared" si="5"/>
        <v>-</v>
      </c>
      <c r="I14" s="250" t="str">
        <f t="shared" si="6"/>
        <v>-</v>
      </c>
      <c r="J14" s="251" t="str">
        <f t="shared" si="7"/>
        <v>-</v>
      </c>
      <c r="K14" s="258" t="str">
        <f t="shared" si="8"/>
        <v>-</v>
      </c>
      <c r="L14" s="259" t="str">
        <f t="shared" si="9"/>
        <v>-</v>
      </c>
      <c r="M14" s="259" t="str">
        <f t="shared" si="10"/>
        <v>-</v>
      </c>
      <c r="N14" s="259" t="str">
        <f t="shared" si="11"/>
        <v>-</v>
      </c>
      <c r="O14" s="259" t="str">
        <f t="shared" si="12"/>
        <v>-</v>
      </c>
      <c r="P14" s="266" t="str">
        <f t="shared" si="13"/>
        <v>-</v>
      </c>
      <c r="Q14" s="267" t="str">
        <f t="shared" si="14"/>
        <v>-</v>
      </c>
      <c r="R14" s="259" t="str">
        <f t="shared" si="15"/>
        <v>-</v>
      </c>
      <c r="S14" s="259" t="str">
        <f t="shared" si="16"/>
        <v>-</v>
      </c>
      <c r="T14" s="259" t="str">
        <f t="shared" si="17"/>
        <v>-</v>
      </c>
      <c r="U14" s="259" t="str">
        <f t="shared" si="18"/>
        <v>-</v>
      </c>
      <c r="V14" s="260" t="str">
        <f t="shared" si="19"/>
        <v>-</v>
      </c>
      <c r="W14" s="286" t="str">
        <f t="shared" si="20"/>
        <v>-</v>
      </c>
      <c r="X14" s="250" t="str">
        <f t="shared" si="21"/>
        <v>-</v>
      </c>
      <c r="Y14" s="250" t="str">
        <f t="shared" si="22"/>
        <v>-</v>
      </c>
      <c r="Z14" s="250" t="str">
        <f t="shared" si="23"/>
        <v>-</v>
      </c>
      <c r="AA14" s="250" t="str">
        <f t="shared" si="24"/>
        <v>-</v>
      </c>
      <c r="AB14" s="330" t="str">
        <f t="shared" si="25"/>
        <v>NA</v>
      </c>
      <c r="AC14" s="316" t="str">
        <f t="shared" si="26"/>
        <v>NA</v>
      </c>
      <c r="AD14" s="249" t="str">
        <f t="shared" si="27"/>
        <v>-</v>
      </c>
      <c r="AE14" s="250" t="str">
        <f t="shared" si="28"/>
        <v>-</v>
      </c>
      <c r="AF14" s="250" t="str">
        <f t="shared" si="29"/>
        <v>-</v>
      </c>
      <c r="AG14" s="250" t="str">
        <f t="shared" si="30"/>
        <v>-</v>
      </c>
      <c r="AH14" s="250" t="str">
        <f t="shared" si="31"/>
        <v>-</v>
      </c>
      <c r="AI14" s="330" t="str">
        <f t="shared" si="32"/>
        <v>NA</v>
      </c>
      <c r="AJ14" s="251" t="str">
        <f t="shared" si="33"/>
        <v>NA</v>
      </c>
      <c r="AK14" s="258" t="str">
        <f t="shared" si="34"/>
        <v>-</v>
      </c>
      <c r="AL14" s="259" t="str">
        <f t="shared" si="35"/>
        <v>-</v>
      </c>
      <c r="AM14" s="259" t="str">
        <f t="shared" si="36"/>
        <v>-</v>
      </c>
      <c r="AN14" s="259" t="str">
        <f t="shared" si="37"/>
        <v>-</v>
      </c>
      <c r="AO14" s="266" t="str">
        <f t="shared" si="38"/>
        <v>-</v>
      </c>
      <c r="AP14" s="267" t="str">
        <f t="shared" si="39"/>
        <v>-</v>
      </c>
      <c r="AQ14" s="259" t="str">
        <f t="shared" si="40"/>
        <v>-</v>
      </c>
      <c r="AR14" s="259" t="str">
        <f t="shared" si="41"/>
        <v>-</v>
      </c>
      <c r="AS14" s="259" t="str">
        <f t="shared" si="42"/>
        <v>-</v>
      </c>
      <c r="AT14" s="260" t="str">
        <f t="shared" si="43"/>
        <v>-</v>
      </c>
      <c r="AU14" s="258" t="str">
        <f t="shared" si="44"/>
        <v>-</v>
      </c>
      <c r="AV14" s="259" t="str">
        <f t="shared" si="45"/>
        <v>-</v>
      </c>
      <c r="AW14" s="259" t="str">
        <f t="shared" si="46"/>
        <v>-</v>
      </c>
      <c r="AX14" s="259" t="str">
        <f t="shared" si="47"/>
        <v>-</v>
      </c>
      <c r="AY14" s="266" t="str">
        <f t="shared" si="48"/>
        <v>-</v>
      </c>
      <c r="AZ14" s="267" t="str">
        <f t="shared" si="49"/>
        <v>-</v>
      </c>
      <c r="BA14" s="259" t="str">
        <f t="shared" si="50"/>
        <v>-</v>
      </c>
      <c r="BB14" s="259" t="str">
        <f t="shared" si="51"/>
        <v>-</v>
      </c>
      <c r="BC14" s="259" t="str">
        <f t="shared" si="52"/>
        <v>-</v>
      </c>
      <c r="BD14" s="260" t="str">
        <f t="shared" si="53"/>
        <v>-</v>
      </c>
      <c r="BE14" s="258" t="str">
        <f t="shared" si="54"/>
        <v>-</v>
      </c>
      <c r="BF14" s="259" t="str">
        <f t="shared" si="55"/>
        <v>-</v>
      </c>
      <c r="BG14" s="259" t="str">
        <f t="shared" si="56"/>
        <v>-</v>
      </c>
      <c r="BH14" s="259" t="str">
        <f t="shared" si="57"/>
        <v>-</v>
      </c>
      <c r="BI14" s="266" t="str">
        <f t="shared" si="58"/>
        <v>-</v>
      </c>
      <c r="BJ14" s="267" t="str">
        <f t="shared" si="59"/>
        <v>-</v>
      </c>
      <c r="BK14" s="259" t="str">
        <f t="shared" si="60"/>
        <v>-</v>
      </c>
      <c r="BL14" s="259" t="str">
        <f t="shared" si="61"/>
        <v>-</v>
      </c>
      <c r="BM14" s="259" t="str">
        <f t="shared" si="62"/>
        <v>-</v>
      </c>
      <c r="BN14" s="260" t="str">
        <f t="shared" si="63"/>
        <v>-</v>
      </c>
    </row>
    <row r="15" spans="2:78">
      <c r="B15" s="274" t="s">
        <v>53</v>
      </c>
      <c r="C15" s="367" t="str">
        <f t="shared" ca="1" si="0"/>
        <v>-</v>
      </c>
      <c r="D15" s="168" t="str">
        <f t="shared" si="1"/>
        <v>NA</v>
      </c>
      <c r="E15" s="248" t="str">
        <f t="shared" si="2"/>
        <v>NA</v>
      </c>
      <c r="F15" s="285" t="str">
        <f t="shared" si="3"/>
        <v>NA</v>
      </c>
      <c r="G15" s="169" t="str">
        <f t="shared" si="4"/>
        <v>NA</v>
      </c>
      <c r="H15" s="168" t="str">
        <f t="shared" si="5"/>
        <v>-</v>
      </c>
      <c r="I15" s="248" t="str">
        <f t="shared" si="6"/>
        <v>-</v>
      </c>
      <c r="J15" s="169" t="str">
        <f t="shared" si="7"/>
        <v>-</v>
      </c>
      <c r="K15" s="255" t="str">
        <f t="shared" si="8"/>
        <v>-</v>
      </c>
      <c r="L15" s="256" t="str">
        <f t="shared" si="9"/>
        <v>-</v>
      </c>
      <c r="M15" s="256" t="str">
        <f t="shared" si="10"/>
        <v>-</v>
      </c>
      <c r="N15" s="256" t="str">
        <f t="shared" si="11"/>
        <v>-</v>
      </c>
      <c r="O15" s="256" t="str">
        <f t="shared" si="12"/>
        <v>-</v>
      </c>
      <c r="P15" s="264" t="str">
        <f t="shared" si="13"/>
        <v>-</v>
      </c>
      <c r="Q15" s="265" t="str">
        <f t="shared" si="14"/>
        <v>-</v>
      </c>
      <c r="R15" s="256" t="str">
        <f t="shared" si="15"/>
        <v>-</v>
      </c>
      <c r="S15" s="256" t="str">
        <f t="shared" si="16"/>
        <v>-</v>
      </c>
      <c r="T15" s="256" t="str">
        <f t="shared" si="17"/>
        <v>-</v>
      </c>
      <c r="U15" s="256" t="str">
        <f t="shared" si="18"/>
        <v>-</v>
      </c>
      <c r="V15" s="257" t="str">
        <f t="shared" si="19"/>
        <v>-</v>
      </c>
      <c r="W15" s="285" t="str">
        <f t="shared" si="20"/>
        <v>-</v>
      </c>
      <c r="X15" s="248" t="str">
        <f t="shared" si="21"/>
        <v>-</v>
      </c>
      <c r="Y15" s="248" t="str">
        <f t="shared" si="22"/>
        <v>-</v>
      </c>
      <c r="Z15" s="248" t="str">
        <f t="shared" si="23"/>
        <v>-</v>
      </c>
      <c r="AA15" s="248" t="str">
        <f t="shared" si="24"/>
        <v>-</v>
      </c>
      <c r="AB15" s="329" t="str">
        <f t="shared" si="25"/>
        <v>NA</v>
      </c>
      <c r="AC15" s="315" t="str">
        <f t="shared" si="26"/>
        <v>NA</v>
      </c>
      <c r="AD15" s="168" t="str">
        <f t="shared" si="27"/>
        <v>-</v>
      </c>
      <c r="AE15" s="248" t="str">
        <f t="shared" si="28"/>
        <v>-</v>
      </c>
      <c r="AF15" s="248" t="str">
        <f t="shared" si="29"/>
        <v>-</v>
      </c>
      <c r="AG15" s="248" t="str">
        <f t="shared" si="30"/>
        <v>-</v>
      </c>
      <c r="AH15" s="248" t="str">
        <f t="shared" si="31"/>
        <v>-</v>
      </c>
      <c r="AI15" s="329" t="str">
        <f t="shared" si="32"/>
        <v>NA</v>
      </c>
      <c r="AJ15" s="169" t="str">
        <f t="shared" si="33"/>
        <v>NA</v>
      </c>
      <c r="AK15" s="255" t="str">
        <f t="shared" si="34"/>
        <v>-</v>
      </c>
      <c r="AL15" s="256" t="str">
        <f t="shared" si="35"/>
        <v>-</v>
      </c>
      <c r="AM15" s="256" t="str">
        <f t="shared" si="36"/>
        <v>-</v>
      </c>
      <c r="AN15" s="256" t="str">
        <f t="shared" si="37"/>
        <v>-</v>
      </c>
      <c r="AO15" s="264" t="str">
        <f t="shared" si="38"/>
        <v>-</v>
      </c>
      <c r="AP15" s="265" t="str">
        <f t="shared" si="39"/>
        <v>-</v>
      </c>
      <c r="AQ15" s="256" t="str">
        <f t="shared" si="40"/>
        <v>-</v>
      </c>
      <c r="AR15" s="256" t="str">
        <f t="shared" si="41"/>
        <v>-</v>
      </c>
      <c r="AS15" s="256" t="str">
        <f t="shared" si="42"/>
        <v>-</v>
      </c>
      <c r="AT15" s="257" t="str">
        <f t="shared" si="43"/>
        <v>-</v>
      </c>
      <c r="AU15" s="255" t="str">
        <f t="shared" si="44"/>
        <v>-</v>
      </c>
      <c r="AV15" s="256" t="str">
        <f t="shared" si="45"/>
        <v>-</v>
      </c>
      <c r="AW15" s="256" t="str">
        <f t="shared" si="46"/>
        <v>-</v>
      </c>
      <c r="AX15" s="256" t="str">
        <f t="shared" si="47"/>
        <v>-</v>
      </c>
      <c r="AY15" s="264" t="str">
        <f t="shared" si="48"/>
        <v>-</v>
      </c>
      <c r="AZ15" s="265" t="str">
        <f t="shared" si="49"/>
        <v>-</v>
      </c>
      <c r="BA15" s="256" t="str">
        <f t="shared" si="50"/>
        <v>-</v>
      </c>
      <c r="BB15" s="256" t="str">
        <f t="shared" si="51"/>
        <v>-</v>
      </c>
      <c r="BC15" s="256" t="str">
        <f t="shared" si="52"/>
        <v>-</v>
      </c>
      <c r="BD15" s="257" t="str">
        <f t="shared" si="53"/>
        <v>-</v>
      </c>
      <c r="BE15" s="255" t="str">
        <f t="shared" si="54"/>
        <v>-</v>
      </c>
      <c r="BF15" s="256" t="str">
        <f t="shared" si="55"/>
        <v>-</v>
      </c>
      <c r="BG15" s="256" t="str">
        <f t="shared" si="56"/>
        <v>-</v>
      </c>
      <c r="BH15" s="256" t="str">
        <f t="shared" si="57"/>
        <v>-</v>
      </c>
      <c r="BI15" s="264" t="str">
        <f t="shared" si="58"/>
        <v>-</v>
      </c>
      <c r="BJ15" s="265" t="str">
        <f t="shared" si="59"/>
        <v>-</v>
      </c>
      <c r="BK15" s="256" t="str">
        <f t="shared" si="60"/>
        <v>-</v>
      </c>
      <c r="BL15" s="256" t="str">
        <f t="shared" si="61"/>
        <v>-</v>
      </c>
      <c r="BM15" s="256" t="str">
        <f t="shared" si="62"/>
        <v>-</v>
      </c>
      <c r="BN15" s="257" t="str">
        <f t="shared" si="63"/>
        <v>-</v>
      </c>
    </row>
    <row r="16" spans="2:78">
      <c r="B16" s="275" t="s">
        <v>54</v>
      </c>
      <c r="C16" s="368" t="str">
        <f t="shared" ca="1" si="0"/>
        <v>-</v>
      </c>
      <c r="D16" s="245" t="str">
        <f t="shared" si="1"/>
        <v>NA</v>
      </c>
      <c r="E16" s="246" t="str">
        <f t="shared" si="2"/>
        <v>NA</v>
      </c>
      <c r="F16" s="284" t="str">
        <f t="shared" si="3"/>
        <v>NA</v>
      </c>
      <c r="G16" s="247" t="str">
        <f t="shared" si="4"/>
        <v>NA</v>
      </c>
      <c r="H16" s="245" t="str">
        <f t="shared" si="5"/>
        <v>-</v>
      </c>
      <c r="I16" s="246" t="str">
        <f t="shared" si="6"/>
        <v>-</v>
      </c>
      <c r="J16" s="247" t="str">
        <f t="shared" si="7"/>
        <v>-</v>
      </c>
      <c r="K16" s="252" t="str">
        <f t="shared" si="8"/>
        <v>-</v>
      </c>
      <c r="L16" s="253" t="str">
        <f t="shared" si="9"/>
        <v>-</v>
      </c>
      <c r="M16" s="253" t="str">
        <f t="shared" si="10"/>
        <v>-</v>
      </c>
      <c r="N16" s="253" t="str">
        <f t="shared" si="11"/>
        <v>-</v>
      </c>
      <c r="O16" s="253" t="str">
        <f t="shared" si="12"/>
        <v>-</v>
      </c>
      <c r="P16" s="262" t="str">
        <f t="shared" si="13"/>
        <v>-</v>
      </c>
      <c r="Q16" s="263" t="str">
        <f t="shared" si="14"/>
        <v>-</v>
      </c>
      <c r="R16" s="253" t="str">
        <f t="shared" si="15"/>
        <v>-</v>
      </c>
      <c r="S16" s="253" t="str">
        <f t="shared" si="16"/>
        <v>-</v>
      </c>
      <c r="T16" s="253" t="str">
        <f t="shared" si="17"/>
        <v>-</v>
      </c>
      <c r="U16" s="253" t="str">
        <f t="shared" si="18"/>
        <v>-</v>
      </c>
      <c r="V16" s="254" t="str">
        <f t="shared" si="19"/>
        <v>-</v>
      </c>
      <c r="W16" s="284" t="str">
        <f t="shared" si="20"/>
        <v>-</v>
      </c>
      <c r="X16" s="246" t="str">
        <f t="shared" si="21"/>
        <v>-</v>
      </c>
      <c r="Y16" s="246" t="str">
        <f t="shared" si="22"/>
        <v>-</v>
      </c>
      <c r="Z16" s="246" t="str">
        <f t="shared" si="23"/>
        <v>-</v>
      </c>
      <c r="AA16" s="246" t="str">
        <f t="shared" si="24"/>
        <v>-</v>
      </c>
      <c r="AB16" s="328" t="str">
        <f t="shared" si="25"/>
        <v>NA</v>
      </c>
      <c r="AC16" s="314" t="str">
        <f t="shared" si="26"/>
        <v>NA</v>
      </c>
      <c r="AD16" s="245" t="str">
        <f t="shared" si="27"/>
        <v>-</v>
      </c>
      <c r="AE16" s="246" t="str">
        <f t="shared" si="28"/>
        <v>-</v>
      </c>
      <c r="AF16" s="246" t="str">
        <f t="shared" si="29"/>
        <v>-</v>
      </c>
      <c r="AG16" s="246" t="str">
        <f t="shared" si="30"/>
        <v>-</v>
      </c>
      <c r="AH16" s="246" t="str">
        <f t="shared" si="31"/>
        <v>-</v>
      </c>
      <c r="AI16" s="328" t="str">
        <f t="shared" si="32"/>
        <v>NA</v>
      </c>
      <c r="AJ16" s="247" t="str">
        <f t="shared" si="33"/>
        <v>NA</v>
      </c>
      <c r="AK16" s="252" t="str">
        <f t="shared" si="34"/>
        <v>-</v>
      </c>
      <c r="AL16" s="253" t="str">
        <f t="shared" si="35"/>
        <v>-</v>
      </c>
      <c r="AM16" s="253" t="str">
        <f t="shared" si="36"/>
        <v>-</v>
      </c>
      <c r="AN16" s="253" t="str">
        <f t="shared" si="37"/>
        <v>-</v>
      </c>
      <c r="AO16" s="262" t="str">
        <f t="shared" si="38"/>
        <v>-</v>
      </c>
      <c r="AP16" s="263" t="str">
        <f t="shared" si="39"/>
        <v>-</v>
      </c>
      <c r="AQ16" s="253" t="str">
        <f t="shared" si="40"/>
        <v>-</v>
      </c>
      <c r="AR16" s="253" t="str">
        <f t="shared" si="41"/>
        <v>-</v>
      </c>
      <c r="AS16" s="253" t="str">
        <f t="shared" si="42"/>
        <v>-</v>
      </c>
      <c r="AT16" s="254" t="str">
        <f t="shared" si="43"/>
        <v>-</v>
      </c>
      <c r="AU16" s="252" t="str">
        <f t="shared" si="44"/>
        <v>-</v>
      </c>
      <c r="AV16" s="253" t="str">
        <f t="shared" si="45"/>
        <v>-</v>
      </c>
      <c r="AW16" s="253" t="str">
        <f t="shared" si="46"/>
        <v>-</v>
      </c>
      <c r="AX16" s="253" t="str">
        <f t="shared" si="47"/>
        <v>-</v>
      </c>
      <c r="AY16" s="262" t="str">
        <f t="shared" si="48"/>
        <v>-</v>
      </c>
      <c r="AZ16" s="263" t="str">
        <f t="shared" si="49"/>
        <v>-</v>
      </c>
      <c r="BA16" s="253" t="str">
        <f t="shared" si="50"/>
        <v>-</v>
      </c>
      <c r="BB16" s="253" t="str">
        <f t="shared" si="51"/>
        <v>-</v>
      </c>
      <c r="BC16" s="253" t="str">
        <f t="shared" si="52"/>
        <v>-</v>
      </c>
      <c r="BD16" s="254" t="str">
        <f t="shared" si="53"/>
        <v>-</v>
      </c>
      <c r="BE16" s="252" t="str">
        <f t="shared" si="54"/>
        <v>-</v>
      </c>
      <c r="BF16" s="253" t="str">
        <f t="shared" si="55"/>
        <v>-</v>
      </c>
      <c r="BG16" s="253" t="str">
        <f t="shared" si="56"/>
        <v>-</v>
      </c>
      <c r="BH16" s="253" t="str">
        <f t="shared" si="57"/>
        <v>-</v>
      </c>
      <c r="BI16" s="262" t="str">
        <f t="shared" si="58"/>
        <v>-</v>
      </c>
      <c r="BJ16" s="263" t="str">
        <f t="shared" si="59"/>
        <v>-</v>
      </c>
      <c r="BK16" s="253" t="str">
        <f t="shared" si="60"/>
        <v>-</v>
      </c>
      <c r="BL16" s="253" t="str">
        <f t="shared" si="61"/>
        <v>-</v>
      </c>
      <c r="BM16" s="253" t="str">
        <f t="shared" si="62"/>
        <v>-</v>
      </c>
      <c r="BN16" s="254" t="str">
        <f t="shared" si="63"/>
        <v>-</v>
      </c>
    </row>
    <row r="17" spans="2:66">
      <c r="B17" s="274" t="s">
        <v>55</v>
      </c>
      <c r="C17" s="367" t="str">
        <f t="shared" ca="1" si="0"/>
        <v>-</v>
      </c>
      <c r="D17" s="168" t="str">
        <f t="shared" si="1"/>
        <v>NA</v>
      </c>
      <c r="E17" s="248" t="str">
        <f t="shared" si="2"/>
        <v>NA</v>
      </c>
      <c r="F17" s="285" t="str">
        <f t="shared" si="3"/>
        <v>NA</v>
      </c>
      <c r="G17" s="169" t="str">
        <f t="shared" si="4"/>
        <v>NA</v>
      </c>
      <c r="H17" s="168" t="str">
        <f t="shared" si="5"/>
        <v>-</v>
      </c>
      <c r="I17" s="248" t="str">
        <f t="shared" si="6"/>
        <v>-</v>
      </c>
      <c r="J17" s="169" t="str">
        <f t="shared" si="7"/>
        <v>-</v>
      </c>
      <c r="K17" s="255" t="str">
        <f t="shared" si="8"/>
        <v>-</v>
      </c>
      <c r="L17" s="256" t="str">
        <f t="shared" si="9"/>
        <v>-</v>
      </c>
      <c r="M17" s="256" t="str">
        <f t="shared" si="10"/>
        <v>-</v>
      </c>
      <c r="N17" s="256" t="str">
        <f t="shared" si="11"/>
        <v>-</v>
      </c>
      <c r="O17" s="256" t="str">
        <f t="shared" si="12"/>
        <v>-</v>
      </c>
      <c r="P17" s="264" t="str">
        <f t="shared" si="13"/>
        <v>-</v>
      </c>
      <c r="Q17" s="265" t="str">
        <f t="shared" si="14"/>
        <v>-</v>
      </c>
      <c r="R17" s="256" t="str">
        <f t="shared" si="15"/>
        <v>-</v>
      </c>
      <c r="S17" s="256" t="str">
        <f t="shared" si="16"/>
        <v>-</v>
      </c>
      <c r="T17" s="256" t="str">
        <f t="shared" si="17"/>
        <v>-</v>
      </c>
      <c r="U17" s="256" t="str">
        <f t="shared" si="18"/>
        <v>-</v>
      </c>
      <c r="V17" s="257" t="str">
        <f t="shared" si="19"/>
        <v>-</v>
      </c>
      <c r="W17" s="285" t="str">
        <f t="shared" si="20"/>
        <v>-</v>
      </c>
      <c r="X17" s="248" t="str">
        <f t="shared" si="21"/>
        <v>-</v>
      </c>
      <c r="Y17" s="248" t="str">
        <f t="shared" si="22"/>
        <v>-</v>
      </c>
      <c r="Z17" s="248" t="str">
        <f t="shared" si="23"/>
        <v>-</v>
      </c>
      <c r="AA17" s="248" t="str">
        <f t="shared" si="24"/>
        <v>-</v>
      </c>
      <c r="AB17" s="329" t="str">
        <f t="shared" si="25"/>
        <v>NA</v>
      </c>
      <c r="AC17" s="315" t="str">
        <f t="shared" si="26"/>
        <v>NA</v>
      </c>
      <c r="AD17" s="168" t="str">
        <f t="shared" si="27"/>
        <v>-</v>
      </c>
      <c r="AE17" s="248" t="str">
        <f t="shared" si="28"/>
        <v>-</v>
      </c>
      <c r="AF17" s="248" t="str">
        <f t="shared" si="29"/>
        <v>-</v>
      </c>
      <c r="AG17" s="248" t="str">
        <f t="shared" si="30"/>
        <v>-</v>
      </c>
      <c r="AH17" s="248" t="str">
        <f t="shared" si="31"/>
        <v>-</v>
      </c>
      <c r="AI17" s="329" t="str">
        <f t="shared" si="32"/>
        <v>NA</v>
      </c>
      <c r="AJ17" s="169" t="str">
        <f t="shared" si="33"/>
        <v>NA</v>
      </c>
      <c r="AK17" s="255" t="str">
        <f t="shared" si="34"/>
        <v>-</v>
      </c>
      <c r="AL17" s="256" t="str">
        <f t="shared" si="35"/>
        <v>-</v>
      </c>
      <c r="AM17" s="256" t="str">
        <f t="shared" si="36"/>
        <v>-</v>
      </c>
      <c r="AN17" s="256" t="str">
        <f t="shared" si="37"/>
        <v>-</v>
      </c>
      <c r="AO17" s="264" t="str">
        <f t="shared" si="38"/>
        <v>-</v>
      </c>
      <c r="AP17" s="265" t="str">
        <f t="shared" si="39"/>
        <v>-</v>
      </c>
      <c r="AQ17" s="256" t="str">
        <f t="shared" si="40"/>
        <v>-</v>
      </c>
      <c r="AR17" s="256" t="str">
        <f t="shared" si="41"/>
        <v>-</v>
      </c>
      <c r="AS17" s="256" t="str">
        <f t="shared" si="42"/>
        <v>-</v>
      </c>
      <c r="AT17" s="257" t="str">
        <f t="shared" si="43"/>
        <v>-</v>
      </c>
      <c r="AU17" s="255" t="str">
        <f t="shared" si="44"/>
        <v>-</v>
      </c>
      <c r="AV17" s="256" t="str">
        <f t="shared" si="45"/>
        <v>-</v>
      </c>
      <c r="AW17" s="256" t="str">
        <f t="shared" si="46"/>
        <v>-</v>
      </c>
      <c r="AX17" s="256" t="str">
        <f t="shared" si="47"/>
        <v>-</v>
      </c>
      <c r="AY17" s="264" t="str">
        <f t="shared" si="48"/>
        <v>-</v>
      </c>
      <c r="AZ17" s="265" t="str">
        <f t="shared" si="49"/>
        <v>-</v>
      </c>
      <c r="BA17" s="256" t="str">
        <f t="shared" si="50"/>
        <v>-</v>
      </c>
      <c r="BB17" s="256" t="str">
        <f t="shared" si="51"/>
        <v>-</v>
      </c>
      <c r="BC17" s="256" t="str">
        <f t="shared" si="52"/>
        <v>-</v>
      </c>
      <c r="BD17" s="257" t="str">
        <f t="shared" si="53"/>
        <v>-</v>
      </c>
      <c r="BE17" s="255" t="str">
        <f t="shared" si="54"/>
        <v>-</v>
      </c>
      <c r="BF17" s="256" t="str">
        <f t="shared" si="55"/>
        <v>-</v>
      </c>
      <c r="BG17" s="256" t="str">
        <f t="shared" si="56"/>
        <v>-</v>
      </c>
      <c r="BH17" s="256" t="str">
        <f t="shared" si="57"/>
        <v>-</v>
      </c>
      <c r="BI17" s="264" t="str">
        <f t="shared" si="58"/>
        <v>-</v>
      </c>
      <c r="BJ17" s="265" t="str">
        <f t="shared" si="59"/>
        <v>-</v>
      </c>
      <c r="BK17" s="256" t="str">
        <f t="shared" si="60"/>
        <v>-</v>
      </c>
      <c r="BL17" s="256" t="str">
        <f t="shared" si="61"/>
        <v>-</v>
      </c>
      <c r="BM17" s="256" t="str">
        <f t="shared" si="62"/>
        <v>-</v>
      </c>
      <c r="BN17" s="257" t="str">
        <f t="shared" si="63"/>
        <v>-</v>
      </c>
    </row>
    <row r="18" spans="2:66">
      <c r="B18" s="293" t="s">
        <v>56</v>
      </c>
      <c r="C18" s="370" t="str">
        <f t="shared" ca="1" si="0"/>
        <v>-</v>
      </c>
      <c r="D18" s="294" t="str">
        <f t="shared" si="1"/>
        <v>NA</v>
      </c>
      <c r="E18" s="295" t="str">
        <f t="shared" si="2"/>
        <v>NA</v>
      </c>
      <c r="F18" s="296" t="str">
        <f t="shared" si="3"/>
        <v>NA</v>
      </c>
      <c r="G18" s="297" t="str">
        <f t="shared" si="4"/>
        <v>NA</v>
      </c>
      <c r="H18" s="294" t="str">
        <f t="shared" si="5"/>
        <v>-</v>
      </c>
      <c r="I18" s="295" t="str">
        <f t="shared" si="6"/>
        <v>-</v>
      </c>
      <c r="J18" s="297" t="str">
        <f t="shared" si="7"/>
        <v>-</v>
      </c>
      <c r="K18" s="298" t="str">
        <f t="shared" si="8"/>
        <v>-</v>
      </c>
      <c r="L18" s="299" t="str">
        <f t="shared" si="9"/>
        <v>-</v>
      </c>
      <c r="M18" s="299" t="str">
        <f t="shared" si="10"/>
        <v>-</v>
      </c>
      <c r="N18" s="299" t="str">
        <f t="shared" si="11"/>
        <v>-</v>
      </c>
      <c r="O18" s="299" t="str">
        <f t="shared" si="12"/>
        <v>-</v>
      </c>
      <c r="P18" s="300" t="str">
        <f t="shared" si="13"/>
        <v>-</v>
      </c>
      <c r="Q18" s="301" t="str">
        <f t="shared" si="14"/>
        <v>-</v>
      </c>
      <c r="R18" s="299" t="str">
        <f t="shared" si="15"/>
        <v>-</v>
      </c>
      <c r="S18" s="299" t="str">
        <f t="shared" si="16"/>
        <v>-</v>
      </c>
      <c r="T18" s="299" t="str">
        <f t="shared" si="17"/>
        <v>-</v>
      </c>
      <c r="U18" s="299" t="str">
        <f t="shared" si="18"/>
        <v>-</v>
      </c>
      <c r="V18" s="302" t="str">
        <f t="shared" si="19"/>
        <v>-</v>
      </c>
      <c r="W18" s="296" t="str">
        <f t="shared" si="20"/>
        <v>-</v>
      </c>
      <c r="X18" s="295" t="str">
        <f t="shared" si="21"/>
        <v>-</v>
      </c>
      <c r="Y18" s="295" t="str">
        <f t="shared" si="22"/>
        <v>-</v>
      </c>
      <c r="Z18" s="295" t="str">
        <f t="shared" si="23"/>
        <v>-</v>
      </c>
      <c r="AA18" s="295" t="str">
        <f t="shared" si="24"/>
        <v>-</v>
      </c>
      <c r="AB18" s="331" t="str">
        <f t="shared" si="25"/>
        <v>NA</v>
      </c>
      <c r="AC18" s="317" t="str">
        <f t="shared" si="26"/>
        <v>NA</v>
      </c>
      <c r="AD18" s="294" t="str">
        <f t="shared" si="27"/>
        <v>-</v>
      </c>
      <c r="AE18" s="295" t="str">
        <f t="shared" si="28"/>
        <v>-</v>
      </c>
      <c r="AF18" s="295" t="str">
        <f t="shared" si="29"/>
        <v>-</v>
      </c>
      <c r="AG18" s="295" t="str">
        <f t="shared" si="30"/>
        <v>-</v>
      </c>
      <c r="AH18" s="295" t="str">
        <f t="shared" si="31"/>
        <v>-</v>
      </c>
      <c r="AI18" s="331" t="str">
        <f t="shared" si="32"/>
        <v>NA</v>
      </c>
      <c r="AJ18" s="297" t="str">
        <f t="shared" si="33"/>
        <v>NA</v>
      </c>
      <c r="AK18" s="298" t="str">
        <f t="shared" si="34"/>
        <v>-</v>
      </c>
      <c r="AL18" s="299" t="str">
        <f t="shared" si="35"/>
        <v>-</v>
      </c>
      <c r="AM18" s="299" t="str">
        <f t="shared" si="36"/>
        <v>-</v>
      </c>
      <c r="AN18" s="299" t="str">
        <f t="shared" si="37"/>
        <v>-</v>
      </c>
      <c r="AO18" s="300" t="str">
        <f t="shared" si="38"/>
        <v>-</v>
      </c>
      <c r="AP18" s="301" t="str">
        <f t="shared" si="39"/>
        <v>-</v>
      </c>
      <c r="AQ18" s="299" t="str">
        <f t="shared" si="40"/>
        <v>-</v>
      </c>
      <c r="AR18" s="299" t="str">
        <f t="shared" si="41"/>
        <v>-</v>
      </c>
      <c r="AS18" s="299" t="str">
        <f t="shared" si="42"/>
        <v>-</v>
      </c>
      <c r="AT18" s="302" t="str">
        <f t="shared" si="43"/>
        <v>-</v>
      </c>
      <c r="AU18" s="298" t="str">
        <f t="shared" si="44"/>
        <v>-</v>
      </c>
      <c r="AV18" s="299" t="str">
        <f t="shared" si="45"/>
        <v>-</v>
      </c>
      <c r="AW18" s="299" t="str">
        <f t="shared" si="46"/>
        <v>-</v>
      </c>
      <c r="AX18" s="299" t="str">
        <f t="shared" si="47"/>
        <v>-</v>
      </c>
      <c r="AY18" s="300" t="str">
        <f t="shared" si="48"/>
        <v>-</v>
      </c>
      <c r="AZ18" s="301" t="str">
        <f t="shared" si="49"/>
        <v>-</v>
      </c>
      <c r="BA18" s="299" t="str">
        <f t="shared" si="50"/>
        <v>-</v>
      </c>
      <c r="BB18" s="299" t="str">
        <f t="shared" si="51"/>
        <v>-</v>
      </c>
      <c r="BC18" s="299" t="str">
        <f t="shared" si="52"/>
        <v>-</v>
      </c>
      <c r="BD18" s="302" t="str">
        <f t="shared" si="53"/>
        <v>-</v>
      </c>
      <c r="BE18" s="298" t="str">
        <f t="shared" si="54"/>
        <v>-</v>
      </c>
      <c r="BF18" s="299" t="str">
        <f t="shared" si="55"/>
        <v>-</v>
      </c>
      <c r="BG18" s="299" t="str">
        <f t="shared" si="56"/>
        <v>-</v>
      </c>
      <c r="BH18" s="299" t="str">
        <f t="shared" si="57"/>
        <v>-</v>
      </c>
      <c r="BI18" s="300" t="str">
        <f t="shared" si="58"/>
        <v>-</v>
      </c>
      <c r="BJ18" s="301" t="str">
        <f t="shared" si="59"/>
        <v>-</v>
      </c>
      <c r="BK18" s="299" t="str">
        <f t="shared" si="60"/>
        <v>-</v>
      </c>
      <c r="BL18" s="299" t="str">
        <f t="shared" si="61"/>
        <v>-</v>
      </c>
      <c r="BM18" s="299" t="str">
        <f t="shared" si="62"/>
        <v>-</v>
      </c>
      <c r="BN18" s="302" t="str">
        <f t="shared" si="63"/>
        <v>-</v>
      </c>
    </row>
    <row r="19" spans="2:66">
      <c r="B19" s="303" t="s">
        <v>57</v>
      </c>
      <c r="C19" s="371" t="str">
        <f t="shared" ca="1" si="0"/>
        <v>-</v>
      </c>
      <c r="D19" s="304" t="str">
        <f t="shared" si="1"/>
        <v>NA</v>
      </c>
      <c r="E19" s="305" t="str">
        <f t="shared" si="2"/>
        <v>NA</v>
      </c>
      <c r="F19" s="306" t="str">
        <f t="shared" si="3"/>
        <v>NA</v>
      </c>
      <c r="G19" s="307" t="str">
        <f t="shared" si="4"/>
        <v>NA</v>
      </c>
      <c r="H19" s="304" t="str">
        <f t="shared" si="5"/>
        <v>-</v>
      </c>
      <c r="I19" s="305" t="str">
        <f t="shared" si="6"/>
        <v>-</v>
      </c>
      <c r="J19" s="307" t="str">
        <f t="shared" si="7"/>
        <v>-</v>
      </c>
      <c r="K19" s="308" t="str">
        <f t="shared" si="8"/>
        <v>-</v>
      </c>
      <c r="L19" s="309" t="str">
        <f t="shared" si="9"/>
        <v>-</v>
      </c>
      <c r="M19" s="309" t="str">
        <f t="shared" si="10"/>
        <v>-</v>
      </c>
      <c r="N19" s="309" t="str">
        <f t="shared" si="11"/>
        <v>-</v>
      </c>
      <c r="O19" s="309" t="str">
        <f t="shared" si="12"/>
        <v>-</v>
      </c>
      <c r="P19" s="310" t="str">
        <f t="shared" si="13"/>
        <v>-</v>
      </c>
      <c r="Q19" s="311" t="str">
        <f t="shared" si="14"/>
        <v>-</v>
      </c>
      <c r="R19" s="309" t="str">
        <f t="shared" si="15"/>
        <v>-</v>
      </c>
      <c r="S19" s="309" t="str">
        <f t="shared" si="16"/>
        <v>-</v>
      </c>
      <c r="T19" s="309" t="str">
        <f t="shared" si="17"/>
        <v>-</v>
      </c>
      <c r="U19" s="309" t="str">
        <f t="shared" si="18"/>
        <v>-</v>
      </c>
      <c r="V19" s="312" t="str">
        <f t="shared" si="19"/>
        <v>-</v>
      </c>
      <c r="W19" s="306" t="str">
        <f t="shared" si="20"/>
        <v>-</v>
      </c>
      <c r="X19" s="305" t="str">
        <f t="shared" si="21"/>
        <v>-</v>
      </c>
      <c r="Y19" s="305" t="str">
        <f t="shared" si="22"/>
        <v>-</v>
      </c>
      <c r="Z19" s="305" t="str">
        <f t="shared" si="23"/>
        <v>-</v>
      </c>
      <c r="AA19" s="305" t="str">
        <f t="shared" si="24"/>
        <v>-</v>
      </c>
      <c r="AB19" s="332" t="str">
        <f t="shared" si="25"/>
        <v>NA</v>
      </c>
      <c r="AC19" s="318" t="str">
        <f t="shared" si="26"/>
        <v>NA</v>
      </c>
      <c r="AD19" s="304" t="str">
        <f t="shared" si="27"/>
        <v>-</v>
      </c>
      <c r="AE19" s="305" t="str">
        <f t="shared" si="28"/>
        <v>-</v>
      </c>
      <c r="AF19" s="305" t="str">
        <f t="shared" si="29"/>
        <v>-</v>
      </c>
      <c r="AG19" s="305" t="str">
        <f t="shared" si="30"/>
        <v>-</v>
      </c>
      <c r="AH19" s="305" t="str">
        <f t="shared" si="31"/>
        <v>-</v>
      </c>
      <c r="AI19" s="332" t="str">
        <f t="shared" si="32"/>
        <v>NA</v>
      </c>
      <c r="AJ19" s="307" t="str">
        <f t="shared" si="33"/>
        <v>NA</v>
      </c>
      <c r="AK19" s="308" t="str">
        <f t="shared" si="34"/>
        <v>-</v>
      </c>
      <c r="AL19" s="309" t="str">
        <f t="shared" si="35"/>
        <v>-</v>
      </c>
      <c r="AM19" s="309" t="str">
        <f t="shared" si="36"/>
        <v>-</v>
      </c>
      <c r="AN19" s="309" t="str">
        <f t="shared" si="37"/>
        <v>-</v>
      </c>
      <c r="AO19" s="310" t="str">
        <f t="shared" si="38"/>
        <v>-</v>
      </c>
      <c r="AP19" s="311" t="str">
        <f t="shared" si="39"/>
        <v>-</v>
      </c>
      <c r="AQ19" s="309" t="str">
        <f t="shared" si="40"/>
        <v>-</v>
      </c>
      <c r="AR19" s="309" t="str">
        <f t="shared" si="41"/>
        <v>-</v>
      </c>
      <c r="AS19" s="309" t="str">
        <f t="shared" si="42"/>
        <v>-</v>
      </c>
      <c r="AT19" s="312" t="str">
        <f t="shared" si="43"/>
        <v>-</v>
      </c>
      <c r="AU19" s="308" t="str">
        <f t="shared" si="44"/>
        <v>-</v>
      </c>
      <c r="AV19" s="309" t="str">
        <f t="shared" si="45"/>
        <v>-</v>
      </c>
      <c r="AW19" s="309" t="str">
        <f t="shared" si="46"/>
        <v>-</v>
      </c>
      <c r="AX19" s="309" t="str">
        <f t="shared" si="47"/>
        <v>-</v>
      </c>
      <c r="AY19" s="310" t="str">
        <f t="shared" si="48"/>
        <v>-</v>
      </c>
      <c r="AZ19" s="311" t="str">
        <f t="shared" si="49"/>
        <v>-</v>
      </c>
      <c r="BA19" s="309" t="str">
        <f t="shared" si="50"/>
        <v>-</v>
      </c>
      <c r="BB19" s="309" t="str">
        <f t="shared" si="51"/>
        <v>-</v>
      </c>
      <c r="BC19" s="309" t="str">
        <f t="shared" si="52"/>
        <v>-</v>
      </c>
      <c r="BD19" s="312" t="str">
        <f t="shared" si="53"/>
        <v>-</v>
      </c>
      <c r="BE19" s="308" t="str">
        <f t="shared" si="54"/>
        <v>-</v>
      </c>
      <c r="BF19" s="309" t="str">
        <f t="shared" si="55"/>
        <v>-</v>
      </c>
      <c r="BG19" s="309" t="str">
        <f t="shared" si="56"/>
        <v>-</v>
      </c>
      <c r="BH19" s="309" t="str">
        <f t="shared" si="57"/>
        <v>-</v>
      </c>
      <c r="BI19" s="310" t="str">
        <f t="shared" si="58"/>
        <v>-</v>
      </c>
      <c r="BJ19" s="311" t="str">
        <f t="shared" si="59"/>
        <v>-</v>
      </c>
      <c r="BK19" s="309" t="str">
        <f t="shared" si="60"/>
        <v>-</v>
      </c>
      <c r="BL19" s="309" t="str">
        <f t="shared" si="61"/>
        <v>-</v>
      </c>
      <c r="BM19" s="309" t="str">
        <f t="shared" si="62"/>
        <v>-</v>
      </c>
      <c r="BN19" s="312" t="str">
        <f t="shared" si="63"/>
        <v>-</v>
      </c>
    </row>
    <row r="20" spans="2:66">
      <c r="B20" s="275" t="s">
        <v>58</v>
      </c>
      <c r="C20" s="368" t="str">
        <f t="shared" ca="1" si="0"/>
        <v>-</v>
      </c>
      <c r="D20" s="245" t="str">
        <f t="shared" si="1"/>
        <v>NA</v>
      </c>
      <c r="E20" s="246" t="str">
        <f t="shared" si="2"/>
        <v>NA</v>
      </c>
      <c r="F20" s="284" t="str">
        <f t="shared" si="3"/>
        <v>NA</v>
      </c>
      <c r="G20" s="247" t="str">
        <f t="shared" si="4"/>
        <v>NA</v>
      </c>
      <c r="H20" s="245" t="str">
        <f t="shared" si="5"/>
        <v>-</v>
      </c>
      <c r="I20" s="246" t="str">
        <f t="shared" si="6"/>
        <v>-</v>
      </c>
      <c r="J20" s="247" t="str">
        <f t="shared" si="7"/>
        <v>-</v>
      </c>
      <c r="K20" s="252" t="str">
        <f t="shared" si="8"/>
        <v>-</v>
      </c>
      <c r="L20" s="253" t="str">
        <f t="shared" si="9"/>
        <v>-</v>
      </c>
      <c r="M20" s="253" t="str">
        <f t="shared" si="10"/>
        <v>-</v>
      </c>
      <c r="N20" s="253" t="str">
        <f t="shared" si="11"/>
        <v>-</v>
      </c>
      <c r="O20" s="253" t="str">
        <f t="shared" si="12"/>
        <v>-</v>
      </c>
      <c r="P20" s="262" t="str">
        <f t="shared" si="13"/>
        <v>-</v>
      </c>
      <c r="Q20" s="263" t="str">
        <f t="shared" si="14"/>
        <v>-</v>
      </c>
      <c r="R20" s="253" t="str">
        <f t="shared" si="15"/>
        <v>-</v>
      </c>
      <c r="S20" s="253" t="str">
        <f t="shared" si="16"/>
        <v>-</v>
      </c>
      <c r="T20" s="253" t="str">
        <f t="shared" si="17"/>
        <v>-</v>
      </c>
      <c r="U20" s="253" t="str">
        <f t="shared" si="18"/>
        <v>-</v>
      </c>
      <c r="V20" s="254" t="str">
        <f t="shared" si="19"/>
        <v>-</v>
      </c>
      <c r="W20" s="284" t="str">
        <f t="shared" si="20"/>
        <v>-</v>
      </c>
      <c r="X20" s="246" t="str">
        <f t="shared" si="21"/>
        <v>-</v>
      </c>
      <c r="Y20" s="246" t="str">
        <f t="shared" si="22"/>
        <v>-</v>
      </c>
      <c r="Z20" s="246" t="str">
        <f t="shared" si="23"/>
        <v>-</v>
      </c>
      <c r="AA20" s="246" t="str">
        <f t="shared" si="24"/>
        <v>-</v>
      </c>
      <c r="AB20" s="328" t="str">
        <f t="shared" si="25"/>
        <v>NA</v>
      </c>
      <c r="AC20" s="314" t="str">
        <f t="shared" si="26"/>
        <v>NA</v>
      </c>
      <c r="AD20" s="245" t="str">
        <f t="shared" si="27"/>
        <v>-</v>
      </c>
      <c r="AE20" s="246" t="str">
        <f t="shared" si="28"/>
        <v>-</v>
      </c>
      <c r="AF20" s="246" t="str">
        <f t="shared" si="29"/>
        <v>-</v>
      </c>
      <c r="AG20" s="246" t="str">
        <f t="shared" si="30"/>
        <v>-</v>
      </c>
      <c r="AH20" s="246" t="str">
        <f t="shared" si="31"/>
        <v>-</v>
      </c>
      <c r="AI20" s="328" t="str">
        <f t="shared" si="32"/>
        <v>NA</v>
      </c>
      <c r="AJ20" s="247" t="str">
        <f t="shared" si="33"/>
        <v>NA</v>
      </c>
      <c r="AK20" s="252" t="str">
        <f t="shared" si="34"/>
        <v>-</v>
      </c>
      <c r="AL20" s="253" t="str">
        <f t="shared" si="35"/>
        <v>-</v>
      </c>
      <c r="AM20" s="253" t="str">
        <f t="shared" si="36"/>
        <v>-</v>
      </c>
      <c r="AN20" s="253" t="str">
        <f t="shared" si="37"/>
        <v>-</v>
      </c>
      <c r="AO20" s="262" t="str">
        <f t="shared" si="38"/>
        <v>-</v>
      </c>
      <c r="AP20" s="263" t="str">
        <f t="shared" si="39"/>
        <v>-</v>
      </c>
      <c r="AQ20" s="253" t="str">
        <f t="shared" si="40"/>
        <v>-</v>
      </c>
      <c r="AR20" s="253" t="str">
        <f t="shared" si="41"/>
        <v>-</v>
      </c>
      <c r="AS20" s="253" t="str">
        <f t="shared" si="42"/>
        <v>-</v>
      </c>
      <c r="AT20" s="254" t="str">
        <f t="shared" si="43"/>
        <v>-</v>
      </c>
      <c r="AU20" s="252" t="str">
        <f t="shared" si="44"/>
        <v>-</v>
      </c>
      <c r="AV20" s="253" t="str">
        <f t="shared" si="45"/>
        <v>-</v>
      </c>
      <c r="AW20" s="253" t="str">
        <f t="shared" si="46"/>
        <v>-</v>
      </c>
      <c r="AX20" s="253" t="str">
        <f t="shared" si="47"/>
        <v>-</v>
      </c>
      <c r="AY20" s="262" t="str">
        <f t="shared" si="48"/>
        <v>-</v>
      </c>
      <c r="AZ20" s="263" t="str">
        <f t="shared" si="49"/>
        <v>-</v>
      </c>
      <c r="BA20" s="253" t="str">
        <f t="shared" si="50"/>
        <v>-</v>
      </c>
      <c r="BB20" s="253" t="str">
        <f t="shared" si="51"/>
        <v>-</v>
      </c>
      <c r="BC20" s="253" t="str">
        <f t="shared" si="52"/>
        <v>-</v>
      </c>
      <c r="BD20" s="254" t="str">
        <f t="shared" si="53"/>
        <v>-</v>
      </c>
      <c r="BE20" s="252" t="str">
        <f t="shared" si="54"/>
        <v>-</v>
      </c>
      <c r="BF20" s="253" t="str">
        <f t="shared" si="55"/>
        <v>-</v>
      </c>
      <c r="BG20" s="253" t="str">
        <f t="shared" si="56"/>
        <v>-</v>
      </c>
      <c r="BH20" s="253" t="str">
        <f t="shared" si="57"/>
        <v>-</v>
      </c>
      <c r="BI20" s="262" t="str">
        <f t="shared" si="58"/>
        <v>-</v>
      </c>
      <c r="BJ20" s="263" t="str">
        <f t="shared" si="59"/>
        <v>-</v>
      </c>
      <c r="BK20" s="253" t="str">
        <f t="shared" si="60"/>
        <v>-</v>
      </c>
      <c r="BL20" s="253" t="str">
        <f t="shared" si="61"/>
        <v>-</v>
      </c>
      <c r="BM20" s="253" t="str">
        <f t="shared" si="62"/>
        <v>-</v>
      </c>
      <c r="BN20" s="254" t="str">
        <f t="shared" si="63"/>
        <v>-</v>
      </c>
    </row>
    <row r="21" spans="2:66">
      <c r="B21" s="274" t="s">
        <v>59</v>
      </c>
      <c r="C21" s="367" t="str">
        <f t="shared" ca="1" si="0"/>
        <v>-</v>
      </c>
      <c r="D21" s="168" t="str">
        <f t="shared" si="1"/>
        <v>NA</v>
      </c>
      <c r="E21" s="248" t="str">
        <f t="shared" si="2"/>
        <v>NA</v>
      </c>
      <c r="F21" s="285" t="str">
        <f t="shared" si="3"/>
        <v>NA</v>
      </c>
      <c r="G21" s="169" t="str">
        <f t="shared" si="4"/>
        <v>NA</v>
      </c>
      <c r="H21" s="168" t="str">
        <f t="shared" si="5"/>
        <v>-</v>
      </c>
      <c r="I21" s="248" t="str">
        <f t="shared" si="6"/>
        <v>-</v>
      </c>
      <c r="J21" s="169" t="str">
        <f t="shared" si="7"/>
        <v>-</v>
      </c>
      <c r="K21" s="255" t="str">
        <f t="shared" si="8"/>
        <v>-</v>
      </c>
      <c r="L21" s="256" t="str">
        <f t="shared" si="9"/>
        <v>-</v>
      </c>
      <c r="M21" s="256" t="str">
        <f t="shared" si="10"/>
        <v>-</v>
      </c>
      <c r="N21" s="256" t="str">
        <f t="shared" si="11"/>
        <v>-</v>
      </c>
      <c r="O21" s="256" t="str">
        <f t="shared" si="12"/>
        <v>-</v>
      </c>
      <c r="P21" s="264" t="str">
        <f t="shared" si="13"/>
        <v>-</v>
      </c>
      <c r="Q21" s="265" t="str">
        <f t="shared" si="14"/>
        <v>-</v>
      </c>
      <c r="R21" s="256" t="str">
        <f t="shared" si="15"/>
        <v>-</v>
      </c>
      <c r="S21" s="256" t="str">
        <f t="shared" si="16"/>
        <v>-</v>
      </c>
      <c r="T21" s="256" t="str">
        <f t="shared" si="17"/>
        <v>-</v>
      </c>
      <c r="U21" s="256" t="str">
        <f t="shared" si="18"/>
        <v>-</v>
      </c>
      <c r="V21" s="257" t="str">
        <f t="shared" si="19"/>
        <v>-</v>
      </c>
      <c r="W21" s="285" t="str">
        <f t="shared" si="20"/>
        <v>-</v>
      </c>
      <c r="X21" s="248" t="str">
        <f t="shared" si="21"/>
        <v>-</v>
      </c>
      <c r="Y21" s="248" t="str">
        <f t="shared" si="22"/>
        <v>-</v>
      </c>
      <c r="Z21" s="248" t="str">
        <f t="shared" si="23"/>
        <v>-</v>
      </c>
      <c r="AA21" s="248" t="str">
        <f t="shared" si="24"/>
        <v>-</v>
      </c>
      <c r="AB21" s="329" t="str">
        <f t="shared" si="25"/>
        <v>NA</v>
      </c>
      <c r="AC21" s="315" t="str">
        <f t="shared" si="26"/>
        <v>NA</v>
      </c>
      <c r="AD21" s="168" t="str">
        <f t="shared" si="27"/>
        <v>-</v>
      </c>
      <c r="AE21" s="248" t="str">
        <f t="shared" si="28"/>
        <v>-</v>
      </c>
      <c r="AF21" s="248" t="str">
        <f t="shared" si="29"/>
        <v>-</v>
      </c>
      <c r="AG21" s="248" t="str">
        <f t="shared" si="30"/>
        <v>-</v>
      </c>
      <c r="AH21" s="248" t="str">
        <f t="shared" si="31"/>
        <v>-</v>
      </c>
      <c r="AI21" s="329" t="str">
        <f t="shared" si="32"/>
        <v>NA</v>
      </c>
      <c r="AJ21" s="169" t="str">
        <f t="shared" si="33"/>
        <v>NA</v>
      </c>
      <c r="AK21" s="255" t="str">
        <f t="shared" si="34"/>
        <v>-</v>
      </c>
      <c r="AL21" s="256" t="str">
        <f t="shared" si="35"/>
        <v>-</v>
      </c>
      <c r="AM21" s="256" t="str">
        <f t="shared" si="36"/>
        <v>-</v>
      </c>
      <c r="AN21" s="256" t="str">
        <f t="shared" si="37"/>
        <v>-</v>
      </c>
      <c r="AO21" s="264" t="str">
        <f t="shared" si="38"/>
        <v>-</v>
      </c>
      <c r="AP21" s="265" t="str">
        <f t="shared" si="39"/>
        <v>-</v>
      </c>
      <c r="AQ21" s="256" t="str">
        <f t="shared" si="40"/>
        <v>-</v>
      </c>
      <c r="AR21" s="256" t="str">
        <f t="shared" si="41"/>
        <v>-</v>
      </c>
      <c r="AS21" s="256" t="str">
        <f t="shared" si="42"/>
        <v>-</v>
      </c>
      <c r="AT21" s="257" t="str">
        <f t="shared" si="43"/>
        <v>-</v>
      </c>
      <c r="AU21" s="255" t="str">
        <f t="shared" si="44"/>
        <v>-</v>
      </c>
      <c r="AV21" s="256" t="str">
        <f t="shared" si="45"/>
        <v>-</v>
      </c>
      <c r="AW21" s="256" t="str">
        <f t="shared" si="46"/>
        <v>-</v>
      </c>
      <c r="AX21" s="256" t="str">
        <f t="shared" si="47"/>
        <v>-</v>
      </c>
      <c r="AY21" s="264" t="str">
        <f t="shared" si="48"/>
        <v>-</v>
      </c>
      <c r="AZ21" s="265" t="str">
        <f t="shared" si="49"/>
        <v>-</v>
      </c>
      <c r="BA21" s="256" t="str">
        <f t="shared" si="50"/>
        <v>-</v>
      </c>
      <c r="BB21" s="256" t="str">
        <f t="shared" si="51"/>
        <v>-</v>
      </c>
      <c r="BC21" s="256" t="str">
        <f t="shared" si="52"/>
        <v>-</v>
      </c>
      <c r="BD21" s="257" t="str">
        <f t="shared" si="53"/>
        <v>-</v>
      </c>
      <c r="BE21" s="255" t="str">
        <f t="shared" si="54"/>
        <v>-</v>
      </c>
      <c r="BF21" s="256" t="str">
        <f t="shared" si="55"/>
        <v>-</v>
      </c>
      <c r="BG21" s="256" t="str">
        <f t="shared" si="56"/>
        <v>-</v>
      </c>
      <c r="BH21" s="256" t="str">
        <f t="shared" si="57"/>
        <v>-</v>
      </c>
      <c r="BI21" s="264" t="str">
        <f t="shared" si="58"/>
        <v>-</v>
      </c>
      <c r="BJ21" s="265" t="str">
        <f t="shared" si="59"/>
        <v>-</v>
      </c>
      <c r="BK21" s="256" t="str">
        <f t="shared" si="60"/>
        <v>-</v>
      </c>
      <c r="BL21" s="256" t="str">
        <f t="shared" si="61"/>
        <v>-</v>
      </c>
      <c r="BM21" s="256" t="str">
        <f t="shared" si="62"/>
        <v>-</v>
      </c>
      <c r="BN21" s="257" t="str">
        <f t="shared" si="63"/>
        <v>-</v>
      </c>
    </row>
    <row r="22" spans="2:66">
      <c r="B22" s="275" t="s">
        <v>60</v>
      </c>
      <c r="C22" s="368" t="str">
        <f t="shared" ca="1" si="0"/>
        <v>-</v>
      </c>
      <c r="D22" s="245" t="str">
        <f t="shared" si="1"/>
        <v>NA</v>
      </c>
      <c r="E22" s="246" t="str">
        <f t="shared" si="2"/>
        <v>NA</v>
      </c>
      <c r="F22" s="284" t="str">
        <f t="shared" si="3"/>
        <v>NA</v>
      </c>
      <c r="G22" s="247" t="str">
        <f t="shared" si="4"/>
        <v>NA</v>
      </c>
      <c r="H22" s="245" t="str">
        <f t="shared" si="5"/>
        <v>-</v>
      </c>
      <c r="I22" s="246" t="str">
        <f t="shared" si="6"/>
        <v>-</v>
      </c>
      <c r="J22" s="247" t="str">
        <f t="shared" si="7"/>
        <v>-</v>
      </c>
      <c r="K22" s="252" t="str">
        <f t="shared" si="8"/>
        <v>-</v>
      </c>
      <c r="L22" s="253" t="str">
        <f t="shared" si="9"/>
        <v>-</v>
      </c>
      <c r="M22" s="253" t="str">
        <f t="shared" si="10"/>
        <v>-</v>
      </c>
      <c r="N22" s="253" t="str">
        <f t="shared" si="11"/>
        <v>-</v>
      </c>
      <c r="O22" s="253" t="str">
        <f t="shared" si="12"/>
        <v>-</v>
      </c>
      <c r="P22" s="262" t="str">
        <f t="shared" si="13"/>
        <v>-</v>
      </c>
      <c r="Q22" s="263" t="str">
        <f t="shared" si="14"/>
        <v>-</v>
      </c>
      <c r="R22" s="253" t="str">
        <f t="shared" si="15"/>
        <v>-</v>
      </c>
      <c r="S22" s="253" t="str">
        <f t="shared" si="16"/>
        <v>-</v>
      </c>
      <c r="T22" s="253" t="str">
        <f t="shared" si="17"/>
        <v>-</v>
      </c>
      <c r="U22" s="253" t="str">
        <f t="shared" si="18"/>
        <v>-</v>
      </c>
      <c r="V22" s="254" t="str">
        <f t="shared" si="19"/>
        <v>-</v>
      </c>
      <c r="W22" s="284" t="str">
        <f t="shared" si="20"/>
        <v>-</v>
      </c>
      <c r="X22" s="246" t="str">
        <f t="shared" si="21"/>
        <v>-</v>
      </c>
      <c r="Y22" s="246" t="str">
        <f t="shared" si="22"/>
        <v>-</v>
      </c>
      <c r="Z22" s="246" t="str">
        <f t="shared" si="23"/>
        <v>-</v>
      </c>
      <c r="AA22" s="246" t="str">
        <f t="shared" si="24"/>
        <v>-</v>
      </c>
      <c r="AB22" s="328" t="str">
        <f t="shared" si="25"/>
        <v>NA</v>
      </c>
      <c r="AC22" s="314" t="str">
        <f t="shared" si="26"/>
        <v>NA</v>
      </c>
      <c r="AD22" s="245" t="str">
        <f t="shared" si="27"/>
        <v>-</v>
      </c>
      <c r="AE22" s="246" t="str">
        <f t="shared" si="28"/>
        <v>-</v>
      </c>
      <c r="AF22" s="246" t="str">
        <f t="shared" si="29"/>
        <v>-</v>
      </c>
      <c r="AG22" s="246" t="str">
        <f t="shared" si="30"/>
        <v>-</v>
      </c>
      <c r="AH22" s="246" t="str">
        <f t="shared" si="31"/>
        <v>-</v>
      </c>
      <c r="AI22" s="328" t="str">
        <f t="shared" si="32"/>
        <v>NA</v>
      </c>
      <c r="AJ22" s="247" t="str">
        <f t="shared" si="33"/>
        <v>NA</v>
      </c>
      <c r="AK22" s="252" t="str">
        <f t="shared" si="34"/>
        <v>-</v>
      </c>
      <c r="AL22" s="253" t="str">
        <f t="shared" si="35"/>
        <v>-</v>
      </c>
      <c r="AM22" s="253" t="str">
        <f t="shared" si="36"/>
        <v>-</v>
      </c>
      <c r="AN22" s="253" t="str">
        <f t="shared" si="37"/>
        <v>-</v>
      </c>
      <c r="AO22" s="262" t="str">
        <f t="shared" si="38"/>
        <v>-</v>
      </c>
      <c r="AP22" s="263" t="str">
        <f t="shared" si="39"/>
        <v>-</v>
      </c>
      <c r="AQ22" s="253" t="str">
        <f t="shared" si="40"/>
        <v>-</v>
      </c>
      <c r="AR22" s="253" t="str">
        <f t="shared" si="41"/>
        <v>-</v>
      </c>
      <c r="AS22" s="253" t="str">
        <f t="shared" si="42"/>
        <v>-</v>
      </c>
      <c r="AT22" s="254" t="str">
        <f t="shared" si="43"/>
        <v>-</v>
      </c>
      <c r="AU22" s="252" t="str">
        <f t="shared" si="44"/>
        <v>-</v>
      </c>
      <c r="AV22" s="253" t="str">
        <f t="shared" si="45"/>
        <v>-</v>
      </c>
      <c r="AW22" s="253" t="str">
        <f t="shared" si="46"/>
        <v>-</v>
      </c>
      <c r="AX22" s="253" t="str">
        <f t="shared" si="47"/>
        <v>-</v>
      </c>
      <c r="AY22" s="262" t="str">
        <f t="shared" si="48"/>
        <v>-</v>
      </c>
      <c r="AZ22" s="263" t="str">
        <f t="shared" si="49"/>
        <v>-</v>
      </c>
      <c r="BA22" s="253" t="str">
        <f t="shared" si="50"/>
        <v>-</v>
      </c>
      <c r="BB22" s="253" t="str">
        <f t="shared" si="51"/>
        <v>-</v>
      </c>
      <c r="BC22" s="253" t="str">
        <f t="shared" si="52"/>
        <v>-</v>
      </c>
      <c r="BD22" s="254" t="str">
        <f t="shared" si="53"/>
        <v>-</v>
      </c>
      <c r="BE22" s="252" t="str">
        <f t="shared" si="54"/>
        <v>-</v>
      </c>
      <c r="BF22" s="253" t="str">
        <f t="shared" si="55"/>
        <v>-</v>
      </c>
      <c r="BG22" s="253" t="str">
        <f t="shared" si="56"/>
        <v>-</v>
      </c>
      <c r="BH22" s="253" t="str">
        <f t="shared" si="57"/>
        <v>-</v>
      </c>
      <c r="BI22" s="262" t="str">
        <f t="shared" si="58"/>
        <v>-</v>
      </c>
      <c r="BJ22" s="263" t="str">
        <f t="shared" si="59"/>
        <v>-</v>
      </c>
      <c r="BK22" s="253" t="str">
        <f t="shared" si="60"/>
        <v>-</v>
      </c>
      <c r="BL22" s="253" t="str">
        <f t="shared" si="61"/>
        <v>-</v>
      </c>
      <c r="BM22" s="253" t="str">
        <f t="shared" si="62"/>
        <v>-</v>
      </c>
      <c r="BN22" s="254" t="str">
        <f t="shared" si="63"/>
        <v>-</v>
      </c>
    </row>
    <row r="23" spans="2:66">
      <c r="B23" s="274" t="s">
        <v>61</v>
      </c>
      <c r="C23" s="367" t="str">
        <f t="shared" ca="1" si="0"/>
        <v>-</v>
      </c>
      <c r="D23" s="168" t="str">
        <f t="shared" si="1"/>
        <v>NA</v>
      </c>
      <c r="E23" s="248" t="str">
        <f t="shared" si="2"/>
        <v>NA</v>
      </c>
      <c r="F23" s="285" t="str">
        <f t="shared" si="3"/>
        <v>NA</v>
      </c>
      <c r="G23" s="169" t="str">
        <f t="shared" si="4"/>
        <v>NA</v>
      </c>
      <c r="H23" s="168" t="str">
        <f t="shared" si="5"/>
        <v>-</v>
      </c>
      <c r="I23" s="248" t="str">
        <f t="shared" si="6"/>
        <v>-</v>
      </c>
      <c r="J23" s="169" t="str">
        <f t="shared" si="7"/>
        <v>-</v>
      </c>
      <c r="K23" s="255" t="str">
        <f t="shared" si="8"/>
        <v>-</v>
      </c>
      <c r="L23" s="256" t="str">
        <f t="shared" si="9"/>
        <v>-</v>
      </c>
      <c r="M23" s="256" t="str">
        <f t="shared" si="10"/>
        <v>-</v>
      </c>
      <c r="N23" s="256" t="str">
        <f t="shared" si="11"/>
        <v>-</v>
      </c>
      <c r="O23" s="256" t="str">
        <f t="shared" si="12"/>
        <v>-</v>
      </c>
      <c r="P23" s="264" t="str">
        <f t="shared" si="13"/>
        <v>-</v>
      </c>
      <c r="Q23" s="265" t="str">
        <f t="shared" si="14"/>
        <v>-</v>
      </c>
      <c r="R23" s="256" t="str">
        <f t="shared" si="15"/>
        <v>-</v>
      </c>
      <c r="S23" s="256" t="str">
        <f t="shared" si="16"/>
        <v>-</v>
      </c>
      <c r="T23" s="256" t="str">
        <f t="shared" si="17"/>
        <v>-</v>
      </c>
      <c r="U23" s="256" t="str">
        <f t="shared" si="18"/>
        <v>-</v>
      </c>
      <c r="V23" s="257" t="str">
        <f t="shared" si="19"/>
        <v>-</v>
      </c>
      <c r="W23" s="285" t="str">
        <f t="shared" si="20"/>
        <v>-</v>
      </c>
      <c r="X23" s="248" t="str">
        <f t="shared" si="21"/>
        <v>-</v>
      </c>
      <c r="Y23" s="248" t="str">
        <f t="shared" si="22"/>
        <v>-</v>
      </c>
      <c r="Z23" s="248" t="str">
        <f t="shared" si="23"/>
        <v>-</v>
      </c>
      <c r="AA23" s="248" t="str">
        <f t="shared" si="24"/>
        <v>-</v>
      </c>
      <c r="AB23" s="329" t="str">
        <f t="shared" si="25"/>
        <v>NA</v>
      </c>
      <c r="AC23" s="315" t="str">
        <f t="shared" si="26"/>
        <v>NA</v>
      </c>
      <c r="AD23" s="168" t="str">
        <f t="shared" si="27"/>
        <v>-</v>
      </c>
      <c r="AE23" s="248" t="str">
        <f t="shared" si="28"/>
        <v>-</v>
      </c>
      <c r="AF23" s="248" t="str">
        <f t="shared" si="29"/>
        <v>-</v>
      </c>
      <c r="AG23" s="248" t="str">
        <f t="shared" si="30"/>
        <v>-</v>
      </c>
      <c r="AH23" s="248" t="str">
        <f t="shared" si="31"/>
        <v>-</v>
      </c>
      <c r="AI23" s="329" t="str">
        <f t="shared" si="32"/>
        <v>NA</v>
      </c>
      <c r="AJ23" s="169" t="str">
        <f t="shared" si="33"/>
        <v>NA</v>
      </c>
      <c r="AK23" s="255" t="str">
        <f t="shared" si="34"/>
        <v>-</v>
      </c>
      <c r="AL23" s="256" t="str">
        <f t="shared" si="35"/>
        <v>-</v>
      </c>
      <c r="AM23" s="256" t="str">
        <f t="shared" si="36"/>
        <v>-</v>
      </c>
      <c r="AN23" s="256" t="str">
        <f t="shared" si="37"/>
        <v>-</v>
      </c>
      <c r="AO23" s="264" t="str">
        <f t="shared" si="38"/>
        <v>-</v>
      </c>
      <c r="AP23" s="265" t="str">
        <f t="shared" si="39"/>
        <v>-</v>
      </c>
      <c r="AQ23" s="256" t="str">
        <f t="shared" si="40"/>
        <v>-</v>
      </c>
      <c r="AR23" s="256" t="str">
        <f t="shared" si="41"/>
        <v>-</v>
      </c>
      <c r="AS23" s="256" t="str">
        <f t="shared" si="42"/>
        <v>-</v>
      </c>
      <c r="AT23" s="257" t="str">
        <f t="shared" si="43"/>
        <v>-</v>
      </c>
      <c r="AU23" s="255" t="str">
        <f t="shared" si="44"/>
        <v>-</v>
      </c>
      <c r="AV23" s="256" t="str">
        <f t="shared" si="45"/>
        <v>-</v>
      </c>
      <c r="AW23" s="256" t="str">
        <f t="shared" si="46"/>
        <v>-</v>
      </c>
      <c r="AX23" s="256" t="str">
        <f t="shared" si="47"/>
        <v>-</v>
      </c>
      <c r="AY23" s="264" t="str">
        <f t="shared" si="48"/>
        <v>-</v>
      </c>
      <c r="AZ23" s="265" t="str">
        <f t="shared" si="49"/>
        <v>-</v>
      </c>
      <c r="BA23" s="256" t="str">
        <f t="shared" si="50"/>
        <v>-</v>
      </c>
      <c r="BB23" s="256" t="str">
        <f t="shared" si="51"/>
        <v>-</v>
      </c>
      <c r="BC23" s="256" t="str">
        <f t="shared" si="52"/>
        <v>-</v>
      </c>
      <c r="BD23" s="257" t="str">
        <f t="shared" si="53"/>
        <v>-</v>
      </c>
      <c r="BE23" s="255" t="str">
        <f t="shared" si="54"/>
        <v>-</v>
      </c>
      <c r="BF23" s="256" t="str">
        <f t="shared" si="55"/>
        <v>-</v>
      </c>
      <c r="BG23" s="256" t="str">
        <f t="shared" si="56"/>
        <v>-</v>
      </c>
      <c r="BH23" s="256" t="str">
        <f t="shared" si="57"/>
        <v>-</v>
      </c>
      <c r="BI23" s="264" t="str">
        <f t="shared" si="58"/>
        <v>-</v>
      </c>
      <c r="BJ23" s="265" t="str">
        <f t="shared" si="59"/>
        <v>-</v>
      </c>
      <c r="BK23" s="256" t="str">
        <f t="shared" si="60"/>
        <v>-</v>
      </c>
      <c r="BL23" s="256" t="str">
        <f t="shared" si="61"/>
        <v>-</v>
      </c>
      <c r="BM23" s="256" t="str">
        <f t="shared" si="62"/>
        <v>-</v>
      </c>
      <c r="BN23" s="257" t="str">
        <f t="shared" si="63"/>
        <v>-</v>
      </c>
    </row>
    <row r="24" spans="2:66">
      <c r="B24" s="276" t="s">
        <v>62</v>
      </c>
      <c r="C24" s="369" t="str">
        <f t="shared" ca="1" si="0"/>
        <v>-</v>
      </c>
      <c r="D24" s="249" t="str">
        <f t="shared" si="1"/>
        <v>NA</v>
      </c>
      <c r="E24" s="250" t="str">
        <f t="shared" si="2"/>
        <v>NA</v>
      </c>
      <c r="F24" s="286" t="str">
        <f t="shared" si="3"/>
        <v>NA</v>
      </c>
      <c r="G24" s="251" t="str">
        <f t="shared" si="4"/>
        <v>NA</v>
      </c>
      <c r="H24" s="249" t="str">
        <f t="shared" si="5"/>
        <v>-</v>
      </c>
      <c r="I24" s="250" t="str">
        <f t="shared" si="6"/>
        <v>-</v>
      </c>
      <c r="J24" s="251" t="str">
        <f t="shared" si="7"/>
        <v>-</v>
      </c>
      <c r="K24" s="258" t="str">
        <f t="shared" si="8"/>
        <v>-</v>
      </c>
      <c r="L24" s="259" t="str">
        <f t="shared" si="9"/>
        <v>-</v>
      </c>
      <c r="M24" s="259" t="str">
        <f t="shared" si="10"/>
        <v>-</v>
      </c>
      <c r="N24" s="259" t="str">
        <f t="shared" si="11"/>
        <v>-</v>
      </c>
      <c r="O24" s="259" t="str">
        <f t="shared" si="12"/>
        <v>-</v>
      </c>
      <c r="P24" s="266" t="str">
        <f t="shared" si="13"/>
        <v>-</v>
      </c>
      <c r="Q24" s="267" t="str">
        <f t="shared" si="14"/>
        <v>-</v>
      </c>
      <c r="R24" s="259" t="str">
        <f t="shared" si="15"/>
        <v>-</v>
      </c>
      <c r="S24" s="259" t="str">
        <f t="shared" si="16"/>
        <v>-</v>
      </c>
      <c r="T24" s="259" t="str">
        <f t="shared" si="17"/>
        <v>-</v>
      </c>
      <c r="U24" s="259" t="str">
        <f t="shared" si="18"/>
        <v>-</v>
      </c>
      <c r="V24" s="260" t="str">
        <f t="shared" si="19"/>
        <v>-</v>
      </c>
      <c r="W24" s="286" t="str">
        <f t="shared" si="20"/>
        <v>-</v>
      </c>
      <c r="X24" s="250" t="str">
        <f t="shared" si="21"/>
        <v>-</v>
      </c>
      <c r="Y24" s="250" t="str">
        <f t="shared" si="22"/>
        <v>-</v>
      </c>
      <c r="Z24" s="250" t="str">
        <f t="shared" si="23"/>
        <v>-</v>
      </c>
      <c r="AA24" s="250" t="str">
        <f t="shared" si="24"/>
        <v>-</v>
      </c>
      <c r="AB24" s="330" t="str">
        <f t="shared" si="25"/>
        <v>NA</v>
      </c>
      <c r="AC24" s="316" t="str">
        <f t="shared" si="26"/>
        <v>NA</v>
      </c>
      <c r="AD24" s="249" t="str">
        <f t="shared" si="27"/>
        <v>-</v>
      </c>
      <c r="AE24" s="250" t="str">
        <f t="shared" si="28"/>
        <v>-</v>
      </c>
      <c r="AF24" s="250" t="str">
        <f t="shared" si="29"/>
        <v>-</v>
      </c>
      <c r="AG24" s="250" t="str">
        <f t="shared" si="30"/>
        <v>-</v>
      </c>
      <c r="AH24" s="250" t="str">
        <f t="shared" si="31"/>
        <v>-</v>
      </c>
      <c r="AI24" s="330" t="str">
        <f t="shared" si="32"/>
        <v>NA</v>
      </c>
      <c r="AJ24" s="251" t="str">
        <f t="shared" si="33"/>
        <v>NA</v>
      </c>
      <c r="AK24" s="258" t="str">
        <f t="shared" si="34"/>
        <v>-</v>
      </c>
      <c r="AL24" s="259" t="str">
        <f t="shared" si="35"/>
        <v>-</v>
      </c>
      <c r="AM24" s="259" t="str">
        <f t="shared" si="36"/>
        <v>-</v>
      </c>
      <c r="AN24" s="259" t="str">
        <f t="shared" si="37"/>
        <v>-</v>
      </c>
      <c r="AO24" s="266" t="str">
        <f t="shared" si="38"/>
        <v>-</v>
      </c>
      <c r="AP24" s="267" t="str">
        <f t="shared" si="39"/>
        <v>-</v>
      </c>
      <c r="AQ24" s="259" t="str">
        <f t="shared" si="40"/>
        <v>-</v>
      </c>
      <c r="AR24" s="259" t="str">
        <f t="shared" si="41"/>
        <v>-</v>
      </c>
      <c r="AS24" s="259" t="str">
        <f t="shared" si="42"/>
        <v>-</v>
      </c>
      <c r="AT24" s="260" t="str">
        <f t="shared" si="43"/>
        <v>-</v>
      </c>
      <c r="AU24" s="258" t="str">
        <f t="shared" si="44"/>
        <v>-</v>
      </c>
      <c r="AV24" s="259" t="str">
        <f t="shared" si="45"/>
        <v>-</v>
      </c>
      <c r="AW24" s="259" t="str">
        <f t="shared" si="46"/>
        <v>-</v>
      </c>
      <c r="AX24" s="259" t="str">
        <f t="shared" si="47"/>
        <v>-</v>
      </c>
      <c r="AY24" s="266" t="str">
        <f t="shared" si="48"/>
        <v>-</v>
      </c>
      <c r="AZ24" s="267" t="str">
        <f t="shared" si="49"/>
        <v>-</v>
      </c>
      <c r="BA24" s="259" t="str">
        <f t="shared" si="50"/>
        <v>-</v>
      </c>
      <c r="BB24" s="259" t="str">
        <f t="shared" si="51"/>
        <v>-</v>
      </c>
      <c r="BC24" s="259" t="str">
        <f t="shared" si="52"/>
        <v>-</v>
      </c>
      <c r="BD24" s="260" t="str">
        <f t="shared" si="53"/>
        <v>-</v>
      </c>
      <c r="BE24" s="258" t="str">
        <f t="shared" si="54"/>
        <v>-</v>
      </c>
      <c r="BF24" s="259" t="str">
        <f t="shared" si="55"/>
        <v>-</v>
      </c>
      <c r="BG24" s="259" t="str">
        <f t="shared" si="56"/>
        <v>-</v>
      </c>
      <c r="BH24" s="259" t="str">
        <f t="shared" si="57"/>
        <v>-</v>
      </c>
      <c r="BI24" s="266" t="str">
        <f t="shared" si="58"/>
        <v>-</v>
      </c>
      <c r="BJ24" s="267" t="str">
        <f t="shared" si="59"/>
        <v>-</v>
      </c>
      <c r="BK24" s="259" t="str">
        <f t="shared" si="60"/>
        <v>-</v>
      </c>
      <c r="BL24" s="259" t="str">
        <f t="shared" si="61"/>
        <v>-</v>
      </c>
      <c r="BM24" s="259" t="str">
        <f t="shared" si="62"/>
        <v>-</v>
      </c>
      <c r="BN24" s="260" t="str">
        <f t="shared" si="63"/>
        <v>-</v>
      </c>
    </row>
    <row r="25" spans="2:66">
      <c r="B25" s="274" t="s">
        <v>63</v>
      </c>
      <c r="C25" s="367" t="str">
        <f t="shared" ca="1" si="0"/>
        <v>-</v>
      </c>
      <c r="D25" s="168" t="str">
        <f t="shared" si="1"/>
        <v>NA</v>
      </c>
      <c r="E25" s="248" t="str">
        <f t="shared" si="2"/>
        <v>NA</v>
      </c>
      <c r="F25" s="285" t="str">
        <f t="shared" si="3"/>
        <v>NA</v>
      </c>
      <c r="G25" s="169" t="str">
        <f t="shared" si="4"/>
        <v>NA</v>
      </c>
      <c r="H25" s="168" t="str">
        <f t="shared" si="5"/>
        <v>-</v>
      </c>
      <c r="I25" s="248" t="str">
        <f t="shared" si="6"/>
        <v>-</v>
      </c>
      <c r="J25" s="169" t="str">
        <f t="shared" si="7"/>
        <v>-</v>
      </c>
      <c r="K25" s="255" t="str">
        <f t="shared" si="8"/>
        <v>-</v>
      </c>
      <c r="L25" s="256" t="str">
        <f t="shared" si="9"/>
        <v>-</v>
      </c>
      <c r="M25" s="256" t="str">
        <f t="shared" si="10"/>
        <v>-</v>
      </c>
      <c r="N25" s="256" t="str">
        <f t="shared" si="11"/>
        <v>-</v>
      </c>
      <c r="O25" s="256" t="str">
        <f t="shared" si="12"/>
        <v>-</v>
      </c>
      <c r="P25" s="264" t="str">
        <f t="shared" si="13"/>
        <v>-</v>
      </c>
      <c r="Q25" s="265" t="str">
        <f t="shared" si="14"/>
        <v>-</v>
      </c>
      <c r="R25" s="256" t="str">
        <f t="shared" si="15"/>
        <v>-</v>
      </c>
      <c r="S25" s="256" t="str">
        <f t="shared" si="16"/>
        <v>-</v>
      </c>
      <c r="T25" s="256" t="str">
        <f t="shared" si="17"/>
        <v>-</v>
      </c>
      <c r="U25" s="256" t="str">
        <f t="shared" si="18"/>
        <v>-</v>
      </c>
      <c r="V25" s="257" t="str">
        <f t="shared" si="19"/>
        <v>-</v>
      </c>
      <c r="W25" s="285" t="str">
        <f t="shared" si="20"/>
        <v>-</v>
      </c>
      <c r="X25" s="248" t="str">
        <f t="shared" si="21"/>
        <v>-</v>
      </c>
      <c r="Y25" s="248" t="str">
        <f t="shared" si="22"/>
        <v>-</v>
      </c>
      <c r="Z25" s="248" t="str">
        <f t="shared" si="23"/>
        <v>-</v>
      </c>
      <c r="AA25" s="248" t="str">
        <f t="shared" si="24"/>
        <v>-</v>
      </c>
      <c r="AB25" s="329" t="str">
        <f t="shared" si="25"/>
        <v>NA</v>
      </c>
      <c r="AC25" s="315" t="str">
        <f t="shared" si="26"/>
        <v>NA</v>
      </c>
      <c r="AD25" s="168" t="str">
        <f t="shared" si="27"/>
        <v>-</v>
      </c>
      <c r="AE25" s="248" t="str">
        <f t="shared" si="28"/>
        <v>-</v>
      </c>
      <c r="AF25" s="248" t="str">
        <f t="shared" si="29"/>
        <v>-</v>
      </c>
      <c r="AG25" s="248" t="str">
        <f t="shared" si="30"/>
        <v>-</v>
      </c>
      <c r="AH25" s="248" t="str">
        <f t="shared" si="31"/>
        <v>-</v>
      </c>
      <c r="AI25" s="329" t="str">
        <f t="shared" si="32"/>
        <v>NA</v>
      </c>
      <c r="AJ25" s="169" t="str">
        <f t="shared" si="33"/>
        <v>NA</v>
      </c>
      <c r="AK25" s="255" t="str">
        <f t="shared" si="34"/>
        <v>-</v>
      </c>
      <c r="AL25" s="256" t="str">
        <f t="shared" si="35"/>
        <v>-</v>
      </c>
      <c r="AM25" s="256" t="str">
        <f t="shared" si="36"/>
        <v>-</v>
      </c>
      <c r="AN25" s="256" t="str">
        <f t="shared" si="37"/>
        <v>-</v>
      </c>
      <c r="AO25" s="264" t="str">
        <f t="shared" si="38"/>
        <v>-</v>
      </c>
      <c r="AP25" s="265" t="str">
        <f t="shared" si="39"/>
        <v>-</v>
      </c>
      <c r="AQ25" s="256" t="str">
        <f t="shared" si="40"/>
        <v>-</v>
      </c>
      <c r="AR25" s="256" t="str">
        <f t="shared" si="41"/>
        <v>-</v>
      </c>
      <c r="AS25" s="256" t="str">
        <f t="shared" si="42"/>
        <v>-</v>
      </c>
      <c r="AT25" s="257" t="str">
        <f t="shared" si="43"/>
        <v>-</v>
      </c>
      <c r="AU25" s="255" t="str">
        <f t="shared" si="44"/>
        <v>-</v>
      </c>
      <c r="AV25" s="256" t="str">
        <f t="shared" si="45"/>
        <v>-</v>
      </c>
      <c r="AW25" s="256" t="str">
        <f t="shared" si="46"/>
        <v>-</v>
      </c>
      <c r="AX25" s="256" t="str">
        <f t="shared" si="47"/>
        <v>-</v>
      </c>
      <c r="AY25" s="264" t="str">
        <f t="shared" si="48"/>
        <v>-</v>
      </c>
      <c r="AZ25" s="265" t="str">
        <f t="shared" si="49"/>
        <v>-</v>
      </c>
      <c r="BA25" s="256" t="str">
        <f t="shared" si="50"/>
        <v>-</v>
      </c>
      <c r="BB25" s="256" t="str">
        <f t="shared" si="51"/>
        <v>-</v>
      </c>
      <c r="BC25" s="256" t="str">
        <f t="shared" si="52"/>
        <v>-</v>
      </c>
      <c r="BD25" s="257" t="str">
        <f t="shared" si="53"/>
        <v>-</v>
      </c>
      <c r="BE25" s="255" t="str">
        <f t="shared" si="54"/>
        <v>-</v>
      </c>
      <c r="BF25" s="256" t="str">
        <f t="shared" si="55"/>
        <v>-</v>
      </c>
      <c r="BG25" s="256" t="str">
        <f t="shared" si="56"/>
        <v>-</v>
      </c>
      <c r="BH25" s="256" t="str">
        <f t="shared" si="57"/>
        <v>-</v>
      </c>
      <c r="BI25" s="264" t="str">
        <f t="shared" si="58"/>
        <v>-</v>
      </c>
      <c r="BJ25" s="265" t="str">
        <f t="shared" si="59"/>
        <v>-</v>
      </c>
      <c r="BK25" s="256" t="str">
        <f t="shared" si="60"/>
        <v>-</v>
      </c>
      <c r="BL25" s="256" t="str">
        <f t="shared" si="61"/>
        <v>-</v>
      </c>
      <c r="BM25" s="256" t="str">
        <f t="shared" si="62"/>
        <v>-</v>
      </c>
      <c r="BN25" s="257" t="str">
        <f t="shared" si="63"/>
        <v>-</v>
      </c>
    </row>
    <row r="26" spans="2:66">
      <c r="B26" s="275" t="s">
        <v>64</v>
      </c>
      <c r="C26" s="368" t="str">
        <f t="shared" ca="1" si="0"/>
        <v>-</v>
      </c>
      <c r="D26" s="245" t="str">
        <f t="shared" si="1"/>
        <v>NA</v>
      </c>
      <c r="E26" s="246" t="str">
        <f t="shared" si="2"/>
        <v>NA</v>
      </c>
      <c r="F26" s="284" t="str">
        <f t="shared" si="3"/>
        <v>NA</v>
      </c>
      <c r="G26" s="247" t="str">
        <f t="shared" si="4"/>
        <v>NA</v>
      </c>
      <c r="H26" s="245" t="str">
        <f t="shared" si="5"/>
        <v>-</v>
      </c>
      <c r="I26" s="246" t="str">
        <f t="shared" si="6"/>
        <v>-</v>
      </c>
      <c r="J26" s="247" t="str">
        <f t="shared" si="7"/>
        <v>-</v>
      </c>
      <c r="K26" s="252" t="str">
        <f t="shared" si="8"/>
        <v>-</v>
      </c>
      <c r="L26" s="253" t="str">
        <f t="shared" si="9"/>
        <v>-</v>
      </c>
      <c r="M26" s="253" t="str">
        <f t="shared" si="10"/>
        <v>-</v>
      </c>
      <c r="N26" s="253" t="str">
        <f t="shared" si="11"/>
        <v>-</v>
      </c>
      <c r="O26" s="253" t="str">
        <f t="shared" si="12"/>
        <v>-</v>
      </c>
      <c r="P26" s="262" t="str">
        <f t="shared" si="13"/>
        <v>-</v>
      </c>
      <c r="Q26" s="263" t="str">
        <f t="shared" si="14"/>
        <v>-</v>
      </c>
      <c r="R26" s="253" t="str">
        <f t="shared" si="15"/>
        <v>-</v>
      </c>
      <c r="S26" s="253" t="str">
        <f t="shared" si="16"/>
        <v>-</v>
      </c>
      <c r="T26" s="253" t="str">
        <f t="shared" si="17"/>
        <v>-</v>
      </c>
      <c r="U26" s="253" t="str">
        <f t="shared" si="18"/>
        <v>-</v>
      </c>
      <c r="V26" s="254" t="str">
        <f t="shared" si="19"/>
        <v>-</v>
      </c>
      <c r="W26" s="284" t="str">
        <f t="shared" si="20"/>
        <v>-</v>
      </c>
      <c r="X26" s="246" t="str">
        <f t="shared" si="21"/>
        <v>-</v>
      </c>
      <c r="Y26" s="246" t="str">
        <f t="shared" si="22"/>
        <v>-</v>
      </c>
      <c r="Z26" s="246" t="str">
        <f t="shared" si="23"/>
        <v>-</v>
      </c>
      <c r="AA26" s="246" t="str">
        <f t="shared" si="24"/>
        <v>-</v>
      </c>
      <c r="AB26" s="328" t="str">
        <f t="shared" si="25"/>
        <v>NA</v>
      </c>
      <c r="AC26" s="314" t="str">
        <f t="shared" si="26"/>
        <v>NA</v>
      </c>
      <c r="AD26" s="245" t="str">
        <f t="shared" si="27"/>
        <v>-</v>
      </c>
      <c r="AE26" s="246" t="str">
        <f t="shared" si="28"/>
        <v>-</v>
      </c>
      <c r="AF26" s="246" t="str">
        <f t="shared" si="29"/>
        <v>-</v>
      </c>
      <c r="AG26" s="246" t="str">
        <f t="shared" si="30"/>
        <v>-</v>
      </c>
      <c r="AH26" s="246" t="str">
        <f t="shared" si="31"/>
        <v>-</v>
      </c>
      <c r="AI26" s="328" t="str">
        <f t="shared" si="32"/>
        <v>NA</v>
      </c>
      <c r="AJ26" s="247" t="str">
        <f t="shared" si="33"/>
        <v>NA</v>
      </c>
      <c r="AK26" s="252" t="str">
        <f t="shared" si="34"/>
        <v>-</v>
      </c>
      <c r="AL26" s="253" t="str">
        <f t="shared" si="35"/>
        <v>-</v>
      </c>
      <c r="AM26" s="253" t="str">
        <f t="shared" si="36"/>
        <v>-</v>
      </c>
      <c r="AN26" s="253" t="str">
        <f t="shared" si="37"/>
        <v>-</v>
      </c>
      <c r="AO26" s="262" t="str">
        <f t="shared" si="38"/>
        <v>-</v>
      </c>
      <c r="AP26" s="263" t="str">
        <f t="shared" si="39"/>
        <v>-</v>
      </c>
      <c r="AQ26" s="253" t="str">
        <f t="shared" si="40"/>
        <v>-</v>
      </c>
      <c r="AR26" s="253" t="str">
        <f t="shared" si="41"/>
        <v>-</v>
      </c>
      <c r="AS26" s="253" t="str">
        <f t="shared" si="42"/>
        <v>-</v>
      </c>
      <c r="AT26" s="254" t="str">
        <f t="shared" si="43"/>
        <v>-</v>
      </c>
      <c r="AU26" s="252" t="str">
        <f t="shared" si="44"/>
        <v>-</v>
      </c>
      <c r="AV26" s="253" t="str">
        <f t="shared" si="45"/>
        <v>-</v>
      </c>
      <c r="AW26" s="253" t="str">
        <f t="shared" si="46"/>
        <v>-</v>
      </c>
      <c r="AX26" s="253" t="str">
        <f t="shared" si="47"/>
        <v>-</v>
      </c>
      <c r="AY26" s="262" t="str">
        <f t="shared" si="48"/>
        <v>-</v>
      </c>
      <c r="AZ26" s="263" t="str">
        <f t="shared" si="49"/>
        <v>-</v>
      </c>
      <c r="BA26" s="253" t="str">
        <f t="shared" si="50"/>
        <v>-</v>
      </c>
      <c r="BB26" s="253" t="str">
        <f t="shared" si="51"/>
        <v>-</v>
      </c>
      <c r="BC26" s="253" t="str">
        <f t="shared" si="52"/>
        <v>-</v>
      </c>
      <c r="BD26" s="254" t="str">
        <f t="shared" si="53"/>
        <v>-</v>
      </c>
      <c r="BE26" s="252" t="str">
        <f t="shared" si="54"/>
        <v>-</v>
      </c>
      <c r="BF26" s="253" t="str">
        <f t="shared" si="55"/>
        <v>-</v>
      </c>
      <c r="BG26" s="253" t="str">
        <f t="shared" si="56"/>
        <v>-</v>
      </c>
      <c r="BH26" s="253" t="str">
        <f t="shared" si="57"/>
        <v>-</v>
      </c>
      <c r="BI26" s="262" t="str">
        <f t="shared" si="58"/>
        <v>-</v>
      </c>
      <c r="BJ26" s="263" t="str">
        <f t="shared" si="59"/>
        <v>-</v>
      </c>
      <c r="BK26" s="253" t="str">
        <f t="shared" si="60"/>
        <v>-</v>
      </c>
      <c r="BL26" s="253" t="str">
        <f t="shared" si="61"/>
        <v>-</v>
      </c>
      <c r="BM26" s="253" t="str">
        <f t="shared" si="62"/>
        <v>-</v>
      </c>
      <c r="BN26" s="254" t="str">
        <f t="shared" si="63"/>
        <v>-</v>
      </c>
    </row>
    <row r="27" spans="2:66">
      <c r="B27" s="274" t="s">
        <v>65</v>
      </c>
      <c r="C27" s="367" t="str">
        <f t="shared" ca="1" si="0"/>
        <v>-</v>
      </c>
      <c r="D27" s="168" t="str">
        <f t="shared" si="1"/>
        <v>NA</v>
      </c>
      <c r="E27" s="248" t="str">
        <f t="shared" si="2"/>
        <v>NA</v>
      </c>
      <c r="F27" s="285" t="str">
        <f t="shared" si="3"/>
        <v>NA</v>
      </c>
      <c r="G27" s="169" t="str">
        <f t="shared" si="4"/>
        <v>NA</v>
      </c>
      <c r="H27" s="168" t="str">
        <f t="shared" si="5"/>
        <v>-</v>
      </c>
      <c r="I27" s="248" t="str">
        <f t="shared" si="6"/>
        <v>-</v>
      </c>
      <c r="J27" s="169" t="str">
        <f t="shared" si="7"/>
        <v>-</v>
      </c>
      <c r="K27" s="255" t="str">
        <f t="shared" si="8"/>
        <v>-</v>
      </c>
      <c r="L27" s="256" t="str">
        <f t="shared" si="9"/>
        <v>-</v>
      </c>
      <c r="M27" s="256" t="str">
        <f t="shared" si="10"/>
        <v>-</v>
      </c>
      <c r="N27" s="256" t="str">
        <f t="shared" si="11"/>
        <v>-</v>
      </c>
      <c r="O27" s="256" t="str">
        <f t="shared" si="12"/>
        <v>-</v>
      </c>
      <c r="P27" s="264" t="str">
        <f t="shared" si="13"/>
        <v>-</v>
      </c>
      <c r="Q27" s="265" t="str">
        <f t="shared" si="14"/>
        <v>-</v>
      </c>
      <c r="R27" s="256" t="str">
        <f t="shared" si="15"/>
        <v>-</v>
      </c>
      <c r="S27" s="256" t="str">
        <f t="shared" si="16"/>
        <v>-</v>
      </c>
      <c r="T27" s="256" t="str">
        <f t="shared" si="17"/>
        <v>-</v>
      </c>
      <c r="U27" s="256" t="str">
        <f t="shared" si="18"/>
        <v>-</v>
      </c>
      <c r="V27" s="257" t="str">
        <f t="shared" si="19"/>
        <v>-</v>
      </c>
      <c r="W27" s="285" t="str">
        <f t="shared" si="20"/>
        <v>-</v>
      </c>
      <c r="X27" s="248" t="str">
        <f t="shared" si="21"/>
        <v>-</v>
      </c>
      <c r="Y27" s="248" t="str">
        <f t="shared" si="22"/>
        <v>-</v>
      </c>
      <c r="Z27" s="248" t="str">
        <f t="shared" si="23"/>
        <v>-</v>
      </c>
      <c r="AA27" s="248" t="str">
        <f t="shared" si="24"/>
        <v>-</v>
      </c>
      <c r="AB27" s="329" t="str">
        <f t="shared" si="25"/>
        <v>NA</v>
      </c>
      <c r="AC27" s="315" t="str">
        <f t="shared" si="26"/>
        <v>NA</v>
      </c>
      <c r="AD27" s="168" t="str">
        <f t="shared" si="27"/>
        <v>-</v>
      </c>
      <c r="AE27" s="248" t="str">
        <f t="shared" si="28"/>
        <v>-</v>
      </c>
      <c r="AF27" s="248" t="str">
        <f t="shared" si="29"/>
        <v>-</v>
      </c>
      <c r="AG27" s="248" t="str">
        <f t="shared" si="30"/>
        <v>-</v>
      </c>
      <c r="AH27" s="248" t="str">
        <f t="shared" si="31"/>
        <v>-</v>
      </c>
      <c r="AI27" s="329" t="str">
        <f t="shared" si="32"/>
        <v>NA</v>
      </c>
      <c r="AJ27" s="169" t="str">
        <f t="shared" si="33"/>
        <v>NA</v>
      </c>
      <c r="AK27" s="255" t="str">
        <f t="shared" si="34"/>
        <v>-</v>
      </c>
      <c r="AL27" s="256" t="str">
        <f t="shared" si="35"/>
        <v>-</v>
      </c>
      <c r="AM27" s="256" t="str">
        <f t="shared" si="36"/>
        <v>-</v>
      </c>
      <c r="AN27" s="256" t="str">
        <f t="shared" si="37"/>
        <v>-</v>
      </c>
      <c r="AO27" s="264" t="str">
        <f t="shared" si="38"/>
        <v>-</v>
      </c>
      <c r="AP27" s="265" t="str">
        <f t="shared" si="39"/>
        <v>-</v>
      </c>
      <c r="AQ27" s="256" t="str">
        <f t="shared" si="40"/>
        <v>-</v>
      </c>
      <c r="AR27" s="256" t="str">
        <f t="shared" si="41"/>
        <v>-</v>
      </c>
      <c r="AS27" s="256" t="str">
        <f t="shared" si="42"/>
        <v>-</v>
      </c>
      <c r="AT27" s="257" t="str">
        <f t="shared" si="43"/>
        <v>-</v>
      </c>
      <c r="AU27" s="255" t="str">
        <f t="shared" si="44"/>
        <v>-</v>
      </c>
      <c r="AV27" s="256" t="str">
        <f t="shared" si="45"/>
        <v>-</v>
      </c>
      <c r="AW27" s="256" t="str">
        <f t="shared" si="46"/>
        <v>-</v>
      </c>
      <c r="AX27" s="256" t="str">
        <f t="shared" si="47"/>
        <v>-</v>
      </c>
      <c r="AY27" s="264" t="str">
        <f t="shared" si="48"/>
        <v>-</v>
      </c>
      <c r="AZ27" s="265" t="str">
        <f t="shared" si="49"/>
        <v>-</v>
      </c>
      <c r="BA27" s="256" t="str">
        <f t="shared" si="50"/>
        <v>-</v>
      </c>
      <c r="BB27" s="256" t="str">
        <f t="shared" si="51"/>
        <v>-</v>
      </c>
      <c r="BC27" s="256" t="str">
        <f t="shared" si="52"/>
        <v>-</v>
      </c>
      <c r="BD27" s="257" t="str">
        <f t="shared" si="53"/>
        <v>-</v>
      </c>
      <c r="BE27" s="255" t="str">
        <f t="shared" si="54"/>
        <v>-</v>
      </c>
      <c r="BF27" s="256" t="str">
        <f t="shared" si="55"/>
        <v>-</v>
      </c>
      <c r="BG27" s="256" t="str">
        <f t="shared" si="56"/>
        <v>-</v>
      </c>
      <c r="BH27" s="256" t="str">
        <f t="shared" si="57"/>
        <v>-</v>
      </c>
      <c r="BI27" s="264" t="str">
        <f t="shared" si="58"/>
        <v>-</v>
      </c>
      <c r="BJ27" s="265" t="str">
        <f t="shared" si="59"/>
        <v>-</v>
      </c>
      <c r="BK27" s="256" t="str">
        <f t="shared" si="60"/>
        <v>-</v>
      </c>
      <c r="BL27" s="256" t="str">
        <f t="shared" si="61"/>
        <v>-</v>
      </c>
      <c r="BM27" s="256" t="str">
        <f t="shared" si="62"/>
        <v>-</v>
      </c>
      <c r="BN27" s="257" t="str">
        <f t="shared" si="63"/>
        <v>-</v>
      </c>
    </row>
    <row r="28" spans="2:66">
      <c r="B28" s="293" t="s">
        <v>66</v>
      </c>
      <c r="C28" s="370" t="str">
        <f t="shared" ca="1" si="0"/>
        <v>-</v>
      </c>
      <c r="D28" s="294" t="str">
        <f t="shared" si="1"/>
        <v>NA</v>
      </c>
      <c r="E28" s="295" t="str">
        <f t="shared" si="2"/>
        <v>NA</v>
      </c>
      <c r="F28" s="296" t="str">
        <f t="shared" si="3"/>
        <v>NA</v>
      </c>
      <c r="G28" s="297" t="str">
        <f t="shared" si="4"/>
        <v>NA</v>
      </c>
      <c r="H28" s="294" t="str">
        <f t="shared" si="5"/>
        <v>-</v>
      </c>
      <c r="I28" s="295" t="str">
        <f t="shared" si="6"/>
        <v>-</v>
      </c>
      <c r="J28" s="297" t="str">
        <f t="shared" si="7"/>
        <v>-</v>
      </c>
      <c r="K28" s="298" t="str">
        <f t="shared" si="8"/>
        <v>-</v>
      </c>
      <c r="L28" s="299" t="str">
        <f t="shared" si="9"/>
        <v>-</v>
      </c>
      <c r="M28" s="299" t="str">
        <f t="shared" si="10"/>
        <v>-</v>
      </c>
      <c r="N28" s="299" t="str">
        <f t="shared" si="11"/>
        <v>-</v>
      </c>
      <c r="O28" s="299" t="str">
        <f t="shared" si="12"/>
        <v>-</v>
      </c>
      <c r="P28" s="300" t="str">
        <f t="shared" si="13"/>
        <v>-</v>
      </c>
      <c r="Q28" s="301" t="str">
        <f t="shared" si="14"/>
        <v>-</v>
      </c>
      <c r="R28" s="299" t="str">
        <f t="shared" si="15"/>
        <v>-</v>
      </c>
      <c r="S28" s="299" t="str">
        <f t="shared" si="16"/>
        <v>-</v>
      </c>
      <c r="T28" s="299" t="str">
        <f t="shared" si="17"/>
        <v>-</v>
      </c>
      <c r="U28" s="299" t="str">
        <f t="shared" si="18"/>
        <v>-</v>
      </c>
      <c r="V28" s="302" t="str">
        <f t="shared" si="19"/>
        <v>-</v>
      </c>
      <c r="W28" s="296" t="str">
        <f t="shared" si="20"/>
        <v>-</v>
      </c>
      <c r="X28" s="295" t="str">
        <f t="shared" si="21"/>
        <v>-</v>
      </c>
      <c r="Y28" s="295" t="str">
        <f t="shared" si="22"/>
        <v>-</v>
      </c>
      <c r="Z28" s="295" t="str">
        <f t="shared" si="23"/>
        <v>-</v>
      </c>
      <c r="AA28" s="295" t="str">
        <f t="shared" si="24"/>
        <v>-</v>
      </c>
      <c r="AB28" s="331" t="str">
        <f t="shared" si="25"/>
        <v>NA</v>
      </c>
      <c r="AC28" s="317" t="str">
        <f t="shared" si="26"/>
        <v>NA</v>
      </c>
      <c r="AD28" s="294" t="str">
        <f t="shared" si="27"/>
        <v>-</v>
      </c>
      <c r="AE28" s="295" t="str">
        <f t="shared" si="28"/>
        <v>-</v>
      </c>
      <c r="AF28" s="295" t="str">
        <f t="shared" si="29"/>
        <v>-</v>
      </c>
      <c r="AG28" s="295" t="str">
        <f t="shared" si="30"/>
        <v>-</v>
      </c>
      <c r="AH28" s="295" t="str">
        <f t="shared" si="31"/>
        <v>-</v>
      </c>
      <c r="AI28" s="331" t="str">
        <f t="shared" si="32"/>
        <v>NA</v>
      </c>
      <c r="AJ28" s="297" t="str">
        <f t="shared" si="33"/>
        <v>NA</v>
      </c>
      <c r="AK28" s="298" t="str">
        <f t="shared" si="34"/>
        <v>-</v>
      </c>
      <c r="AL28" s="299" t="str">
        <f t="shared" si="35"/>
        <v>-</v>
      </c>
      <c r="AM28" s="299" t="str">
        <f t="shared" si="36"/>
        <v>-</v>
      </c>
      <c r="AN28" s="299" t="str">
        <f t="shared" si="37"/>
        <v>-</v>
      </c>
      <c r="AO28" s="300" t="str">
        <f t="shared" si="38"/>
        <v>-</v>
      </c>
      <c r="AP28" s="301" t="str">
        <f t="shared" si="39"/>
        <v>-</v>
      </c>
      <c r="AQ28" s="299" t="str">
        <f t="shared" si="40"/>
        <v>-</v>
      </c>
      <c r="AR28" s="299" t="str">
        <f t="shared" si="41"/>
        <v>-</v>
      </c>
      <c r="AS28" s="299" t="str">
        <f t="shared" si="42"/>
        <v>-</v>
      </c>
      <c r="AT28" s="302" t="str">
        <f t="shared" si="43"/>
        <v>-</v>
      </c>
      <c r="AU28" s="298" t="str">
        <f t="shared" si="44"/>
        <v>-</v>
      </c>
      <c r="AV28" s="299" t="str">
        <f t="shared" si="45"/>
        <v>-</v>
      </c>
      <c r="AW28" s="299" t="str">
        <f t="shared" si="46"/>
        <v>-</v>
      </c>
      <c r="AX28" s="299" t="str">
        <f t="shared" si="47"/>
        <v>-</v>
      </c>
      <c r="AY28" s="300" t="str">
        <f t="shared" si="48"/>
        <v>-</v>
      </c>
      <c r="AZ28" s="301" t="str">
        <f t="shared" si="49"/>
        <v>-</v>
      </c>
      <c r="BA28" s="299" t="str">
        <f t="shared" si="50"/>
        <v>-</v>
      </c>
      <c r="BB28" s="299" t="str">
        <f t="shared" si="51"/>
        <v>-</v>
      </c>
      <c r="BC28" s="299" t="str">
        <f t="shared" si="52"/>
        <v>-</v>
      </c>
      <c r="BD28" s="302" t="str">
        <f t="shared" si="53"/>
        <v>-</v>
      </c>
      <c r="BE28" s="298" t="str">
        <f t="shared" si="54"/>
        <v>-</v>
      </c>
      <c r="BF28" s="299" t="str">
        <f t="shared" si="55"/>
        <v>-</v>
      </c>
      <c r="BG28" s="299" t="str">
        <f t="shared" si="56"/>
        <v>-</v>
      </c>
      <c r="BH28" s="299" t="str">
        <f t="shared" si="57"/>
        <v>-</v>
      </c>
      <c r="BI28" s="300" t="str">
        <f t="shared" si="58"/>
        <v>-</v>
      </c>
      <c r="BJ28" s="301" t="str">
        <f t="shared" si="59"/>
        <v>-</v>
      </c>
      <c r="BK28" s="299" t="str">
        <f t="shared" si="60"/>
        <v>-</v>
      </c>
      <c r="BL28" s="299" t="str">
        <f t="shared" si="61"/>
        <v>-</v>
      </c>
      <c r="BM28" s="299" t="str">
        <f t="shared" si="62"/>
        <v>-</v>
      </c>
      <c r="BN28" s="302" t="str">
        <f t="shared" si="63"/>
        <v>-</v>
      </c>
    </row>
    <row r="29" spans="2:66">
      <c r="B29" s="303" t="s">
        <v>67</v>
      </c>
      <c r="C29" s="371" t="str">
        <f t="shared" ca="1" si="0"/>
        <v>-</v>
      </c>
      <c r="D29" s="304" t="str">
        <f t="shared" si="1"/>
        <v>NA</v>
      </c>
      <c r="E29" s="305" t="str">
        <f t="shared" si="2"/>
        <v>NA</v>
      </c>
      <c r="F29" s="306" t="str">
        <f t="shared" si="3"/>
        <v>NA</v>
      </c>
      <c r="G29" s="307" t="str">
        <f t="shared" si="4"/>
        <v>NA</v>
      </c>
      <c r="H29" s="304" t="str">
        <f t="shared" si="5"/>
        <v>-</v>
      </c>
      <c r="I29" s="305" t="str">
        <f t="shared" si="6"/>
        <v>-</v>
      </c>
      <c r="J29" s="307" t="str">
        <f t="shared" si="7"/>
        <v>-</v>
      </c>
      <c r="K29" s="308" t="str">
        <f t="shared" si="8"/>
        <v>-</v>
      </c>
      <c r="L29" s="309" t="str">
        <f t="shared" si="9"/>
        <v>-</v>
      </c>
      <c r="M29" s="309" t="str">
        <f t="shared" si="10"/>
        <v>-</v>
      </c>
      <c r="N29" s="309" t="str">
        <f t="shared" si="11"/>
        <v>-</v>
      </c>
      <c r="O29" s="309" t="str">
        <f t="shared" si="12"/>
        <v>-</v>
      </c>
      <c r="P29" s="310" t="str">
        <f t="shared" si="13"/>
        <v>-</v>
      </c>
      <c r="Q29" s="311" t="str">
        <f t="shared" si="14"/>
        <v>-</v>
      </c>
      <c r="R29" s="309" t="str">
        <f t="shared" si="15"/>
        <v>-</v>
      </c>
      <c r="S29" s="309" t="str">
        <f t="shared" si="16"/>
        <v>-</v>
      </c>
      <c r="T29" s="309" t="str">
        <f t="shared" si="17"/>
        <v>-</v>
      </c>
      <c r="U29" s="309" t="str">
        <f t="shared" si="18"/>
        <v>-</v>
      </c>
      <c r="V29" s="312" t="str">
        <f t="shared" si="19"/>
        <v>-</v>
      </c>
      <c r="W29" s="306" t="str">
        <f t="shared" si="20"/>
        <v>-</v>
      </c>
      <c r="X29" s="305" t="str">
        <f t="shared" si="21"/>
        <v>-</v>
      </c>
      <c r="Y29" s="305" t="str">
        <f t="shared" si="22"/>
        <v>-</v>
      </c>
      <c r="Z29" s="305" t="str">
        <f t="shared" si="23"/>
        <v>-</v>
      </c>
      <c r="AA29" s="305" t="str">
        <f t="shared" si="24"/>
        <v>-</v>
      </c>
      <c r="AB29" s="332" t="str">
        <f t="shared" si="25"/>
        <v>NA</v>
      </c>
      <c r="AC29" s="318" t="str">
        <f t="shared" si="26"/>
        <v>NA</v>
      </c>
      <c r="AD29" s="304" t="str">
        <f t="shared" si="27"/>
        <v>-</v>
      </c>
      <c r="AE29" s="305" t="str">
        <f t="shared" si="28"/>
        <v>-</v>
      </c>
      <c r="AF29" s="305" t="str">
        <f t="shared" si="29"/>
        <v>-</v>
      </c>
      <c r="AG29" s="305" t="str">
        <f t="shared" si="30"/>
        <v>-</v>
      </c>
      <c r="AH29" s="305" t="str">
        <f t="shared" si="31"/>
        <v>-</v>
      </c>
      <c r="AI29" s="332" t="str">
        <f t="shared" si="32"/>
        <v>NA</v>
      </c>
      <c r="AJ29" s="307" t="str">
        <f t="shared" si="33"/>
        <v>NA</v>
      </c>
      <c r="AK29" s="308" t="str">
        <f t="shared" si="34"/>
        <v>-</v>
      </c>
      <c r="AL29" s="309" t="str">
        <f t="shared" si="35"/>
        <v>-</v>
      </c>
      <c r="AM29" s="309" t="str">
        <f t="shared" si="36"/>
        <v>-</v>
      </c>
      <c r="AN29" s="309" t="str">
        <f t="shared" si="37"/>
        <v>-</v>
      </c>
      <c r="AO29" s="310" t="str">
        <f t="shared" si="38"/>
        <v>-</v>
      </c>
      <c r="AP29" s="311" t="str">
        <f t="shared" si="39"/>
        <v>-</v>
      </c>
      <c r="AQ29" s="309" t="str">
        <f t="shared" si="40"/>
        <v>-</v>
      </c>
      <c r="AR29" s="309" t="str">
        <f t="shared" si="41"/>
        <v>-</v>
      </c>
      <c r="AS29" s="309" t="str">
        <f t="shared" si="42"/>
        <v>-</v>
      </c>
      <c r="AT29" s="312" t="str">
        <f t="shared" si="43"/>
        <v>-</v>
      </c>
      <c r="AU29" s="308" t="str">
        <f t="shared" si="44"/>
        <v>-</v>
      </c>
      <c r="AV29" s="309" t="str">
        <f t="shared" si="45"/>
        <v>-</v>
      </c>
      <c r="AW29" s="309" t="str">
        <f t="shared" si="46"/>
        <v>-</v>
      </c>
      <c r="AX29" s="309" t="str">
        <f t="shared" si="47"/>
        <v>-</v>
      </c>
      <c r="AY29" s="310" t="str">
        <f t="shared" si="48"/>
        <v>-</v>
      </c>
      <c r="AZ29" s="311" t="str">
        <f t="shared" si="49"/>
        <v>-</v>
      </c>
      <c r="BA29" s="309" t="str">
        <f t="shared" si="50"/>
        <v>-</v>
      </c>
      <c r="BB29" s="309" t="str">
        <f t="shared" si="51"/>
        <v>-</v>
      </c>
      <c r="BC29" s="309" t="str">
        <f t="shared" si="52"/>
        <v>-</v>
      </c>
      <c r="BD29" s="312" t="str">
        <f t="shared" si="53"/>
        <v>-</v>
      </c>
      <c r="BE29" s="308" t="str">
        <f t="shared" si="54"/>
        <v>-</v>
      </c>
      <c r="BF29" s="309" t="str">
        <f t="shared" si="55"/>
        <v>-</v>
      </c>
      <c r="BG29" s="309" t="str">
        <f t="shared" si="56"/>
        <v>-</v>
      </c>
      <c r="BH29" s="309" t="str">
        <f t="shared" si="57"/>
        <v>-</v>
      </c>
      <c r="BI29" s="310" t="str">
        <f t="shared" si="58"/>
        <v>-</v>
      </c>
      <c r="BJ29" s="311" t="str">
        <f t="shared" si="59"/>
        <v>-</v>
      </c>
      <c r="BK29" s="309" t="str">
        <f t="shared" si="60"/>
        <v>-</v>
      </c>
      <c r="BL29" s="309" t="str">
        <f t="shared" si="61"/>
        <v>-</v>
      </c>
      <c r="BM29" s="309" t="str">
        <f t="shared" si="62"/>
        <v>-</v>
      </c>
      <c r="BN29" s="312" t="str">
        <f t="shared" si="63"/>
        <v>-</v>
      </c>
    </row>
    <row r="30" spans="2:66">
      <c r="B30" s="275" t="s">
        <v>68</v>
      </c>
      <c r="C30" s="368" t="str">
        <f t="shared" ca="1" si="0"/>
        <v>-</v>
      </c>
      <c r="D30" s="245" t="str">
        <f t="shared" si="1"/>
        <v>NA</v>
      </c>
      <c r="E30" s="246" t="str">
        <f t="shared" si="2"/>
        <v>NA</v>
      </c>
      <c r="F30" s="284" t="str">
        <f t="shared" si="3"/>
        <v>NA</v>
      </c>
      <c r="G30" s="247" t="str">
        <f t="shared" si="4"/>
        <v>NA</v>
      </c>
      <c r="H30" s="245" t="str">
        <f t="shared" si="5"/>
        <v>-</v>
      </c>
      <c r="I30" s="246" t="str">
        <f t="shared" si="6"/>
        <v>-</v>
      </c>
      <c r="J30" s="247" t="str">
        <f t="shared" si="7"/>
        <v>-</v>
      </c>
      <c r="K30" s="252" t="str">
        <f t="shared" si="8"/>
        <v>-</v>
      </c>
      <c r="L30" s="253" t="str">
        <f t="shared" si="9"/>
        <v>-</v>
      </c>
      <c r="M30" s="253" t="str">
        <f t="shared" si="10"/>
        <v>-</v>
      </c>
      <c r="N30" s="253" t="str">
        <f t="shared" si="11"/>
        <v>-</v>
      </c>
      <c r="O30" s="253" t="str">
        <f t="shared" si="12"/>
        <v>-</v>
      </c>
      <c r="P30" s="262" t="str">
        <f t="shared" si="13"/>
        <v>-</v>
      </c>
      <c r="Q30" s="263" t="str">
        <f t="shared" si="14"/>
        <v>-</v>
      </c>
      <c r="R30" s="253" t="str">
        <f t="shared" si="15"/>
        <v>-</v>
      </c>
      <c r="S30" s="253" t="str">
        <f t="shared" si="16"/>
        <v>-</v>
      </c>
      <c r="T30" s="253" t="str">
        <f t="shared" si="17"/>
        <v>-</v>
      </c>
      <c r="U30" s="253" t="str">
        <f t="shared" si="18"/>
        <v>-</v>
      </c>
      <c r="V30" s="254" t="str">
        <f t="shared" si="19"/>
        <v>-</v>
      </c>
      <c r="W30" s="284" t="str">
        <f t="shared" si="20"/>
        <v>-</v>
      </c>
      <c r="X30" s="246" t="str">
        <f t="shared" si="21"/>
        <v>-</v>
      </c>
      <c r="Y30" s="246" t="str">
        <f t="shared" si="22"/>
        <v>-</v>
      </c>
      <c r="Z30" s="246" t="str">
        <f t="shared" si="23"/>
        <v>-</v>
      </c>
      <c r="AA30" s="246" t="str">
        <f t="shared" si="24"/>
        <v>-</v>
      </c>
      <c r="AB30" s="328" t="str">
        <f t="shared" si="25"/>
        <v>NA</v>
      </c>
      <c r="AC30" s="314" t="str">
        <f t="shared" si="26"/>
        <v>NA</v>
      </c>
      <c r="AD30" s="245" t="str">
        <f t="shared" si="27"/>
        <v>-</v>
      </c>
      <c r="AE30" s="246" t="str">
        <f t="shared" si="28"/>
        <v>-</v>
      </c>
      <c r="AF30" s="246" t="str">
        <f t="shared" si="29"/>
        <v>-</v>
      </c>
      <c r="AG30" s="246" t="str">
        <f t="shared" si="30"/>
        <v>-</v>
      </c>
      <c r="AH30" s="246" t="str">
        <f t="shared" si="31"/>
        <v>-</v>
      </c>
      <c r="AI30" s="328" t="str">
        <f t="shared" si="32"/>
        <v>NA</v>
      </c>
      <c r="AJ30" s="247" t="str">
        <f t="shared" si="33"/>
        <v>NA</v>
      </c>
      <c r="AK30" s="252" t="str">
        <f t="shared" si="34"/>
        <v>-</v>
      </c>
      <c r="AL30" s="253" t="str">
        <f t="shared" si="35"/>
        <v>-</v>
      </c>
      <c r="AM30" s="253" t="str">
        <f t="shared" si="36"/>
        <v>-</v>
      </c>
      <c r="AN30" s="253" t="str">
        <f t="shared" si="37"/>
        <v>-</v>
      </c>
      <c r="AO30" s="262" t="str">
        <f t="shared" si="38"/>
        <v>-</v>
      </c>
      <c r="AP30" s="263" t="str">
        <f t="shared" si="39"/>
        <v>-</v>
      </c>
      <c r="AQ30" s="253" t="str">
        <f t="shared" si="40"/>
        <v>-</v>
      </c>
      <c r="AR30" s="253" t="str">
        <f t="shared" si="41"/>
        <v>-</v>
      </c>
      <c r="AS30" s="253" t="str">
        <f t="shared" si="42"/>
        <v>-</v>
      </c>
      <c r="AT30" s="254" t="str">
        <f t="shared" si="43"/>
        <v>-</v>
      </c>
      <c r="AU30" s="252" t="str">
        <f t="shared" si="44"/>
        <v>-</v>
      </c>
      <c r="AV30" s="253" t="str">
        <f t="shared" si="45"/>
        <v>-</v>
      </c>
      <c r="AW30" s="253" t="str">
        <f t="shared" si="46"/>
        <v>-</v>
      </c>
      <c r="AX30" s="253" t="str">
        <f t="shared" si="47"/>
        <v>-</v>
      </c>
      <c r="AY30" s="262" t="str">
        <f t="shared" si="48"/>
        <v>-</v>
      </c>
      <c r="AZ30" s="263" t="str">
        <f t="shared" si="49"/>
        <v>-</v>
      </c>
      <c r="BA30" s="253" t="str">
        <f t="shared" si="50"/>
        <v>-</v>
      </c>
      <c r="BB30" s="253" t="str">
        <f t="shared" si="51"/>
        <v>-</v>
      </c>
      <c r="BC30" s="253" t="str">
        <f t="shared" si="52"/>
        <v>-</v>
      </c>
      <c r="BD30" s="254" t="str">
        <f t="shared" si="53"/>
        <v>-</v>
      </c>
      <c r="BE30" s="252" t="str">
        <f t="shared" si="54"/>
        <v>-</v>
      </c>
      <c r="BF30" s="253" t="str">
        <f t="shared" si="55"/>
        <v>-</v>
      </c>
      <c r="BG30" s="253" t="str">
        <f t="shared" si="56"/>
        <v>-</v>
      </c>
      <c r="BH30" s="253" t="str">
        <f t="shared" si="57"/>
        <v>-</v>
      </c>
      <c r="BI30" s="262" t="str">
        <f t="shared" si="58"/>
        <v>-</v>
      </c>
      <c r="BJ30" s="263" t="str">
        <f t="shared" si="59"/>
        <v>-</v>
      </c>
      <c r="BK30" s="253" t="str">
        <f t="shared" si="60"/>
        <v>-</v>
      </c>
      <c r="BL30" s="253" t="str">
        <f t="shared" si="61"/>
        <v>-</v>
      </c>
      <c r="BM30" s="253" t="str">
        <f t="shared" si="62"/>
        <v>-</v>
      </c>
      <c r="BN30" s="254" t="str">
        <f t="shared" si="63"/>
        <v>-</v>
      </c>
    </row>
    <row r="31" spans="2:66">
      <c r="B31" s="274" t="s">
        <v>69</v>
      </c>
      <c r="C31" s="367" t="str">
        <f t="shared" ca="1" si="0"/>
        <v>-</v>
      </c>
      <c r="D31" s="168" t="str">
        <f t="shared" si="1"/>
        <v>NA</v>
      </c>
      <c r="E31" s="248" t="str">
        <f t="shared" si="2"/>
        <v>NA</v>
      </c>
      <c r="F31" s="285" t="str">
        <f t="shared" si="3"/>
        <v>NA</v>
      </c>
      <c r="G31" s="169" t="str">
        <f t="shared" si="4"/>
        <v>NA</v>
      </c>
      <c r="H31" s="168" t="str">
        <f t="shared" si="5"/>
        <v>-</v>
      </c>
      <c r="I31" s="248" t="str">
        <f t="shared" si="6"/>
        <v>-</v>
      </c>
      <c r="J31" s="169" t="str">
        <f t="shared" si="7"/>
        <v>-</v>
      </c>
      <c r="K31" s="255" t="str">
        <f t="shared" si="8"/>
        <v>-</v>
      </c>
      <c r="L31" s="256" t="str">
        <f t="shared" si="9"/>
        <v>-</v>
      </c>
      <c r="M31" s="256" t="str">
        <f t="shared" si="10"/>
        <v>-</v>
      </c>
      <c r="N31" s="256" t="str">
        <f t="shared" si="11"/>
        <v>-</v>
      </c>
      <c r="O31" s="256" t="str">
        <f t="shared" si="12"/>
        <v>-</v>
      </c>
      <c r="P31" s="264" t="str">
        <f t="shared" si="13"/>
        <v>-</v>
      </c>
      <c r="Q31" s="265" t="str">
        <f t="shared" si="14"/>
        <v>-</v>
      </c>
      <c r="R31" s="256" t="str">
        <f t="shared" si="15"/>
        <v>-</v>
      </c>
      <c r="S31" s="256" t="str">
        <f t="shared" si="16"/>
        <v>-</v>
      </c>
      <c r="T31" s="256" t="str">
        <f t="shared" si="17"/>
        <v>-</v>
      </c>
      <c r="U31" s="256" t="str">
        <f t="shared" si="18"/>
        <v>-</v>
      </c>
      <c r="V31" s="257" t="str">
        <f t="shared" si="19"/>
        <v>-</v>
      </c>
      <c r="W31" s="285" t="str">
        <f t="shared" si="20"/>
        <v>-</v>
      </c>
      <c r="X31" s="248" t="str">
        <f t="shared" si="21"/>
        <v>-</v>
      </c>
      <c r="Y31" s="248" t="str">
        <f t="shared" si="22"/>
        <v>-</v>
      </c>
      <c r="Z31" s="248" t="str">
        <f t="shared" si="23"/>
        <v>-</v>
      </c>
      <c r="AA31" s="248" t="str">
        <f t="shared" si="24"/>
        <v>-</v>
      </c>
      <c r="AB31" s="329" t="str">
        <f t="shared" si="25"/>
        <v>NA</v>
      </c>
      <c r="AC31" s="315" t="str">
        <f t="shared" si="26"/>
        <v>NA</v>
      </c>
      <c r="AD31" s="168" t="str">
        <f t="shared" si="27"/>
        <v>-</v>
      </c>
      <c r="AE31" s="248" t="str">
        <f t="shared" si="28"/>
        <v>-</v>
      </c>
      <c r="AF31" s="248" t="str">
        <f t="shared" si="29"/>
        <v>-</v>
      </c>
      <c r="AG31" s="248" t="str">
        <f t="shared" si="30"/>
        <v>-</v>
      </c>
      <c r="AH31" s="248" t="str">
        <f t="shared" si="31"/>
        <v>-</v>
      </c>
      <c r="AI31" s="329" t="str">
        <f t="shared" si="32"/>
        <v>NA</v>
      </c>
      <c r="AJ31" s="169" t="str">
        <f t="shared" si="33"/>
        <v>NA</v>
      </c>
      <c r="AK31" s="255" t="str">
        <f t="shared" si="34"/>
        <v>-</v>
      </c>
      <c r="AL31" s="256" t="str">
        <f t="shared" si="35"/>
        <v>-</v>
      </c>
      <c r="AM31" s="256" t="str">
        <f t="shared" si="36"/>
        <v>-</v>
      </c>
      <c r="AN31" s="256" t="str">
        <f t="shared" si="37"/>
        <v>-</v>
      </c>
      <c r="AO31" s="264" t="str">
        <f t="shared" si="38"/>
        <v>-</v>
      </c>
      <c r="AP31" s="265" t="str">
        <f t="shared" si="39"/>
        <v>-</v>
      </c>
      <c r="AQ31" s="256" t="str">
        <f t="shared" si="40"/>
        <v>-</v>
      </c>
      <c r="AR31" s="256" t="str">
        <f t="shared" si="41"/>
        <v>-</v>
      </c>
      <c r="AS31" s="256" t="str">
        <f t="shared" si="42"/>
        <v>-</v>
      </c>
      <c r="AT31" s="257" t="str">
        <f t="shared" si="43"/>
        <v>-</v>
      </c>
      <c r="AU31" s="255" t="str">
        <f t="shared" si="44"/>
        <v>-</v>
      </c>
      <c r="AV31" s="256" t="str">
        <f t="shared" si="45"/>
        <v>-</v>
      </c>
      <c r="AW31" s="256" t="str">
        <f t="shared" si="46"/>
        <v>-</v>
      </c>
      <c r="AX31" s="256" t="str">
        <f t="shared" si="47"/>
        <v>-</v>
      </c>
      <c r="AY31" s="264" t="str">
        <f t="shared" si="48"/>
        <v>-</v>
      </c>
      <c r="AZ31" s="265" t="str">
        <f t="shared" si="49"/>
        <v>-</v>
      </c>
      <c r="BA31" s="256" t="str">
        <f t="shared" si="50"/>
        <v>-</v>
      </c>
      <c r="BB31" s="256" t="str">
        <f t="shared" si="51"/>
        <v>-</v>
      </c>
      <c r="BC31" s="256" t="str">
        <f t="shared" si="52"/>
        <v>-</v>
      </c>
      <c r="BD31" s="257" t="str">
        <f t="shared" si="53"/>
        <v>-</v>
      </c>
      <c r="BE31" s="255" t="str">
        <f t="shared" si="54"/>
        <v>-</v>
      </c>
      <c r="BF31" s="256" t="str">
        <f t="shared" si="55"/>
        <v>-</v>
      </c>
      <c r="BG31" s="256" t="str">
        <f t="shared" si="56"/>
        <v>-</v>
      </c>
      <c r="BH31" s="256" t="str">
        <f t="shared" si="57"/>
        <v>-</v>
      </c>
      <c r="BI31" s="264" t="str">
        <f t="shared" si="58"/>
        <v>-</v>
      </c>
      <c r="BJ31" s="265" t="str">
        <f t="shared" si="59"/>
        <v>-</v>
      </c>
      <c r="BK31" s="256" t="str">
        <f t="shared" si="60"/>
        <v>-</v>
      </c>
      <c r="BL31" s="256" t="str">
        <f t="shared" si="61"/>
        <v>-</v>
      </c>
      <c r="BM31" s="256" t="str">
        <f t="shared" si="62"/>
        <v>-</v>
      </c>
      <c r="BN31" s="257" t="str">
        <f t="shared" si="63"/>
        <v>-</v>
      </c>
    </row>
    <row r="32" spans="2:66">
      <c r="B32" s="275" t="s">
        <v>70</v>
      </c>
      <c r="C32" s="368" t="str">
        <f t="shared" ca="1" si="0"/>
        <v>-</v>
      </c>
      <c r="D32" s="245" t="str">
        <f t="shared" si="1"/>
        <v>NA</v>
      </c>
      <c r="E32" s="246" t="str">
        <f t="shared" si="2"/>
        <v>NA</v>
      </c>
      <c r="F32" s="284" t="str">
        <f t="shared" si="3"/>
        <v>NA</v>
      </c>
      <c r="G32" s="247" t="str">
        <f t="shared" si="4"/>
        <v>NA</v>
      </c>
      <c r="H32" s="245" t="str">
        <f t="shared" si="5"/>
        <v>-</v>
      </c>
      <c r="I32" s="246" t="str">
        <f t="shared" si="6"/>
        <v>-</v>
      </c>
      <c r="J32" s="247" t="str">
        <f t="shared" si="7"/>
        <v>-</v>
      </c>
      <c r="K32" s="252" t="str">
        <f t="shared" si="8"/>
        <v>-</v>
      </c>
      <c r="L32" s="253" t="str">
        <f t="shared" si="9"/>
        <v>-</v>
      </c>
      <c r="M32" s="253" t="str">
        <f t="shared" si="10"/>
        <v>-</v>
      </c>
      <c r="N32" s="253" t="str">
        <f t="shared" si="11"/>
        <v>-</v>
      </c>
      <c r="O32" s="253" t="str">
        <f t="shared" si="12"/>
        <v>-</v>
      </c>
      <c r="P32" s="262" t="str">
        <f t="shared" si="13"/>
        <v>-</v>
      </c>
      <c r="Q32" s="263" t="str">
        <f t="shared" si="14"/>
        <v>-</v>
      </c>
      <c r="R32" s="253" t="str">
        <f t="shared" si="15"/>
        <v>-</v>
      </c>
      <c r="S32" s="253" t="str">
        <f t="shared" si="16"/>
        <v>-</v>
      </c>
      <c r="T32" s="253" t="str">
        <f t="shared" si="17"/>
        <v>-</v>
      </c>
      <c r="U32" s="253" t="str">
        <f t="shared" si="18"/>
        <v>-</v>
      </c>
      <c r="V32" s="254" t="str">
        <f t="shared" si="19"/>
        <v>-</v>
      </c>
      <c r="W32" s="284" t="str">
        <f t="shared" si="20"/>
        <v>-</v>
      </c>
      <c r="X32" s="246" t="str">
        <f t="shared" si="21"/>
        <v>-</v>
      </c>
      <c r="Y32" s="246" t="str">
        <f t="shared" si="22"/>
        <v>-</v>
      </c>
      <c r="Z32" s="246" t="str">
        <f t="shared" si="23"/>
        <v>-</v>
      </c>
      <c r="AA32" s="246" t="str">
        <f t="shared" si="24"/>
        <v>-</v>
      </c>
      <c r="AB32" s="328" t="str">
        <f t="shared" si="25"/>
        <v>NA</v>
      </c>
      <c r="AC32" s="314" t="str">
        <f t="shared" si="26"/>
        <v>NA</v>
      </c>
      <c r="AD32" s="245" t="str">
        <f t="shared" si="27"/>
        <v>-</v>
      </c>
      <c r="AE32" s="246" t="str">
        <f t="shared" si="28"/>
        <v>-</v>
      </c>
      <c r="AF32" s="246" t="str">
        <f t="shared" si="29"/>
        <v>-</v>
      </c>
      <c r="AG32" s="246" t="str">
        <f t="shared" si="30"/>
        <v>-</v>
      </c>
      <c r="AH32" s="246" t="str">
        <f t="shared" si="31"/>
        <v>-</v>
      </c>
      <c r="AI32" s="328" t="str">
        <f t="shared" si="32"/>
        <v>NA</v>
      </c>
      <c r="AJ32" s="247" t="str">
        <f t="shared" si="33"/>
        <v>NA</v>
      </c>
      <c r="AK32" s="252" t="str">
        <f t="shared" si="34"/>
        <v>-</v>
      </c>
      <c r="AL32" s="253" t="str">
        <f t="shared" si="35"/>
        <v>-</v>
      </c>
      <c r="AM32" s="253" t="str">
        <f t="shared" si="36"/>
        <v>-</v>
      </c>
      <c r="AN32" s="253" t="str">
        <f t="shared" si="37"/>
        <v>-</v>
      </c>
      <c r="AO32" s="262" t="str">
        <f t="shared" si="38"/>
        <v>-</v>
      </c>
      <c r="AP32" s="263" t="str">
        <f t="shared" si="39"/>
        <v>-</v>
      </c>
      <c r="AQ32" s="253" t="str">
        <f t="shared" si="40"/>
        <v>-</v>
      </c>
      <c r="AR32" s="253" t="str">
        <f t="shared" si="41"/>
        <v>-</v>
      </c>
      <c r="AS32" s="253" t="str">
        <f t="shared" si="42"/>
        <v>-</v>
      </c>
      <c r="AT32" s="254" t="str">
        <f t="shared" si="43"/>
        <v>-</v>
      </c>
      <c r="AU32" s="252" t="str">
        <f t="shared" si="44"/>
        <v>-</v>
      </c>
      <c r="AV32" s="253" t="str">
        <f t="shared" si="45"/>
        <v>-</v>
      </c>
      <c r="AW32" s="253" t="str">
        <f t="shared" si="46"/>
        <v>-</v>
      </c>
      <c r="AX32" s="253" t="str">
        <f t="shared" si="47"/>
        <v>-</v>
      </c>
      <c r="AY32" s="262" t="str">
        <f t="shared" si="48"/>
        <v>-</v>
      </c>
      <c r="AZ32" s="263" t="str">
        <f t="shared" si="49"/>
        <v>-</v>
      </c>
      <c r="BA32" s="253" t="str">
        <f t="shared" si="50"/>
        <v>-</v>
      </c>
      <c r="BB32" s="253" t="str">
        <f t="shared" si="51"/>
        <v>-</v>
      </c>
      <c r="BC32" s="253" t="str">
        <f t="shared" si="52"/>
        <v>-</v>
      </c>
      <c r="BD32" s="254" t="str">
        <f t="shared" si="53"/>
        <v>-</v>
      </c>
      <c r="BE32" s="252" t="str">
        <f t="shared" si="54"/>
        <v>-</v>
      </c>
      <c r="BF32" s="253" t="str">
        <f t="shared" si="55"/>
        <v>-</v>
      </c>
      <c r="BG32" s="253" t="str">
        <f t="shared" si="56"/>
        <v>-</v>
      </c>
      <c r="BH32" s="253" t="str">
        <f t="shared" si="57"/>
        <v>-</v>
      </c>
      <c r="BI32" s="262" t="str">
        <f t="shared" si="58"/>
        <v>-</v>
      </c>
      <c r="BJ32" s="263" t="str">
        <f t="shared" si="59"/>
        <v>-</v>
      </c>
      <c r="BK32" s="253" t="str">
        <f t="shared" si="60"/>
        <v>-</v>
      </c>
      <c r="BL32" s="253" t="str">
        <f t="shared" si="61"/>
        <v>-</v>
      </c>
      <c r="BM32" s="253" t="str">
        <f t="shared" si="62"/>
        <v>-</v>
      </c>
      <c r="BN32" s="254" t="str">
        <f t="shared" si="63"/>
        <v>-</v>
      </c>
    </row>
    <row r="33" spans="2:66">
      <c r="B33" s="274" t="s">
        <v>71</v>
      </c>
      <c r="C33" s="367" t="str">
        <f t="shared" ca="1" si="0"/>
        <v>-</v>
      </c>
      <c r="D33" s="168" t="str">
        <f t="shared" si="1"/>
        <v>NA</v>
      </c>
      <c r="E33" s="248" t="str">
        <f t="shared" si="2"/>
        <v>NA</v>
      </c>
      <c r="F33" s="285" t="str">
        <f t="shared" si="3"/>
        <v>NA</v>
      </c>
      <c r="G33" s="169" t="str">
        <f t="shared" si="4"/>
        <v>NA</v>
      </c>
      <c r="H33" s="168" t="str">
        <f t="shared" si="5"/>
        <v>-</v>
      </c>
      <c r="I33" s="248" t="str">
        <f t="shared" si="6"/>
        <v>-</v>
      </c>
      <c r="J33" s="169" t="str">
        <f t="shared" si="7"/>
        <v>-</v>
      </c>
      <c r="K33" s="255" t="str">
        <f t="shared" si="8"/>
        <v>-</v>
      </c>
      <c r="L33" s="256" t="str">
        <f t="shared" si="9"/>
        <v>-</v>
      </c>
      <c r="M33" s="256" t="str">
        <f t="shared" si="10"/>
        <v>-</v>
      </c>
      <c r="N33" s="256" t="str">
        <f t="shared" si="11"/>
        <v>-</v>
      </c>
      <c r="O33" s="256" t="str">
        <f t="shared" si="12"/>
        <v>-</v>
      </c>
      <c r="P33" s="264" t="str">
        <f t="shared" si="13"/>
        <v>-</v>
      </c>
      <c r="Q33" s="265" t="str">
        <f t="shared" si="14"/>
        <v>-</v>
      </c>
      <c r="R33" s="256" t="str">
        <f t="shared" si="15"/>
        <v>-</v>
      </c>
      <c r="S33" s="256" t="str">
        <f t="shared" si="16"/>
        <v>-</v>
      </c>
      <c r="T33" s="256" t="str">
        <f t="shared" si="17"/>
        <v>-</v>
      </c>
      <c r="U33" s="256" t="str">
        <f t="shared" si="18"/>
        <v>-</v>
      </c>
      <c r="V33" s="257" t="str">
        <f t="shared" si="19"/>
        <v>-</v>
      </c>
      <c r="W33" s="285" t="str">
        <f t="shared" si="20"/>
        <v>-</v>
      </c>
      <c r="X33" s="248" t="str">
        <f t="shared" si="21"/>
        <v>-</v>
      </c>
      <c r="Y33" s="248" t="str">
        <f t="shared" si="22"/>
        <v>-</v>
      </c>
      <c r="Z33" s="248" t="str">
        <f t="shared" si="23"/>
        <v>-</v>
      </c>
      <c r="AA33" s="248" t="str">
        <f t="shared" si="24"/>
        <v>-</v>
      </c>
      <c r="AB33" s="329" t="str">
        <f t="shared" si="25"/>
        <v>NA</v>
      </c>
      <c r="AC33" s="315" t="str">
        <f t="shared" si="26"/>
        <v>NA</v>
      </c>
      <c r="AD33" s="168" t="str">
        <f t="shared" si="27"/>
        <v>-</v>
      </c>
      <c r="AE33" s="248" t="str">
        <f t="shared" si="28"/>
        <v>-</v>
      </c>
      <c r="AF33" s="248" t="str">
        <f t="shared" si="29"/>
        <v>-</v>
      </c>
      <c r="AG33" s="248" t="str">
        <f t="shared" si="30"/>
        <v>-</v>
      </c>
      <c r="AH33" s="248" t="str">
        <f t="shared" si="31"/>
        <v>-</v>
      </c>
      <c r="AI33" s="329" t="str">
        <f t="shared" si="32"/>
        <v>NA</v>
      </c>
      <c r="AJ33" s="169" t="str">
        <f t="shared" si="33"/>
        <v>NA</v>
      </c>
      <c r="AK33" s="255" t="str">
        <f t="shared" si="34"/>
        <v>-</v>
      </c>
      <c r="AL33" s="256" t="str">
        <f t="shared" si="35"/>
        <v>-</v>
      </c>
      <c r="AM33" s="256" t="str">
        <f t="shared" si="36"/>
        <v>-</v>
      </c>
      <c r="AN33" s="256" t="str">
        <f t="shared" si="37"/>
        <v>-</v>
      </c>
      <c r="AO33" s="264" t="str">
        <f t="shared" si="38"/>
        <v>-</v>
      </c>
      <c r="AP33" s="265" t="str">
        <f t="shared" si="39"/>
        <v>-</v>
      </c>
      <c r="AQ33" s="256" t="str">
        <f t="shared" si="40"/>
        <v>-</v>
      </c>
      <c r="AR33" s="256" t="str">
        <f t="shared" si="41"/>
        <v>-</v>
      </c>
      <c r="AS33" s="256" t="str">
        <f t="shared" si="42"/>
        <v>-</v>
      </c>
      <c r="AT33" s="257" t="str">
        <f t="shared" si="43"/>
        <v>-</v>
      </c>
      <c r="AU33" s="255" t="str">
        <f t="shared" si="44"/>
        <v>-</v>
      </c>
      <c r="AV33" s="256" t="str">
        <f t="shared" si="45"/>
        <v>-</v>
      </c>
      <c r="AW33" s="256" t="str">
        <f t="shared" si="46"/>
        <v>-</v>
      </c>
      <c r="AX33" s="256" t="str">
        <f t="shared" si="47"/>
        <v>-</v>
      </c>
      <c r="AY33" s="264" t="str">
        <f t="shared" si="48"/>
        <v>-</v>
      </c>
      <c r="AZ33" s="265" t="str">
        <f t="shared" si="49"/>
        <v>-</v>
      </c>
      <c r="BA33" s="256" t="str">
        <f t="shared" si="50"/>
        <v>-</v>
      </c>
      <c r="BB33" s="256" t="str">
        <f t="shared" si="51"/>
        <v>-</v>
      </c>
      <c r="BC33" s="256" t="str">
        <f t="shared" si="52"/>
        <v>-</v>
      </c>
      <c r="BD33" s="257" t="str">
        <f t="shared" si="53"/>
        <v>-</v>
      </c>
      <c r="BE33" s="255" t="str">
        <f t="shared" si="54"/>
        <v>-</v>
      </c>
      <c r="BF33" s="256" t="str">
        <f t="shared" si="55"/>
        <v>-</v>
      </c>
      <c r="BG33" s="256" t="str">
        <f t="shared" si="56"/>
        <v>-</v>
      </c>
      <c r="BH33" s="256" t="str">
        <f t="shared" si="57"/>
        <v>-</v>
      </c>
      <c r="BI33" s="264" t="str">
        <f t="shared" si="58"/>
        <v>-</v>
      </c>
      <c r="BJ33" s="265" t="str">
        <f t="shared" si="59"/>
        <v>-</v>
      </c>
      <c r="BK33" s="256" t="str">
        <f t="shared" si="60"/>
        <v>-</v>
      </c>
      <c r="BL33" s="256" t="str">
        <f t="shared" si="61"/>
        <v>-</v>
      </c>
      <c r="BM33" s="256" t="str">
        <f t="shared" si="62"/>
        <v>-</v>
      </c>
      <c r="BN33" s="257" t="str">
        <f t="shared" si="63"/>
        <v>-</v>
      </c>
    </row>
    <row r="34" spans="2:66">
      <c r="B34" s="276" t="s">
        <v>72</v>
      </c>
      <c r="C34" s="369" t="str">
        <f t="shared" ca="1" si="0"/>
        <v>-</v>
      </c>
      <c r="D34" s="249" t="str">
        <f t="shared" si="1"/>
        <v>NA</v>
      </c>
      <c r="E34" s="250" t="str">
        <f t="shared" si="2"/>
        <v>NA</v>
      </c>
      <c r="F34" s="286" t="str">
        <f t="shared" si="3"/>
        <v>NA</v>
      </c>
      <c r="G34" s="251" t="str">
        <f t="shared" si="4"/>
        <v>NA</v>
      </c>
      <c r="H34" s="249" t="str">
        <f t="shared" si="5"/>
        <v>-</v>
      </c>
      <c r="I34" s="250" t="str">
        <f t="shared" si="6"/>
        <v>-</v>
      </c>
      <c r="J34" s="251" t="str">
        <f t="shared" si="7"/>
        <v>-</v>
      </c>
      <c r="K34" s="258" t="str">
        <f t="shared" si="8"/>
        <v>-</v>
      </c>
      <c r="L34" s="259" t="str">
        <f t="shared" si="9"/>
        <v>-</v>
      </c>
      <c r="M34" s="259" t="str">
        <f t="shared" si="10"/>
        <v>-</v>
      </c>
      <c r="N34" s="259" t="str">
        <f t="shared" si="11"/>
        <v>-</v>
      </c>
      <c r="O34" s="259" t="str">
        <f t="shared" si="12"/>
        <v>-</v>
      </c>
      <c r="P34" s="266" t="str">
        <f t="shared" si="13"/>
        <v>-</v>
      </c>
      <c r="Q34" s="267" t="str">
        <f t="shared" si="14"/>
        <v>-</v>
      </c>
      <c r="R34" s="259" t="str">
        <f t="shared" si="15"/>
        <v>-</v>
      </c>
      <c r="S34" s="259" t="str">
        <f t="shared" si="16"/>
        <v>-</v>
      </c>
      <c r="T34" s="259" t="str">
        <f t="shared" si="17"/>
        <v>-</v>
      </c>
      <c r="U34" s="259" t="str">
        <f t="shared" si="18"/>
        <v>-</v>
      </c>
      <c r="V34" s="260" t="str">
        <f t="shared" si="19"/>
        <v>-</v>
      </c>
      <c r="W34" s="286" t="str">
        <f t="shared" si="20"/>
        <v>-</v>
      </c>
      <c r="X34" s="250" t="str">
        <f t="shared" si="21"/>
        <v>-</v>
      </c>
      <c r="Y34" s="250" t="str">
        <f t="shared" si="22"/>
        <v>-</v>
      </c>
      <c r="Z34" s="250" t="str">
        <f t="shared" si="23"/>
        <v>-</v>
      </c>
      <c r="AA34" s="250" t="str">
        <f t="shared" si="24"/>
        <v>-</v>
      </c>
      <c r="AB34" s="330" t="str">
        <f t="shared" si="25"/>
        <v>NA</v>
      </c>
      <c r="AC34" s="316" t="str">
        <f t="shared" si="26"/>
        <v>NA</v>
      </c>
      <c r="AD34" s="249" t="str">
        <f t="shared" si="27"/>
        <v>-</v>
      </c>
      <c r="AE34" s="250" t="str">
        <f t="shared" si="28"/>
        <v>-</v>
      </c>
      <c r="AF34" s="250" t="str">
        <f t="shared" si="29"/>
        <v>-</v>
      </c>
      <c r="AG34" s="250" t="str">
        <f t="shared" si="30"/>
        <v>-</v>
      </c>
      <c r="AH34" s="250" t="str">
        <f t="shared" si="31"/>
        <v>-</v>
      </c>
      <c r="AI34" s="330" t="str">
        <f t="shared" si="32"/>
        <v>NA</v>
      </c>
      <c r="AJ34" s="251" t="str">
        <f t="shared" si="33"/>
        <v>NA</v>
      </c>
      <c r="AK34" s="258" t="str">
        <f t="shared" si="34"/>
        <v>-</v>
      </c>
      <c r="AL34" s="259" t="str">
        <f t="shared" si="35"/>
        <v>-</v>
      </c>
      <c r="AM34" s="259" t="str">
        <f t="shared" si="36"/>
        <v>-</v>
      </c>
      <c r="AN34" s="259" t="str">
        <f t="shared" si="37"/>
        <v>-</v>
      </c>
      <c r="AO34" s="266" t="str">
        <f t="shared" si="38"/>
        <v>-</v>
      </c>
      <c r="AP34" s="267" t="str">
        <f t="shared" si="39"/>
        <v>-</v>
      </c>
      <c r="AQ34" s="259" t="str">
        <f t="shared" si="40"/>
        <v>-</v>
      </c>
      <c r="AR34" s="259" t="str">
        <f t="shared" si="41"/>
        <v>-</v>
      </c>
      <c r="AS34" s="259" t="str">
        <f t="shared" si="42"/>
        <v>-</v>
      </c>
      <c r="AT34" s="260" t="str">
        <f t="shared" si="43"/>
        <v>-</v>
      </c>
      <c r="AU34" s="258" t="str">
        <f t="shared" si="44"/>
        <v>-</v>
      </c>
      <c r="AV34" s="259" t="str">
        <f t="shared" si="45"/>
        <v>-</v>
      </c>
      <c r="AW34" s="259" t="str">
        <f t="shared" si="46"/>
        <v>-</v>
      </c>
      <c r="AX34" s="259" t="str">
        <f t="shared" si="47"/>
        <v>-</v>
      </c>
      <c r="AY34" s="266" t="str">
        <f t="shared" si="48"/>
        <v>-</v>
      </c>
      <c r="AZ34" s="267" t="str">
        <f t="shared" si="49"/>
        <v>-</v>
      </c>
      <c r="BA34" s="259" t="str">
        <f t="shared" si="50"/>
        <v>-</v>
      </c>
      <c r="BB34" s="259" t="str">
        <f t="shared" si="51"/>
        <v>-</v>
      </c>
      <c r="BC34" s="259" t="str">
        <f t="shared" si="52"/>
        <v>-</v>
      </c>
      <c r="BD34" s="260" t="str">
        <f t="shared" si="53"/>
        <v>-</v>
      </c>
      <c r="BE34" s="258" t="str">
        <f t="shared" si="54"/>
        <v>-</v>
      </c>
      <c r="BF34" s="259" t="str">
        <f t="shared" si="55"/>
        <v>-</v>
      </c>
      <c r="BG34" s="259" t="str">
        <f t="shared" si="56"/>
        <v>-</v>
      </c>
      <c r="BH34" s="259" t="str">
        <f t="shared" si="57"/>
        <v>-</v>
      </c>
      <c r="BI34" s="266" t="str">
        <f t="shared" si="58"/>
        <v>-</v>
      </c>
      <c r="BJ34" s="267" t="str">
        <f t="shared" si="59"/>
        <v>-</v>
      </c>
      <c r="BK34" s="259" t="str">
        <f t="shared" si="60"/>
        <v>-</v>
      </c>
      <c r="BL34" s="259" t="str">
        <f t="shared" si="61"/>
        <v>-</v>
      </c>
      <c r="BM34" s="259" t="str">
        <f t="shared" si="62"/>
        <v>-</v>
      </c>
      <c r="BN34" s="260" t="str">
        <f t="shared" si="63"/>
        <v>-</v>
      </c>
    </row>
    <row r="35" spans="2:66">
      <c r="B35" s="274" t="s">
        <v>73</v>
      </c>
      <c r="C35" s="367" t="str">
        <f t="shared" ca="1" si="0"/>
        <v>-</v>
      </c>
      <c r="D35" s="168" t="str">
        <f t="shared" si="1"/>
        <v>NA</v>
      </c>
      <c r="E35" s="248" t="str">
        <f t="shared" si="2"/>
        <v>NA</v>
      </c>
      <c r="F35" s="285" t="str">
        <f t="shared" si="3"/>
        <v>NA</v>
      </c>
      <c r="G35" s="169" t="str">
        <f t="shared" si="4"/>
        <v>NA</v>
      </c>
      <c r="H35" s="168" t="str">
        <f t="shared" si="5"/>
        <v>-</v>
      </c>
      <c r="I35" s="248" t="str">
        <f t="shared" si="6"/>
        <v>-</v>
      </c>
      <c r="J35" s="169" t="str">
        <f t="shared" si="7"/>
        <v>-</v>
      </c>
      <c r="K35" s="255" t="str">
        <f t="shared" si="8"/>
        <v>-</v>
      </c>
      <c r="L35" s="256" t="str">
        <f t="shared" si="9"/>
        <v>-</v>
      </c>
      <c r="M35" s="256" t="str">
        <f t="shared" si="10"/>
        <v>-</v>
      </c>
      <c r="N35" s="256" t="str">
        <f t="shared" si="11"/>
        <v>-</v>
      </c>
      <c r="O35" s="256" t="str">
        <f t="shared" si="12"/>
        <v>-</v>
      </c>
      <c r="P35" s="264" t="str">
        <f t="shared" si="13"/>
        <v>-</v>
      </c>
      <c r="Q35" s="265" t="str">
        <f t="shared" si="14"/>
        <v>-</v>
      </c>
      <c r="R35" s="256" t="str">
        <f t="shared" si="15"/>
        <v>-</v>
      </c>
      <c r="S35" s="256" t="str">
        <f t="shared" si="16"/>
        <v>-</v>
      </c>
      <c r="T35" s="256" t="str">
        <f t="shared" si="17"/>
        <v>-</v>
      </c>
      <c r="U35" s="256" t="str">
        <f t="shared" si="18"/>
        <v>-</v>
      </c>
      <c r="V35" s="257" t="str">
        <f t="shared" si="19"/>
        <v>-</v>
      </c>
      <c r="W35" s="285" t="str">
        <f t="shared" si="20"/>
        <v>-</v>
      </c>
      <c r="X35" s="248" t="str">
        <f t="shared" si="21"/>
        <v>-</v>
      </c>
      <c r="Y35" s="248" t="str">
        <f t="shared" si="22"/>
        <v>-</v>
      </c>
      <c r="Z35" s="248" t="str">
        <f t="shared" si="23"/>
        <v>-</v>
      </c>
      <c r="AA35" s="248" t="str">
        <f t="shared" si="24"/>
        <v>-</v>
      </c>
      <c r="AB35" s="329" t="str">
        <f t="shared" si="25"/>
        <v>NA</v>
      </c>
      <c r="AC35" s="315" t="str">
        <f t="shared" si="26"/>
        <v>NA</v>
      </c>
      <c r="AD35" s="168" t="str">
        <f t="shared" si="27"/>
        <v>-</v>
      </c>
      <c r="AE35" s="248" t="str">
        <f t="shared" si="28"/>
        <v>-</v>
      </c>
      <c r="AF35" s="248" t="str">
        <f t="shared" si="29"/>
        <v>-</v>
      </c>
      <c r="AG35" s="248" t="str">
        <f t="shared" si="30"/>
        <v>-</v>
      </c>
      <c r="AH35" s="248" t="str">
        <f t="shared" si="31"/>
        <v>-</v>
      </c>
      <c r="AI35" s="329" t="str">
        <f t="shared" si="32"/>
        <v>NA</v>
      </c>
      <c r="AJ35" s="169" t="str">
        <f t="shared" si="33"/>
        <v>NA</v>
      </c>
      <c r="AK35" s="255" t="str">
        <f t="shared" si="34"/>
        <v>-</v>
      </c>
      <c r="AL35" s="256" t="str">
        <f t="shared" si="35"/>
        <v>-</v>
      </c>
      <c r="AM35" s="256" t="str">
        <f t="shared" si="36"/>
        <v>-</v>
      </c>
      <c r="AN35" s="256" t="str">
        <f t="shared" si="37"/>
        <v>-</v>
      </c>
      <c r="AO35" s="264" t="str">
        <f t="shared" si="38"/>
        <v>-</v>
      </c>
      <c r="AP35" s="265" t="str">
        <f t="shared" si="39"/>
        <v>-</v>
      </c>
      <c r="AQ35" s="256" t="str">
        <f t="shared" si="40"/>
        <v>-</v>
      </c>
      <c r="AR35" s="256" t="str">
        <f t="shared" si="41"/>
        <v>-</v>
      </c>
      <c r="AS35" s="256" t="str">
        <f t="shared" si="42"/>
        <v>-</v>
      </c>
      <c r="AT35" s="257" t="str">
        <f t="shared" si="43"/>
        <v>-</v>
      </c>
      <c r="AU35" s="255" t="str">
        <f t="shared" si="44"/>
        <v>-</v>
      </c>
      <c r="AV35" s="256" t="str">
        <f t="shared" si="45"/>
        <v>-</v>
      </c>
      <c r="AW35" s="256" t="str">
        <f t="shared" si="46"/>
        <v>-</v>
      </c>
      <c r="AX35" s="256" t="str">
        <f t="shared" si="47"/>
        <v>-</v>
      </c>
      <c r="AY35" s="264" t="str">
        <f t="shared" si="48"/>
        <v>-</v>
      </c>
      <c r="AZ35" s="265" t="str">
        <f t="shared" si="49"/>
        <v>-</v>
      </c>
      <c r="BA35" s="256" t="str">
        <f t="shared" si="50"/>
        <v>-</v>
      </c>
      <c r="BB35" s="256" t="str">
        <f t="shared" si="51"/>
        <v>-</v>
      </c>
      <c r="BC35" s="256" t="str">
        <f t="shared" si="52"/>
        <v>-</v>
      </c>
      <c r="BD35" s="257" t="str">
        <f t="shared" si="53"/>
        <v>-</v>
      </c>
      <c r="BE35" s="255" t="str">
        <f t="shared" si="54"/>
        <v>-</v>
      </c>
      <c r="BF35" s="256" t="str">
        <f t="shared" si="55"/>
        <v>-</v>
      </c>
      <c r="BG35" s="256" t="str">
        <f t="shared" si="56"/>
        <v>-</v>
      </c>
      <c r="BH35" s="256" t="str">
        <f t="shared" si="57"/>
        <v>-</v>
      </c>
      <c r="BI35" s="264" t="str">
        <f t="shared" si="58"/>
        <v>-</v>
      </c>
      <c r="BJ35" s="265" t="str">
        <f t="shared" si="59"/>
        <v>-</v>
      </c>
      <c r="BK35" s="256" t="str">
        <f t="shared" si="60"/>
        <v>-</v>
      </c>
      <c r="BL35" s="256" t="str">
        <f t="shared" si="61"/>
        <v>-</v>
      </c>
      <c r="BM35" s="256" t="str">
        <f t="shared" si="62"/>
        <v>-</v>
      </c>
      <c r="BN35" s="257" t="str">
        <f t="shared" si="63"/>
        <v>-</v>
      </c>
    </row>
    <row r="36" spans="2:66">
      <c r="B36" s="275" t="s">
        <v>74</v>
      </c>
      <c r="C36" s="368" t="str">
        <f t="shared" ca="1" si="0"/>
        <v>-</v>
      </c>
      <c r="D36" s="245" t="str">
        <f t="shared" si="1"/>
        <v>NA</v>
      </c>
      <c r="E36" s="246" t="str">
        <f t="shared" si="2"/>
        <v>NA</v>
      </c>
      <c r="F36" s="284" t="str">
        <f t="shared" si="3"/>
        <v>NA</v>
      </c>
      <c r="G36" s="247" t="str">
        <f t="shared" si="4"/>
        <v>NA</v>
      </c>
      <c r="H36" s="245" t="str">
        <f t="shared" si="5"/>
        <v>-</v>
      </c>
      <c r="I36" s="246" t="str">
        <f t="shared" si="6"/>
        <v>-</v>
      </c>
      <c r="J36" s="247" t="str">
        <f t="shared" si="7"/>
        <v>-</v>
      </c>
      <c r="K36" s="252" t="str">
        <f t="shared" si="8"/>
        <v>-</v>
      </c>
      <c r="L36" s="253" t="str">
        <f t="shared" si="9"/>
        <v>-</v>
      </c>
      <c r="M36" s="253" t="str">
        <f t="shared" si="10"/>
        <v>-</v>
      </c>
      <c r="N36" s="253" t="str">
        <f t="shared" si="11"/>
        <v>-</v>
      </c>
      <c r="O36" s="253" t="str">
        <f t="shared" si="12"/>
        <v>-</v>
      </c>
      <c r="P36" s="262" t="str">
        <f t="shared" si="13"/>
        <v>-</v>
      </c>
      <c r="Q36" s="263" t="str">
        <f t="shared" si="14"/>
        <v>-</v>
      </c>
      <c r="R36" s="253" t="str">
        <f t="shared" si="15"/>
        <v>-</v>
      </c>
      <c r="S36" s="253" t="str">
        <f t="shared" si="16"/>
        <v>-</v>
      </c>
      <c r="T36" s="253" t="str">
        <f t="shared" si="17"/>
        <v>-</v>
      </c>
      <c r="U36" s="253" t="str">
        <f t="shared" si="18"/>
        <v>-</v>
      </c>
      <c r="V36" s="254" t="str">
        <f t="shared" si="19"/>
        <v>-</v>
      </c>
      <c r="W36" s="284" t="str">
        <f t="shared" si="20"/>
        <v>-</v>
      </c>
      <c r="X36" s="246" t="str">
        <f t="shared" si="21"/>
        <v>-</v>
      </c>
      <c r="Y36" s="246" t="str">
        <f t="shared" si="22"/>
        <v>-</v>
      </c>
      <c r="Z36" s="246" t="str">
        <f t="shared" si="23"/>
        <v>-</v>
      </c>
      <c r="AA36" s="246" t="str">
        <f t="shared" si="24"/>
        <v>-</v>
      </c>
      <c r="AB36" s="328" t="str">
        <f t="shared" si="25"/>
        <v>NA</v>
      </c>
      <c r="AC36" s="314" t="str">
        <f t="shared" si="26"/>
        <v>NA</v>
      </c>
      <c r="AD36" s="245" t="str">
        <f t="shared" si="27"/>
        <v>-</v>
      </c>
      <c r="AE36" s="246" t="str">
        <f t="shared" si="28"/>
        <v>-</v>
      </c>
      <c r="AF36" s="246" t="str">
        <f t="shared" si="29"/>
        <v>-</v>
      </c>
      <c r="AG36" s="246" t="str">
        <f t="shared" si="30"/>
        <v>-</v>
      </c>
      <c r="AH36" s="246" t="str">
        <f t="shared" si="31"/>
        <v>-</v>
      </c>
      <c r="AI36" s="328" t="str">
        <f t="shared" si="32"/>
        <v>NA</v>
      </c>
      <c r="AJ36" s="247" t="str">
        <f t="shared" si="33"/>
        <v>NA</v>
      </c>
      <c r="AK36" s="252" t="str">
        <f t="shared" si="34"/>
        <v>-</v>
      </c>
      <c r="AL36" s="253" t="str">
        <f t="shared" si="35"/>
        <v>-</v>
      </c>
      <c r="AM36" s="253" t="str">
        <f t="shared" si="36"/>
        <v>-</v>
      </c>
      <c r="AN36" s="253" t="str">
        <f t="shared" si="37"/>
        <v>-</v>
      </c>
      <c r="AO36" s="262" t="str">
        <f t="shared" si="38"/>
        <v>-</v>
      </c>
      <c r="AP36" s="263" t="str">
        <f t="shared" si="39"/>
        <v>-</v>
      </c>
      <c r="AQ36" s="253" t="str">
        <f t="shared" si="40"/>
        <v>-</v>
      </c>
      <c r="AR36" s="253" t="str">
        <f t="shared" si="41"/>
        <v>-</v>
      </c>
      <c r="AS36" s="253" t="str">
        <f t="shared" si="42"/>
        <v>-</v>
      </c>
      <c r="AT36" s="254" t="str">
        <f t="shared" si="43"/>
        <v>-</v>
      </c>
      <c r="AU36" s="252" t="str">
        <f t="shared" si="44"/>
        <v>-</v>
      </c>
      <c r="AV36" s="253" t="str">
        <f t="shared" si="45"/>
        <v>-</v>
      </c>
      <c r="AW36" s="253" t="str">
        <f t="shared" si="46"/>
        <v>-</v>
      </c>
      <c r="AX36" s="253" t="str">
        <f t="shared" si="47"/>
        <v>-</v>
      </c>
      <c r="AY36" s="262" t="str">
        <f t="shared" si="48"/>
        <v>-</v>
      </c>
      <c r="AZ36" s="263" t="str">
        <f t="shared" si="49"/>
        <v>-</v>
      </c>
      <c r="BA36" s="253" t="str">
        <f t="shared" si="50"/>
        <v>-</v>
      </c>
      <c r="BB36" s="253" t="str">
        <f t="shared" si="51"/>
        <v>-</v>
      </c>
      <c r="BC36" s="253" t="str">
        <f t="shared" si="52"/>
        <v>-</v>
      </c>
      <c r="BD36" s="254" t="str">
        <f t="shared" si="53"/>
        <v>-</v>
      </c>
      <c r="BE36" s="252" t="str">
        <f t="shared" si="54"/>
        <v>-</v>
      </c>
      <c r="BF36" s="253" t="str">
        <f t="shared" si="55"/>
        <v>-</v>
      </c>
      <c r="BG36" s="253" t="str">
        <f t="shared" si="56"/>
        <v>-</v>
      </c>
      <c r="BH36" s="253" t="str">
        <f t="shared" si="57"/>
        <v>-</v>
      </c>
      <c r="BI36" s="262" t="str">
        <f t="shared" si="58"/>
        <v>-</v>
      </c>
      <c r="BJ36" s="263" t="str">
        <f t="shared" si="59"/>
        <v>-</v>
      </c>
      <c r="BK36" s="253" t="str">
        <f t="shared" si="60"/>
        <v>-</v>
      </c>
      <c r="BL36" s="253" t="str">
        <f t="shared" si="61"/>
        <v>-</v>
      </c>
      <c r="BM36" s="253" t="str">
        <f t="shared" si="62"/>
        <v>-</v>
      </c>
      <c r="BN36" s="254" t="str">
        <f t="shared" si="63"/>
        <v>-</v>
      </c>
    </row>
    <row r="37" spans="2:66">
      <c r="B37" s="274" t="s">
        <v>75</v>
      </c>
      <c r="C37" s="367" t="str">
        <f t="shared" ca="1" si="0"/>
        <v>-</v>
      </c>
      <c r="D37" s="168" t="str">
        <f t="shared" si="1"/>
        <v>NA</v>
      </c>
      <c r="E37" s="248" t="str">
        <f t="shared" si="2"/>
        <v>NA</v>
      </c>
      <c r="F37" s="285" t="str">
        <f t="shared" si="3"/>
        <v>NA</v>
      </c>
      <c r="G37" s="169" t="str">
        <f t="shared" si="4"/>
        <v>NA</v>
      </c>
      <c r="H37" s="168" t="str">
        <f t="shared" si="5"/>
        <v>-</v>
      </c>
      <c r="I37" s="248" t="str">
        <f t="shared" si="6"/>
        <v>-</v>
      </c>
      <c r="J37" s="169" t="str">
        <f t="shared" si="7"/>
        <v>-</v>
      </c>
      <c r="K37" s="255" t="str">
        <f t="shared" si="8"/>
        <v>-</v>
      </c>
      <c r="L37" s="256" t="str">
        <f t="shared" si="9"/>
        <v>-</v>
      </c>
      <c r="M37" s="256" t="str">
        <f t="shared" si="10"/>
        <v>-</v>
      </c>
      <c r="N37" s="256" t="str">
        <f t="shared" si="11"/>
        <v>-</v>
      </c>
      <c r="O37" s="256" t="str">
        <f t="shared" si="12"/>
        <v>-</v>
      </c>
      <c r="P37" s="264" t="str">
        <f t="shared" si="13"/>
        <v>-</v>
      </c>
      <c r="Q37" s="265" t="str">
        <f t="shared" si="14"/>
        <v>-</v>
      </c>
      <c r="R37" s="256" t="str">
        <f t="shared" si="15"/>
        <v>-</v>
      </c>
      <c r="S37" s="256" t="str">
        <f t="shared" si="16"/>
        <v>-</v>
      </c>
      <c r="T37" s="256" t="str">
        <f t="shared" si="17"/>
        <v>-</v>
      </c>
      <c r="U37" s="256" t="str">
        <f t="shared" si="18"/>
        <v>-</v>
      </c>
      <c r="V37" s="257" t="str">
        <f t="shared" si="19"/>
        <v>-</v>
      </c>
      <c r="W37" s="285" t="str">
        <f t="shared" si="20"/>
        <v>-</v>
      </c>
      <c r="X37" s="248" t="str">
        <f t="shared" si="21"/>
        <v>-</v>
      </c>
      <c r="Y37" s="248" t="str">
        <f t="shared" si="22"/>
        <v>-</v>
      </c>
      <c r="Z37" s="248" t="str">
        <f t="shared" si="23"/>
        <v>-</v>
      </c>
      <c r="AA37" s="248" t="str">
        <f t="shared" si="24"/>
        <v>-</v>
      </c>
      <c r="AB37" s="329" t="str">
        <f t="shared" si="25"/>
        <v>NA</v>
      </c>
      <c r="AC37" s="315" t="str">
        <f t="shared" si="26"/>
        <v>NA</v>
      </c>
      <c r="AD37" s="168" t="str">
        <f t="shared" si="27"/>
        <v>-</v>
      </c>
      <c r="AE37" s="248" t="str">
        <f t="shared" si="28"/>
        <v>-</v>
      </c>
      <c r="AF37" s="248" t="str">
        <f t="shared" si="29"/>
        <v>-</v>
      </c>
      <c r="AG37" s="248" t="str">
        <f t="shared" si="30"/>
        <v>-</v>
      </c>
      <c r="AH37" s="248" t="str">
        <f t="shared" si="31"/>
        <v>-</v>
      </c>
      <c r="AI37" s="329" t="str">
        <f t="shared" si="32"/>
        <v>NA</v>
      </c>
      <c r="AJ37" s="169" t="str">
        <f t="shared" si="33"/>
        <v>NA</v>
      </c>
      <c r="AK37" s="255" t="str">
        <f t="shared" si="34"/>
        <v>-</v>
      </c>
      <c r="AL37" s="256" t="str">
        <f t="shared" si="35"/>
        <v>-</v>
      </c>
      <c r="AM37" s="256" t="str">
        <f t="shared" si="36"/>
        <v>-</v>
      </c>
      <c r="AN37" s="256" t="str">
        <f t="shared" si="37"/>
        <v>-</v>
      </c>
      <c r="AO37" s="264" t="str">
        <f t="shared" si="38"/>
        <v>-</v>
      </c>
      <c r="AP37" s="265" t="str">
        <f t="shared" si="39"/>
        <v>-</v>
      </c>
      <c r="AQ37" s="256" t="str">
        <f t="shared" si="40"/>
        <v>-</v>
      </c>
      <c r="AR37" s="256" t="str">
        <f t="shared" si="41"/>
        <v>-</v>
      </c>
      <c r="AS37" s="256" t="str">
        <f t="shared" si="42"/>
        <v>-</v>
      </c>
      <c r="AT37" s="257" t="str">
        <f t="shared" si="43"/>
        <v>-</v>
      </c>
      <c r="AU37" s="255" t="str">
        <f t="shared" si="44"/>
        <v>-</v>
      </c>
      <c r="AV37" s="256" t="str">
        <f t="shared" si="45"/>
        <v>-</v>
      </c>
      <c r="AW37" s="256" t="str">
        <f t="shared" si="46"/>
        <v>-</v>
      </c>
      <c r="AX37" s="256" t="str">
        <f t="shared" si="47"/>
        <v>-</v>
      </c>
      <c r="AY37" s="264" t="str">
        <f t="shared" si="48"/>
        <v>-</v>
      </c>
      <c r="AZ37" s="265" t="str">
        <f t="shared" si="49"/>
        <v>-</v>
      </c>
      <c r="BA37" s="256" t="str">
        <f t="shared" si="50"/>
        <v>-</v>
      </c>
      <c r="BB37" s="256" t="str">
        <f t="shared" si="51"/>
        <v>-</v>
      </c>
      <c r="BC37" s="256" t="str">
        <f t="shared" si="52"/>
        <v>-</v>
      </c>
      <c r="BD37" s="257" t="str">
        <f t="shared" si="53"/>
        <v>-</v>
      </c>
      <c r="BE37" s="255" t="str">
        <f t="shared" si="54"/>
        <v>-</v>
      </c>
      <c r="BF37" s="256" t="str">
        <f t="shared" si="55"/>
        <v>-</v>
      </c>
      <c r="BG37" s="256" t="str">
        <f t="shared" si="56"/>
        <v>-</v>
      </c>
      <c r="BH37" s="256" t="str">
        <f t="shared" si="57"/>
        <v>-</v>
      </c>
      <c r="BI37" s="264" t="str">
        <f t="shared" si="58"/>
        <v>-</v>
      </c>
      <c r="BJ37" s="265" t="str">
        <f t="shared" si="59"/>
        <v>-</v>
      </c>
      <c r="BK37" s="256" t="str">
        <f t="shared" si="60"/>
        <v>-</v>
      </c>
      <c r="BL37" s="256" t="str">
        <f t="shared" si="61"/>
        <v>-</v>
      </c>
      <c r="BM37" s="256" t="str">
        <f t="shared" si="62"/>
        <v>-</v>
      </c>
      <c r="BN37" s="257" t="str">
        <f t="shared" si="63"/>
        <v>-</v>
      </c>
    </row>
    <row r="38" spans="2:66">
      <c r="B38" s="293" t="s">
        <v>76</v>
      </c>
      <c r="C38" s="370" t="str">
        <f t="shared" ca="1" si="0"/>
        <v>-</v>
      </c>
      <c r="D38" s="294" t="str">
        <f t="shared" si="1"/>
        <v>NA</v>
      </c>
      <c r="E38" s="295" t="str">
        <f t="shared" si="2"/>
        <v>NA</v>
      </c>
      <c r="F38" s="296" t="str">
        <f t="shared" si="3"/>
        <v>NA</v>
      </c>
      <c r="G38" s="297" t="str">
        <f t="shared" si="4"/>
        <v>NA</v>
      </c>
      <c r="H38" s="294" t="str">
        <f t="shared" si="5"/>
        <v>-</v>
      </c>
      <c r="I38" s="295" t="str">
        <f t="shared" si="6"/>
        <v>-</v>
      </c>
      <c r="J38" s="297" t="str">
        <f t="shared" si="7"/>
        <v>-</v>
      </c>
      <c r="K38" s="298" t="str">
        <f t="shared" si="8"/>
        <v>-</v>
      </c>
      <c r="L38" s="299" t="str">
        <f t="shared" si="9"/>
        <v>-</v>
      </c>
      <c r="M38" s="299" t="str">
        <f t="shared" si="10"/>
        <v>-</v>
      </c>
      <c r="N38" s="299" t="str">
        <f t="shared" si="11"/>
        <v>-</v>
      </c>
      <c r="O38" s="299" t="str">
        <f t="shared" si="12"/>
        <v>-</v>
      </c>
      <c r="P38" s="300" t="str">
        <f t="shared" si="13"/>
        <v>-</v>
      </c>
      <c r="Q38" s="301" t="str">
        <f t="shared" si="14"/>
        <v>-</v>
      </c>
      <c r="R38" s="299" t="str">
        <f t="shared" si="15"/>
        <v>-</v>
      </c>
      <c r="S38" s="299" t="str">
        <f t="shared" si="16"/>
        <v>-</v>
      </c>
      <c r="T38" s="299" t="str">
        <f t="shared" si="17"/>
        <v>-</v>
      </c>
      <c r="U38" s="299" t="str">
        <f t="shared" si="18"/>
        <v>-</v>
      </c>
      <c r="V38" s="302" t="str">
        <f t="shared" si="19"/>
        <v>-</v>
      </c>
      <c r="W38" s="296" t="str">
        <f t="shared" si="20"/>
        <v>-</v>
      </c>
      <c r="X38" s="295" t="str">
        <f t="shared" si="21"/>
        <v>-</v>
      </c>
      <c r="Y38" s="295" t="str">
        <f t="shared" si="22"/>
        <v>-</v>
      </c>
      <c r="Z38" s="295" t="str">
        <f t="shared" si="23"/>
        <v>-</v>
      </c>
      <c r="AA38" s="295" t="str">
        <f t="shared" si="24"/>
        <v>-</v>
      </c>
      <c r="AB38" s="331" t="str">
        <f t="shared" si="25"/>
        <v>NA</v>
      </c>
      <c r="AC38" s="317" t="str">
        <f t="shared" si="26"/>
        <v>NA</v>
      </c>
      <c r="AD38" s="294" t="str">
        <f t="shared" si="27"/>
        <v>-</v>
      </c>
      <c r="AE38" s="295" t="str">
        <f t="shared" si="28"/>
        <v>-</v>
      </c>
      <c r="AF38" s="295" t="str">
        <f t="shared" si="29"/>
        <v>-</v>
      </c>
      <c r="AG38" s="295" t="str">
        <f t="shared" si="30"/>
        <v>-</v>
      </c>
      <c r="AH38" s="295" t="str">
        <f t="shared" si="31"/>
        <v>-</v>
      </c>
      <c r="AI38" s="331" t="str">
        <f t="shared" si="32"/>
        <v>NA</v>
      </c>
      <c r="AJ38" s="297" t="str">
        <f t="shared" si="33"/>
        <v>NA</v>
      </c>
      <c r="AK38" s="298" t="str">
        <f t="shared" si="34"/>
        <v>-</v>
      </c>
      <c r="AL38" s="299" t="str">
        <f t="shared" si="35"/>
        <v>-</v>
      </c>
      <c r="AM38" s="299" t="str">
        <f t="shared" si="36"/>
        <v>-</v>
      </c>
      <c r="AN38" s="299" t="str">
        <f t="shared" si="37"/>
        <v>-</v>
      </c>
      <c r="AO38" s="300" t="str">
        <f t="shared" si="38"/>
        <v>-</v>
      </c>
      <c r="AP38" s="301" t="str">
        <f t="shared" si="39"/>
        <v>-</v>
      </c>
      <c r="AQ38" s="299" t="str">
        <f t="shared" si="40"/>
        <v>-</v>
      </c>
      <c r="AR38" s="299" t="str">
        <f t="shared" si="41"/>
        <v>-</v>
      </c>
      <c r="AS38" s="299" t="str">
        <f t="shared" si="42"/>
        <v>-</v>
      </c>
      <c r="AT38" s="302" t="str">
        <f t="shared" si="43"/>
        <v>-</v>
      </c>
      <c r="AU38" s="298" t="str">
        <f t="shared" si="44"/>
        <v>-</v>
      </c>
      <c r="AV38" s="299" t="str">
        <f t="shared" si="45"/>
        <v>-</v>
      </c>
      <c r="AW38" s="299" t="str">
        <f t="shared" si="46"/>
        <v>-</v>
      </c>
      <c r="AX38" s="299" t="str">
        <f t="shared" si="47"/>
        <v>-</v>
      </c>
      <c r="AY38" s="300" t="str">
        <f t="shared" si="48"/>
        <v>-</v>
      </c>
      <c r="AZ38" s="301" t="str">
        <f t="shared" si="49"/>
        <v>-</v>
      </c>
      <c r="BA38" s="299" t="str">
        <f t="shared" si="50"/>
        <v>-</v>
      </c>
      <c r="BB38" s="299" t="str">
        <f t="shared" si="51"/>
        <v>-</v>
      </c>
      <c r="BC38" s="299" t="str">
        <f t="shared" si="52"/>
        <v>-</v>
      </c>
      <c r="BD38" s="302" t="str">
        <f t="shared" si="53"/>
        <v>-</v>
      </c>
      <c r="BE38" s="298" t="str">
        <f t="shared" si="54"/>
        <v>-</v>
      </c>
      <c r="BF38" s="299" t="str">
        <f t="shared" si="55"/>
        <v>-</v>
      </c>
      <c r="BG38" s="299" t="str">
        <f t="shared" si="56"/>
        <v>-</v>
      </c>
      <c r="BH38" s="299" t="str">
        <f t="shared" si="57"/>
        <v>-</v>
      </c>
      <c r="BI38" s="300" t="str">
        <f t="shared" si="58"/>
        <v>-</v>
      </c>
      <c r="BJ38" s="301" t="str">
        <f t="shared" si="59"/>
        <v>-</v>
      </c>
      <c r="BK38" s="299" t="str">
        <f t="shared" si="60"/>
        <v>-</v>
      </c>
      <c r="BL38" s="299" t="str">
        <f t="shared" si="61"/>
        <v>-</v>
      </c>
      <c r="BM38" s="299" t="str">
        <f t="shared" si="62"/>
        <v>-</v>
      </c>
      <c r="BN38" s="302" t="str">
        <f t="shared" si="63"/>
        <v>-</v>
      </c>
    </row>
    <row r="39" spans="2:66">
      <c r="B39" s="303" t="s">
        <v>77</v>
      </c>
      <c r="C39" s="371" t="str">
        <f t="shared" ca="1" si="0"/>
        <v>-</v>
      </c>
      <c r="D39" s="304" t="str">
        <f t="shared" si="1"/>
        <v>NA</v>
      </c>
      <c r="E39" s="305" t="str">
        <f t="shared" si="2"/>
        <v>NA</v>
      </c>
      <c r="F39" s="306" t="str">
        <f t="shared" si="3"/>
        <v>NA</v>
      </c>
      <c r="G39" s="307" t="str">
        <f t="shared" si="4"/>
        <v>NA</v>
      </c>
      <c r="H39" s="304" t="str">
        <f t="shared" si="5"/>
        <v>-</v>
      </c>
      <c r="I39" s="305" t="str">
        <f t="shared" si="6"/>
        <v>-</v>
      </c>
      <c r="J39" s="307" t="str">
        <f t="shared" si="7"/>
        <v>-</v>
      </c>
      <c r="K39" s="308" t="str">
        <f t="shared" si="8"/>
        <v>-</v>
      </c>
      <c r="L39" s="309" t="str">
        <f t="shared" si="9"/>
        <v>-</v>
      </c>
      <c r="M39" s="309" t="str">
        <f t="shared" si="10"/>
        <v>-</v>
      </c>
      <c r="N39" s="309" t="str">
        <f t="shared" si="11"/>
        <v>-</v>
      </c>
      <c r="O39" s="309" t="str">
        <f t="shared" si="12"/>
        <v>-</v>
      </c>
      <c r="P39" s="310" t="str">
        <f t="shared" si="13"/>
        <v>-</v>
      </c>
      <c r="Q39" s="311" t="str">
        <f t="shared" si="14"/>
        <v>-</v>
      </c>
      <c r="R39" s="309" t="str">
        <f t="shared" si="15"/>
        <v>-</v>
      </c>
      <c r="S39" s="309" t="str">
        <f t="shared" si="16"/>
        <v>-</v>
      </c>
      <c r="T39" s="309" t="str">
        <f t="shared" si="17"/>
        <v>-</v>
      </c>
      <c r="U39" s="309" t="str">
        <f t="shared" si="18"/>
        <v>-</v>
      </c>
      <c r="V39" s="312" t="str">
        <f t="shared" si="19"/>
        <v>-</v>
      </c>
      <c r="W39" s="306" t="str">
        <f t="shared" si="20"/>
        <v>-</v>
      </c>
      <c r="X39" s="305" t="str">
        <f t="shared" si="21"/>
        <v>-</v>
      </c>
      <c r="Y39" s="305" t="str">
        <f t="shared" si="22"/>
        <v>-</v>
      </c>
      <c r="Z39" s="305" t="str">
        <f t="shared" si="23"/>
        <v>-</v>
      </c>
      <c r="AA39" s="305" t="str">
        <f t="shared" si="24"/>
        <v>-</v>
      </c>
      <c r="AB39" s="332" t="str">
        <f t="shared" si="25"/>
        <v>NA</v>
      </c>
      <c r="AC39" s="318" t="str">
        <f t="shared" si="26"/>
        <v>NA</v>
      </c>
      <c r="AD39" s="304" t="str">
        <f t="shared" si="27"/>
        <v>-</v>
      </c>
      <c r="AE39" s="305" t="str">
        <f t="shared" si="28"/>
        <v>-</v>
      </c>
      <c r="AF39" s="305" t="str">
        <f t="shared" si="29"/>
        <v>-</v>
      </c>
      <c r="AG39" s="305" t="str">
        <f t="shared" si="30"/>
        <v>-</v>
      </c>
      <c r="AH39" s="305" t="str">
        <f t="shared" si="31"/>
        <v>-</v>
      </c>
      <c r="AI39" s="332" t="str">
        <f t="shared" si="32"/>
        <v>NA</v>
      </c>
      <c r="AJ39" s="307" t="str">
        <f t="shared" si="33"/>
        <v>NA</v>
      </c>
      <c r="AK39" s="308" t="str">
        <f t="shared" si="34"/>
        <v>-</v>
      </c>
      <c r="AL39" s="309" t="str">
        <f t="shared" si="35"/>
        <v>-</v>
      </c>
      <c r="AM39" s="309" t="str">
        <f t="shared" si="36"/>
        <v>-</v>
      </c>
      <c r="AN39" s="309" t="str">
        <f t="shared" si="37"/>
        <v>-</v>
      </c>
      <c r="AO39" s="310" t="str">
        <f t="shared" si="38"/>
        <v>-</v>
      </c>
      <c r="AP39" s="311" t="str">
        <f t="shared" si="39"/>
        <v>-</v>
      </c>
      <c r="AQ39" s="309" t="str">
        <f t="shared" si="40"/>
        <v>-</v>
      </c>
      <c r="AR39" s="309" t="str">
        <f t="shared" si="41"/>
        <v>-</v>
      </c>
      <c r="AS39" s="309" t="str">
        <f t="shared" si="42"/>
        <v>-</v>
      </c>
      <c r="AT39" s="312" t="str">
        <f t="shared" si="43"/>
        <v>-</v>
      </c>
      <c r="AU39" s="308" t="str">
        <f t="shared" si="44"/>
        <v>-</v>
      </c>
      <c r="AV39" s="309" t="str">
        <f t="shared" si="45"/>
        <v>-</v>
      </c>
      <c r="AW39" s="309" t="str">
        <f t="shared" si="46"/>
        <v>-</v>
      </c>
      <c r="AX39" s="309" t="str">
        <f t="shared" si="47"/>
        <v>-</v>
      </c>
      <c r="AY39" s="310" t="str">
        <f t="shared" si="48"/>
        <v>-</v>
      </c>
      <c r="AZ39" s="311" t="str">
        <f t="shared" si="49"/>
        <v>-</v>
      </c>
      <c r="BA39" s="309" t="str">
        <f t="shared" si="50"/>
        <v>-</v>
      </c>
      <c r="BB39" s="309" t="str">
        <f t="shared" si="51"/>
        <v>-</v>
      </c>
      <c r="BC39" s="309" t="str">
        <f t="shared" si="52"/>
        <v>-</v>
      </c>
      <c r="BD39" s="312" t="str">
        <f t="shared" si="53"/>
        <v>-</v>
      </c>
      <c r="BE39" s="308" t="str">
        <f t="shared" si="54"/>
        <v>-</v>
      </c>
      <c r="BF39" s="309" t="str">
        <f t="shared" si="55"/>
        <v>-</v>
      </c>
      <c r="BG39" s="309" t="str">
        <f t="shared" si="56"/>
        <v>-</v>
      </c>
      <c r="BH39" s="309" t="str">
        <f t="shared" si="57"/>
        <v>-</v>
      </c>
      <c r="BI39" s="310" t="str">
        <f t="shared" si="58"/>
        <v>-</v>
      </c>
      <c r="BJ39" s="311" t="str">
        <f t="shared" si="59"/>
        <v>-</v>
      </c>
      <c r="BK39" s="309" t="str">
        <f t="shared" si="60"/>
        <v>-</v>
      </c>
      <c r="BL39" s="309" t="str">
        <f t="shared" si="61"/>
        <v>-</v>
      </c>
      <c r="BM39" s="309" t="str">
        <f t="shared" si="62"/>
        <v>-</v>
      </c>
      <c r="BN39" s="312" t="str">
        <f t="shared" si="63"/>
        <v>-</v>
      </c>
    </row>
    <row r="40" spans="2:66">
      <c r="B40" s="275" t="s">
        <v>78</v>
      </c>
      <c r="C40" s="368" t="str">
        <f t="shared" ca="1" si="0"/>
        <v>-</v>
      </c>
      <c r="D40" s="245" t="str">
        <f t="shared" si="1"/>
        <v>NA</v>
      </c>
      <c r="E40" s="246" t="str">
        <f t="shared" si="2"/>
        <v>NA</v>
      </c>
      <c r="F40" s="284" t="str">
        <f t="shared" si="3"/>
        <v>NA</v>
      </c>
      <c r="G40" s="247" t="str">
        <f t="shared" si="4"/>
        <v>NA</v>
      </c>
      <c r="H40" s="245" t="str">
        <f t="shared" si="5"/>
        <v>-</v>
      </c>
      <c r="I40" s="246" t="str">
        <f t="shared" si="6"/>
        <v>-</v>
      </c>
      <c r="J40" s="247" t="str">
        <f t="shared" si="7"/>
        <v>-</v>
      </c>
      <c r="K40" s="252" t="str">
        <f t="shared" si="8"/>
        <v>-</v>
      </c>
      <c r="L40" s="253" t="str">
        <f t="shared" si="9"/>
        <v>-</v>
      </c>
      <c r="M40" s="253" t="str">
        <f t="shared" si="10"/>
        <v>-</v>
      </c>
      <c r="N40" s="253" t="str">
        <f t="shared" si="11"/>
        <v>-</v>
      </c>
      <c r="O40" s="253" t="str">
        <f t="shared" si="12"/>
        <v>-</v>
      </c>
      <c r="P40" s="262" t="str">
        <f t="shared" si="13"/>
        <v>-</v>
      </c>
      <c r="Q40" s="263" t="str">
        <f t="shared" si="14"/>
        <v>-</v>
      </c>
      <c r="R40" s="253" t="str">
        <f t="shared" si="15"/>
        <v>-</v>
      </c>
      <c r="S40" s="253" t="str">
        <f t="shared" si="16"/>
        <v>-</v>
      </c>
      <c r="T40" s="253" t="str">
        <f t="shared" si="17"/>
        <v>-</v>
      </c>
      <c r="U40" s="253" t="str">
        <f t="shared" si="18"/>
        <v>-</v>
      </c>
      <c r="V40" s="254" t="str">
        <f t="shared" si="19"/>
        <v>-</v>
      </c>
      <c r="W40" s="284" t="str">
        <f t="shared" si="20"/>
        <v>-</v>
      </c>
      <c r="X40" s="246" t="str">
        <f t="shared" si="21"/>
        <v>-</v>
      </c>
      <c r="Y40" s="246" t="str">
        <f t="shared" si="22"/>
        <v>-</v>
      </c>
      <c r="Z40" s="246" t="str">
        <f t="shared" si="23"/>
        <v>-</v>
      </c>
      <c r="AA40" s="246" t="str">
        <f t="shared" si="24"/>
        <v>-</v>
      </c>
      <c r="AB40" s="328" t="str">
        <f t="shared" si="25"/>
        <v>NA</v>
      </c>
      <c r="AC40" s="314" t="str">
        <f t="shared" si="26"/>
        <v>NA</v>
      </c>
      <c r="AD40" s="245" t="str">
        <f t="shared" si="27"/>
        <v>-</v>
      </c>
      <c r="AE40" s="246" t="str">
        <f t="shared" si="28"/>
        <v>-</v>
      </c>
      <c r="AF40" s="246" t="str">
        <f t="shared" si="29"/>
        <v>-</v>
      </c>
      <c r="AG40" s="246" t="str">
        <f t="shared" si="30"/>
        <v>-</v>
      </c>
      <c r="AH40" s="246" t="str">
        <f t="shared" si="31"/>
        <v>-</v>
      </c>
      <c r="AI40" s="328" t="str">
        <f t="shared" si="32"/>
        <v>NA</v>
      </c>
      <c r="AJ40" s="247" t="str">
        <f t="shared" si="33"/>
        <v>NA</v>
      </c>
      <c r="AK40" s="252" t="str">
        <f t="shared" si="34"/>
        <v>-</v>
      </c>
      <c r="AL40" s="253" t="str">
        <f t="shared" si="35"/>
        <v>-</v>
      </c>
      <c r="AM40" s="253" t="str">
        <f t="shared" si="36"/>
        <v>-</v>
      </c>
      <c r="AN40" s="253" t="str">
        <f t="shared" si="37"/>
        <v>-</v>
      </c>
      <c r="AO40" s="262" t="str">
        <f t="shared" si="38"/>
        <v>-</v>
      </c>
      <c r="AP40" s="263" t="str">
        <f t="shared" si="39"/>
        <v>-</v>
      </c>
      <c r="AQ40" s="253" t="str">
        <f t="shared" si="40"/>
        <v>-</v>
      </c>
      <c r="AR40" s="253" t="str">
        <f t="shared" si="41"/>
        <v>-</v>
      </c>
      <c r="AS40" s="253" t="str">
        <f t="shared" si="42"/>
        <v>-</v>
      </c>
      <c r="AT40" s="254" t="str">
        <f t="shared" si="43"/>
        <v>-</v>
      </c>
      <c r="AU40" s="252" t="str">
        <f t="shared" si="44"/>
        <v>-</v>
      </c>
      <c r="AV40" s="253" t="str">
        <f t="shared" si="45"/>
        <v>-</v>
      </c>
      <c r="AW40" s="253" t="str">
        <f t="shared" si="46"/>
        <v>-</v>
      </c>
      <c r="AX40" s="253" t="str">
        <f t="shared" si="47"/>
        <v>-</v>
      </c>
      <c r="AY40" s="262" t="str">
        <f t="shared" si="48"/>
        <v>-</v>
      </c>
      <c r="AZ40" s="263" t="str">
        <f t="shared" si="49"/>
        <v>-</v>
      </c>
      <c r="BA40" s="253" t="str">
        <f t="shared" si="50"/>
        <v>-</v>
      </c>
      <c r="BB40" s="253" t="str">
        <f t="shared" si="51"/>
        <v>-</v>
      </c>
      <c r="BC40" s="253" t="str">
        <f t="shared" si="52"/>
        <v>-</v>
      </c>
      <c r="BD40" s="254" t="str">
        <f t="shared" si="53"/>
        <v>-</v>
      </c>
      <c r="BE40" s="252" t="str">
        <f t="shared" si="54"/>
        <v>-</v>
      </c>
      <c r="BF40" s="253" t="str">
        <f t="shared" si="55"/>
        <v>-</v>
      </c>
      <c r="BG40" s="253" t="str">
        <f t="shared" si="56"/>
        <v>-</v>
      </c>
      <c r="BH40" s="253" t="str">
        <f t="shared" si="57"/>
        <v>-</v>
      </c>
      <c r="BI40" s="262" t="str">
        <f t="shared" si="58"/>
        <v>-</v>
      </c>
      <c r="BJ40" s="263" t="str">
        <f t="shared" si="59"/>
        <v>-</v>
      </c>
      <c r="BK40" s="253" t="str">
        <f t="shared" si="60"/>
        <v>-</v>
      </c>
      <c r="BL40" s="253" t="str">
        <f t="shared" si="61"/>
        <v>-</v>
      </c>
      <c r="BM40" s="253" t="str">
        <f t="shared" si="62"/>
        <v>-</v>
      </c>
      <c r="BN40" s="254" t="str">
        <f t="shared" si="63"/>
        <v>-</v>
      </c>
    </row>
    <row r="41" spans="2:66">
      <c r="B41" s="274" t="s">
        <v>79</v>
      </c>
      <c r="C41" s="367" t="str">
        <f t="shared" ref="C41:C68" ca="1" si="64">IF(OR($BZ295=0,$BZ295="NA"),"-",IF(ISERROR(RANK($BZ295,OFFSET($CF$76,5,$BT111,$CE$76,1))),"-",RANK($BZ295,OFFSET($CF$76,5,$BT111,$CE$76,1))))</f>
        <v>-</v>
      </c>
      <c r="D41" s="168" t="str">
        <f t="shared" ref="D41:D68" si="65">IF(ISERROR((P41/K41)^(1/5)-1),"NA",IF(ABS(100*((P41/K41)^(1/5)-1))&gt;999,"NM",100*((P41/K41)^(1/5)-1)))</f>
        <v>NA</v>
      </c>
      <c r="E41" s="248" t="str">
        <f t="shared" ref="E41:E68" si="66">IF(ISERROR(P41/O41-1),"NA",IF(ABS(100*(P41/O41-1))&gt;999,"NM",100*(P41/O41-1)))</f>
        <v>NA</v>
      </c>
      <c r="F41" s="285" t="str">
        <f t="shared" ref="F41:F68" si="67">IF(ISERROR((V41/Q41)^(1/5)-1),"NA",IF(ABS(100*((V41/Q41)^(1/5)-1))&gt;999,"NM",100*((V41/Q41)^(1/5)-1)))</f>
        <v>NA</v>
      </c>
      <c r="G41" s="169" t="str">
        <f t="shared" ref="G41:G68" si="68">IF(ISERROR(V41/U41-1),"NA",IF(ABS(100*(V41/U41-1))&gt;999,"NM",100*(V41/U41-1)))</f>
        <v>NA</v>
      </c>
      <c r="H41" s="168" t="str">
        <f t="shared" ref="H41:H68" si="69">IF(BZ233="","-",BZ233)</f>
        <v>-</v>
      </c>
      <c r="I41" s="248" t="str">
        <f t="shared" ref="I41:I68" si="70">IF(BZ172="","-",BZ172)</f>
        <v>-</v>
      </c>
      <c r="J41" s="169" t="str">
        <f t="shared" ref="J41:J68" si="71">IF(BZ111="","-",BZ111)</f>
        <v>-</v>
      </c>
      <c r="K41" s="255" t="str">
        <f t="shared" ref="K41:K68" si="72">IF(BZ600="","-",BZ600)</f>
        <v>-</v>
      </c>
      <c r="L41" s="256" t="str">
        <f t="shared" ref="L41:L68" si="73">IF(BZ539="","-",BZ539)</f>
        <v>-</v>
      </c>
      <c r="M41" s="256" t="str">
        <f t="shared" ref="M41:M68" si="74">IF(BZ478="","-",BZ478)</f>
        <v>-</v>
      </c>
      <c r="N41" s="256" t="str">
        <f t="shared" ref="N41:N68" si="75">IF(BZ417="","-",BZ417)</f>
        <v>-</v>
      </c>
      <c r="O41" s="256" t="str">
        <f t="shared" ref="O41:O68" si="76">IF(BZ356="","-",BZ356)</f>
        <v>-</v>
      </c>
      <c r="P41" s="264" t="str">
        <f t="shared" ref="P41:P68" si="77">IF(BZ295="","-",BZ295)</f>
        <v>-</v>
      </c>
      <c r="Q41" s="265" t="str">
        <f t="shared" ref="Q41:Q68" si="78">IF(BY600="","-",BY600)</f>
        <v>-</v>
      </c>
      <c r="R41" s="256" t="str">
        <f t="shared" ref="R41:R68" si="79">IF(BY539="","-",BY539)</f>
        <v>-</v>
      </c>
      <c r="S41" s="256" t="str">
        <f t="shared" ref="S41:S68" si="80">IF(BY478="","-",BY478)</f>
        <v>-</v>
      </c>
      <c r="T41" s="256" t="str">
        <f t="shared" ref="T41:T68" si="81">IF(BY417="","-",BY417)</f>
        <v>-</v>
      </c>
      <c r="U41" s="256" t="str">
        <f t="shared" ref="U41:U68" si="82">IF(BY356="","-",BY356)</f>
        <v>-</v>
      </c>
      <c r="V41" s="257" t="str">
        <f t="shared" ref="V41:V68" si="83">IF(BY295="","-",BY295)</f>
        <v>-</v>
      </c>
      <c r="W41" s="285" t="str">
        <f t="shared" ref="W41:W68" si="84">IF(BZ906="","-",BZ906)</f>
        <v>-</v>
      </c>
      <c r="X41" s="248" t="str">
        <f t="shared" ref="X41:X68" si="85">IF(BZ845="","-",BZ845)</f>
        <v>-</v>
      </c>
      <c r="Y41" s="248" t="str">
        <f t="shared" ref="Y41:Y68" si="86">IF(BZ784="","-",BZ784)</f>
        <v>-</v>
      </c>
      <c r="Z41" s="248" t="str">
        <f t="shared" ref="Z41:Z68" si="87">IF(BZ723="","-",BZ723)</f>
        <v>-</v>
      </c>
      <c r="AA41" s="248" t="str">
        <f t="shared" ref="AA41:AA68" si="88">IF(BZ662="","-",BZ662)</f>
        <v>-</v>
      </c>
      <c r="AB41" s="329" t="str">
        <f t="shared" ref="AB41:AB68" si="89">IF(ISERROR(SUM(AM41:AO41)/(SUM(AW41:AY41)-SUM(BG41:BI41))),"NA",IF(ABS(100*SUM(AM41:AO41)/(SUM(AW41:AY41)-SUM(BG41:BI41)))&gt;999,"NM",100*SUM(AM41:AO41)/(SUM(AW41:AY41)-SUM(BG41:BI41))))</f>
        <v>NA</v>
      </c>
      <c r="AC41" s="315" t="str">
        <f t="shared" ref="AC41:AC68" si="90">IF(ISERROR(SUM(AK41:AO41)/(SUM(AU41:AY41)-SUM(BE41:BI41))),"NA",IF(ABS(100*SUM(AK41:AO41)/(SUM(AU41:AY41)-SUM(BE41:BI41)))&gt;999,"NM",100*SUM(AK41:AO41)/(SUM(AU41:AY41)-SUM(BE41:BI41))))</f>
        <v>NA</v>
      </c>
      <c r="AD41" s="168" t="str">
        <f t="shared" ref="AD41:AD68" si="91">IF(BY906="","-",BY906)</f>
        <v>-</v>
      </c>
      <c r="AE41" s="248" t="str">
        <f t="shared" ref="AE41:AE68" si="92">IF(BY845="","-",BY845)</f>
        <v>-</v>
      </c>
      <c r="AF41" s="248" t="str">
        <f t="shared" ref="AF41:AF68" si="93">IF(BY784="","-",BY784)</f>
        <v>-</v>
      </c>
      <c r="AG41" s="248" t="str">
        <f t="shared" ref="AG41:AG68" si="94">IF(BY723="","-",BY723)</f>
        <v>-</v>
      </c>
      <c r="AH41" s="248" t="str">
        <f t="shared" ref="AH41:AH68" si="95">IF(BY662="","-",BY662)</f>
        <v>-</v>
      </c>
      <c r="AI41" s="329" t="str">
        <f t="shared" ref="AI41:AI68" si="96">IF(ISERROR(SUM(AR41:AT41)/(SUM(BB41:BD41)-SUM(BL41:BN41))),"NA",IF(ABS(100*SUM(AR41:AT41)/(SUM(BB41:BD41)-SUM(BL41:BN41)))&gt;999,"NM",100*SUM(AR41:AT41)/(SUM(BB41:BD41)-SUM(BL41:BN41))))</f>
        <v>NA</v>
      </c>
      <c r="AJ41" s="169" t="str">
        <f t="shared" ref="AJ41:AJ68" si="97">IF(ISERROR(SUM(AP41:AT41)/(SUM(AZ41:BD41)-SUM(BJ41:BN41))),"NA",IF(ABS(100*SUM(AP41:AT41)/(SUM(AZ41:BD41)-SUM(BJ41:BN41)))&gt;999,"NM",100*SUM(AP41:AT41)/(SUM(AZ41:BD41)-SUM(BJ41:BN41))))</f>
        <v>NA</v>
      </c>
      <c r="AK41" s="255" t="str">
        <f t="shared" ref="AK41:AK68" si="98">IF(BZ1518="","-",BZ1518)</f>
        <v>-</v>
      </c>
      <c r="AL41" s="256" t="str">
        <f t="shared" ref="AL41:AL68" si="99">IF(BZ1457="","-",BZ1457)</f>
        <v>-</v>
      </c>
      <c r="AM41" s="256" t="str">
        <f t="shared" ref="AM41:AM68" si="100">IF(BZ1396="","-",BZ1396)</f>
        <v>-</v>
      </c>
      <c r="AN41" s="256" t="str">
        <f t="shared" ref="AN41:AN68" si="101">IF(BZ1335="","-",BZ1335)</f>
        <v>-</v>
      </c>
      <c r="AO41" s="264" t="str">
        <f t="shared" ref="AO41:AO68" si="102">IF(BZ1274="","-",BZ1274)</f>
        <v>-</v>
      </c>
      <c r="AP41" s="265" t="str">
        <f t="shared" ref="AP41:AP68" si="103">IF(BY1518="","-",BY1518)</f>
        <v>-</v>
      </c>
      <c r="AQ41" s="256" t="str">
        <f t="shared" ref="AQ41:AQ68" si="104">IF(BY1457="","-",BY1457)</f>
        <v>-</v>
      </c>
      <c r="AR41" s="256" t="str">
        <f t="shared" ref="AR41:AR68" si="105">IF(BY1396="","-",BY1396)</f>
        <v>-</v>
      </c>
      <c r="AS41" s="256" t="str">
        <f t="shared" ref="AS41:AS68" si="106">IF(BY1335="","-",BY1335)</f>
        <v>-</v>
      </c>
      <c r="AT41" s="257" t="str">
        <f t="shared" ref="AT41:AT68" si="107">IF(BY1274="","-",BY1274)</f>
        <v>-</v>
      </c>
      <c r="AU41" s="255" t="str">
        <f t="shared" ref="AU41:AU68" si="108">IF(BZ1212="","-",BZ1212)</f>
        <v>-</v>
      </c>
      <c r="AV41" s="256" t="str">
        <f t="shared" ref="AV41:AV68" si="109">IF(BZ1151="","-",BZ1151)</f>
        <v>-</v>
      </c>
      <c r="AW41" s="256" t="str">
        <f t="shared" ref="AW41:AW68" si="110">IF(BZ1090="","-",BZ1090)</f>
        <v>-</v>
      </c>
      <c r="AX41" s="256" t="str">
        <f t="shared" ref="AX41:AX68" si="111">IF(BZ1029="","-",BZ1029)</f>
        <v>-</v>
      </c>
      <c r="AY41" s="264" t="str">
        <f t="shared" ref="AY41:AY68" si="112">IF(BZ968="","-",BZ968)</f>
        <v>-</v>
      </c>
      <c r="AZ41" s="265" t="str">
        <f t="shared" ref="AZ41:AZ68" si="113">IF(BY1212="","-",BY1212)</f>
        <v>-</v>
      </c>
      <c r="BA41" s="256" t="str">
        <f t="shared" ref="BA41:BA68" si="114">IF(BY1151="","-",BY1151)</f>
        <v>-</v>
      </c>
      <c r="BB41" s="256" t="str">
        <f t="shared" ref="BB41:BB68" si="115">IF(BY1090="","-",BY1090)</f>
        <v>-</v>
      </c>
      <c r="BC41" s="256" t="str">
        <f t="shared" ref="BC41:BC68" si="116">IF(BY1029="","-",BY1029)</f>
        <v>-</v>
      </c>
      <c r="BD41" s="257" t="str">
        <f t="shared" ref="BD41:BD68" si="117">IF(BY968="","-",BY968)</f>
        <v>-</v>
      </c>
      <c r="BE41" s="255" t="str">
        <f t="shared" ref="BE41:BE68" si="118">IF(BZ1824="","-",BZ1824)</f>
        <v>-</v>
      </c>
      <c r="BF41" s="256" t="str">
        <f t="shared" ref="BF41:BF68" si="119">IF(BZ1763="","-",BZ1763)</f>
        <v>-</v>
      </c>
      <c r="BG41" s="256" t="str">
        <f t="shared" ref="BG41:BG68" si="120">IF(BZ1702="","-",BZ1702)</f>
        <v>-</v>
      </c>
      <c r="BH41" s="256" t="str">
        <f t="shared" ref="BH41:BH68" si="121">IF(BZ1641="","-",BZ1641)</f>
        <v>-</v>
      </c>
      <c r="BI41" s="264" t="str">
        <f t="shared" ref="BI41:BI68" si="122">IF(BZ1580="","-",BZ1580)</f>
        <v>-</v>
      </c>
      <c r="BJ41" s="265" t="str">
        <f t="shared" ref="BJ41:BJ68" si="123">IF(BY1824="","-",BY1824)</f>
        <v>-</v>
      </c>
      <c r="BK41" s="256" t="str">
        <f t="shared" ref="BK41:BK68" si="124">IF(BY1763="","-",BY1763)</f>
        <v>-</v>
      </c>
      <c r="BL41" s="256" t="str">
        <f t="shared" ref="BL41:BL68" si="125">IF(BY1702="","-",BY1702)</f>
        <v>-</v>
      </c>
      <c r="BM41" s="256" t="str">
        <f t="shared" ref="BM41:BM68" si="126">IF(BY1641="","-",BY1641)</f>
        <v>-</v>
      </c>
      <c r="BN41" s="257" t="str">
        <f t="shared" ref="BN41:BN68" si="127">IF(BY1580="","-",BY1580)</f>
        <v>-</v>
      </c>
    </row>
    <row r="42" spans="2:66">
      <c r="B42" s="275" t="s">
        <v>80</v>
      </c>
      <c r="C42" s="368" t="str">
        <f t="shared" ca="1" si="64"/>
        <v>-</v>
      </c>
      <c r="D42" s="245" t="str">
        <f t="shared" si="65"/>
        <v>NA</v>
      </c>
      <c r="E42" s="246" t="str">
        <f t="shared" si="66"/>
        <v>NA</v>
      </c>
      <c r="F42" s="284" t="str">
        <f t="shared" si="67"/>
        <v>NA</v>
      </c>
      <c r="G42" s="247" t="str">
        <f t="shared" si="68"/>
        <v>NA</v>
      </c>
      <c r="H42" s="245" t="str">
        <f t="shared" si="69"/>
        <v>-</v>
      </c>
      <c r="I42" s="246" t="str">
        <f t="shared" si="70"/>
        <v>-</v>
      </c>
      <c r="J42" s="247" t="str">
        <f t="shared" si="71"/>
        <v>-</v>
      </c>
      <c r="K42" s="252" t="str">
        <f t="shared" si="72"/>
        <v>-</v>
      </c>
      <c r="L42" s="253" t="str">
        <f t="shared" si="73"/>
        <v>-</v>
      </c>
      <c r="M42" s="253" t="str">
        <f t="shared" si="74"/>
        <v>-</v>
      </c>
      <c r="N42" s="253" t="str">
        <f t="shared" si="75"/>
        <v>-</v>
      </c>
      <c r="O42" s="253" t="str">
        <f t="shared" si="76"/>
        <v>-</v>
      </c>
      <c r="P42" s="262" t="str">
        <f t="shared" si="77"/>
        <v>-</v>
      </c>
      <c r="Q42" s="263" t="str">
        <f t="shared" si="78"/>
        <v>-</v>
      </c>
      <c r="R42" s="253" t="str">
        <f t="shared" si="79"/>
        <v>-</v>
      </c>
      <c r="S42" s="253" t="str">
        <f t="shared" si="80"/>
        <v>-</v>
      </c>
      <c r="T42" s="253" t="str">
        <f t="shared" si="81"/>
        <v>-</v>
      </c>
      <c r="U42" s="253" t="str">
        <f t="shared" si="82"/>
        <v>-</v>
      </c>
      <c r="V42" s="254" t="str">
        <f t="shared" si="83"/>
        <v>-</v>
      </c>
      <c r="W42" s="284" t="str">
        <f t="shared" si="84"/>
        <v>-</v>
      </c>
      <c r="X42" s="246" t="str">
        <f t="shared" si="85"/>
        <v>-</v>
      </c>
      <c r="Y42" s="246" t="str">
        <f t="shared" si="86"/>
        <v>-</v>
      </c>
      <c r="Z42" s="246" t="str">
        <f t="shared" si="87"/>
        <v>-</v>
      </c>
      <c r="AA42" s="246" t="str">
        <f t="shared" si="88"/>
        <v>-</v>
      </c>
      <c r="AB42" s="328" t="str">
        <f t="shared" si="89"/>
        <v>NA</v>
      </c>
      <c r="AC42" s="314" t="str">
        <f t="shared" si="90"/>
        <v>NA</v>
      </c>
      <c r="AD42" s="245" t="str">
        <f t="shared" si="91"/>
        <v>-</v>
      </c>
      <c r="AE42" s="246" t="str">
        <f t="shared" si="92"/>
        <v>-</v>
      </c>
      <c r="AF42" s="246" t="str">
        <f t="shared" si="93"/>
        <v>-</v>
      </c>
      <c r="AG42" s="246" t="str">
        <f t="shared" si="94"/>
        <v>-</v>
      </c>
      <c r="AH42" s="246" t="str">
        <f t="shared" si="95"/>
        <v>-</v>
      </c>
      <c r="AI42" s="328" t="str">
        <f t="shared" si="96"/>
        <v>NA</v>
      </c>
      <c r="AJ42" s="247" t="str">
        <f t="shared" si="97"/>
        <v>NA</v>
      </c>
      <c r="AK42" s="252" t="str">
        <f t="shared" si="98"/>
        <v>-</v>
      </c>
      <c r="AL42" s="253" t="str">
        <f t="shared" si="99"/>
        <v>-</v>
      </c>
      <c r="AM42" s="253" t="str">
        <f t="shared" si="100"/>
        <v>-</v>
      </c>
      <c r="AN42" s="253" t="str">
        <f t="shared" si="101"/>
        <v>-</v>
      </c>
      <c r="AO42" s="262" t="str">
        <f t="shared" si="102"/>
        <v>-</v>
      </c>
      <c r="AP42" s="263" t="str">
        <f t="shared" si="103"/>
        <v>-</v>
      </c>
      <c r="AQ42" s="253" t="str">
        <f t="shared" si="104"/>
        <v>-</v>
      </c>
      <c r="AR42" s="253" t="str">
        <f t="shared" si="105"/>
        <v>-</v>
      </c>
      <c r="AS42" s="253" t="str">
        <f t="shared" si="106"/>
        <v>-</v>
      </c>
      <c r="AT42" s="254" t="str">
        <f t="shared" si="107"/>
        <v>-</v>
      </c>
      <c r="AU42" s="252" t="str">
        <f t="shared" si="108"/>
        <v>-</v>
      </c>
      <c r="AV42" s="253" t="str">
        <f t="shared" si="109"/>
        <v>-</v>
      </c>
      <c r="AW42" s="253" t="str">
        <f t="shared" si="110"/>
        <v>-</v>
      </c>
      <c r="AX42" s="253" t="str">
        <f t="shared" si="111"/>
        <v>-</v>
      </c>
      <c r="AY42" s="262" t="str">
        <f t="shared" si="112"/>
        <v>-</v>
      </c>
      <c r="AZ42" s="263" t="str">
        <f t="shared" si="113"/>
        <v>-</v>
      </c>
      <c r="BA42" s="253" t="str">
        <f t="shared" si="114"/>
        <v>-</v>
      </c>
      <c r="BB42" s="253" t="str">
        <f t="shared" si="115"/>
        <v>-</v>
      </c>
      <c r="BC42" s="253" t="str">
        <f t="shared" si="116"/>
        <v>-</v>
      </c>
      <c r="BD42" s="254" t="str">
        <f t="shared" si="117"/>
        <v>-</v>
      </c>
      <c r="BE42" s="252" t="str">
        <f t="shared" si="118"/>
        <v>-</v>
      </c>
      <c r="BF42" s="253" t="str">
        <f t="shared" si="119"/>
        <v>-</v>
      </c>
      <c r="BG42" s="253" t="str">
        <f t="shared" si="120"/>
        <v>-</v>
      </c>
      <c r="BH42" s="253" t="str">
        <f t="shared" si="121"/>
        <v>-</v>
      </c>
      <c r="BI42" s="262" t="str">
        <f t="shared" si="122"/>
        <v>-</v>
      </c>
      <c r="BJ42" s="263" t="str">
        <f t="shared" si="123"/>
        <v>-</v>
      </c>
      <c r="BK42" s="253" t="str">
        <f t="shared" si="124"/>
        <v>-</v>
      </c>
      <c r="BL42" s="253" t="str">
        <f t="shared" si="125"/>
        <v>-</v>
      </c>
      <c r="BM42" s="253" t="str">
        <f t="shared" si="126"/>
        <v>-</v>
      </c>
      <c r="BN42" s="254" t="str">
        <f t="shared" si="127"/>
        <v>-</v>
      </c>
    </row>
    <row r="43" spans="2:66">
      <c r="B43" s="274" t="s">
        <v>81</v>
      </c>
      <c r="C43" s="367" t="str">
        <f t="shared" ca="1" si="64"/>
        <v>-</v>
      </c>
      <c r="D43" s="168" t="str">
        <f t="shared" si="65"/>
        <v>NA</v>
      </c>
      <c r="E43" s="248" t="str">
        <f t="shared" si="66"/>
        <v>NA</v>
      </c>
      <c r="F43" s="285" t="str">
        <f t="shared" si="67"/>
        <v>NA</v>
      </c>
      <c r="G43" s="169" t="str">
        <f t="shared" si="68"/>
        <v>NA</v>
      </c>
      <c r="H43" s="168" t="str">
        <f t="shared" si="69"/>
        <v>-</v>
      </c>
      <c r="I43" s="248" t="str">
        <f t="shared" si="70"/>
        <v>-</v>
      </c>
      <c r="J43" s="169" t="str">
        <f t="shared" si="71"/>
        <v>-</v>
      </c>
      <c r="K43" s="255" t="str">
        <f t="shared" si="72"/>
        <v>-</v>
      </c>
      <c r="L43" s="256" t="str">
        <f t="shared" si="73"/>
        <v>-</v>
      </c>
      <c r="M43" s="256" t="str">
        <f t="shared" si="74"/>
        <v>-</v>
      </c>
      <c r="N43" s="256" t="str">
        <f t="shared" si="75"/>
        <v>-</v>
      </c>
      <c r="O43" s="256" t="str">
        <f t="shared" si="76"/>
        <v>-</v>
      </c>
      <c r="P43" s="264" t="str">
        <f t="shared" si="77"/>
        <v>-</v>
      </c>
      <c r="Q43" s="265" t="str">
        <f t="shared" si="78"/>
        <v>-</v>
      </c>
      <c r="R43" s="256" t="str">
        <f t="shared" si="79"/>
        <v>-</v>
      </c>
      <c r="S43" s="256" t="str">
        <f t="shared" si="80"/>
        <v>-</v>
      </c>
      <c r="T43" s="256" t="str">
        <f t="shared" si="81"/>
        <v>-</v>
      </c>
      <c r="U43" s="256" t="str">
        <f t="shared" si="82"/>
        <v>-</v>
      </c>
      <c r="V43" s="257" t="str">
        <f t="shared" si="83"/>
        <v>-</v>
      </c>
      <c r="W43" s="285" t="str">
        <f t="shared" si="84"/>
        <v>-</v>
      </c>
      <c r="X43" s="248" t="str">
        <f t="shared" si="85"/>
        <v>-</v>
      </c>
      <c r="Y43" s="248" t="str">
        <f t="shared" si="86"/>
        <v>-</v>
      </c>
      <c r="Z43" s="248" t="str">
        <f t="shared" si="87"/>
        <v>-</v>
      </c>
      <c r="AA43" s="248" t="str">
        <f t="shared" si="88"/>
        <v>-</v>
      </c>
      <c r="AB43" s="329" t="str">
        <f t="shared" si="89"/>
        <v>NA</v>
      </c>
      <c r="AC43" s="315" t="str">
        <f t="shared" si="90"/>
        <v>NA</v>
      </c>
      <c r="AD43" s="168" t="str">
        <f t="shared" si="91"/>
        <v>-</v>
      </c>
      <c r="AE43" s="248" t="str">
        <f t="shared" si="92"/>
        <v>-</v>
      </c>
      <c r="AF43" s="248" t="str">
        <f t="shared" si="93"/>
        <v>-</v>
      </c>
      <c r="AG43" s="248" t="str">
        <f t="shared" si="94"/>
        <v>-</v>
      </c>
      <c r="AH43" s="248" t="str">
        <f t="shared" si="95"/>
        <v>-</v>
      </c>
      <c r="AI43" s="329" t="str">
        <f t="shared" si="96"/>
        <v>NA</v>
      </c>
      <c r="AJ43" s="169" t="str">
        <f t="shared" si="97"/>
        <v>NA</v>
      </c>
      <c r="AK43" s="255" t="str">
        <f t="shared" si="98"/>
        <v>-</v>
      </c>
      <c r="AL43" s="256" t="str">
        <f t="shared" si="99"/>
        <v>-</v>
      </c>
      <c r="AM43" s="256" t="str">
        <f t="shared" si="100"/>
        <v>-</v>
      </c>
      <c r="AN43" s="256" t="str">
        <f t="shared" si="101"/>
        <v>-</v>
      </c>
      <c r="AO43" s="264" t="str">
        <f t="shared" si="102"/>
        <v>-</v>
      </c>
      <c r="AP43" s="265" t="str">
        <f t="shared" si="103"/>
        <v>-</v>
      </c>
      <c r="AQ43" s="256" t="str">
        <f t="shared" si="104"/>
        <v>-</v>
      </c>
      <c r="AR43" s="256" t="str">
        <f t="shared" si="105"/>
        <v>-</v>
      </c>
      <c r="AS43" s="256" t="str">
        <f t="shared" si="106"/>
        <v>-</v>
      </c>
      <c r="AT43" s="257" t="str">
        <f t="shared" si="107"/>
        <v>-</v>
      </c>
      <c r="AU43" s="255" t="str">
        <f t="shared" si="108"/>
        <v>-</v>
      </c>
      <c r="AV43" s="256" t="str">
        <f t="shared" si="109"/>
        <v>-</v>
      </c>
      <c r="AW43" s="256" t="str">
        <f t="shared" si="110"/>
        <v>-</v>
      </c>
      <c r="AX43" s="256" t="str">
        <f t="shared" si="111"/>
        <v>-</v>
      </c>
      <c r="AY43" s="264" t="str">
        <f t="shared" si="112"/>
        <v>-</v>
      </c>
      <c r="AZ43" s="265" t="str">
        <f t="shared" si="113"/>
        <v>-</v>
      </c>
      <c r="BA43" s="256" t="str">
        <f t="shared" si="114"/>
        <v>-</v>
      </c>
      <c r="BB43" s="256" t="str">
        <f t="shared" si="115"/>
        <v>-</v>
      </c>
      <c r="BC43" s="256" t="str">
        <f t="shared" si="116"/>
        <v>-</v>
      </c>
      <c r="BD43" s="257" t="str">
        <f t="shared" si="117"/>
        <v>-</v>
      </c>
      <c r="BE43" s="255" t="str">
        <f t="shared" si="118"/>
        <v>-</v>
      </c>
      <c r="BF43" s="256" t="str">
        <f t="shared" si="119"/>
        <v>-</v>
      </c>
      <c r="BG43" s="256" t="str">
        <f t="shared" si="120"/>
        <v>-</v>
      </c>
      <c r="BH43" s="256" t="str">
        <f t="shared" si="121"/>
        <v>-</v>
      </c>
      <c r="BI43" s="264" t="str">
        <f t="shared" si="122"/>
        <v>-</v>
      </c>
      <c r="BJ43" s="265" t="str">
        <f t="shared" si="123"/>
        <v>-</v>
      </c>
      <c r="BK43" s="256" t="str">
        <f t="shared" si="124"/>
        <v>-</v>
      </c>
      <c r="BL43" s="256" t="str">
        <f t="shared" si="125"/>
        <v>-</v>
      </c>
      <c r="BM43" s="256" t="str">
        <f t="shared" si="126"/>
        <v>-</v>
      </c>
      <c r="BN43" s="257" t="str">
        <f t="shared" si="127"/>
        <v>-</v>
      </c>
    </row>
    <row r="44" spans="2:66">
      <c r="B44" s="276" t="s">
        <v>82</v>
      </c>
      <c r="C44" s="369" t="str">
        <f t="shared" ca="1" si="64"/>
        <v>-</v>
      </c>
      <c r="D44" s="249" t="str">
        <f t="shared" si="65"/>
        <v>NA</v>
      </c>
      <c r="E44" s="250" t="str">
        <f t="shared" si="66"/>
        <v>NA</v>
      </c>
      <c r="F44" s="286" t="str">
        <f t="shared" si="67"/>
        <v>NA</v>
      </c>
      <c r="G44" s="251" t="str">
        <f t="shared" si="68"/>
        <v>NA</v>
      </c>
      <c r="H44" s="249" t="str">
        <f t="shared" si="69"/>
        <v>-</v>
      </c>
      <c r="I44" s="250" t="str">
        <f t="shared" si="70"/>
        <v>-</v>
      </c>
      <c r="J44" s="251" t="str">
        <f t="shared" si="71"/>
        <v>-</v>
      </c>
      <c r="K44" s="258" t="str">
        <f t="shared" si="72"/>
        <v>-</v>
      </c>
      <c r="L44" s="259" t="str">
        <f t="shared" si="73"/>
        <v>-</v>
      </c>
      <c r="M44" s="259" t="str">
        <f t="shared" si="74"/>
        <v>-</v>
      </c>
      <c r="N44" s="259" t="str">
        <f t="shared" si="75"/>
        <v>-</v>
      </c>
      <c r="O44" s="259" t="str">
        <f t="shared" si="76"/>
        <v>-</v>
      </c>
      <c r="P44" s="266" t="str">
        <f t="shared" si="77"/>
        <v>-</v>
      </c>
      <c r="Q44" s="267" t="str">
        <f t="shared" si="78"/>
        <v>-</v>
      </c>
      <c r="R44" s="259" t="str">
        <f t="shared" si="79"/>
        <v>-</v>
      </c>
      <c r="S44" s="259" t="str">
        <f t="shared" si="80"/>
        <v>-</v>
      </c>
      <c r="T44" s="259" t="str">
        <f t="shared" si="81"/>
        <v>-</v>
      </c>
      <c r="U44" s="259" t="str">
        <f t="shared" si="82"/>
        <v>-</v>
      </c>
      <c r="V44" s="260" t="str">
        <f t="shared" si="83"/>
        <v>-</v>
      </c>
      <c r="W44" s="286" t="str">
        <f t="shared" si="84"/>
        <v>-</v>
      </c>
      <c r="X44" s="250" t="str">
        <f t="shared" si="85"/>
        <v>-</v>
      </c>
      <c r="Y44" s="250" t="str">
        <f t="shared" si="86"/>
        <v>-</v>
      </c>
      <c r="Z44" s="250" t="str">
        <f t="shared" si="87"/>
        <v>-</v>
      </c>
      <c r="AA44" s="250" t="str">
        <f t="shared" si="88"/>
        <v>-</v>
      </c>
      <c r="AB44" s="330" t="str">
        <f t="shared" si="89"/>
        <v>NA</v>
      </c>
      <c r="AC44" s="316" t="str">
        <f t="shared" si="90"/>
        <v>NA</v>
      </c>
      <c r="AD44" s="249" t="str">
        <f t="shared" si="91"/>
        <v>-</v>
      </c>
      <c r="AE44" s="250" t="str">
        <f t="shared" si="92"/>
        <v>-</v>
      </c>
      <c r="AF44" s="250" t="str">
        <f t="shared" si="93"/>
        <v>-</v>
      </c>
      <c r="AG44" s="250" t="str">
        <f t="shared" si="94"/>
        <v>-</v>
      </c>
      <c r="AH44" s="250" t="str">
        <f t="shared" si="95"/>
        <v>-</v>
      </c>
      <c r="AI44" s="330" t="str">
        <f t="shared" si="96"/>
        <v>NA</v>
      </c>
      <c r="AJ44" s="251" t="str">
        <f t="shared" si="97"/>
        <v>NA</v>
      </c>
      <c r="AK44" s="258" t="str">
        <f t="shared" si="98"/>
        <v>-</v>
      </c>
      <c r="AL44" s="259" t="str">
        <f t="shared" si="99"/>
        <v>-</v>
      </c>
      <c r="AM44" s="259" t="str">
        <f t="shared" si="100"/>
        <v>-</v>
      </c>
      <c r="AN44" s="259" t="str">
        <f t="shared" si="101"/>
        <v>-</v>
      </c>
      <c r="AO44" s="266" t="str">
        <f t="shared" si="102"/>
        <v>-</v>
      </c>
      <c r="AP44" s="267" t="str">
        <f t="shared" si="103"/>
        <v>-</v>
      </c>
      <c r="AQ44" s="259" t="str">
        <f t="shared" si="104"/>
        <v>-</v>
      </c>
      <c r="AR44" s="259" t="str">
        <f t="shared" si="105"/>
        <v>-</v>
      </c>
      <c r="AS44" s="259" t="str">
        <f t="shared" si="106"/>
        <v>-</v>
      </c>
      <c r="AT44" s="260" t="str">
        <f t="shared" si="107"/>
        <v>-</v>
      </c>
      <c r="AU44" s="258" t="str">
        <f t="shared" si="108"/>
        <v>-</v>
      </c>
      <c r="AV44" s="259" t="str">
        <f t="shared" si="109"/>
        <v>-</v>
      </c>
      <c r="AW44" s="259" t="str">
        <f t="shared" si="110"/>
        <v>-</v>
      </c>
      <c r="AX44" s="259" t="str">
        <f t="shared" si="111"/>
        <v>-</v>
      </c>
      <c r="AY44" s="266" t="str">
        <f t="shared" si="112"/>
        <v>-</v>
      </c>
      <c r="AZ44" s="267" t="str">
        <f t="shared" si="113"/>
        <v>-</v>
      </c>
      <c r="BA44" s="259" t="str">
        <f t="shared" si="114"/>
        <v>-</v>
      </c>
      <c r="BB44" s="259" t="str">
        <f t="shared" si="115"/>
        <v>-</v>
      </c>
      <c r="BC44" s="259" t="str">
        <f t="shared" si="116"/>
        <v>-</v>
      </c>
      <c r="BD44" s="260" t="str">
        <f t="shared" si="117"/>
        <v>-</v>
      </c>
      <c r="BE44" s="258" t="str">
        <f t="shared" si="118"/>
        <v>-</v>
      </c>
      <c r="BF44" s="259" t="str">
        <f t="shared" si="119"/>
        <v>-</v>
      </c>
      <c r="BG44" s="259" t="str">
        <f t="shared" si="120"/>
        <v>-</v>
      </c>
      <c r="BH44" s="259" t="str">
        <f t="shared" si="121"/>
        <v>-</v>
      </c>
      <c r="BI44" s="266" t="str">
        <f t="shared" si="122"/>
        <v>-</v>
      </c>
      <c r="BJ44" s="267" t="str">
        <f t="shared" si="123"/>
        <v>-</v>
      </c>
      <c r="BK44" s="259" t="str">
        <f t="shared" si="124"/>
        <v>-</v>
      </c>
      <c r="BL44" s="259" t="str">
        <f t="shared" si="125"/>
        <v>-</v>
      </c>
      <c r="BM44" s="259" t="str">
        <f t="shared" si="126"/>
        <v>-</v>
      </c>
      <c r="BN44" s="260" t="str">
        <f t="shared" si="127"/>
        <v>-</v>
      </c>
    </row>
    <row r="45" spans="2:66">
      <c r="B45" s="274" t="s">
        <v>83</v>
      </c>
      <c r="C45" s="367" t="str">
        <f t="shared" ca="1" si="64"/>
        <v>-</v>
      </c>
      <c r="D45" s="168" t="str">
        <f t="shared" si="65"/>
        <v>NA</v>
      </c>
      <c r="E45" s="248" t="str">
        <f t="shared" si="66"/>
        <v>NA</v>
      </c>
      <c r="F45" s="285" t="str">
        <f t="shared" si="67"/>
        <v>NA</v>
      </c>
      <c r="G45" s="169" t="str">
        <f t="shared" si="68"/>
        <v>NA</v>
      </c>
      <c r="H45" s="168" t="str">
        <f t="shared" si="69"/>
        <v>-</v>
      </c>
      <c r="I45" s="248" t="str">
        <f t="shared" si="70"/>
        <v>-</v>
      </c>
      <c r="J45" s="169" t="str">
        <f t="shared" si="71"/>
        <v>-</v>
      </c>
      <c r="K45" s="255" t="str">
        <f t="shared" si="72"/>
        <v>-</v>
      </c>
      <c r="L45" s="256" t="str">
        <f t="shared" si="73"/>
        <v>-</v>
      </c>
      <c r="M45" s="256" t="str">
        <f t="shared" si="74"/>
        <v>-</v>
      </c>
      <c r="N45" s="256" t="str">
        <f t="shared" si="75"/>
        <v>-</v>
      </c>
      <c r="O45" s="256" t="str">
        <f t="shared" si="76"/>
        <v>-</v>
      </c>
      <c r="P45" s="264" t="str">
        <f t="shared" si="77"/>
        <v>-</v>
      </c>
      <c r="Q45" s="265" t="str">
        <f t="shared" si="78"/>
        <v>-</v>
      </c>
      <c r="R45" s="256" t="str">
        <f t="shared" si="79"/>
        <v>-</v>
      </c>
      <c r="S45" s="256" t="str">
        <f t="shared" si="80"/>
        <v>-</v>
      </c>
      <c r="T45" s="256" t="str">
        <f t="shared" si="81"/>
        <v>-</v>
      </c>
      <c r="U45" s="256" t="str">
        <f t="shared" si="82"/>
        <v>-</v>
      </c>
      <c r="V45" s="257" t="str">
        <f t="shared" si="83"/>
        <v>-</v>
      </c>
      <c r="W45" s="285" t="str">
        <f t="shared" si="84"/>
        <v>-</v>
      </c>
      <c r="X45" s="248" t="str">
        <f t="shared" si="85"/>
        <v>-</v>
      </c>
      <c r="Y45" s="248" t="str">
        <f t="shared" si="86"/>
        <v>-</v>
      </c>
      <c r="Z45" s="248" t="str">
        <f t="shared" si="87"/>
        <v>-</v>
      </c>
      <c r="AA45" s="248" t="str">
        <f t="shared" si="88"/>
        <v>-</v>
      </c>
      <c r="AB45" s="329" t="str">
        <f t="shared" si="89"/>
        <v>NA</v>
      </c>
      <c r="AC45" s="315" t="str">
        <f t="shared" si="90"/>
        <v>NA</v>
      </c>
      <c r="AD45" s="168" t="str">
        <f t="shared" si="91"/>
        <v>-</v>
      </c>
      <c r="AE45" s="248" t="str">
        <f t="shared" si="92"/>
        <v>-</v>
      </c>
      <c r="AF45" s="248" t="str">
        <f t="shared" si="93"/>
        <v>-</v>
      </c>
      <c r="AG45" s="248" t="str">
        <f t="shared" si="94"/>
        <v>-</v>
      </c>
      <c r="AH45" s="248" t="str">
        <f t="shared" si="95"/>
        <v>-</v>
      </c>
      <c r="AI45" s="329" t="str">
        <f t="shared" si="96"/>
        <v>NA</v>
      </c>
      <c r="AJ45" s="169" t="str">
        <f t="shared" si="97"/>
        <v>NA</v>
      </c>
      <c r="AK45" s="255" t="str">
        <f t="shared" si="98"/>
        <v>-</v>
      </c>
      <c r="AL45" s="256" t="str">
        <f t="shared" si="99"/>
        <v>-</v>
      </c>
      <c r="AM45" s="256" t="str">
        <f t="shared" si="100"/>
        <v>-</v>
      </c>
      <c r="AN45" s="256" t="str">
        <f t="shared" si="101"/>
        <v>-</v>
      </c>
      <c r="AO45" s="264" t="str">
        <f t="shared" si="102"/>
        <v>-</v>
      </c>
      <c r="AP45" s="265" t="str">
        <f t="shared" si="103"/>
        <v>-</v>
      </c>
      <c r="AQ45" s="256" t="str">
        <f t="shared" si="104"/>
        <v>-</v>
      </c>
      <c r="AR45" s="256" t="str">
        <f t="shared" si="105"/>
        <v>-</v>
      </c>
      <c r="AS45" s="256" t="str">
        <f t="shared" si="106"/>
        <v>-</v>
      </c>
      <c r="AT45" s="257" t="str">
        <f t="shared" si="107"/>
        <v>-</v>
      </c>
      <c r="AU45" s="255" t="str">
        <f t="shared" si="108"/>
        <v>-</v>
      </c>
      <c r="AV45" s="256" t="str">
        <f t="shared" si="109"/>
        <v>-</v>
      </c>
      <c r="AW45" s="256" t="str">
        <f t="shared" si="110"/>
        <v>-</v>
      </c>
      <c r="AX45" s="256" t="str">
        <f t="shared" si="111"/>
        <v>-</v>
      </c>
      <c r="AY45" s="264" t="str">
        <f t="shared" si="112"/>
        <v>-</v>
      </c>
      <c r="AZ45" s="265" t="str">
        <f t="shared" si="113"/>
        <v>-</v>
      </c>
      <c r="BA45" s="256" t="str">
        <f t="shared" si="114"/>
        <v>-</v>
      </c>
      <c r="BB45" s="256" t="str">
        <f t="shared" si="115"/>
        <v>-</v>
      </c>
      <c r="BC45" s="256" t="str">
        <f t="shared" si="116"/>
        <v>-</v>
      </c>
      <c r="BD45" s="257" t="str">
        <f t="shared" si="117"/>
        <v>-</v>
      </c>
      <c r="BE45" s="255" t="str">
        <f t="shared" si="118"/>
        <v>-</v>
      </c>
      <c r="BF45" s="256" t="str">
        <f t="shared" si="119"/>
        <v>-</v>
      </c>
      <c r="BG45" s="256" t="str">
        <f t="shared" si="120"/>
        <v>-</v>
      </c>
      <c r="BH45" s="256" t="str">
        <f t="shared" si="121"/>
        <v>-</v>
      </c>
      <c r="BI45" s="264" t="str">
        <f t="shared" si="122"/>
        <v>-</v>
      </c>
      <c r="BJ45" s="265" t="str">
        <f t="shared" si="123"/>
        <v>-</v>
      </c>
      <c r="BK45" s="256" t="str">
        <f t="shared" si="124"/>
        <v>-</v>
      </c>
      <c r="BL45" s="256" t="str">
        <f t="shared" si="125"/>
        <v>-</v>
      </c>
      <c r="BM45" s="256" t="str">
        <f t="shared" si="126"/>
        <v>-</v>
      </c>
      <c r="BN45" s="257" t="str">
        <f t="shared" si="127"/>
        <v>-</v>
      </c>
    </row>
    <row r="46" spans="2:66">
      <c r="B46" s="275" t="s">
        <v>84</v>
      </c>
      <c r="C46" s="368" t="str">
        <f t="shared" ca="1" si="64"/>
        <v>-</v>
      </c>
      <c r="D46" s="245" t="str">
        <f t="shared" si="65"/>
        <v>NA</v>
      </c>
      <c r="E46" s="246" t="str">
        <f t="shared" si="66"/>
        <v>NA</v>
      </c>
      <c r="F46" s="284" t="str">
        <f t="shared" si="67"/>
        <v>NA</v>
      </c>
      <c r="G46" s="247" t="str">
        <f t="shared" si="68"/>
        <v>NA</v>
      </c>
      <c r="H46" s="245" t="str">
        <f t="shared" si="69"/>
        <v>-</v>
      </c>
      <c r="I46" s="246" t="str">
        <f t="shared" si="70"/>
        <v>-</v>
      </c>
      <c r="J46" s="247" t="str">
        <f t="shared" si="71"/>
        <v>-</v>
      </c>
      <c r="K46" s="252" t="str">
        <f t="shared" si="72"/>
        <v>-</v>
      </c>
      <c r="L46" s="253" t="str">
        <f t="shared" si="73"/>
        <v>-</v>
      </c>
      <c r="M46" s="253" t="str">
        <f t="shared" si="74"/>
        <v>-</v>
      </c>
      <c r="N46" s="253" t="str">
        <f t="shared" si="75"/>
        <v>-</v>
      </c>
      <c r="O46" s="253" t="str">
        <f t="shared" si="76"/>
        <v>-</v>
      </c>
      <c r="P46" s="262" t="str">
        <f t="shared" si="77"/>
        <v>-</v>
      </c>
      <c r="Q46" s="263" t="str">
        <f t="shared" si="78"/>
        <v>-</v>
      </c>
      <c r="R46" s="253" t="str">
        <f t="shared" si="79"/>
        <v>-</v>
      </c>
      <c r="S46" s="253" t="str">
        <f t="shared" si="80"/>
        <v>-</v>
      </c>
      <c r="T46" s="253" t="str">
        <f t="shared" si="81"/>
        <v>-</v>
      </c>
      <c r="U46" s="253" t="str">
        <f t="shared" si="82"/>
        <v>-</v>
      </c>
      <c r="V46" s="254" t="str">
        <f t="shared" si="83"/>
        <v>-</v>
      </c>
      <c r="W46" s="284" t="str">
        <f t="shared" si="84"/>
        <v>-</v>
      </c>
      <c r="X46" s="246" t="str">
        <f t="shared" si="85"/>
        <v>-</v>
      </c>
      <c r="Y46" s="246" t="str">
        <f t="shared" si="86"/>
        <v>-</v>
      </c>
      <c r="Z46" s="246" t="str">
        <f t="shared" si="87"/>
        <v>-</v>
      </c>
      <c r="AA46" s="246" t="str">
        <f t="shared" si="88"/>
        <v>-</v>
      </c>
      <c r="AB46" s="328" t="str">
        <f t="shared" si="89"/>
        <v>NA</v>
      </c>
      <c r="AC46" s="314" t="str">
        <f t="shared" si="90"/>
        <v>NA</v>
      </c>
      <c r="AD46" s="245" t="str">
        <f t="shared" si="91"/>
        <v>-</v>
      </c>
      <c r="AE46" s="246" t="str">
        <f t="shared" si="92"/>
        <v>-</v>
      </c>
      <c r="AF46" s="246" t="str">
        <f t="shared" si="93"/>
        <v>-</v>
      </c>
      <c r="AG46" s="246" t="str">
        <f t="shared" si="94"/>
        <v>-</v>
      </c>
      <c r="AH46" s="246" t="str">
        <f t="shared" si="95"/>
        <v>-</v>
      </c>
      <c r="AI46" s="328" t="str">
        <f t="shared" si="96"/>
        <v>NA</v>
      </c>
      <c r="AJ46" s="247" t="str">
        <f t="shared" si="97"/>
        <v>NA</v>
      </c>
      <c r="AK46" s="252" t="str">
        <f t="shared" si="98"/>
        <v>-</v>
      </c>
      <c r="AL46" s="253" t="str">
        <f t="shared" si="99"/>
        <v>-</v>
      </c>
      <c r="AM46" s="253" t="str">
        <f t="shared" si="100"/>
        <v>-</v>
      </c>
      <c r="AN46" s="253" t="str">
        <f t="shared" si="101"/>
        <v>-</v>
      </c>
      <c r="AO46" s="262" t="str">
        <f t="shared" si="102"/>
        <v>-</v>
      </c>
      <c r="AP46" s="263" t="str">
        <f t="shared" si="103"/>
        <v>-</v>
      </c>
      <c r="AQ46" s="253" t="str">
        <f t="shared" si="104"/>
        <v>-</v>
      </c>
      <c r="AR46" s="253" t="str">
        <f t="shared" si="105"/>
        <v>-</v>
      </c>
      <c r="AS46" s="253" t="str">
        <f t="shared" si="106"/>
        <v>-</v>
      </c>
      <c r="AT46" s="254" t="str">
        <f t="shared" si="107"/>
        <v>-</v>
      </c>
      <c r="AU46" s="252" t="str">
        <f t="shared" si="108"/>
        <v>-</v>
      </c>
      <c r="AV46" s="253" t="str">
        <f t="shared" si="109"/>
        <v>-</v>
      </c>
      <c r="AW46" s="253" t="str">
        <f t="shared" si="110"/>
        <v>-</v>
      </c>
      <c r="AX46" s="253" t="str">
        <f t="shared" si="111"/>
        <v>-</v>
      </c>
      <c r="AY46" s="262" t="str">
        <f t="shared" si="112"/>
        <v>-</v>
      </c>
      <c r="AZ46" s="263" t="str">
        <f t="shared" si="113"/>
        <v>-</v>
      </c>
      <c r="BA46" s="253" t="str">
        <f t="shared" si="114"/>
        <v>-</v>
      </c>
      <c r="BB46" s="253" t="str">
        <f t="shared" si="115"/>
        <v>-</v>
      </c>
      <c r="BC46" s="253" t="str">
        <f t="shared" si="116"/>
        <v>-</v>
      </c>
      <c r="BD46" s="254" t="str">
        <f t="shared" si="117"/>
        <v>-</v>
      </c>
      <c r="BE46" s="252" t="str">
        <f t="shared" si="118"/>
        <v>-</v>
      </c>
      <c r="BF46" s="253" t="str">
        <f t="shared" si="119"/>
        <v>-</v>
      </c>
      <c r="BG46" s="253" t="str">
        <f t="shared" si="120"/>
        <v>-</v>
      </c>
      <c r="BH46" s="253" t="str">
        <f t="shared" si="121"/>
        <v>-</v>
      </c>
      <c r="BI46" s="262" t="str">
        <f t="shared" si="122"/>
        <v>-</v>
      </c>
      <c r="BJ46" s="263" t="str">
        <f t="shared" si="123"/>
        <v>-</v>
      </c>
      <c r="BK46" s="253" t="str">
        <f t="shared" si="124"/>
        <v>-</v>
      </c>
      <c r="BL46" s="253" t="str">
        <f t="shared" si="125"/>
        <v>-</v>
      </c>
      <c r="BM46" s="253" t="str">
        <f t="shared" si="126"/>
        <v>-</v>
      </c>
      <c r="BN46" s="254" t="str">
        <f t="shared" si="127"/>
        <v>-</v>
      </c>
    </row>
    <row r="47" spans="2:66">
      <c r="B47" s="274" t="s">
        <v>85</v>
      </c>
      <c r="C47" s="367" t="str">
        <f t="shared" ca="1" si="64"/>
        <v>-</v>
      </c>
      <c r="D47" s="168" t="str">
        <f t="shared" si="65"/>
        <v>NA</v>
      </c>
      <c r="E47" s="248" t="str">
        <f t="shared" si="66"/>
        <v>NA</v>
      </c>
      <c r="F47" s="285" t="str">
        <f t="shared" si="67"/>
        <v>NA</v>
      </c>
      <c r="G47" s="169" t="str">
        <f t="shared" si="68"/>
        <v>NA</v>
      </c>
      <c r="H47" s="168" t="str">
        <f t="shared" si="69"/>
        <v>-</v>
      </c>
      <c r="I47" s="248" t="str">
        <f t="shared" si="70"/>
        <v>-</v>
      </c>
      <c r="J47" s="169" t="str">
        <f t="shared" si="71"/>
        <v>-</v>
      </c>
      <c r="K47" s="255" t="str">
        <f t="shared" si="72"/>
        <v>-</v>
      </c>
      <c r="L47" s="256" t="str">
        <f t="shared" si="73"/>
        <v>-</v>
      </c>
      <c r="M47" s="256" t="str">
        <f t="shared" si="74"/>
        <v>-</v>
      </c>
      <c r="N47" s="256" t="str">
        <f t="shared" si="75"/>
        <v>-</v>
      </c>
      <c r="O47" s="256" t="str">
        <f t="shared" si="76"/>
        <v>-</v>
      </c>
      <c r="P47" s="264" t="str">
        <f t="shared" si="77"/>
        <v>-</v>
      </c>
      <c r="Q47" s="265" t="str">
        <f t="shared" si="78"/>
        <v>-</v>
      </c>
      <c r="R47" s="256" t="str">
        <f t="shared" si="79"/>
        <v>-</v>
      </c>
      <c r="S47" s="256" t="str">
        <f t="shared" si="80"/>
        <v>-</v>
      </c>
      <c r="T47" s="256" t="str">
        <f t="shared" si="81"/>
        <v>-</v>
      </c>
      <c r="U47" s="256" t="str">
        <f t="shared" si="82"/>
        <v>-</v>
      </c>
      <c r="V47" s="257" t="str">
        <f t="shared" si="83"/>
        <v>-</v>
      </c>
      <c r="W47" s="285" t="str">
        <f t="shared" si="84"/>
        <v>-</v>
      </c>
      <c r="X47" s="248" t="str">
        <f t="shared" si="85"/>
        <v>-</v>
      </c>
      <c r="Y47" s="248" t="str">
        <f t="shared" si="86"/>
        <v>-</v>
      </c>
      <c r="Z47" s="248" t="str">
        <f t="shared" si="87"/>
        <v>-</v>
      </c>
      <c r="AA47" s="248" t="str">
        <f t="shared" si="88"/>
        <v>-</v>
      </c>
      <c r="AB47" s="329" t="str">
        <f t="shared" si="89"/>
        <v>NA</v>
      </c>
      <c r="AC47" s="315" t="str">
        <f t="shared" si="90"/>
        <v>NA</v>
      </c>
      <c r="AD47" s="168" t="str">
        <f t="shared" si="91"/>
        <v>-</v>
      </c>
      <c r="AE47" s="248" t="str">
        <f t="shared" si="92"/>
        <v>-</v>
      </c>
      <c r="AF47" s="248" t="str">
        <f t="shared" si="93"/>
        <v>-</v>
      </c>
      <c r="AG47" s="248" t="str">
        <f t="shared" si="94"/>
        <v>-</v>
      </c>
      <c r="AH47" s="248" t="str">
        <f t="shared" si="95"/>
        <v>-</v>
      </c>
      <c r="AI47" s="329" t="str">
        <f t="shared" si="96"/>
        <v>NA</v>
      </c>
      <c r="AJ47" s="169" t="str">
        <f t="shared" si="97"/>
        <v>NA</v>
      </c>
      <c r="AK47" s="255" t="str">
        <f t="shared" si="98"/>
        <v>-</v>
      </c>
      <c r="AL47" s="256" t="str">
        <f t="shared" si="99"/>
        <v>-</v>
      </c>
      <c r="AM47" s="256" t="str">
        <f t="shared" si="100"/>
        <v>-</v>
      </c>
      <c r="AN47" s="256" t="str">
        <f t="shared" si="101"/>
        <v>-</v>
      </c>
      <c r="AO47" s="264" t="str">
        <f t="shared" si="102"/>
        <v>-</v>
      </c>
      <c r="AP47" s="265" t="str">
        <f t="shared" si="103"/>
        <v>-</v>
      </c>
      <c r="AQ47" s="256" t="str">
        <f t="shared" si="104"/>
        <v>-</v>
      </c>
      <c r="AR47" s="256" t="str">
        <f t="shared" si="105"/>
        <v>-</v>
      </c>
      <c r="AS47" s="256" t="str">
        <f t="shared" si="106"/>
        <v>-</v>
      </c>
      <c r="AT47" s="257" t="str">
        <f t="shared" si="107"/>
        <v>-</v>
      </c>
      <c r="AU47" s="255" t="str">
        <f t="shared" si="108"/>
        <v>-</v>
      </c>
      <c r="AV47" s="256" t="str">
        <f t="shared" si="109"/>
        <v>-</v>
      </c>
      <c r="AW47" s="256" t="str">
        <f t="shared" si="110"/>
        <v>-</v>
      </c>
      <c r="AX47" s="256" t="str">
        <f t="shared" si="111"/>
        <v>-</v>
      </c>
      <c r="AY47" s="264" t="str">
        <f t="shared" si="112"/>
        <v>-</v>
      </c>
      <c r="AZ47" s="265" t="str">
        <f t="shared" si="113"/>
        <v>-</v>
      </c>
      <c r="BA47" s="256" t="str">
        <f t="shared" si="114"/>
        <v>-</v>
      </c>
      <c r="BB47" s="256" t="str">
        <f t="shared" si="115"/>
        <v>-</v>
      </c>
      <c r="BC47" s="256" t="str">
        <f t="shared" si="116"/>
        <v>-</v>
      </c>
      <c r="BD47" s="257" t="str">
        <f t="shared" si="117"/>
        <v>-</v>
      </c>
      <c r="BE47" s="255" t="str">
        <f t="shared" si="118"/>
        <v>-</v>
      </c>
      <c r="BF47" s="256" t="str">
        <f t="shared" si="119"/>
        <v>-</v>
      </c>
      <c r="BG47" s="256" t="str">
        <f t="shared" si="120"/>
        <v>-</v>
      </c>
      <c r="BH47" s="256" t="str">
        <f t="shared" si="121"/>
        <v>-</v>
      </c>
      <c r="BI47" s="264" t="str">
        <f t="shared" si="122"/>
        <v>-</v>
      </c>
      <c r="BJ47" s="265" t="str">
        <f t="shared" si="123"/>
        <v>-</v>
      </c>
      <c r="BK47" s="256" t="str">
        <f t="shared" si="124"/>
        <v>-</v>
      </c>
      <c r="BL47" s="256" t="str">
        <f t="shared" si="125"/>
        <v>-</v>
      </c>
      <c r="BM47" s="256" t="str">
        <f t="shared" si="126"/>
        <v>-</v>
      </c>
      <c r="BN47" s="257" t="str">
        <f t="shared" si="127"/>
        <v>-</v>
      </c>
    </row>
    <row r="48" spans="2:66">
      <c r="B48" s="293" t="s">
        <v>86</v>
      </c>
      <c r="C48" s="370" t="str">
        <f t="shared" ca="1" si="64"/>
        <v>-</v>
      </c>
      <c r="D48" s="294" t="str">
        <f t="shared" si="65"/>
        <v>NA</v>
      </c>
      <c r="E48" s="295" t="str">
        <f t="shared" si="66"/>
        <v>NA</v>
      </c>
      <c r="F48" s="296" t="str">
        <f t="shared" si="67"/>
        <v>NA</v>
      </c>
      <c r="G48" s="297" t="str">
        <f t="shared" si="68"/>
        <v>NA</v>
      </c>
      <c r="H48" s="294" t="str">
        <f t="shared" si="69"/>
        <v>-</v>
      </c>
      <c r="I48" s="295" t="str">
        <f t="shared" si="70"/>
        <v>-</v>
      </c>
      <c r="J48" s="297" t="str">
        <f t="shared" si="71"/>
        <v>-</v>
      </c>
      <c r="K48" s="298" t="str">
        <f t="shared" si="72"/>
        <v>-</v>
      </c>
      <c r="L48" s="299" t="str">
        <f t="shared" si="73"/>
        <v>-</v>
      </c>
      <c r="M48" s="299" t="str">
        <f t="shared" si="74"/>
        <v>-</v>
      </c>
      <c r="N48" s="299" t="str">
        <f t="shared" si="75"/>
        <v>-</v>
      </c>
      <c r="O48" s="299" t="str">
        <f t="shared" si="76"/>
        <v>-</v>
      </c>
      <c r="P48" s="300" t="str">
        <f t="shared" si="77"/>
        <v>-</v>
      </c>
      <c r="Q48" s="301" t="str">
        <f t="shared" si="78"/>
        <v>-</v>
      </c>
      <c r="R48" s="299" t="str">
        <f t="shared" si="79"/>
        <v>-</v>
      </c>
      <c r="S48" s="299" t="str">
        <f t="shared" si="80"/>
        <v>-</v>
      </c>
      <c r="T48" s="299" t="str">
        <f t="shared" si="81"/>
        <v>-</v>
      </c>
      <c r="U48" s="299" t="str">
        <f t="shared" si="82"/>
        <v>-</v>
      </c>
      <c r="V48" s="302" t="str">
        <f t="shared" si="83"/>
        <v>-</v>
      </c>
      <c r="W48" s="296" t="str">
        <f t="shared" si="84"/>
        <v>-</v>
      </c>
      <c r="X48" s="295" t="str">
        <f t="shared" si="85"/>
        <v>-</v>
      </c>
      <c r="Y48" s="295" t="str">
        <f t="shared" si="86"/>
        <v>-</v>
      </c>
      <c r="Z48" s="295" t="str">
        <f t="shared" si="87"/>
        <v>-</v>
      </c>
      <c r="AA48" s="295" t="str">
        <f t="shared" si="88"/>
        <v>-</v>
      </c>
      <c r="AB48" s="331" t="str">
        <f t="shared" si="89"/>
        <v>NA</v>
      </c>
      <c r="AC48" s="317" t="str">
        <f t="shared" si="90"/>
        <v>NA</v>
      </c>
      <c r="AD48" s="294" t="str">
        <f t="shared" si="91"/>
        <v>-</v>
      </c>
      <c r="AE48" s="295" t="str">
        <f t="shared" si="92"/>
        <v>-</v>
      </c>
      <c r="AF48" s="295" t="str">
        <f t="shared" si="93"/>
        <v>-</v>
      </c>
      <c r="AG48" s="295" t="str">
        <f t="shared" si="94"/>
        <v>-</v>
      </c>
      <c r="AH48" s="295" t="str">
        <f t="shared" si="95"/>
        <v>-</v>
      </c>
      <c r="AI48" s="331" t="str">
        <f t="shared" si="96"/>
        <v>NA</v>
      </c>
      <c r="AJ48" s="297" t="str">
        <f t="shared" si="97"/>
        <v>NA</v>
      </c>
      <c r="AK48" s="298" t="str">
        <f t="shared" si="98"/>
        <v>-</v>
      </c>
      <c r="AL48" s="299" t="str">
        <f t="shared" si="99"/>
        <v>-</v>
      </c>
      <c r="AM48" s="299" t="str">
        <f t="shared" si="100"/>
        <v>-</v>
      </c>
      <c r="AN48" s="299" t="str">
        <f t="shared" si="101"/>
        <v>-</v>
      </c>
      <c r="AO48" s="300" t="str">
        <f t="shared" si="102"/>
        <v>-</v>
      </c>
      <c r="AP48" s="301" t="str">
        <f t="shared" si="103"/>
        <v>-</v>
      </c>
      <c r="AQ48" s="299" t="str">
        <f t="shared" si="104"/>
        <v>-</v>
      </c>
      <c r="AR48" s="299" t="str">
        <f t="shared" si="105"/>
        <v>-</v>
      </c>
      <c r="AS48" s="299" t="str">
        <f t="shared" si="106"/>
        <v>-</v>
      </c>
      <c r="AT48" s="302" t="str">
        <f t="shared" si="107"/>
        <v>-</v>
      </c>
      <c r="AU48" s="298" t="str">
        <f t="shared" si="108"/>
        <v>-</v>
      </c>
      <c r="AV48" s="299" t="str">
        <f t="shared" si="109"/>
        <v>-</v>
      </c>
      <c r="AW48" s="299" t="str">
        <f t="shared" si="110"/>
        <v>-</v>
      </c>
      <c r="AX48" s="299" t="str">
        <f t="shared" si="111"/>
        <v>-</v>
      </c>
      <c r="AY48" s="300" t="str">
        <f t="shared" si="112"/>
        <v>-</v>
      </c>
      <c r="AZ48" s="301" t="str">
        <f t="shared" si="113"/>
        <v>-</v>
      </c>
      <c r="BA48" s="299" t="str">
        <f t="shared" si="114"/>
        <v>-</v>
      </c>
      <c r="BB48" s="299" t="str">
        <f t="shared" si="115"/>
        <v>-</v>
      </c>
      <c r="BC48" s="299" t="str">
        <f t="shared" si="116"/>
        <v>-</v>
      </c>
      <c r="BD48" s="302" t="str">
        <f t="shared" si="117"/>
        <v>-</v>
      </c>
      <c r="BE48" s="298" t="str">
        <f t="shared" si="118"/>
        <v>-</v>
      </c>
      <c r="BF48" s="299" t="str">
        <f t="shared" si="119"/>
        <v>-</v>
      </c>
      <c r="BG48" s="299" t="str">
        <f t="shared" si="120"/>
        <v>-</v>
      </c>
      <c r="BH48" s="299" t="str">
        <f t="shared" si="121"/>
        <v>-</v>
      </c>
      <c r="BI48" s="300" t="str">
        <f t="shared" si="122"/>
        <v>-</v>
      </c>
      <c r="BJ48" s="301" t="str">
        <f t="shared" si="123"/>
        <v>-</v>
      </c>
      <c r="BK48" s="299" t="str">
        <f t="shared" si="124"/>
        <v>-</v>
      </c>
      <c r="BL48" s="299" t="str">
        <f t="shared" si="125"/>
        <v>-</v>
      </c>
      <c r="BM48" s="299" t="str">
        <f t="shared" si="126"/>
        <v>-</v>
      </c>
      <c r="BN48" s="302" t="str">
        <f t="shared" si="127"/>
        <v>-</v>
      </c>
    </row>
    <row r="49" spans="2:78">
      <c r="B49" s="303" t="s">
        <v>87</v>
      </c>
      <c r="C49" s="371" t="str">
        <f t="shared" ca="1" si="64"/>
        <v>-</v>
      </c>
      <c r="D49" s="304" t="str">
        <f t="shared" si="65"/>
        <v>NA</v>
      </c>
      <c r="E49" s="305" t="str">
        <f t="shared" si="66"/>
        <v>NA</v>
      </c>
      <c r="F49" s="306" t="str">
        <f t="shared" si="67"/>
        <v>NA</v>
      </c>
      <c r="G49" s="307" t="str">
        <f t="shared" si="68"/>
        <v>NA</v>
      </c>
      <c r="H49" s="304" t="str">
        <f t="shared" si="69"/>
        <v>-</v>
      </c>
      <c r="I49" s="305" t="str">
        <f t="shared" si="70"/>
        <v>-</v>
      </c>
      <c r="J49" s="307" t="str">
        <f t="shared" si="71"/>
        <v>-</v>
      </c>
      <c r="K49" s="308" t="str">
        <f t="shared" si="72"/>
        <v>-</v>
      </c>
      <c r="L49" s="309" t="str">
        <f t="shared" si="73"/>
        <v>-</v>
      </c>
      <c r="M49" s="309" t="str">
        <f t="shared" si="74"/>
        <v>-</v>
      </c>
      <c r="N49" s="309" t="str">
        <f t="shared" si="75"/>
        <v>-</v>
      </c>
      <c r="O49" s="309" t="str">
        <f t="shared" si="76"/>
        <v>-</v>
      </c>
      <c r="P49" s="310" t="str">
        <f t="shared" si="77"/>
        <v>-</v>
      </c>
      <c r="Q49" s="311" t="str">
        <f t="shared" si="78"/>
        <v>-</v>
      </c>
      <c r="R49" s="309" t="str">
        <f t="shared" si="79"/>
        <v>-</v>
      </c>
      <c r="S49" s="309" t="str">
        <f t="shared" si="80"/>
        <v>-</v>
      </c>
      <c r="T49" s="309" t="str">
        <f t="shared" si="81"/>
        <v>-</v>
      </c>
      <c r="U49" s="309" t="str">
        <f t="shared" si="82"/>
        <v>-</v>
      </c>
      <c r="V49" s="312" t="str">
        <f t="shared" si="83"/>
        <v>-</v>
      </c>
      <c r="W49" s="306" t="str">
        <f t="shared" si="84"/>
        <v>-</v>
      </c>
      <c r="X49" s="305" t="str">
        <f t="shared" si="85"/>
        <v>-</v>
      </c>
      <c r="Y49" s="305" t="str">
        <f t="shared" si="86"/>
        <v>-</v>
      </c>
      <c r="Z49" s="305" t="str">
        <f t="shared" si="87"/>
        <v>-</v>
      </c>
      <c r="AA49" s="305" t="str">
        <f t="shared" si="88"/>
        <v>-</v>
      </c>
      <c r="AB49" s="332" t="str">
        <f t="shared" si="89"/>
        <v>NA</v>
      </c>
      <c r="AC49" s="318" t="str">
        <f t="shared" si="90"/>
        <v>NA</v>
      </c>
      <c r="AD49" s="304" t="str">
        <f t="shared" si="91"/>
        <v>-</v>
      </c>
      <c r="AE49" s="305" t="str">
        <f t="shared" si="92"/>
        <v>-</v>
      </c>
      <c r="AF49" s="305" t="str">
        <f t="shared" si="93"/>
        <v>-</v>
      </c>
      <c r="AG49" s="305" t="str">
        <f t="shared" si="94"/>
        <v>-</v>
      </c>
      <c r="AH49" s="305" t="str">
        <f t="shared" si="95"/>
        <v>-</v>
      </c>
      <c r="AI49" s="332" t="str">
        <f t="shared" si="96"/>
        <v>NA</v>
      </c>
      <c r="AJ49" s="307" t="str">
        <f t="shared" si="97"/>
        <v>NA</v>
      </c>
      <c r="AK49" s="308" t="str">
        <f t="shared" si="98"/>
        <v>-</v>
      </c>
      <c r="AL49" s="309" t="str">
        <f t="shared" si="99"/>
        <v>-</v>
      </c>
      <c r="AM49" s="309" t="str">
        <f t="shared" si="100"/>
        <v>-</v>
      </c>
      <c r="AN49" s="309" t="str">
        <f t="shared" si="101"/>
        <v>-</v>
      </c>
      <c r="AO49" s="310" t="str">
        <f t="shared" si="102"/>
        <v>-</v>
      </c>
      <c r="AP49" s="311" t="str">
        <f t="shared" si="103"/>
        <v>-</v>
      </c>
      <c r="AQ49" s="309" t="str">
        <f t="shared" si="104"/>
        <v>-</v>
      </c>
      <c r="AR49" s="309" t="str">
        <f t="shared" si="105"/>
        <v>-</v>
      </c>
      <c r="AS49" s="309" t="str">
        <f t="shared" si="106"/>
        <v>-</v>
      </c>
      <c r="AT49" s="312" t="str">
        <f t="shared" si="107"/>
        <v>-</v>
      </c>
      <c r="AU49" s="308" t="str">
        <f t="shared" si="108"/>
        <v>-</v>
      </c>
      <c r="AV49" s="309" t="str">
        <f t="shared" si="109"/>
        <v>-</v>
      </c>
      <c r="AW49" s="309" t="str">
        <f t="shared" si="110"/>
        <v>-</v>
      </c>
      <c r="AX49" s="309" t="str">
        <f t="shared" si="111"/>
        <v>-</v>
      </c>
      <c r="AY49" s="310" t="str">
        <f t="shared" si="112"/>
        <v>-</v>
      </c>
      <c r="AZ49" s="311" t="str">
        <f t="shared" si="113"/>
        <v>-</v>
      </c>
      <c r="BA49" s="309" t="str">
        <f t="shared" si="114"/>
        <v>-</v>
      </c>
      <c r="BB49" s="309" t="str">
        <f t="shared" si="115"/>
        <v>-</v>
      </c>
      <c r="BC49" s="309" t="str">
        <f t="shared" si="116"/>
        <v>-</v>
      </c>
      <c r="BD49" s="312" t="str">
        <f t="shared" si="117"/>
        <v>-</v>
      </c>
      <c r="BE49" s="308" t="str">
        <f t="shared" si="118"/>
        <v>-</v>
      </c>
      <c r="BF49" s="309" t="str">
        <f t="shared" si="119"/>
        <v>-</v>
      </c>
      <c r="BG49" s="309" t="str">
        <f t="shared" si="120"/>
        <v>-</v>
      </c>
      <c r="BH49" s="309" t="str">
        <f t="shared" si="121"/>
        <v>-</v>
      </c>
      <c r="BI49" s="310" t="str">
        <f t="shared" si="122"/>
        <v>-</v>
      </c>
      <c r="BJ49" s="311" t="str">
        <f t="shared" si="123"/>
        <v>-</v>
      </c>
      <c r="BK49" s="309" t="str">
        <f t="shared" si="124"/>
        <v>-</v>
      </c>
      <c r="BL49" s="309" t="str">
        <f t="shared" si="125"/>
        <v>-</v>
      </c>
      <c r="BM49" s="309" t="str">
        <f t="shared" si="126"/>
        <v>-</v>
      </c>
      <c r="BN49" s="312" t="str">
        <f t="shared" si="127"/>
        <v>-</v>
      </c>
    </row>
    <row r="50" spans="2:78">
      <c r="B50" s="275" t="s">
        <v>88</v>
      </c>
      <c r="C50" s="368" t="str">
        <f t="shared" ca="1" si="64"/>
        <v>-</v>
      </c>
      <c r="D50" s="245" t="str">
        <f t="shared" si="65"/>
        <v>NA</v>
      </c>
      <c r="E50" s="246" t="str">
        <f t="shared" si="66"/>
        <v>NA</v>
      </c>
      <c r="F50" s="284" t="str">
        <f t="shared" si="67"/>
        <v>NA</v>
      </c>
      <c r="G50" s="247" t="str">
        <f t="shared" si="68"/>
        <v>NA</v>
      </c>
      <c r="H50" s="245" t="str">
        <f t="shared" si="69"/>
        <v>-</v>
      </c>
      <c r="I50" s="246" t="str">
        <f t="shared" si="70"/>
        <v>-</v>
      </c>
      <c r="J50" s="247" t="str">
        <f t="shared" si="71"/>
        <v>-</v>
      </c>
      <c r="K50" s="252" t="str">
        <f t="shared" si="72"/>
        <v>-</v>
      </c>
      <c r="L50" s="253" t="str">
        <f t="shared" si="73"/>
        <v>-</v>
      </c>
      <c r="M50" s="253" t="str">
        <f t="shared" si="74"/>
        <v>-</v>
      </c>
      <c r="N50" s="253" t="str">
        <f t="shared" si="75"/>
        <v>-</v>
      </c>
      <c r="O50" s="253" t="str">
        <f t="shared" si="76"/>
        <v>-</v>
      </c>
      <c r="P50" s="262" t="str">
        <f t="shared" si="77"/>
        <v>-</v>
      </c>
      <c r="Q50" s="263" t="str">
        <f t="shared" si="78"/>
        <v>-</v>
      </c>
      <c r="R50" s="253" t="str">
        <f t="shared" si="79"/>
        <v>-</v>
      </c>
      <c r="S50" s="253" t="str">
        <f t="shared" si="80"/>
        <v>-</v>
      </c>
      <c r="T50" s="253" t="str">
        <f t="shared" si="81"/>
        <v>-</v>
      </c>
      <c r="U50" s="253" t="str">
        <f t="shared" si="82"/>
        <v>-</v>
      </c>
      <c r="V50" s="254" t="str">
        <f t="shared" si="83"/>
        <v>-</v>
      </c>
      <c r="W50" s="284" t="str">
        <f t="shared" si="84"/>
        <v>-</v>
      </c>
      <c r="X50" s="246" t="str">
        <f t="shared" si="85"/>
        <v>-</v>
      </c>
      <c r="Y50" s="246" t="str">
        <f t="shared" si="86"/>
        <v>-</v>
      </c>
      <c r="Z50" s="246" t="str">
        <f t="shared" si="87"/>
        <v>-</v>
      </c>
      <c r="AA50" s="246" t="str">
        <f t="shared" si="88"/>
        <v>-</v>
      </c>
      <c r="AB50" s="328" t="str">
        <f t="shared" si="89"/>
        <v>NA</v>
      </c>
      <c r="AC50" s="314" t="str">
        <f t="shared" si="90"/>
        <v>NA</v>
      </c>
      <c r="AD50" s="245" t="str">
        <f t="shared" si="91"/>
        <v>-</v>
      </c>
      <c r="AE50" s="246" t="str">
        <f t="shared" si="92"/>
        <v>-</v>
      </c>
      <c r="AF50" s="246" t="str">
        <f t="shared" si="93"/>
        <v>-</v>
      </c>
      <c r="AG50" s="246" t="str">
        <f t="shared" si="94"/>
        <v>-</v>
      </c>
      <c r="AH50" s="246" t="str">
        <f t="shared" si="95"/>
        <v>-</v>
      </c>
      <c r="AI50" s="328" t="str">
        <f t="shared" si="96"/>
        <v>NA</v>
      </c>
      <c r="AJ50" s="247" t="str">
        <f t="shared" si="97"/>
        <v>NA</v>
      </c>
      <c r="AK50" s="252" t="str">
        <f t="shared" si="98"/>
        <v>-</v>
      </c>
      <c r="AL50" s="253" t="str">
        <f t="shared" si="99"/>
        <v>-</v>
      </c>
      <c r="AM50" s="253" t="str">
        <f t="shared" si="100"/>
        <v>-</v>
      </c>
      <c r="AN50" s="253" t="str">
        <f t="shared" si="101"/>
        <v>-</v>
      </c>
      <c r="AO50" s="262" t="str">
        <f t="shared" si="102"/>
        <v>-</v>
      </c>
      <c r="AP50" s="263" t="str">
        <f t="shared" si="103"/>
        <v>-</v>
      </c>
      <c r="AQ50" s="253" t="str">
        <f t="shared" si="104"/>
        <v>-</v>
      </c>
      <c r="AR50" s="253" t="str">
        <f t="shared" si="105"/>
        <v>-</v>
      </c>
      <c r="AS50" s="253" t="str">
        <f t="shared" si="106"/>
        <v>-</v>
      </c>
      <c r="AT50" s="254" t="str">
        <f t="shared" si="107"/>
        <v>-</v>
      </c>
      <c r="AU50" s="252" t="str">
        <f t="shared" si="108"/>
        <v>-</v>
      </c>
      <c r="AV50" s="253" t="str">
        <f t="shared" si="109"/>
        <v>-</v>
      </c>
      <c r="AW50" s="253" t="str">
        <f t="shared" si="110"/>
        <v>-</v>
      </c>
      <c r="AX50" s="253" t="str">
        <f t="shared" si="111"/>
        <v>-</v>
      </c>
      <c r="AY50" s="262" t="str">
        <f t="shared" si="112"/>
        <v>-</v>
      </c>
      <c r="AZ50" s="263" t="str">
        <f t="shared" si="113"/>
        <v>-</v>
      </c>
      <c r="BA50" s="253" t="str">
        <f t="shared" si="114"/>
        <v>-</v>
      </c>
      <c r="BB50" s="253" t="str">
        <f t="shared" si="115"/>
        <v>-</v>
      </c>
      <c r="BC50" s="253" t="str">
        <f t="shared" si="116"/>
        <v>-</v>
      </c>
      <c r="BD50" s="254" t="str">
        <f t="shared" si="117"/>
        <v>-</v>
      </c>
      <c r="BE50" s="252" t="str">
        <f t="shared" si="118"/>
        <v>-</v>
      </c>
      <c r="BF50" s="253" t="str">
        <f t="shared" si="119"/>
        <v>-</v>
      </c>
      <c r="BG50" s="253" t="str">
        <f t="shared" si="120"/>
        <v>-</v>
      </c>
      <c r="BH50" s="253" t="str">
        <f t="shared" si="121"/>
        <v>-</v>
      </c>
      <c r="BI50" s="262" t="str">
        <f t="shared" si="122"/>
        <v>-</v>
      </c>
      <c r="BJ50" s="263" t="str">
        <f t="shared" si="123"/>
        <v>-</v>
      </c>
      <c r="BK50" s="253" t="str">
        <f t="shared" si="124"/>
        <v>-</v>
      </c>
      <c r="BL50" s="253" t="str">
        <f t="shared" si="125"/>
        <v>-</v>
      </c>
      <c r="BM50" s="253" t="str">
        <f t="shared" si="126"/>
        <v>-</v>
      </c>
      <c r="BN50" s="254" t="str">
        <f t="shared" si="127"/>
        <v>-</v>
      </c>
    </row>
    <row r="51" spans="2:78">
      <c r="B51" s="274" t="s">
        <v>89</v>
      </c>
      <c r="C51" s="367" t="str">
        <f t="shared" ca="1" si="64"/>
        <v>-</v>
      </c>
      <c r="D51" s="168" t="str">
        <f t="shared" si="65"/>
        <v>NA</v>
      </c>
      <c r="E51" s="248" t="str">
        <f t="shared" si="66"/>
        <v>NA</v>
      </c>
      <c r="F51" s="285" t="str">
        <f t="shared" si="67"/>
        <v>NA</v>
      </c>
      <c r="G51" s="169" t="str">
        <f t="shared" si="68"/>
        <v>NA</v>
      </c>
      <c r="H51" s="168" t="str">
        <f t="shared" si="69"/>
        <v>-</v>
      </c>
      <c r="I51" s="248" t="str">
        <f t="shared" si="70"/>
        <v>-</v>
      </c>
      <c r="J51" s="169" t="str">
        <f t="shared" si="71"/>
        <v>-</v>
      </c>
      <c r="K51" s="255" t="str">
        <f t="shared" si="72"/>
        <v>-</v>
      </c>
      <c r="L51" s="256" t="str">
        <f t="shared" si="73"/>
        <v>-</v>
      </c>
      <c r="M51" s="256" t="str">
        <f t="shared" si="74"/>
        <v>-</v>
      </c>
      <c r="N51" s="256" t="str">
        <f t="shared" si="75"/>
        <v>-</v>
      </c>
      <c r="O51" s="256" t="str">
        <f t="shared" si="76"/>
        <v>-</v>
      </c>
      <c r="P51" s="264" t="str">
        <f t="shared" si="77"/>
        <v>-</v>
      </c>
      <c r="Q51" s="265" t="str">
        <f t="shared" si="78"/>
        <v>-</v>
      </c>
      <c r="R51" s="256" t="str">
        <f t="shared" si="79"/>
        <v>-</v>
      </c>
      <c r="S51" s="256" t="str">
        <f t="shared" si="80"/>
        <v>-</v>
      </c>
      <c r="T51" s="256" t="str">
        <f t="shared" si="81"/>
        <v>-</v>
      </c>
      <c r="U51" s="256" t="str">
        <f t="shared" si="82"/>
        <v>-</v>
      </c>
      <c r="V51" s="257" t="str">
        <f t="shared" si="83"/>
        <v>-</v>
      </c>
      <c r="W51" s="285" t="str">
        <f t="shared" si="84"/>
        <v>-</v>
      </c>
      <c r="X51" s="248" t="str">
        <f t="shared" si="85"/>
        <v>-</v>
      </c>
      <c r="Y51" s="248" t="str">
        <f t="shared" si="86"/>
        <v>-</v>
      </c>
      <c r="Z51" s="248" t="str">
        <f t="shared" si="87"/>
        <v>-</v>
      </c>
      <c r="AA51" s="248" t="str">
        <f t="shared" si="88"/>
        <v>-</v>
      </c>
      <c r="AB51" s="329" t="str">
        <f t="shared" si="89"/>
        <v>NA</v>
      </c>
      <c r="AC51" s="315" t="str">
        <f t="shared" si="90"/>
        <v>NA</v>
      </c>
      <c r="AD51" s="168" t="str">
        <f t="shared" si="91"/>
        <v>-</v>
      </c>
      <c r="AE51" s="248" t="str">
        <f t="shared" si="92"/>
        <v>-</v>
      </c>
      <c r="AF51" s="248" t="str">
        <f t="shared" si="93"/>
        <v>-</v>
      </c>
      <c r="AG51" s="248" t="str">
        <f t="shared" si="94"/>
        <v>-</v>
      </c>
      <c r="AH51" s="248" t="str">
        <f t="shared" si="95"/>
        <v>-</v>
      </c>
      <c r="AI51" s="329" t="str">
        <f t="shared" si="96"/>
        <v>NA</v>
      </c>
      <c r="AJ51" s="169" t="str">
        <f t="shared" si="97"/>
        <v>NA</v>
      </c>
      <c r="AK51" s="255" t="str">
        <f t="shared" si="98"/>
        <v>-</v>
      </c>
      <c r="AL51" s="256" t="str">
        <f t="shared" si="99"/>
        <v>-</v>
      </c>
      <c r="AM51" s="256" t="str">
        <f t="shared" si="100"/>
        <v>-</v>
      </c>
      <c r="AN51" s="256" t="str">
        <f t="shared" si="101"/>
        <v>-</v>
      </c>
      <c r="AO51" s="264" t="str">
        <f t="shared" si="102"/>
        <v>-</v>
      </c>
      <c r="AP51" s="265" t="str">
        <f t="shared" si="103"/>
        <v>-</v>
      </c>
      <c r="AQ51" s="256" t="str">
        <f t="shared" si="104"/>
        <v>-</v>
      </c>
      <c r="AR51" s="256" t="str">
        <f t="shared" si="105"/>
        <v>-</v>
      </c>
      <c r="AS51" s="256" t="str">
        <f t="shared" si="106"/>
        <v>-</v>
      </c>
      <c r="AT51" s="257" t="str">
        <f t="shared" si="107"/>
        <v>-</v>
      </c>
      <c r="AU51" s="255" t="str">
        <f t="shared" si="108"/>
        <v>-</v>
      </c>
      <c r="AV51" s="256" t="str">
        <f t="shared" si="109"/>
        <v>-</v>
      </c>
      <c r="AW51" s="256" t="str">
        <f t="shared" si="110"/>
        <v>-</v>
      </c>
      <c r="AX51" s="256" t="str">
        <f t="shared" si="111"/>
        <v>-</v>
      </c>
      <c r="AY51" s="264" t="str">
        <f t="shared" si="112"/>
        <v>-</v>
      </c>
      <c r="AZ51" s="265" t="str">
        <f t="shared" si="113"/>
        <v>-</v>
      </c>
      <c r="BA51" s="256" t="str">
        <f t="shared" si="114"/>
        <v>-</v>
      </c>
      <c r="BB51" s="256" t="str">
        <f t="shared" si="115"/>
        <v>-</v>
      </c>
      <c r="BC51" s="256" t="str">
        <f t="shared" si="116"/>
        <v>-</v>
      </c>
      <c r="BD51" s="257" t="str">
        <f t="shared" si="117"/>
        <v>-</v>
      </c>
      <c r="BE51" s="255" t="str">
        <f t="shared" si="118"/>
        <v>-</v>
      </c>
      <c r="BF51" s="256" t="str">
        <f t="shared" si="119"/>
        <v>-</v>
      </c>
      <c r="BG51" s="256" t="str">
        <f t="shared" si="120"/>
        <v>-</v>
      </c>
      <c r="BH51" s="256" t="str">
        <f t="shared" si="121"/>
        <v>-</v>
      </c>
      <c r="BI51" s="264" t="str">
        <f t="shared" si="122"/>
        <v>-</v>
      </c>
      <c r="BJ51" s="265" t="str">
        <f t="shared" si="123"/>
        <v>-</v>
      </c>
      <c r="BK51" s="256" t="str">
        <f t="shared" si="124"/>
        <v>-</v>
      </c>
      <c r="BL51" s="256" t="str">
        <f t="shared" si="125"/>
        <v>-</v>
      </c>
      <c r="BM51" s="256" t="str">
        <f t="shared" si="126"/>
        <v>-</v>
      </c>
      <c r="BN51" s="257" t="str">
        <f t="shared" si="127"/>
        <v>-</v>
      </c>
    </row>
    <row r="52" spans="2:78">
      <c r="B52" s="275" t="s">
        <v>90</v>
      </c>
      <c r="C52" s="368" t="str">
        <f t="shared" ca="1" si="64"/>
        <v>-</v>
      </c>
      <c r="D52" s="245" t="str">
        <f t="shared" si="65"/>
        <v>NA</v>
      </c>
      <c r="E52" s="246" t="str">
        <f t="shared" si="66"/>
        <v>NA</v>
      </c>
      <c r="F52" s="284" t="str">
        <f t="shared" si="67"/>
        <v>NA</v>
      </c>
      <c r="G52" s="247" t="str">
        <f t="shared" si="68"/>
        <v>NA</v>
      </c>
      <c r="H52" s="245" t="str">
        <f t="shared" si="69"/>
        <v>-</v>
      </c>
      <c r="I52" s="246" t="str">
        <f t="shared" si="70"/>
        <v>-</v>
      </c>
      <c r="J52" s="247" t="str">
        <f t="shared" si="71"/>
        <v>-</v>
      </c>
      <c r="K52" s="252" t="str">
        <f t="shared" si="72"/>
        <v>-</v>
      </c>
      <c r="L52" s="253" t="str">
        <f t="shared" si="73"/>
        <v>-</v>
      </c>
      <c r="M52" s="253" t="str">
        <f t="shared" si="74"/>
        <v>-</v>
      </c>
      <c r="N52" s="253" t="str">
        <f t="shared" si="75"/>
        <v>-</v>
      </c>
      <c r="O52" s="253" t="str">
        <f t="shared" si="76"/>
        <v>-</v>
      </c>
      <c r="P52" s="262" t="str">
        <f t="shared" si="77"/>
        <v>-</v>
      </c>
      <c r="Q52" s="263" t="str">
        <f t="shared" si="78"/>
        <v>-</v>
      </c>
      <c r="R52" s="253" t="str">
        <f t="shared" si="79"/>
        <v>-</v>
      </c>
      <c r="S52" s="253" t="str">
        <f t="shared" si="80"/>
        <v>-</v>
      </c>
      <c r="T52" s="253" t="str">
        <f t="shared" si="81"/>
        <v>-</v>
      </c>
      <c r="U52" s="253" t="str">
        <f t="shared" si="82"/>
        <v>-</v>
      </c>
      <c r="V52" s="254" t="str">
        <f t="shared" si="83"/>
        <v>-</v>
      </c>
      <c r="W52" s="284" t="str">
        <f t="shared" si="84"/>
        <v>-</v>
      </c>
      <c r="X52" s="246" t="str">
        <f t="shared" si="85"/>
        <v>-</v>
      </c>
      <c r="Y52" s="246" t="str">
        <f t="shared" si="86"/>
        <v>-</v>
      </c>
      <c r="Z52" s="246" t="str">
        <f t="shared" si="87"/>
        <v>-</v>
      </c>
      <c r="AA52" s="246" t="str">
        <f t="shared" si="88"/>
        <v>-</v>
      </c>
      <c r="AB52" s="328" t="str">
        <f t="shared" si="89"/>
        <v>NA</v>
      </c>
      <c r="AC52" s="314" t="str">
        <f t="shared" si="90"/>
        <v>NA</v>
      </c>
      <c r="AD52" s="245" t="str">
        <f t="shared" si="91"/>
        <v>-</v>
      </c>
      <c r="AE52" s="246" t="str">
        <f t="shared" si="92"/>
        <v>-</v>
      </c>
      <c r="AF52" s="246" t="str">
        <f t="shared" si="93"/>
        <v>-</v>
      </c>
      <c r="AG52" s="246" t="str">
        <f t="shared" si="94"/>
        <v>-</v>
      </c>
      <c r="AH52" s="246" t="str">
        <f t="shared" si="95"/>
        <v>-</v>
      </c>
      <c r="AI52" s="328" t="str">
        <f t="shared" si="96"/>
        <v>NA</v>
      </c>
      <c r="AJ52" s="247" t="str">
        <f t="shared" si="97"/>
        <v>NA</v>
      </c>
      <c r="AK52" s="252" t="str">
        <f t="shared" si="98"/>
        <v>-</v>
      </c>
      <c r="AL52" s="253" t="str">
        <f t="shared" si="99"/>
        <v>-</v>
      </c>
      <c r="AM52" s="253" t="str">
        <f t="shared" si="100"/>
        <v>-</v>
      </c>
      <c r="AN52" s="253" t="str">
        <f t="shared" si="101"/>
        <v>-</v>
      </c>
      <c r="AO52" s="262" t="str">
        <f t="shared" si="102"/>
        <v>-</v>
      </c>
      <c r="AP52" s="263" t="str">
        <f t="shared" si="103"/>
        <v>-</v>
      </c>
      <c r="AQ52" s="253" t="str">
        <f t="shared" si="104"/>
        <v>-</v>
      </c>
      <c r="AR52" s="253" t="str">
        <f t="shared" si="105"/>
        <v>-</v>
      </c>
      <c r="AS52" s="253" t="str">
        <f t="shared" si="106"/>
        <v>-</v>
      </c>
      <c r="AT52" s="254" t="str">
        <f t="shared" si="107"/>
        <v>-</v>
      </c>
      <c r="AU52" s="252" t="str">
        <f t="shared" si="108"/>
        <v>-</v>
      </c>
      <c r="AV52" s="253" t="str">
        <f t="shared" si="109"/>
        <v>-</v>
      </c>
      <c r="AW52" s="253" t="str">
        <f t="shared" si="110"/>
        <v>-</v>
      </c>
      <c r="AX52" s="253" t="str">
        <f t="shared" si="111"/>
        <v>-</v>
      </c>
      <c r="AY52" s="262" t="str">
        <f t="shared" si="112"/>
        <v>-</v>
      </c>
      <c r="AZ52" s="263" t="str">
        <f t="shared" si="113"/>
        <v>-</v>
      </c>
      <c r="BA52" s="253" t="str">
        <f t="shared" si="114"/>
        <v>-</v>
      </c>
      <c r="BB52" s="253" t="str">
        <f t="shared" si="115"/>
        <v>-</v>
      </c>
      <c r="BC52" s="253" t="str">
        <f t="shared" si="116"/>
        <v>-</v>
      </c>
      <c r="BD52" s="254" t="str">
        <f t="shared" si="117"/>
        <v>-</v>
      </c>
      <c r="BE52" s="252" t="str">
        <f t="shared" si="118"/>
        <v>-</v>
      </c>
      <c r="BF52" s="253" t="str">
        <f t="shared" si="119"/>
        <v>-</v>
      </c>
      <c r="BG52" s="253" t="str">
        <f t="shared" si="120"/>
        <v>-</v>
      </c>
      <c r="BH52" s="253" t="str">
        <f t="shared" si="121"/>
        <v>-</v>
      </c>
      <c r="BI52" s="262" t="str">
        <f t="shared" si="122"/>
        <v>-</v>
      </c>
      <c r="BJ52" s="263" t="str">
        <f t="shared" si="123"/>
        <v>-</v>
      </c>
      <c r="BK52" s="253" t="str">
        <f t="shared" si="124"/>
        <v>-</v>
      </c>
      <c r="BL52" s="253" t="str">
        <f t="shared" si="125"/>
        <v>-</v>
      </c>
      <c r="BM52" s="253" t="str">
        <f t="shared" si="126"/>
        <v>-</v>
      </c>
      <c r="BN52" s="254" t="str">
        <f t="shared" si="127"/>
        <v>-</v>
      </c>
    </row>
    <row r="53" spans="2:78">
      <c r="B53" s="274" t="s">
        <v>91</v>
      </c>
      <c r="C53" s="367" t="str">
        <f t="shared" ca="1" si="64"/>
        <v>-</v>
      </c>
      <c r="D53" s="168" t="str">
        <f t="shared" si="65"/>
        <v>NA</v>
      </c>
      <c r="E53" s="248" t="str">
        <f t="shared" si="66"/>
        <v>NA</v>
      </c>
      <c r="F53" s="285" t="str">
        <f t="shared" si="67"/>
        <v>NA</v>
      </c>
      <c r="G53" s="169" t="str">
        <f t="shared" si="68"/>
        <v>NA</v>
      </c>
      <c r="H53" s="168" t="str">
        <f t="shared" si="69"/>
        <v>-</v>
      </c>
      <c r="I53" s="248" t="str">
        <f t="shared" si="70"/>
        <v>-</v>
      </c>
      <c r="J53" s="169" t="str">
        <f t="shared" si="71"/>
        <v>-</v>
      </c>
      <c r="K53" s="255" t="str">
        <f t="shared" si="72"/>
        <v>-</v>
      </c>
      <c r="L53" s="256" t="str">
        <f t="shared" si="73"/>
        <v>-</v>
      </c>
      <c r="M53" s="256" t="str">
        <f t="shared" si="74"/>
        <v>-</v>
      </c>
      <c r="N53" s="256" t="str">
        <f t="shared" si="75"/>
        <v>-</v>
      </c>
      <c r="O53" s="256" t="str">
        <f t="shared" si="76"/>
        <v>-</v>
      </c>
      <c r="P53" s="264" t="str">
        <f t="shared" si="77"/>
        <v>-</v>
      </c>
      <c r="Q53" s="265" t="str">
        <f t="shared" si="78"/>
        <v>-</v>
      </c>
      <c r="R53" s="256" t="str">
        <f t="shared" si="79"/>
        <v>-</v>
      </c>
      <c r="S53" s="256" t="str">
        <f t="shared" si="80"/>
        <v>-</v>
      </c>
      <c r="T53" s="256" t="str">
        <f t="shared" si="81"/>
        <v>-</v>
      </c>
      <c r="U53" s="256" t="str">
        <f t="shared" si="82"/>
        <v>-</v>
      </c>
      <c r="V53" s="257" t="str">
        <f t="shared" si="83"/>
        <v>-</v>
      </c>
      <c r="W53" s="285" t="str">
        <f t="shared" si="84"/>
        <v>-</v>
      </c>
      <c r="X53" s="248" t="str">
        <f t="shared" si="85"/>
        <v>-</v>
      </c>
      <c r="Y53" s="248" t="str">
        <f t="shared" si="86"/>
        <v>-</v>
      </c>
      <c r="Z53" s="248" t="str">
        <f t="shared" si="87"/>
        <v>-</v>
      </c>
      <c r="AA53" s="248" t="str">
        <f t="shared" si="88"/>
        <v>-</v>
      </c>
      <c r="AB53" s="329" t="str">
        <f t="shared" si="89"/>
        <v>NA</v>
      </c>
      <c r="AC53" s="315" t="str">
        <f t="shared" si="90"/>
        <v>NA</v>
      </c>
      <c r="AD53" s="168" t="str">
        <f t="shared" si="91"/>
        <v>-</v>
      </c>
      <c r="AE53" s="248" t="str">
        <f t="shared" si="92"/>
        <v>-</v>
      </c>
      <c r="AF53" s="248" t="str">
        <f t="shared" si="93"/>
        <v>-</v>
      </c>
      <c r="AG53" s="248" t="str">
        <f t="shared" si="94"/>
        <v>-</v>
      </c>
      <c r="AH53" s="248" t="str">
        <f t="shared" si="95"/>
        <v>-</v>
      </c>
      <c r="AI53" s="329" t="str">
        <f t="shared" si="96"/>
        <v>NA</v>
      </c>
      <c r="AJ53" s="169" t="str">
        <f t="shared" si="97"/>
        <v>NA</v>
      </c>
      <c r="AK53" s="255" t="str">
        <f t="shared" si="98"/>
        <v>-</v>
      </c>
      <c r="AL53" s="256" t="str">
        <f t="shared" si="99"/>
        <v>-</v>
      </c>
      <c r="AM53" s="256" t="str">
        <f t="shared" si="100"/>
        <v>-</v>
      </c>
      <c r="AN53" s="256" t="str">
        <f t="shared" si="101"/>
        <v>-</v>
      </c>
      <c r="AO53" s="264" t="str">
        <f t="shared" si="102"/>
        <v>-</v>
      </c>
      <c r="AP53" s="265" t="str">
        <f t="shared" si="103"/>
        <v>-</v>
      </c>
      <c r="AQ53" s="256" t="str">
        <f t="shared" si="104"/>
        <v>-</v>
      </c>
      <c r="AR53" s="256" t="str">
        <f t="shared" si="105"/>
        <v>-</v>
      </c>
      <c r="AS53" s="256" t="str">
        <f t="shared" si="106"/>
        <v>-</v>
      </c>
      <c r="AT53" s="257" t="str">
        <f t="shared" si="107"/>
        <v>-</v>
      </c>
      <c r="AU53" s="255" t="str">
        <f t="shared" si="108"/>
        <v>-</v>
      </c>
      <c r="AV53" s="256" t="str">
        <f t="shared" si="109"/>
        <v>-</v>
      </c>
      <c r="AW53" s="256" t="str">
        <f t="shared" si="110"/>
        <v>-</v>
      </c>
      <c r="AX53" s="256" t="str">
        <f t="shared" si="111"/>
        <v>-</v>
      </c>
      <c r="AY53" s="264" t="str">
        <f t="shared" si="112"/>
        <v>-</v>
      </c>
      <c r="AZ53" s="265" t="str">
        <f t="shared" si="113"/>
        <v>-</v>
      </c>
      <c r="BA53" s="256" t="str">
        <f t="shared" si="114"/>
        <v>-</v>
      </c>
      <c r="BB53" s="256" t="str">
        <f t="shared" si="115"/>
        <v>-</v>
      </c>
      <c r="BC53" s="256" t="str">
        <f t="shared" si="116"/>
        <v>-</v>
      </c>
      <c r="BD53" s="257" t="str">
        <f t="shared" si="117"/>
        <v>-</v>
      </c>
      <c r="BE53" s="255" t="str">
        <f t="shared" si="118"/>
        <v>-</v>
      </c>
      <c r="BF53" s="256" t="str">
        <f t="shared" si="119"/>
        <v>-</v>
      </c>
      <c r="BG53" s="256" t="str">
        <f t="shared" si="120"/>
        <v>-</v>
      </c>
      <c r="BH53" s="256" t="str">
        <f t="shared" si="121"/>
        <v>-</v>
      </c>
      <c r="BI53" s="264" t="str">
        <f t="shared" si="122"/>
        <v>-</v>
      </c>
      <c r="BJ53" s="265" t="str">
        <f t="shared" si="123"/>
        <v>-</v>
      </c>
      <c r="BK53" s="256" t="str">
        <f t="shared" si="124"/>
        <v>-</v>
      </c>
      <c r="BL53" s="256" t="str">
        <f t="shared" si="125"/>
        <v>-</v>
      </c>
      <c r="BM53" s="256" t="str">
        <f t="shared" si="126"/>
        <v>-</v>
      </c>
      <c r="BN53" s="257" t="str">
        <f t="shared" si="127"/>
        <v>-</v>
      </c>
    </row>
    <row r="54" spans="2:78">
      <c r="B54" s="276" t="s">
        <v>92</v>
      </c>
      <c r="C54" s="369" t="str">
        <f t="shared" ca="1" si="64"/>
        <v>-</v>
      </c>
      <c r="D54" s="249" t="str">
        <f t="shared" si="65"/>
        <v>NA</v>
      </c>
      <c r="E54" s="250" t="str">
        <f t="shared" si="66"/>
        <v>NA</v>
      </c>
      <c r="F54" s="286" t="str">
        <f t="shared" si="67"/>
        <v>NA</v>
      </c>
      <c r="G54" s="251" t="str">
        <f t="shared" si="68"/>
        <v>NA</v>
      </c>
      <c r="H54" s="249" t="str">
        <f t="shared" si="69"/>
        <v>-</v>
      </c>
      <c r="I54" s="250" t="str">
        <f t="shared" si="70"/>
        <v>-</v>
      </c>
      <c r="J54" s="251" t="str">
        <f t="shared" si="71"/>
        <v>-</v>
      </c>
      <c r="K54" s="258" t="str">
        <f t="shared" si="72"/>
        <v>-</v>
      </c>
      <c r="L54" s="259" t="str">
        <f t="shared" si="73"/>
        <v>-</v>
      </c>
      <c r="M54" s="259" t="str">
        <f t="shared" si="74"/>
        <v>-</v>
      </c>
      <c r="N54" s="259" t="str">
        <f t="shared" si="75"/>
        <v>-</v>
      </c>
      <c r="O54" s="259" t="str">
        <f t="shared" si="76"/>
        <v>-</v>
      </c>
      <c r="P54" s="266" t="str">
        <f t="shared" si="77"/>
        <v>-</v>
      </c>
      <c r="Q54" s="267" t="str">
        <f t="shared" si="78"/>
        <v>-</v>
      </c>
      <c r="R54" s="259" t="str">
        <f t="shared" si="79"/>
        <v>-</v>
      </c>
      <c r="S54" s="259" t="str">
        <f t="shared" si="80"/>
        <v>-</v>
      </c>
      <c r="T54" s="259" t="str">
        <f t="shared" si="81"/>
        <v>-</v>
      </c>
      <c r="U54" s="259" t="str">
        <f t="shared" si="82"/>
        <v>-</v>
      </c>
      <c r="V54" s="260" t="str">
        <f t="shared" si="83"/>
        <v>-</v>
      </c>
      <c r="W54" s="286" t="str">
        <f t="shared" si="84"/>
        <v>-</v>
      </c>
      <c r="X54" s="250" t="str">
        <f t="shared" si="85"/>
        <v>-</v>
      </c>
      <c r="Y54" s="250" t="str">
        <f t="shared" si="86"/>
        <v>-</v>
      </c>
      <c r="Z54" s="250" t="str">
        <f t="shared" si="87"/>
        <v>-</v>
      </c>
      <c r="AA54" s="250" t="str">
        <f t="shared" si="88"/>
        <v>-</v>
      </c>
      <c r="AB54" s="330" t="str">
        <f t="shared" si="89"/>
        <v>NA</v>
      </c>
      <c r="AC54" s="316" t="str">
        <f t="shared" si="90"/>
        <v>NA</v>
      </c>
      <c r="AD54" s="249" t="str">
        <f t="shared" si="91"/>
        <v>-</v>
      </c>
      <c r="AE54" s="250" t="str">
        <f t="shared" si="92"/>
        <v>-</v>
      </c>
      <c r="AF54" s="250" t="str">
        <f t="shared" si="93"/>
        <v>-</v>
      </c>
      <c r="AG54" s="250" t="str">
        <f t="shared" si="94"/>
        <v>-</v>
      </c>
      <c r="AH54" s="250" t="str">
        <f t="shared" si="95"/>
        <v>-</v>
      </c>
      <c r="AI54" s="330" t="str">
        <f t="shared" si="96"/>
        <v>NA</v>
      </c>
      <c r="AJ54" s="251" t="str">
        <f t="shared" si="97"/>
        <v>NA</v>
      </c>
      <c r="AK54" s="258" t="str">
        <f t="shared" si="98"/>
        <v>-</v>
      </c>
      <c r="AL54" s="259" t="str">
        <f t="shared" si="99"/>
        <v>-</v>
      </c>
      <c r="AM54" s="259" t="str">
        <f t="shared" si="100"/>
        <v>-</v>
      </c>
      <c r="AN54" s="259" t="str">
        <f t="shared" si="101"/>
        <v>-</v>
      </c>
      <c r="AO54" s="266" t="str">
        <f t="shared" si="102"/>
        <v>-</v>
      </c>
      <c r="AP54" s="267" t="str">
        <f t="shared" si="103"/>
        <v>-</v>
      </c>
      <c r="AQ54" s="259" t="str">
        <f t="shared" si="104"/>
        <v>-</v>
      </c>
      <c r="AR54" s="259" t="str">
        <f t="shared" si="105"/>
        <v>-</v>
      </c>
      <c r="AS54" s="259" t="str">
        <f t="shared" si="106"/>
        <v>-</v>
      </c>
      <c r="AT54" s="260" t="str">
        <f t="shared" si="107"/>
        <v>-</v>
      </c>
      <c r="AU54" s="258" t="str">
        <f t="shared" si="108"/>
        <v>-</v>
      </c>
      <c r="AV54" s="259" t="str">
        <f t="shared" si="109"/>
        <v>-</v>
      </c>
      <c r="AW54" s="259" t="str">
        <f t="shared" si="110"/>
        <v>-</v>
      </c>
      <c r="AX54" s="259" t="str">
        <f t="shared" si="111"/>
        <v>-</v>
      </c>
      <c r="AY54" s="266" t="str">
        <f t="shared" si="112"/>
        <v>-</v>
      </c>
      <c r="AZ54" s="267" t="str">
        <f t="shared" si="113"/>
        <v>-</v>
      </c>
      <c r="BA54" s="259" t="str">
        <f t="shared" si="114"/>
        <v>-</v>
      </c>
      <c r="BB54" s="259" t="str">
        <f t="shared" si="115"/>
        <v>-</v>
      </c>
      <c r="BC54" s="259" t="str">
        <f t="shared" si="116"/>
        <v>-</v>
      </c>
      <c r="BD54" s="260" t="str">
        <f t="shared" si="117"/>
        <v>-</v>
      </c>
      <c r="BE54" s="258" t="str">
        <f t="shared" si="118"/>
        <v>-</v>
      </c>
      <c r="BF54" s="259" t="str">
        <f t="shared" si="119"/>
        <v>-</v>
      </c>
      <c r="BG54" s="259" t="str">
        <f t="shared" si="120"/>
        <v>-</v>
      </c>
      <c r="BH54" s="259" t="str">
        <f t="shared" si="121"/>
        <v>-</v>
      </c>
      <c r="BI54" s="266" t="str">
        <f t="shared" si="122"/>
        <v>-</v>
      </c>
      <c r="BJ54" s="267" t="str">
        <f t="shared" si="123"/>
        <v>-</v>
      </c>
      <c r="BK54" s="259" t="str">
        <f t="shared" si="124"/>
        <v>-</v>
      </c>
      <c r="BL54" s="259" t="str">
        <f t="shared" si="125"/>
        <v>-</v>
      </c>
      <c r="BM54" s="259" t="str">
        <f t="shared" si="126"/>
        <v>-</v>
      </c>
      <c r="BN54" s="260" t="str">
        <f t="shared" si="127"/>
        <v>-</v>
      </c>
    </row>
    <row r="55" spans="2:78">
      <c r="B55" s="274" t="s">
        <v>93</v>
      </c>
      <c r="C55" s="367" t="str">
        <f t="shared" ca="1" si="64"/>
        <v>-</v>
      </c>
      <c r="D55" s="168" t="str">
        <f t="shared" si="65"/>
        <v>NA</v>
      </c>
      <c r="E55" s="248" t="str">
        <f t="shared" si="66"/>
        <v>NA</v>
      </c>
      <c r="F55" s="285" t="str">
        <f t="shared" si="67"/>
        <v>NA</v>
      </c>
      <c r="G55" s="169" t="str">
        <f t="shared" si="68"/>
        <v>NA</v>
      </c>
      <c r="H55" s="168" t="str">
        <f t="shared" si="69"/>
        <v>-</v>
      </c>
      <c r="I55" s="248" t="str">
        <f t="shared" si="70"/>
        <v>-</v>
      </c>
      <c r="J55" s="169" t="str">
        <f t="shared" si="71"/>
        <v>-</v>
      </c>
      <c r="K55" s="255" t="str">
        <f t="shared" si="72"/>
        <v>-</v>
      </c>
      <c r="L55" s="256" t="str">
        <f t="shared" si="73"/>
        <v>-</v>
      </c>
      <c r="M55" s="256" t="str">
        <f t="shared" si="74"/>
        <v>-</v>
      </c>
      <c r="N55" s="256" t="str">
        <f t="shared" si="75"/>
        <v>-</v>
      </c>
      <c r="O55" s="256" t="str">
        <f t="shared" si="76"/>
        <v>-</v>
      </c>
      <c r="P55" s="264" t="str">
        <f t="shared" si="77"/>
        <v>-</v>
      </c>
      <c r="Q55" s="265" t="str">
        <f t="shared" si="78"/>
        <v>-</v>
      </c>
      <c r="R55" s="256" t="str">
        <f t="shared" si="79"/>
        <v>-</v>
      </c>
      <c r="S55" s="256" t="str">
        <f t="shared" si="80"/>
        <v>-</v>
      </c>
      <c r="T55" s="256" t="str">
        <f t="shared" si="81"/>
        <v>-</v>
      </c>
      <c r="U55" s="256" t="str">
        <f t="shared" si="82"/>
        <v>-</v>
      </c>
      <c r="V55" s="257" t="str">
        <f t="shared" si="83"/>
        <v>-</v>
      </c>
      <c r="W55" s="285" t="str">
        <f t="shared" si="84"/>
        <v>-</v>
      </c>
      <c r="X55" s="248" t="str">
        <f t="shared" si="85"/>
        <v>-</v>
      </c>
      <c r="Y55" s="248" t="str">
        <f t="shared" si="86"/>
        <v>-</v>
      </c>
      <c r="Z55" s="248" t="str">
        <f t="shared" si="87"/>
        <v>-</v>
      </c>
      <c r="AA55" s="248" t="str">
        <f t="shared" si="88"/>
        <v>-</v>
      </c>
      <c r="AB55" s="329" t="str">
        <f t="shared" si="89"/>
        <v>NA</v>
      </c>
      <c r="AC55" s="315" t="str">
        <f t="shared" si="90"/>
        <v>NA</v>
      </c>
      <c r="AD55" s="168" t="str">
        <f t="shared" si="91"/>
        <v>-</v>
      </c>
      <c r="AE55" s="248" t="str">
        <f t="shared" si="92"/>
        <v>-</v>
      </c>
      <c r="AF55" s="248" t="str">
        <f t="shared" si="93"/>
        <v>-</v>
      </c>
      <c r="AG55" s="248" t="str">
        <f t="shared" si="94"/>
        <v>-</v>
      </c>
      <c r="AH55" s="248" t="str">
        <f t="shared" si="95"/>
        <v>-</v>
      </c>
      <c r="AI55" s="329" t="str">
        <f t="shared" si="96"/>
        <v>NA</v>
      </c>
      <c r="AJ55" s="169" t="str">
        <f t="shared" si="97"/>
        <v>NA</v>
      </c>
      <c r="AK55" s="255" t="str">
        <f t="shared" si="98"/>
        <v>-</v>
      </c>
      <c r="AL55" s="256" t="str">
        <f t="shared" si="99"/>
        <v>-</v>
      </c>
      <c r="AM55" s="256" t="str">
        <f t="shared" si="100"/>
        <v>-</v>
      </c>
      <c r="AN55" s="256" t="str">
        <f t="shared" si="101"/>
        <v>-</v>
      </c>
      <c r="AO55" s="264" t="str">
        <f t="shared" si="102"/>
        <v>-</v>
      </c>
      <c r="AP55" s="265" t="str">
        <f t="shared" si="103"/>
        <v>-</v>
      </c>
      <c r="AQ55" s="256" t="str">
        <f t="shared" si="104"/>
        <v>-</v>
      </c>
      <c r="AR55" s="256" t="str">
        <f t="shared" si="105"/>
        <v>-</v>
      </c>
      <c r="AS55" s="256" t="str">
        <f t="shared" si="106"/>
        <v>-</v>
      </c>
      <c r="AT55" s="257" t="str">
        <f t="shared" si="107"/>
        <v>-</v>
      </c>
      <c r="AU55" s="255" t="str">
        <f t="shared" si="108"/>
        <v>-</v>
      </c>
      <c r="AV55" s="256" t="str">
        <f t="shared" si="109"/>
        <v>-</v>
      </c>
      <c r="AW55" s="256" t="str">
        <f t="shared" si="110"/>
        <v>-</v>
      </c>
      <c r="AX55" s="256" t="str">
        <f t="shared" si="111"/>
        <v>-</v>
      </c>
      <c r="AY55" s="264" t="str">
        <f t="shared" si="112"/>
        <v>-</v>
      </c>
      <c r="AZ55" s="265" t="str">
        <f t="shared" si="113"/>
        <v>-</v>
      </c>
      <c r="BA55" s="256" t="str">
        <f t="shared" si="114"/>
        <v>-</v>
      </c>
      <c r="BB55" s="256" t="str">
        <f t="shared" si="115"/>
        <v>-</v>
      </c>
      <c r="BC55" s="256" t="str">
        <f t="shared" si="116"/>
        <v>-</v>
      </c>
      <c r="BD55" s="257" t="str">
        <f t="shared" si="117"/>
        <v>-</v>
      </c>
      <c r="BE55" s="255" t="str">
        <f t="shared" si="118"/>
        <v>-</v>
      </c>
      <c r="BF55" s="256" t="str">
        <f t="shared" si="119"/>
        <v>-</v>
      </c>
      <c r="BG55" s="256" t="str">
        <f t="shared" si="120"/>
        <v>-</v>
      </c>
      <c r="BH55" s="256" t="str">
        <f t="shared" si="121"/>
        <v>-</v>
      </c>
      <c r="BI55" s="264" t="str">
        <f t="shared" si="122"/>
        <v>-</v>
      </c>
      <c r="BJ55" s="265" t="str">
        <f t="shared" si="123"/>
        <v>-</v>
      </c>
      <c r="BK55" s="256" t="str">
        <f t="shared" si="124"/>
        <v>-</v>
      </c>
      <c r="BL55" s="256" t="str">
        <f t="shared" si="125"/>
        <v>-</v>
      </c>
      <c r="BM55" s="256" t="str">
        <f t="shared" si="126"/>
        <v>-</v>
      </c>
      <c r="BN55" s="257" t="str">
        <f t="shared" si="127"/>
        <v>-</v>
      </c>
    </row>
    <row r="56" spans="2:78">
      <c r="B56" s="275" t="s">
        <v>94</v>
      </c>
      <c r="C56" s="368" t="str">
        <f t="shared" ca="1" si="64"/>
        <v>-</v>
      </c>
      <c r="D56" s="245" t="str">
        <f t="shared" si="65"/>
        <v>NA</v>
      </c>
      <c r="E56" s="246" t="str">
        <f t="shared" si="66"/>
        <v>NA</v>
      </c>
      <c r="F56" s="284" t="str">
        <f t="shared" si="67"/>
        <v>NA</v>
      </c>
      <c r="G56" s="247" t="str">
        <f t="shared" si="68"/>
        <v>NA</v>
      </c>
      <c r="H56" s="245" t="str">
        <f t="shared" si="69"/>
        <v>-</v>
      </c>
      <c r="I56" s="246" t="str">
        <f t="shared" si="70"/>
        <v>-</v>
      </c>
      <c r="J56" s="247" t="str">
        <f t="shared" si="71"/>
        <v>-</v>
      </c>
      <c r="K56" s="252" t="str">
        <f t="shared" si="72"/>
        <v>-</v>
      </c>
      <c r="L56" s="253" t="str">
        <f t="shared" si="73"/>
        <v>-</v>
      </c>
      <c r="M56" s="253" t="str">
        <f t="shared" si="74"/>
        <v>-</v>
      </c>
      <c r="N56" s="253" t="str">
        <f t="shared" si="75"/>
        <v>-</v>
      </c>
      <c r="O56" s="253" t="str">
        <f t="shared" si="76"/>
        <v>-</v>
      </c>
      <c r="P56" s="262" t="str">
        <f t="shared" si="77"/>
        <v>-</v>
      </c>
      <c r="Q56" s="263" t="str">
        <f t="shared" si="78"/>
        <v>-</v>
      </c>
      <c r="R56" s="253" t="str">
        <f t="shared" si="79"/>
        <v>-</v>
      </c>
      <c r="S56" s="253" t="str">
        <f t="shared" si="80"/>
        <v>-</v>
      </c>
      <c r="T56" s="253" t="str">
        <f t="shared" si="81"/>
        <v>-</v>
      </c>
      <c r="U56" s="253" t="str">
        <f t="shared" si="82"/>
        <v>-</v>
      </c>
      <c r="V56" s="254" t="str">
        <f t="shared" si="83"/>
        <v>-</v>
      </c>
      <c r="W56" s="284" t="str">
        <f t="shared" si="84"/>
        <v>-</v>
      </c>
      <c r="X56" s="246" t="str">
        <f t="shared" si="85"/>
        <v>-</v>
      </c>
      <c r="Y56" s="246" t="str">
        <f t="shared" si="86"/>
        <v>-</v>
      </c>
      <c r="Z56" s="246" t="str">
        <f t="shared" si="87"/>
        <v>-</v>
      </c>
      <c r="AA56" s="246" t="str">
        <f t="shared" si="88"/>
        <v>-</v>
      </c>
      <c r="AB56" s="328" t="str">
        <f t="shared" si="89"/>
        <v>NA</v>
      </c>
      <c r="AC56" s="314" t="str">
        <f t="shared" si="90"/>
        <v>NA</v>
      </c>
      <c r="AD56" s="245" t="str">
        <f t="shared" si="91"/>
        <v>-</v>
      </c>
      <c r="AE56" s="246" t="str">
        <f t="shared" si="92"/>
        <v>-</v>
      </c>
      <c r="AF56" s="246" t="str">
        <f t="shared" si="93"/>
        <v>-</v>
      </c>
      <c r="AG56" s="246" t="str">
        <f t="shared" si="94"/>
        <v>-</v>
      </c>
      <c r="AH56" s="246" t="str">
        <f t="shared" si="95"/>
        <v>-</v>
      </c>
      <c r="AI56" s="328" t="str">
        <f t="shared" si="96"/>
        <v>NA</v>
      </c>
      <c r="AJ56" s="247" t="str">
        <f t="shared" si="97"/>
        <v>NA</v>
      </c>
      <c r="AK56" s="252" t="str">
        <f t="shared" si="98"/>
        <v>-</v>
      </c>
      <c r="AL56" s="253" t="str">
        <f t="shared" si="99"/>
        <v>-</v>
      </c>
      <c r="AM56" s="253" t="str">
        <f t="shared" si="100"/>
        <v>-</v>
      </c>
      <c r="AN56" s="253" t="str">
        <f t="shared" si="101"/>
        <v>-</v>
      </c>
      <c r="AO56" s="262" t="str">
        <f t="shared" si="102"/>
        <v>-</v>
      </c>
      <c r="AP56" s="263" t="str">
        <f t="shared" si="103"/>
        <v>-</v>
      </c>
      <c r="AQ56" s="253" t="str">
        <f t="shared" si="104"/>
        <v>-</v>
      </c>
      <c r="AR56" s="253" t="str">
        <f t="shared" si="105"/>
        <v>-</v>
      </c>
      <c r="AS56" s="253" t="str">
        <f t="shared" si="106"/>
        <v>-</v>
      </c>
      <c r="AT56" s="254" t="str">
        <f t="shared" si="107"/>
        <v>-</v>
      </c>
      <c r="AU56" s="252" t="str">
        <f t="shared" si="108"/>
        <v>-</v>
      </c>
      <c r="AV56" s="253" t="str">
        <f t="shared" si="109"/>
        <v>-</v>
      </c>
      <c r="AW56" s="253" t="str">
        <f t="shared" si="110"/>
        <v>-</v>
      </c>
      <c r="AX56" s="253" t="str">
        <f t="shared" si="111"/>
        <v>-</v>
      </c>
      <c r="AY56" s="262" t="str">
        <f t="shared" si="112"/>
        <v>-</v>
      </c>
      <c r="AZ56" s="263" t="str">
        <f t="shared" si="113"/>
        <v>-</v>
      </c>
      <c r="BA56" s="253" t="str">
        <f t="shared" si="114"/>
        <v>-</v>
      </c>
      <c r="BB56" s="253" t="str">
        <f t="shared" si="115"/>
        <v>-</v>
      </c>
      <c r="BC56" s="253" t="str">
        <f t="shared" si="116"/>
        <v>-</v>
      </c>
      <c r="BD56" s="254" t="str">
        <f t="shared" si="117"/>
        <v>-</v>
      </c>
      <c r="BE56" s="252" t="str">
        <f t="shared" si="118"/>
        <v>-</v>
      </c>
      <c r="BF56" s="253" t="str">
        <f t="shared" si="119"/>
        <v>-</v>
      </c>
      <c r="BG56" s="253" t="str">
        <f t="shared" si="120"/>
        <v>-</v>
      </c>
      <c r="BH56" s="253" t="str">
        <f t="shared" si="121"/>
        <v>-</v>
      </c>
      <c r="BI56" s="262" t="str">
        <f t="shared" si="122"/>
        <v>-</v>
      </c>
      <c r="BJ56" s="263" t="str">
        <f t="shared" si="123"/>
        <v>-</v>
      </c>
      <c r="BK56" s="253" t="str">
        <f t="shared" si="124"/>
        <v>-</v>
      </c>
      <c r="BL56" s="253" t="str">
        <f t="shared" si="125"/>
        <v>-</v>
      </c>
      <c r="BM56" s="253" t="str">
        <f t="shared" si="126"/>
        <v>-</v>
      </c>
      <c r="BN56" s="254" t="str">
        <f t="shared" si="127"/>
        <v>-</v>
      </c>
    </row>
    <row r="57" spans="2:78">
      <c r="B57" s="274" t="s">
        <v>95</v>
      </c>
      <c r="C57" s="367" t="str">
        <f t="shared" ca="1" si="64"/>
        <v>-</v>
      </c>
      <c r="D57" s="168" t="str">
        <f t="shared" si="65"/>
        <v>NA</v>
      </c>
      <c r="E57" s="248" t="str">
        <f t="shared" si="66"/>
        <v>NA</v>
      </c>
      <c r="F57" s="285" t="str">
        <f t="shared" si="67"/>
        <v>NA</v>
      </c>
      <c r="G57" s="169" t="str">
        <f t="shared" si="68"/>
        <v>NA</v>
      </c>
      <c r="H57" s="168" t="str">
        <f t="shared" si="69"/>
        <v>-</v>
      </c>
      <c r="I57" s="248" t="str">
        <f t="shared" si="70"/>
        <v>-</v>
      </c>
      <c r="J57" s="169" t="str">
        <f t="shared" si="71"/>
        <v>-</v>
      </c>
      <c r="K57" s="255" t="str">
        <f t="shared" si="72"/>
        <v>-</v>
      </c>
      <c r="L57" s="256" t="str">
        <f t="shared" si="73"/>
        <v>-</v>
      </c>
      <c r="M57" s="256" t="str">
        <f t="shared" si="74"/>
        <v>-</v>
      </c>
      <c r="N57" s="256" t="str">
        <f t="shared" si="75"/>
        <v>-</v>
      </c>
      <c r="O57" s="256" t="str">
        <f t="shared" si="76"/>
        <v>-</v>
      </c>
      <c r="P57" s="264" t="str">
        <f t="shared" si="77"/>
        <v>-</v>
      </c>
      <c r="Q57" s="265" t="str">
        <f t="shared" si="78"/>
        <v>-</v>
      </c>
      <c r="R57" s="256" t="str">
        <f t="shared" si="79"/>
        <v>-</v>
      </c>
      <c r="S57" s="256" t="str">
        <f t="shared" si="80"/>
        <v>-</v>
      </c>
      <c r="T57" s="256" t="str">
        <f t="shared" si="81"/>
        <v>-</v>
      </c>
      <c r="U57" s="256" t="str">
        <f t="shared" si="82"/>
        <v>-</v>
      </c>
      <c r="V57" s="257" t="str">
        <f t="shared" si="83"/>
        <v>-</v>
      </c>
      <c r="W57" s="285" t="str">
        <f t="shared" si="84"/>
        <v>-</v>
      </c>
      <c r="X57" s="248" t="str">
        <f t="shared" si="85"/>
        <v>-</v>
      </c>
      <c r="Y57" s="248" t="str">
        <f t="shared" si="86"/>
        <v>-</v>
      </c>
      <c r="Z57" s="248" t="str">
        <f t="shared" si="87"/>
        <v>-</v>
      </c>
      <c r="AA57" s="248" t="str">
        <f t="shared" si="88"/>
        <v>-</v>
      </c>
      <c r="AB57" s="329" t="str">
        <f t="shared" si="89"/>
        <v>NA</v>
      </c>
      <c r="AC57" s="315" t="str">
        <f t="shared" si="90"/>
        <v>NA</v>
      </c>
      <c r="AD57" s="168" t="str">
        <f t="shared" si="91"/>
        <v>-</v>
      </c>
      <c r="AE57" s="248" t="str">
        <f t="shared" si="92"/>
        <v>-</v>
      </c>
      <c r="AF57" s="248" t="str">
        <f t="shared" si="93"/>
        <v>-</v>
      </c>
      <c r="AG57" s="248" t="str">
        <f t="shared" si="94"/>
        <v>-</v>
      </c>
      <c r="AH57" s="248" t="str">
        <f t="shared" si="95"/>
        <v>-</v>
      </c>
      <c r="AI57" s="329" t="str">
        <f t="shared" si="96"/>
        <v>NA</v>
      </c>
      <c r="AJ57" s="169" t="str">
        <f t="shared" si="97"/>
        <v>NA</v>
      </c>
      <c r="AK57" s="255" t="str">
        <f t="shared" si="98"/>
        <v>-</v>
      </c>
      <c r="AL57" s="256" t="str">
        <f t="shared" si="99"/>
        <v>-</v>
      </c>
      <c r="AM57" s="256" t="str">
        <f t="shared" si="100"/>
        <v>-</v>
      </c>
      <c r="AN57" s="256" t="str">
        <f t="shared" si="101"/>
        <v>-</v>
      </c>
      <c r="AO57" s="264" t="str">
        <f t="shared" si="102"/>
        <v>-</v>
      </c>
      <c r="AP57" s="265" t="str">
        <f t="shared" si="103"/>
        <v>-</v>
      </c>
      <c r="AQ57" s="256" t="str">
        <f t="shared" si="104"/>
        <v>-</v>
      </c>
      <c r="AR57" s="256" t="str">
        <f t="shared" si="105"/>
        <v>-</v>
      </c>
      <c r="AS57" s="256" t="str">
        <f t="shared" si="106"/>
        <v>-</v>
      </c>
      <c r="AT57" s="257" t="str">
        <f t="shared" si="107"/>
        <v>-</v>
      </c>
      <c r="AU57" s="255" t="str">
        <f t="shared" si="108"/>
        <v>-</v>
      </c>
      <c r="AV57" s="256" t="str">
        <f t="shared" si="109"/>
        <v>-</v>
      </c>
      <c r="AW57" s="256" t="str">
        <f t="shared" si="110"/>
        <v>-</v>
      </c>
      <c r="AX57" s="256" t="str">
        <f t="shared" si="111"/>
        <v>-</v>
      </c>
      <c r="AY57" s="264" t="str">
        <f t="shared" si="112"/>
        <v>-</v>
      </c>
      <c r="AZ57" s="265" t="str">
        <f t="shared" si="113"/>
        <v>-</v>
      </c>
      <c r="BA57" s="256" t="str">
        <f t="shared" si="114"/>
        <v>-</v>
      </c>
      <c r="BB57" s="256" t="str">
        <f t="shared" si="115"/>
        <v>-</v>
      </c>
      <c r="BC57" s="256" t="str">
        <f t="shared" si="116"/>
        <v>-</v>
      </c>
      <c r="BD57" s="257" t="str">
        <f t="shared" si="117"/>
        <v>-</v>
      </c>
      <c r="BE57" s="255" t="str">
        <f t="shared" si="118"/>
        <v>-</v>
      </c>
      <c r="BF57" s="256" t="str">
        <f t="shared" si="119"/>
        <v>-</v>
      </c>
      <c r="BG57" s="256" t="str">
        <f t="shared" si="120"/>
        <v>-</v>
      </c>
      <c r="BH57" s="256" t="str">
        <f t="shared" si="121"/>
        <v>-</v>
      </c>
      <c r="BI57" s="264" t="str">
        <f t="shared" si="122"/>
        <v>-</v>
      </c>
      <c r="BJ57" s="265" t="str">
        <f t="shared" si="123"/>
        <v>-</v>
      </c>
      <c r="BK57" s="256" t="str">
        <f t="shared" si="124"/>
        <v>-</v>
      </c>
      <c r="BL57" s="256" t="str">
        <f t="shared" si="125"/>
        <v>-</v>
      </c>
      <c r="BM57" s="256" t="str">
        <f t="shared" si="126"/>
        <v>-</v>
      </c>
      <c r="BN57" s="257" t="str">
        <f t="shared" si="127"/>
        <v>-</v>
      </c>
    </row>
    <row r="58" spans="2:78">
      <c r="B58" s="293" t="s">
        <v>96</v>
      </c>
      <c r="C58" s="370" t="str">
        <f t="shared" ca="1" si="64"/>
        <v>-</v>
      </c>
      <c r="D58" s="294" t="str">
        <f t="shared" si="65"/>
        <v>NA</v>
      </c>
      <c r="E58" s="295" t="str">
        <f t="shared" si="66"/>
        <v>NA</v>
      </c>
      <c r="F58" s="296" t="str">
        <f t="shared" si="67"/>
        <v>NA</v>
      </c>
      <c r="G58" s="297" t="str">
        <f t="shared" si="68"/>
        <v>NA</v>
      </c>
      <c r="H58" s="294" t="str">
        <f t="shared" si="69"/>
        <v>-</v>
      </c>
      <c r="I58" s="295" t="str">
        <f t="shared" si="70"/>
        <v>-</v>
      </c>
      <c r="J58" s="297" t="str">
        <f t="shared" si="71"/>
        <v>-</v>
      </c>
      <c r="K58" s="298" t="str">
        <f t="shared" si="72"/>
        <v>-</v>
      </c>
      <c r="L58" s="299" t="str">
        <f t="shared" si="73"/>
        <v>-</v>
      </c>
      <c r="M58" s="299" t="str">
        <f t="shared" si="74"/>
        <v>-</v>
      </c>
      <c r="N58" s="299" t="str">
        <f t="shared" si="75"/>
        <v>-</v>
      </c>
      <c r="O58" s="299" t="str">
        <f t="shared" si="76"/>
        <v>-</v>
      </c>
      <c r="P58" s="300" t="str">
        <f t="shared" si="77"/>
        <v>-</v>
      </c>
      <c r="Q58" s="301" t="str">
        <f t="shared" si="78"/>
        <v>-</v>
      </c>
      <c r="R58" s="299" t="str">
        <f t="shared" si="79"/>
        <v>-</v>
      </c>
      <c r="S58" s="299" t="str">
        <f t="shared" si="80"/>
        <v>-</v>
      </c>
      <c r="T58" s="299" t="str">
        <f t="shared" si="81"/>
        <v>-</v>
      </c>
      <c r="U58" s="299" t="str">
        <f t="shared" si="82"/>
        <v>-</v>
      </c>
      <c r="V58" s="302" t="str">
        <f t="shared" si="83"/>
        <v>-</v>
      </c>
      <c r="W58" s="296" t="str">
        <f t="shared" si="84"/>
        <v>-</v>
      </c>
      <c r="X58" s="295" t="str">
        <f t="shared" si="85"/>
        <v>-</v>
      </c>
      <c r="Y58" s="295" t="str">
        <f t="shared" si="86"/>
        <v>-</v>
      </c>
      <c r="Z58" s="295" t="str">
        <f t="shared" si="87"/>
        <v>-</v>
      </c>
      <c r="AA58" s="295" t="str">
        <f t="shared" si="88"/>
        <v>-</v>
      </c>
      <c r="AB58" s="331" t="str">
        <f t="shared" si="89"/>
        <v>NA</v>
      </c>
      <c r="AC58" s="317" t="str">
        <f t="shared" si="90"/>
        <v>NA</v>
      </c>
      <c r="AD58" s="294" t="str">
        <f t="shared" si="91"/>
        <v>-</v>
      </c>
      <c r="AE58" s="295" t="str">
        <f t="shared" si="92"/>
        <v>-</v>
      </c>
      <c r="AF58" s="295" t="str">
        <f t="shared" si="93"/>
        <v>-</v>
      </c>
      <c r="AG58" s="295" t="str">
        <f t="shared" si="94"/>
        <v>-</v>
      </c>
      <c r="AH58" s="295" t="str">
        <f t="shared" si="95"/>
        <v>-</v>
      </c>
      <c r="AI58" s="331" t="str">
        <f t="shared" si="96"/>
        <v>NA</v>
      </c>
      <c r="AJ58" s="297" t="str">
        <f t="shared" si="97"/>
        <v>NA</v>
      </c>
      <c r="AK58" s="298" t="str">
        <f t="shared" si="98"/>
        <v>-</v>
      </c>
      <c r="AL58" s="299" t="str">
        <f t="shared" si="99"/>
        <v>-</v>
      </c>
      <c r="AM58" s="299" t="str">
        <f t="shared" si="100"/>
        <v>-</v>
      </c>
      <c r="AN58" s="299" t="str">
        <f t="shared" si="101"/>
        <v>-</v>
      </c>
      <c r="AO58" s="300" t="str">
        <f t="shared" si="102"/>
        <v>-</v>
      </c>
      <c r="AP58" s="301" t="str">
        <f t="shared" si="103"/>
        <v>-</v>
      </c>
      <c r="AQ58" s="299" t="str">
        <f t="shared" si="104"/>
        <v>-</v>
      </c>
      <c r="AR58" s="299" t="str">
        <f t="shared" si="105"/>
        <v>-</v>
      </c>
      <c r="AS58" s="299" t="str">
        <f t="shared" si="106"/>
        <v>-</v>
      </c>
      <c r="AT58" s="302" t="str">
        <f t="shared" si="107"/>
        <v>-</v>
      </c>
      <c r="AU58" s="298" t="str">
        <f t="shared" si="108"/>
        <v>-</v>
      </c>
      <c r="AV58" s="299" t="str">
        <f t="shared" si="109"/>
        <v>-</v>
      </c>
      <c r="AW58" s="299" t="str">
        <f t="shared" si="110"/>
        <v>-</v>
      </c>
      <c r="AX58" s="299" t="str">
        <f t="shared" si="111"/>
        <v>-</v>
      </c>
      <c r="AY58" s="300" t="str">
        <f t="shared" si="112"/>
        <v>-</v>
      </c>
      <c r="AZ58" s="301" t="str">
        <f t="shared" si="113"/>
        <v>-</v>
      </c>
      <c r="BA58" s="299" t="str">
        <f t="shared" si="114"/>
        <v>-</v>
      </c>
      <c r="BB58" s="299" t="str">
        <f t="shared" si="115"/>
        <v>-</v>
      </c>
      <c r="BC58" s="299" t="str">
        <f t="shared" si="116"/>
        <v>-</v>
      </c>
      <c r="BD58" s="302" t="str">
        <f t="shared" si="117"/>
        <v>-</v>
      </c>
      <c r="BE58" s="298" t="str">
        <f t="shared" si="118"/>
        <v>-</v>
      </c>
      <c r="BF58" s="299" t="str">
        <f t="shared" si="119"/>
        <v>-</v>
      </c>
      <c r="BG58" s="299" t="str">
        <f t="shared" si="120"/>
        <v>-</v>
      </c>
      <c r="BH58" s="299" t="str">
        <f t="shared" si="121"/>
        <v>-</v>
      </c>
      <c r="BI58" s="300" t="str">
        <f t="shared" si="122"/>
        <v>-</v>
      </c>
      <c r="BJ58" s="301" t="str">
        <f t="shared" si="123"/>
        <v>-</v>
      </c>
      <c r="BK58" s="299" t="str">
        <f t="shared" si="124"/>
        <v>-</v>
      </c>
      <c r="BL58" s="299" t="str">
        <f t="shared" si="125"/>
        <v>-</v>
      </c>
      <c r="BM58" s="299" t="str">
        <f t="shared" si="126"/>
        <v>-</v>
      </c>
      <c r="BN58" s="302" t="str">
        <f t="shared" si="127"/>
        <v>-</v>
      </c>
    </row>
    <row r="59" spans="2:78">
      <c r="B59" s="303" t="s">
        <v>97</v>
      </c>
      <c r="C59" s="371" t="str">
        <f t="shared" ca="1" si="64"/>
        <v>-</v>
      </c>
      <c r="D59" s="304" t="str">
        <f t="shared" si="65"/>
        <v>NA</v>
      </c>
      <c r="E59" s="305" t="str">
        <f t="shared" si="66"/>
        <v>NA</v>
      </c>
      <c r="F59" s="306" t="str">
        <f t="shared" si="67"/>
        <v>NA</v>
      </c>
      <c r="G59" s="307" t="str">
        <f t="shared" si="68"/>
        <v>NA</v>
      </c>
      <c r="H59" s="304" t="str">
        <f t="shared" si="69"/>
        <v>-</v>
      </c>
      <c r="I59" s="305" t="str">
        <f t="shared" si="70"/>
        <v>-</v>
      </c>
      <c r="J59" s="307" t="str">
        <f t="shared" si="71"/>
        <v>-</v>
      </c>
      <c r="K59" s="308" t="str">
        <f t="shared" si="72"/>
        <v>-</v>
      </c>
      <c r="L59" s="309" t="str">
        <f t="shared" si="73"/>
        <v>-</v>
      </c>
      <c r="M59" s="309" t="str">
        <f t="shared" si="74"/>
        <v>-</v>
      </c>
      <c r="N59" s="309" t="str">
        <f t="shared" si="75"/>
        <v>-</v>
      </c>
      <c r="O59" s="309" t="str">
        <f t="shared" si="76"/>
        <v>-</v>
      </c>
      <c r="P59" s="310" t="str">
        <f t="shared" si="77"/>
        <v>-</v>
      </c>
      <c r="Q59" s="311" t="str">
        <f t="shared" si="78"/>
        <v>-</v>
      </c>
      <c r="R59" s="309" t="str">
        <f t="shared" si="79"/>
        <v>-</v>
      </c>
      <c r="S59" s="309" t="str">
        <f t="shared" si="80"/>
        <v>-</v>
      </c>
      <c r="T59" s="309" t="str">
        <f t="shared" si="81"/>
        <v>-</v>
      </c>
      <c r="U59" s="309" t="str">
        <f t="shared" si="82"/>
        <v>-</v>
      </c>
      <c r="V59" s="312" t="str">
        <f t="shared" si="83"/>
        <v>-</v>
      </c>
      <c r="W59" s="306" t="str">
        <f t="shared" si="84"/>
        <v>-</v>
      </c>
      <c r="X59" s="305" t="str">
        <f t="shared" si="85"/>
        <v>-</v>
      </c>
      <c r="Y59" s="305" t="str">
        <f t="shared" si="86"/>
        <v>-</v>
      </c>
      <c r="Z59" s="305" t="str">
        <f t="shared" si="87"/>
        <v>-</v>
      </c>
      <c r="AA59" s="305" t="str">
        <f t="shared" si="88"/>
        <v>-</v>
      </c>
      <c r="AB59" s="332" t="str">
        <f t="shared" si="89"/>
        <v>NA</v>
      </c>
      <c r="AC59" s="318" t="str">
        <f t="shared" si="90"/>
        <v>NA</v>
      </c>
      <c r="AD59" s="304" t="str">
        <f t="shared" si="91"/>
        <v>-</v>
      </c>
      <c r="AE59" s="305" t="str">
        <f t="shared" si="92"/>
        <v>-</v>
      </c>
      <c r="AF59" s="305" t="str">
        <f t="shared" si="93"/>
        <v>-</v>
      </c>
      <c r="AG59" s="305" t="str">
        <f t="shared" si="94"/>
        <v>-</v>
      </c>
      <c r="AH59" s="305" t="str">
        <f t="shared" si="95"/>
        <v>-</v>
      </c>
      <c r="AI59" s="332" t="str">
        <f t="shared" si="96"/>
        <v>NA</v>
      </c>
      <c r="AJ59" s="307" t="str">
        <f t="shared" si="97"/>
        <v>NA</v>
      </c>
      <c r="AK59" s="308" t="str">
        <f t="shared" si="98"/>
        <v>-</v>
      </c>
      <c r="AL59" s="309" t="str">
        <f t="shared" si="99"/>
        <v>-</v>
      </c>
      <c r="AM59" s="309" t="str">
        <f t="shared" si="100"/>
        <v>-</v>
      </c>
      <c r="AN59" s="309" t="str">
        <f t="shared" si="101"/>
        <v>-</v>
      </c>
      <c r="AO59" s="310" t="str">
        <f t="shared" si="102"/>
        <v>-</v>
      </c>
      <c r="AP59" s="311" t="str">
        <f t="shared" si="103"/>
        <v>-</v>
      </c>
      <c r="AQ59" s="309" t="str">
        <f t="shared" si="104"/>
        <v>-</v>
      </c>
      <c r="AR59" s="309" t="str">
        <f t="shared" si="105"/>
        <v>-</v>
      </c>
      <c r="AS59" s="309" t="str">
        <f t="shared" si="106"/>
        <v>-</v>
      </c>
      <c r="AT59" s="312" t="str">
        <f t="shared" si="107"/>
        <v>-</v>
      </c>
      <c r="AU59" s="308" t="str">
        <f t="shared" si="108"/>
        <v>-</v>
      </c>
      <c r="AV59" s="309" t="str">
        <f t="shared" si="109"/>
        <v>-</v>
      </c>
      <c r="AW59" s="309" t="str">
        <f t="shared" si="110"/>
        <v>-</v>
      </c>
      <c r="AX59" s="309" t="str">
        <f t="shared" si="111"/>
        <v>-</v>
      </c>
      <c r="AY59" s="310" t="str">
        <f t="shared" si="112"/>
        <v>-</v>
      </c>
      <c r="AZ59" s="311" t="str">
        <f t="shared" si="113"/>
        <v>-</v>
      </c>
      <c r="BA59" s="309" t="str">
        <f t="shared" si="114"/>
        <v>-</v>
      </c>
      <c r="BB59" s="309" t="str">
        <f t="shared" si="115"/>
        <v>-</v>
      </c>
      <c r="BC59" s="309" t="str">
        <f t="shared" si="116"/>
        <v>-</v>
      </c>
      <c r="BD59" s="312" t="str">
        <f t="shared" si="117"/>
        <v>-</v>
      </c>
      <c r="BE59" s="308" t="str">
        <f t="shared" si="118"/>
        <v>-</v>
      </c>
      <c r="BF59" s="309" t="str">
        <f t="shared" si="119"/>
        <v>-</v>
      </c>
      <c r="BG59" s="309" t="str">
        <f t="shared" si="120"/>
        <v>-</v>
      </c>
      <c r="BH59" s="309" t="str">
        <f t="shared" si="121"/>
        <v>-</v>
      </c>
      <c r="BI59" s="310" t="str">
        <f t="shared" si="122"/>
        <v>-</v>
      </c>
      <c r="BJ59" s="311" t="str">
        <f t="shared" si="123"/>
        <v>-</v>
      </c>
      <c r="BK59" s="309" t="str">
        <f t="shared" si="124"/>
        <v>-</v>
      </c>
      <c r="BL59" s="309" t="str">
        <f t="shared" si="125"/>
        <v>-</v>
      </c>
      <c r="BM59" s="309" t="str">
        <f t="shared" si="126"/>
        <v>-</v>
      </c>
      <c r="BN59" s="312" t="str">
        <f t="shared" si="127"/>
        <v>-</v>
      </c>
    </row>
    <row r="60" spans="2:78" s="230" customFormat="1" ht="23.25" thickBot="1">
      <c r="B60" s="337" t="s">
        <v>137</v>
      </c>
      <c r="C60" s="372" t="str">
        <f t="shared" ca="1" si="64"/>
        <v>-</v>
      </c>
      <c r="D60" s="338" t="str">
        <f t="shared" si="65"/>
        <v>NA</v>
      </c>
      <c r="E60" s="339" t="str">
        <f t="shared" si="66"/>
        <v>NA</v>
      </c>
      <c r="F60" s="340" t="str">
        <f t="shared" si="67"/>
        <v>NA</v>
      </c>
      <c r="G60" s="341" t="str">
        <f t="shared" si="68"/>
        <v>NA</v>
      </c>
      <c r="H60" s="338" t="str">
        <f t="shared" si="69"/>
        <v>-</v>
      </c>
      <c r="I60" s="339" t="str">
        <f t="shared" si="70"/>
        <v>-</v>
      </c>
      <c r="J60" s="341" t="str">
        <f t="shared" si="71"/>
        <v>-</v>
      </c>
      <c r="K60" s="342" t="str">
        <f t="shared" si="72"/>
        <v>-</v>
      </c>
      <c r="L60" s="343" t="str">
        <f t="shared" si="73"/>
        <v>-</v>
      </c>
      <c r="M60" s="343" t="str">
        <f t="shared" si="74"/>
        <v>-</v>
      </c>
      <c r="N60" s="343" t="str">
        <f t="shared" si="75"/>
        <v>-</v>
      </c>
      <c r="O60" s="343" t="str">
        <f t="shared" si="76"/>
        <v>-</v>
      </c>
      <c r="P60" s="344" t="str">
        <f t="shared" si="77"/>
        <v>-</v>
      </c>
      <c r="Q60" s="345" t="str">
        <f t="shared" si="78"/>
        <v>-</v>
      </c>
      <c r="R60" s="343" t="str">
        <f t="shared" si="79"/>
        <v>-</v>
      </c>
      <c r="S60" s="343" t="str">
        <f t="shared" si="80"/>
        <v>-</v>
      </c>
      <c r="T60" s="343" t="str">
        <f t="shared" si="81"/>
        <v>-</v>
      </c>
      <c r="U60" s="343" t="str">
        <f t="shared" si="82"/>
        <v>-</v>
      </c>
      <c r="V60" s="346" t="str">
        <f t="shared" si="83"/>
        <v>-</v>
      </c>
      <c r="W60" s="340" t="str">
        <f t="shared" si="84"/>
        <v>-</v>
      </c>
      <c r="X60" s="339" t="str">
        <f t="shared" si="85"/>
        <v>-</v>
      </c>
      <c r="Y60" s="339" t="str">
        <f t="shared" si="86"/>
        <v>-</v>
      </c>
      <c r="Z60" s="339" t="str">
        <f t="shared" si="87"/>
        <v>-</v>
      </c>
      <c r="AA60" s="339" t="str">
        <f t="shared" si="88"/>
        <v>-</v>
      </c>
      <c r="AB60" s="347" t="str">
        <f t="shared" si="89"/>
        <v>NA</v>
      </c>
      <c r="AC60" s="348" t="str">
        <f t="shared" si="90"/>
        <v>NA</v>
      </c>
      <c r="AD60" s="338" t="str">
        <f t="shared" si="91"/>
        <v>-</v>
      </c>
      <c r="AE60" s="339" t="str">
        <f t="shared" si="92"/>
        <v>-</v>
      </c>
      <c r="AF60" s="339" t="str">
        <f t="shared" si="93"/>
        <v>-</v>
      </c>
      <c r="AG60" s="339" t="str">
        <f t="shared" si="94"/>
        <v>-</v>
      </c>
      <c r="AH60" s="339" t="str">
        <f t="shared" si="95"/>
        <v>-</v>
      </c>
      <c r="AI60" s="347" t="str">
        <f t="shared" si="96"/>
        <v>NA</v>
      </c>
      <c r="AJ60" s="341" t="str">
        <f t="shared" si="97"/>
        <v>NA</v>
      </c>
      <c r="AK60" s="342" t="str">
        <f t="shared" si="98"/>
        <v>-</v>
      </c>
      <c r="AL60" s="343" t="str">
        <f t="shared" si="99"/>
        <v>-</v>
      </c>
      <c r="AM60" s="343" t="str">
        <f t="shared" si="100"/>
        <v>-</v>
      </c>
      <c r="AN60" s="343" t="str">
        <f t="shared" si="101"/>
        <v>-</v>
      </c>
      <c r="AO60" s="344" t="str">
        <f t="shared" si="102"/>
        <v>-</v>
      </c>
      <c r="AP60" s="345" t="str">
        <f t="shared" si="103"/>
        <v>-</v>
      </c>
      <c r="AQ60" s="343" t="str">
        <f t="shared" si="104"/>
        <v>-</v>
      </c>
      <c r="AR60" s="343" t="str">
        <f t="shared" si="105"/>
        <v>-</v>
      </c>
      <c r="AS60" s="343" t="str">
        <f t="shared" si="106"/>
        <v>-</v>
      </c>
      <c r="AT60" s="346" t="str">
        <f t="shared" si="107"/>
        <v>-</v>
      </c>
      <c r="AU60" s="342" t="str">
        <f t="shared" si="108"/>
        <v>-</v>
      </c>
      <c r="AV60" s="343" t="str">
        <f t="shared" si="109"/>
        <v>-</v>
      </c>
      <c r="AW60" s="343" t="str">
        <f t="shared" si="110"/>
        <v>-</v>
      </c>
      <c r="AX60" s="343" t="str">
        <f t="shared" si="111"/>
        <v>-</v>
      </c>
      <c r="AY60" s="344" t="str">
        <f t="shared" si="112"/>
        <v>-</v>
      </c>
      <c r="AZ60" s="345" t="str">
        <f t="shared" si="113"/>
        <v>-</v>
      </c>
      <c r="BA60" s="343" t="str">
        <f t="shared" si="114"/>
        <v>-</v>
      </c>
      <c r="BB60" s="343" t="str">
        <f t="shared" si="115"/>
        <v>-</v>
      </c>
      <c r="BC60" s="343" t="str">
        <f t="shared" si="116"/>
        <v>-</v>
      </c>
      <c r="BD60" s="346" t="str">
        <f t="shared" si="117"/>
        <v>-</v>
      </c>
      <c r="BE60" s="342" t="str">
        <f t="shared" si="118"/>
        <v>-</v>
      </c>
      <c r="BF60" s="343" t="str">
        <f t="shared" si="119"/>
        <v>-</v>
      </c>
      <c r="BG60" s="343" t="str">
        <f t="shared" si="120"/>
        <v>-</v>
      </c>
      <c r="BH60" s="343" t="str">
        <f t="shared" si="121"/>
        <v>-</v>
      </c>
      <c r="BI60" s="344" t="str">
        <f t="shared" si="122"/>
        <v>-</v>
      </c>
      <c r="BJ60" s="345" t="str">
        <f t="shared" si="123"/>
        <v>-</v>
      </c>
      <c r="BK60" s="343" t="str">
        <f t="shared" si="124"/>
        <v>-</v>
      </c>
      <c r="BL60" s="343" t="str">
        <f t="shared" si="125"/>
        <v>-</v>
      </c>
      <c r="BM60" s="343" t="str">
        <f t="shared" si="126"/>
        <v>-</v>
      </c>
      <c r="BN60" s="346" t="str">
        <f t="shared" si="127"/>
        <v>-</v>
      </c>
      <c r="BX60" s="231"/>
      <c r="BY60" s="232"/>
      <c r="BZ60" s="232"/>
    </row>
    <row r="61" spans="2:78" ht="12" thickTop="1">
      <c r="B61" s="274" t="s">
        <v>98</v>
      </c>
      <c r="C61" s="367" t="str">
        <f t="shared" ca="1" si="64"/>
        <v>-</v>
      </c>
      <c r="D61" s="168" t="str">
        <f t="shared" si="65"/>
        <v>NA</v>
      </c>
      <c r="E61" s="248" t="str">
        <f t="shared" si="66"/>
        <v>NA</v>
      </c>
      <c r="F61" s="285" t="str">
        <f t="shared" si="67"/>
        <v>NA</v>
      </c>
      <c r="G61" s="169" t="str">
        <f t="shared" si="68"/>
        <v>NA</v>
      </c>
      <c r="H61" s="168" t="str">
        <f t="shared" si="69"/>
        <v>-</v>
      </c>
      <c r="I61" s="248" t="str">
        <f t="shared" si="70"/>
        <v>-</v>
      </c>
      <c r="J61" s="169" t="str">
        <f t="shared" si="71"/>
        <v>-</v>
      </c>
      <c r="K61" s="255" t="str">
        <f t="shared" si="72"/>
        <v>-</v>
      </c>
      <c r="L61" s="256" t="str">
        <f t="shared" si="73"/>
        <v>-</v>
      </c>
      <c r="M61" s="256" t="str">
        <f t="shared" si="74"/>
        <v>-</v>
      </c>
      <c r="N61" s="256" t="str">
        <f t="shared" si="75"/>
        <v>-</v>
      </c>
      <c r="O61" s="256" t="str">
        <f t="shared" si="76"/>
        <v>-</v>
      </c>
      <c r="P61" s="264" t="str">
        <f t="shared" si="77"/>
        <v>-</v>
      </c>
      <c r="Q61" s="265" t="str">
        <f t="shared" si="78"/>
        <v>-</v>
      </c>
      <c r="R61" s="256" t="str">
        <f t="shared" si="79"/>
        <v>-</v>
      </c>
      <c r="S61" s="256" t="str">
        <f t="shared" si="80"/>
        <v>-</v>
      </c>
      <c r="T61" s="256" t="str">
        <f t="shared" si="81"/>
        <v>-</v>
      </c>
      <c r="U61" s="256" t="str">
        <f t="shared" si="82"/>
        <v>-</v>
      </c>
      <c r="V61" s="257" t="str">
        <f t="shared" si="83"/>
        <v>-</v>
      </c>
      <c r="W61" s="285" t="str">
        <f t="shared" si="84"/>
        <v>-</v>
      </c>
      <c r="X61" s="248" t="str">
        <f t="shared" si="85"/>
        <v>-</v>
      </c>
      <c r="Y61" s="248" t="str">
        <f t="shared" si="86"/>
        <v>-</v>
      </c>
      <c r="Z61" s="248" t="str">
        <f t="shared" si="87"/>
        <v>-</v>
      </c>
      <c r="AA61" s="248" t="str">
        <f t="shared" si="88"/>
        <v>-</v>
      </c>
      <c r="AB61" s="329" t="str">
        <f t="shared" si="89"/>
        <v>NA</v>
      </c>
      <c r="AC61" s="315" t="str">
        <f t="shared" si="90"/>
        <v>NA</v>
      </c>
      <c r="AD61" s="168" t="str">
        <f t="shared" si="91"/>
        <v>-</v>
      </c>
      <c r="AE61" s="248" t="str">
        <f t="shared" si="92"/>
        <v>-</v>
      </c>
      <c r="AF61" s="248" t="str">
        <f t="shared" si="93"/>
        <v>-</v>
      </c>
      <c r="AG61" s="248" t="str">
        <f t="shared" si="94"/>
        <v>-</v>
      </c>
      <c r="AH61" s="248" t="str">
        <f t="shared" si="95"/>
        <v>-</v>
      </c>
      <c r="AI61" s="329" t="str">
        <f t="shared" si="96"/>
        <v>NA</v>
      </c>
      <c r="AJ61" s="169" t="str">
        <f t="shared" si="97"/>
        <v>NA</v>
      </c>
      <c r="AK61" s="255" t="str">
        <f t="shared" si="98"/>
        <v>-</v>
      </c>
      <c r="AL61" s="256" t="str">
        <f t="shared" si="99"/>
        <v>-</v>
      </c>
      <c r="AM61" s="256" t="str">
        <f t="shared" si="100"/>
        <v>-</v>
      </c>
      <c r="AN61" s="256" t="str">
        <f t="shared" si="101"/>
        <v>-</v>
      </c>
      <c r="AO61" s="264" t="str">
        <f t="shared" si="102"/>
        <v>-</v>
      </c>
      <c r="AP61" s="265" t="str">
        <f t="shared" si="103"/>
        <v>-</v>
      </c>
      <c r="AQ61" s="256" t="str">
        <f t="shared" si="104"/>
        <v>-</v>
      </c>
      <c r="AR61" s="256" t="str">
        <f t="shared" si="105"/>
        <v>-</v>
      </c>
      <c r="AS61" s="256" t="str">
        <f t="shared" si="106"/>
        <v>-</v>
      </c>
      <c r="AT61" s="257" t="str">
        <f t="shared" si="107"/>
        <v>-</v>
      </c>
      <c r="AU61" s="255" t="str">
        <f t="shared" si="108"/>
        <v>-</v>
      </c>
      <c r="AV61" s="256" t="str">
        <f t="shared" si="109"/>
        <v>-</v>
      </c>
      <c r="AW61" s="256" t="str">
        <f t="shared" si="110"/>
        <v>-</v>
      </c>
      <c r="AX61" s="256" t="str">
        <f t="shared" si="111"/>
        <v>-</v>
      </c>
      <c r="AY61" s="264" t="str">
        <f t="shared" si="112"/>
        <v>-</v>
      </c>
      <c r="AZ61" s="265" t="str">
        <f t="shared" si="113"/>
        <v>-</v>
      </c>
      <c r="BA61" s="256" t="str">
        <f t="shared" si="114"/>
        <v>-</v>
      </c>
      <c r="BB61" s="256" t="str">
        <f t="shared" si="115"/>
        <v>-</v>
      </c>
      <c r="BC61" s="256" t="str">
        <f t="shared" si="116"/>
        <v>-</v>
      </c>
      <c r="BD61" s="257" t="str">
        <f t="shared" si="117"/>
        <v>-</v>
      </c>
      <c r="BE61" s="255" t="str">
        <f t="shared" si="118"/>
        <v>-</v>
      </c>
      <c r="BF61" s="256" t="str">
        <f t="shared" si="119"/>
        <v>-</v>
      </c>
      <c r="BG61" s="256" t="str">
        <f t="shared" si="120"/>
        <v>-</v>
      </c>
      <c r="BH61" s="256" t="str">
        <f t="shared" si="121"/>
        <v>-</v>
      </c>
      <c r="BI61" s="264" t="str">
        <f t="shared" si="122"/>
        <v>-</v>
      </c>
      <c r="BJ61" s="265" t="str">
        <f t="shared" si="123"/>
        <v>-</v>
      </c>
      <c r="BK61" s="256" t="str">
        <f t="shared" si="124"/>
        <v>-</v>
      </c>
      <c r="BL61" s="256" t="str">
        <f t="shared" si="125"/>
        <v>-</v>
      </c>
      <c r="BM61" s="256" t="str">
        <f t="shared" si="126"/>
        <v>-</v>
      </c>
      <c r="BN61" s="257" t="str">
        <f t="shared" si="127"/>
        <v>-</v>
      </c>
    </row>
    <row r="62" spans="2:78">
      <c r="B62" s="275" t="s">
        <v>99</v>
      </c>
      <c r="C62" s="368" t="str">
        <f t="shared" ca="1" si="64"/>
        <v>-</v>
      </c>
      <c r="D62" s="245" t="str">
        <f t="shared" si="65"/>
        <v>NA</v>
      </c>
      <c r="E62" s="246" t="str">
        <f t="shared" si="66"/>
        <v>NA</v>
      </c>
      <c r="F62" s="284" t="str">
        <f t="shared" si="67"/>
        <v>NA</v>
      </c>
      <c r="G62" s="247" t="str">
        <f t="shared" si="68"/>
        <v>NA</v>
      </c>
      <c r="H62" s="245" t="str">
        <f t="shared" si="69"/>
        <v>-</v>
      </c>
      <c r="I62" s="246" t="str">
        <f t="shared" si="70"/>
        <v>-</v>
      </c>
      <c r="J62" s="247" t="str">
        <f t="shared" si="71"/>
        <v>-</v>
      </c>
      <c r="K62" s="252" t="str">
        <f t="shared" si="72"/>
        <v>-</v>
      </c>
      <c r="L62" s="253" t="str">
        <f t="shared" si="73"/>
        <v>-</v>
      </c>
      <c r="M62" s="253" t="str">
        <f t="shared" si="74"/>
        <v>-</v>
      </c>
      <c r="N62" s="253" t="str">
        <f t="shared" si="75"/>
        <v>-</v>
      </c>
      <c r="O62" s="253" t="str">
        <f t="shared" si="76"/>
        <v>-</v>
      </c>
      <c r="P62" s="262" t="str">
        <f t="shared" si="77"/>
        <v>-</v>
      </c>
      <c r="Q62" s="263" t="str">
        <f t="shared" si="78"/>
        <v>-</v>
      </c>
      <c r="R62" s="253" t="str">
        <f t="shared" si="79"/>
        <v>-</v>
      </c>
      <c r="S62" s="253" t="str">
        <f t="shared" si="80"/>
        <v>-</v>
      </c>
      <c r="T62" s="253" t="str">
        <f t="shared" si="81"/>
        <v>-</v>
      </c>
      <c r="U62" s="253" t="str">
        <f t="shared" si="82"/>
        <v>-</v>
      </c>
      <c r="V62" s="254" t="str">
        <f t="shared" si="83"/>
        <v>-</v>
      </c>
      <c r="W62" s="284" t="str">
        <f t="shared" si="84"/>
        <v>-</v>
      </c>
      <c r="X62" s="246" t="str">
        <f t="shared" si="85"/>
        <v>-</v>
      </c>
      <c r="Y62" s="246" t="str">
        <f t="shared" si="86"/>
        <v>-</v>
      </c>
      <c r="Z62" s="246" t="str">
        <f t="shared" si="87"/>
        <v>-</v>
      </c>
      <c r="AA62" s="246" t="str">
        <f t="shared" si="88"/>
        <v>-</v>
      </c>
      <c r="AB62" s="328" t="str">
        <f t="shared" si="89"/>
        <v>NA</v>
      </c>
      <c r="AC62" s="314" t="str">
        <f t="shared" si="90"/>
        <v>NA</v>
      </c>
      <c r="AD62" s="245" t="str">
        <f t="shared" si="91"/>
        <v>-</v>
      </c>
      <c r="AE62" s="246" t="str">
        <f t="shared" si="92"/>
        <v>-</v>
      </c>
      <c r="AF62" s="246" t="str">
        <f t="shared" si="93"/>
        <v>-</v>
      </c>
      <c r="AG62" s="246" t="str">
        <f t="shared" si="94"/>
        <v>-</v>
      </c>
      <c r="AH62" s="246" t="str">
        <f t="shared" si="95"/>
        <v>-</v>
      </c>
      <c r="AI62" s="328" t="str">
        <f t="shared" si="96"/>
        <v>NA</v>
      </c>
      <c r="AJ62" s="247" t="str">
        <f t="shared" si="97"/>
        <v>NA</v>
      </c>
      <c r="AK62" s="252" t="str">
        <f t="shared" si="98"/>
        <v>-</v>
      </c>
      <c r="AL62" s="253" t="str">
        <f t="shared" si="99"/>
        <v>-</v>
      </c>
      <c r="AM62" s="253" t="str">
        <f t="shared" si="100"/>
        <v>-</v>
      </c>
      <c r="AN62" s="253" t="str">
        <f t="shared" si="101"/>
        <v>-</v>
      </c>
      <c r="AO62" s="262" t="str">
        <f t="shared" si="102"/>
        <v>-</v>
      </c>
      <c r="AP62" s="263" t="str">
        <f t="shared" si="103"/>
        <v>-</v>
      </c>
      <c r="AQ62" s="253" t="str">
        <f t="shared" si="104"/>
        <v>-</v>
      </c>
      <c r="AR62" s="253" t="str">
        <f t="shared" si="105"/>
        <v>-</v>
      </c>
      <c r="AS62" s="253" t="str">
        <f t="shared" si="106"/>
        <v>-</v>
      </c>
      <c r="AT62" s="254" t="str">
        <f t="shared" si="107"/>
        <v>-</v>
      </c>
      <c r="AU62" s="252" t="str">
        <f t="shared" si="108"/>
        <v>-</v>
      </c>
      <c r="AV62" s="253" t="str">
        <f t="shared" si="109"/>
        <v>-</v>
      </c>
      <c r="AW62" s="253" t="str">
        <f t="shared" si="110"/>
        <v>-</v>
      </c>
      <c r="AX62" s="253" t="str">
        <f t="shared" si="111"/>
        <v>-</v>
      </c>
      <c r="AY62" s="262" t="str">
        <f t="shared" si="112"/>
        <v>-</v>
      </c>
      <c r="AZ62" s="263" t="str">
        <f t="shared" si="113"/>
        <v>-</v>
      </c>
      <c r="BA62" s="253" t="str">
        <f t="shared" si="114"/>
        <v>-</v>
      </c>
      <c r="BB62" s="253" t="str">
        <f t="shared" si="115"/>
        <v>-</v>
      </c>
      <c r="BC62" s="253" t="str">
        <f t="shared" si="116"/>
        <v>-</v>
      </c>
      <c r="BD62" s="254" t="str">
        <f t="shared" si="117"/>
        <v>-</v>
      </c>
      <c r="BE62" s="252" t="str">
        <f t="shared" si="118"/>
        <v>-</v>
      </c>
      <c r="BF62" s="253" t="str">
        <f t="shared" si="119"/>
        <v>-</v>
      </c>
      <c r="BG62" s="253" t="str">
        <f t="shared" si="120"/>
        <v>-</v>
      </c>
      <c r="BH62" s="253" t="str">
        <f t="shared" si="121"/>
        <v>-</v>
      </c>
      <c r="BI62" s="262" t="str">
        <f t="shared" si="122"/>
        <v>-</v>
      </c>
      <c r="BJ62" s="263" t="str">
        <f t="shared" si="123"/>
        <v>-</v>
      </c>
      <c r="BK62" s="253" t="str">
        <f t="shared" si="124"/>
        <v>-</v>
      </c>
      <c r="BL62" s="253" t="str">
        <f t="shared" si="125"/>
        <v>-</v>
      </c>
      <c r="BM62" s="253" t="str">
        <f t="shared" si="126"/>
        <v>-</v>
      </c>
      <c r="BN62" s="254" t="str">
        <f t="shared" si="127"/>
        <v>-</v>
      </c>
    </row>
    <row r="63" spans="2:78">
      <c r="B63" s="274" t="s">
        <v>100</v>
      </c>
      <c r="C63" s="367" t="str">
        <f t="shared" ca="1" si="64"/>
        <v>-</v>
      </c>
      <c r="D63" s="168" t="str">
        <f t="shared" si="65"/>
        <v>NA</v>
      </c>
      <c r="E63" s="248" t="str">
        <f t="shared" si="66"/>
        <v>NA</v>
      </c>
      <c r="F63" s="285" t="str">
        <f t="shared" si="67"/>
        <v>NA</v>
      </c>
      <c r="G63" s="169" t="str">
        <f t="shared" si="68"/>
        <v>NA</v>
      </c>
      <c r="H63" s="168" t="str">
        <f t="shared" si="69"/>
        <v>-</v>
      </c>
      <c r="I63" s="248" t="str">
        <f t="shared" si="70"/>
        <v>-</v>
      </c>
      <c r="J63" s="169" t="str">
        <f t="shared" si="71"/>
        <v>-</v>
      </c>
      <c r="K63" s="255" t="str">
        <f t="shared" si="72"/>
        <v>-</v>
      </c>
      <c r="L63" s="256" t="str">
        <f t="shared" si="73"/>
        <v>-</v>
      </c>
      <c r="M63" s="256" t="str">
        <f t="shared" si="74"/>
        <v>-</v>
      </c>
      <c r="N63" s="256" t="str">
        <f t="shared" si="75"/>
        <v>-</v>
      </c>
      <c r="O63" s="256" t="str">
        <f t="shared" si="76"/>
        <v>-</v>
      </c>
      <c r="P63" s="264" t="str">
        <f t="shared" si="77"/>
        <v>-</v>
      </c>
      <c r="Q63" s="265" t="str">
        <f t="shared" si="78"/>
        <v>-</v>
      </c>
      <c r="R63" s="256" t="str">
        <f t="shared" si="79"/>
        <v>-</v>
      </c>
      <c r="S63" s="256" t="str">
        <f t="shared" si="80"/>
        <v>-</v>
      </c>
      <c r="T63" s="256" t="str">
        <f t="shared" si="81"/>
        <v>-</v>
      </c>
      <c r="U63" s="256" t="str">
        <f t="shared" si="82"/>
        <v>-</v>
      </c>
      <c r="V63" s="257" t="str">
        <f t="shared" si="83"/>
        <v>-</v>
      </c>
      <c r="W63" s="285" t="str">
        <f t="shared" si="84"/>
        <v>-</v>
      </c>
      <c r="X63" s="248" t="str">
        <f t="shared" si="85"/>
        <v>-</v>
      </c>
      <c r="Y63" s="248" t="str">
        <f t="shared" si="86"/>
        <v>-</v>
      </c>
      <c r="Z63" s="248" t="str">
        <f t="shared" si="87"/>
        <v>-</v>
      </c>
      <c r="AA63" s="248" t="str">
        <f t="shared" si="88"/>
        <v>-</v>
      </c>
      <c r="AB63" s="329" t="str">
        <f t="shared" si="89"/>
        <v>NA</v>
      </c>
      <c r="AC63" s="315" t="str">
        <f t="shared" si="90"/>
        <v>NA</v>
      </c>
      <c r="AD63" s="168" t="str">
        <f t="shared" si="91"/>
        <v>-</v>
      </c>
      <c r="AE63" s="248" t="str">
        <f t="shared" si="92"/>
        <v>-</v>
      </c>
      <c r="AF63" s="248" t="str">
        <f t="shared" si="93"/>
        <v>-</v>
      </c>
      <c r="AG63" s="248" t="str">
        <f t="shared" si="94"/>
        <v>-</v>
      </c>
      <c r="AH63" s="248" t="str">
        <f t="shared" si="95"/>
        <v>-</v>
      </c>
      <c r="AI63" s="329" t="str">
        <f t="shared" si="96"/>
        <v>NA</v>
      </c>
      <c r="AJ63" s="169" t="str">
        <f t="shared" si="97"/>
        <v>NA</v>
      </c>
      <c r="AK63" s="255" t="str">
        <f t="shared" si="98"/>
        <v>-</v>
      </c>
      <c r="AL63" s="256" t="str">
        <f t="shared" si="99"/>
        <v>-</v>
      </c>
      <c r="AM63" s="256" t="str">
        <f t="shared" si="100"/>
        <v>-</v>
      </c>
      <c r="AN63" s="256" t="str">
        <f t="shared" si="101"/>
        <v>-</v>
      </c>
      <c r="AO63" s="264" t="str">
        <f t="shared" si="102"/>
        <v>-</v>
      </c>
      <c r="AP63" s="265" t="str">
        <f t="shared" si="103"/>
        <v>-</v>
      </c>
      <c r="AQ63" s="256" t="str">
        <f t="shared" si="104"/>
        <v>-</v>
      </c>
      <c r="AR63" s="256" t="str">
        <f t="shared" si="105"/>
        <v>-</v>
      </c>
      <c r="AS63" s="256" t="str">
        <f t="shared" si="106"/>
        <v>-</v>
      </c>
      <c r="AT63" s="257" t="str">
        <f t="shared" si="107"/>
        <v>-</v>
      </c>
      <c r="AU63" s="255" t="str">
        <f t="shared" si="108"/>
        <v>-</v>
      </c>
      <c r="AV63" s="256" t="str">
        <f t="shared" si="109"/>
        <v>-</v>
      </c>
      <c r="AW63" s="256" t="str">
        <f t="shared" si="110"/>
        <v>-</v>
      </c>
      <c r="AX63" s="256" t="str">
        <f t="shared" si="111"/>
        <v>-</v>
      </c>
      <c r="AY63" s="264" t="str">
        <f t="shared" si="112"/>
        <v>-</v>
      </c>
      <c r="AZ63" s="265" t="str">
        <f t="shared" si="113"/>
        <v>-</v>
      </c>
      <c r="BA63" s="256" t="str">
        <f t="shared" si="114"/>
        <v>-</v>
      </c>
      <c r="BB63" s="256" t="str">
        <f t="shared" si="115"/>
        <v>-</v>
      </c>
      <c r="BC63" s="256" t="str">
        <f t="shared" si="116"/>
        <v>-</v>
      </c>
      <c r="BD63" s="257" t="str">
        <f t="shared" si="117"/>
        <v>-</v>
      </c>
      <c r="BE63" s="255" t="str">
        <f t="shared" si="118"/>
        <v>-</v>
      </c>
      <c r="BF63" s="256" t="str">
        <f t="shared" si="119"/>
        <v>-</v>
      </c>
      <c r="BG63" s="256" t="str">
        <f t="shared" si="120"/>
        <v>-</v>
      </c>
      <c r="BH63" s="256" t="str">
        <f t="shared" si="121"/>
        <v>-</v>
      </c>
      <c r="BI63" s="264" t="str">
        <f t="shared" si="122"/>
        <v>-</v>
      </c>
      <c r="BJ63" s="265" t="str">
        <f t="shared" si="123"/>
        <v>-</v>
      </c>
      <c r="BK63" s="256" t="str">
        <f t="shared" si="124"/>
        <v>-</v>
      </c>
      <c r="BL63" s="256" t="str">
        <f t="shared" si="125"/>
        <v>-</v>
      </c>
      <c r="BM63" s="256" t="str">
        <f t="shared" si="126"/>
        <v>-</v>
      </c>
      <c r="BN63" s="257" t="str">
        <f t="shared" si="127"/>
        <v>-</v>
      </c>
    </row>
    <row r="64" spans="2:78">
      <c r="B64" s="275" t="s">
        <v>101</v>
      </c>
      <c r="C64" s="368" t="str">
        <f t="shared" ca="1" si="64"/>
        <v>-</v>
      </c>
      <c r="D64" s="245" t="str">
        <f t="shared" si="65"/>
        <v>NA</v>
      </c>
      <c r="E64" s="246" t="str">
        <f t="shared" si="66"/>
        <v>NA</v>
      </c>
      <c r="F64" s="284" t="str">
        <f t="shared" si="67"/>
        <v>NA</v>
      </c>
      <c r="G64" s="247" t="str">
        <f t="shared" si="68"/>
        <v>NA</v>
      </c>
      <c r="H64" s="245" t="str">
        <f t="shared" si="69"/>
        <v>-</v>
      </c>
      <c r="I64" s="246" t="str">
        <f t="shared" si="70"/>
        <v>-</v>
      </c>
      <c r="J64" s="247" t="str">
        <f t="shared" si="71"/>
        <v>-</v>
      </c>
      <c r="K64" s="252" t="str">
        <f t="shared" si="72"/>
        <v>-</v>
      </c>
      <c r="L64" s="253" t="str">
        <f t="shared" si="73"/>
        <v>-</v>
      </c>
      <c r="M64" s="253" t="str">
        <f t="shared" si="74"/>
        <v>-</v>
      </c>
      <c r="N64" s="253" t="str">
        <f t="shared" si="75"/>
        <v>-</v>
      </c>
      <c r="O64" s="253" t="str">
        <f t="shared" si="76"/>
        <v>-</v>
      </c>
      <c r="P64" s="262" t="str">
        <f t="shared" si="77"/>
        <v>-</v>
      </c>
      <c r="Q64" s="263" t="str">
        <f t="shared" si="78"/>
        <v>-</v>
      </c>
      <c r="R64" s="253" t="str">
        <f t="shared" si="79"/>
        <v>-</v>
      </c>
      <c r="S64" s="253" t="str">
        <f t="shared" si="80"/>
        <v>-</v>
      </c>
      <c r="T64" s="253" t="str">
        <f t="shared" si="81"/>
        <v>-</v>
      </c>
      <c r="U64" s="253" t="str">
        <f t="shared" si="82"/>
        <v>-</v>
      </c>
      <c r="V64" s="254" t="str">
        <f t="shared" si="83"/>
        <v>-</v>
      </c>
      <c r="W64" s="284" t="str">
        <f t="shared" si="84"/>
        <v>-</v>
      </c>
      <c r="X64" s="246" t="str">
        <f t="shared" si="85"/>
        <v>-</v>
      </c>
      <c r="Y64" s="246" t="str">
        <f t="shared" si="86"/>
        <v>-</v>
      </c>
      <c r="Z64" s="246" t="str">
        <f t="shared" si="87"/>
        <v>-</v>
      </c>
      <c r="AA64" s="246" t="str">
        <f t="shared" si="88"/>
        <v>-</v>
      </c>
      <c r="AB64" s="328" t="str">
        <f t="shared" si="89"/>
        <v>NA</v>
      </c>
      <c r="AC64" s="314" t="str">
        <f t="shared" si="90"/>
        <v>NA</v>
      </c>
      <c r="AD64" s="245" t="str">
        <f t="shared" si="91"/>
        <v>-</v>
      </c>
      <c r="AE64" s="246" t="str">
        <f t="shared" si="92"/>
        <v>-</v>
      </c>
      <c r="AF64" s="246" t="str">
        <f t="shared" si="93"/>
        <v>-</v>
      </c>
      <c r="AG64" s="246" t="str">
        <f t="shared" si="94"/>
        <v>-</v>
      </c>
      <c r="AH64" s="246" t="str">
        <f t="shared" si="95"/>
        <v>-</v>
      </c>
      <c r="AI64" s="328" t="str">
        <f t="shared" si="96"/>
        <v>NA</v>
      </c>
      <c r="AJ64" s="247" t="str">
        <f t="shared" si="97"/>
        <v>NA</v>
      </c>
      <c r="AK64" s="252" t="str">
        <f t="shared" si="98"/>
        <v>-</v>
      </c>
      <c r="AL64" s="253" t="str">
        <f t="shared" si="99"/>
        <v>-</v>
      </c>
      <c r="AM64" s="253" t="str">
        <f t="shared" si="100"/>
        <v>-</v>
      </c>
      <c r="AN64" s="253" t="str">
        <f t="shared" si="101"/>
        <v>-</v>
      </c>
      <c r="AO64" s="262" t="str">
        <f t="shared" si="102"/>
        <v>-</v>
      </c>
      <c r="AP64" s="263" t="str">
        <f t="shared" si="103"/>
        <v>-</v>
      </c>
      <c r="AQ64" s="253" t="str">
        <f t="shared" si="104"/>
        <v>-</v>
      </c>
      <c r="AR64" s="253" t="str">
        <f t="shared" si="105"/>
        <v>-</v>
      </c>
      <c r="AS64" s="253" t="str">
        <f t="shared" si="106"/>
        <v>-</v>
      </c>
      <c r="AT64" s="254" t="str">
        <f t="shared" si="107"/>
        <v>-</v>
      </c>
      <c r="AU64" s="252" t="str">
        <f t="shared" si="108"/>
        <v>-</v>
      </c>
      <c r="AV64" s="253" t="str">
        <f t="shared" si="109"/>
        <v>-</v>
      </c>
      <c r="AW64" s="253" t="str">
        <f t="shared" si="110"/>
        <v>-</v>
      </c>
      <c r="AX64" s="253" t="str">
        <f t="shared" si="111"/>
        <v>-</v>
      </c>
      <c r="AY64" s="262" t="str">
        <f t="shared" si="112"/>
        <v>-</v>
      </c>
      <c r="AZ64" s="263" t="str">
        <f t="shared" si="113"/>
        <v>-</v>
      </c>
      <c r="BA64" s="253" t="str">
        <f t="shared" si="114"/>
        <v>-</v>
      </c>
      <c r="BB64" s="253" t="str">
        <f t="shared" si="115"/>
        <v>-</v>
      </c>
      <c r="BC64" s="253" t="str">
        <f t="shared" si="116"/>
        <v>-</v>
      </c>
      <c r="BD64" s="254" t="str">
        <f t="shared" si="117"/>
        <v>-</v>
      </c>
      <c r="BE64" s="252" t="str">
        <f t="shared" si="118"/>
        <v>-</v>
      </c>
      <c r="BF64" s="253" t="str">
        <f t="shared" si="119"/>
        <v>-</v>
      </c>
      <c r="BG64" s="253" t="str">
        <f t="shared" si="120"/>
        <v>-</v>
      </c>
      <c r="BH64" s="253" t="str">
        <f t="shared" si="121"/>
        <v>-</v>
      </c>
      <c r="BI64" s="262" t="str">
        <f t="shared" si="122"/>
        <v>-</v>
      </c>
      <c r="BJ64" s="263" t="str">
        <f t="shared" si="123"/>
        <v>-</v>
      </c>
      <c r="BK64" s="253" t="str">
        <f t="shared" si="124"/>
        <v>-</v>
      </c>
      <c r="BL64" s="253" t="str">
        <f t="shared" si="125"/>
        <v>-</v>
      </c>
      <c r="BM64" s="253" t="str">
        <f t="shared" si="126"/>
        <v>-</v>
      </c>
      <c r="BN64" s="254" t="str">
        <f t="shared" si="127"/>
        <v>-</v>
      </c>
    </row>
    <row r="65" spans="2:143">
      <c r="B65" s="274" t="s">
        <v>102</v>
      </c>
      <c r="C65" s="367" t="str">
        <f t="shared" ca="1" si="64"/>
        <v>-</v>
      </c>
      <c r="D65" s="168" t="str">
        <f t="shared" si="65"/>
        <v>NA</v>
      </c>
      <c r="E65" s="248" t="str">
        <f t="shared" si="66"/>
        <v>NA</v>
      </c>
      <c r="F65" s="285" t="str">
        <f t="shared" si="67"/>
        <v>NA</v>
      </c>
      <c r="G65" s="169" t="str">
        <f t="shared" si="68"/>
        <v>NA</v>
      </c>
      <c r="H65" s="168" t="str">
        <f t="shared" si="69"/>
        <v>-</v>
      </c>
      <c r="I65" s="248" t="str">
        <f t="shared" si="70"/>
        <v>-</v>
      </c>
      <c r="J65" s="169" t="str">
        <f t="shared" si="71"/>
        <v>-</v>
      </c>
      <c r="K65" s="255" t="str">
        <f t="shared" si="72"/>
        <v>-</v>
      </c>
      <c r="L65" s="256" t="str">
        <f t="shared" si="73"/>
        <v>-</v>
      </c>
      <c r="M65" s="256" t="str">
        <f t="shared" si="74"/>
        <v>-</v>
      </c>
      <c r="N65" s="256" t="str">
        <f t="shared" si="75"/>
        <v>-</v>
      </c>
      <c r="O65" s="256" t="str">
        <f t="shared" si="76"/>
        <v>-</v>
      </c>
      <c r="P65" s="264" t="str">
        <f t="shared" si="77"/>
        <v>-</v>
      </c>
      <c r="Q65" s="265" t="str">
        <f t="shared" si="78"/>
        <v>-</v>
      </c>
      <c r="R65" s="256" t="str">
        <f t="shared" si="79"/>
        <v>-</v>
      </c>
      <c r="S65" s="256" t="str">
        <f t="shared" si="80"/>
        <v>-</v>
      </c>
      <c r="T65" s="256" t="str">
        <f t="shared" si="81"/>
        <v>-</v>
      </c>
      <c r="U65" s="256" t="str">
        <f t="shared" si="82"/>
        <v>-</v>
      </c>
      <c r="V65" s="257" t="str">
        <f t="shared" si="83"/>
        <v>-</v>
      </c>
      <c r="W65" s="285" t="str">
        <f t="shared" si="84"/>
        <v>-</v>
      </c>
      <c r="X65" s="248" t="str">
        <f t="shared" si="85"/>
        <v>-</v>
      </c>
      <c r="Y65" s="248" t="str">
        <f t="shared" si="86"/>
        <v>-</v>
      </c>
      <c r="Z65" s="248" t="str">
        <f t="shared" si="87"/>
        <v>-</v>
      </c>
      <c r="AA65" s="248" t="str">
        <f t="shared" si="88"/>
        <v>-</v>
      </c>
      <c r="AB65" s="329" t="str">
        <f t="shared" si="89"/>
        <v>NA</v>
      </c>
      <c r="AC65" s="315" t="str">
        <f t="shared" si="90"/>
        <v>NA</v>
      </c>
      <c r="AD65" s="168" t="str">
        <f t="shared" si="91"/>
        <v>-</v>
      </c>
      <c r="AE65" s="248" t="str">
        <f t="shared" si="92"/>
        <v>-</v>
      </c>
      <c r="AF65" s="248" t="str">
        <f t="shared" si="93"/>
        <v>-</v>
      </c>
      <c r="AG65" s="248" t="str">
        <f t="shared" si="94"/>
        <v>-</v>
      </c>
      <c r="AH65" s="248" t="str">
        <f t="shared" si="95"/>
        <v>-</v>
      </c>
      <c r="AI65" s="329" t="str">
        <f t="shared" si="96"/>
        <v>NA</v>
      </c>
      <c r="AJ65" s="169" t="str">
        <f t="shared" si="97"/>
        <v>NA</v>
      </c>
      <c r="AK65" s="255" t="str">
        <f t="shared" si="98"/>
        <v>-</v>
      </c>
      <c r="AL65" s="256" t="str">
        <f t="shared" si="99"/>
        <v>-</v>
      </c>
      <c r="AM65" s="256" t="str">
        <f t="shared" si="100"/>
        <v>-</v>
      </c>
      <c r="AN65" s="256" t="str">
        <f t="shared" si="101"/>
        <v>-</v>
      </c>
      <c r="AO65" s="264" t="str">
        <f t="shared" si="102"/>
        <v>-</v>
      </c>
      <c r="AP65" s="265" t="str">
        <f t="shared" si="103"/>
        <v>-</v>
      </c>
      <c r="AQ65" s="256" t="str">
        <f t="shared" si="104"/>
        <v>-</v>
      </c>
      <c r="AR65" s="256" t="str">
        <f t="shared" si="105"/>
        <v>-</v>
      </c>
      <c r="AS65" s="256" t="str">
        <f t="shared" si="106"/>
        <v>-</v>
      </c>
      <c r="AT65" s="257" t="str">
        <f t="shared" si="107"/>
        <v>-</v>
      </c>
      <c r="AU65" s="255" t="str">
        <f t="shared" si="108"/>
        <v>-</v>
      </c>
      <c r="AV65" s="256" t="str">
        <f t="shared" si="109"/>
        <v>-</v>
      </c>
      <c r="AW65" s="256" t="str">
        <f t="shared" si="110"/>
        <v>-</v>
      </c>
      <c r="AX65" s="256" t="str">
        <f t="shared" si="111"/>
        <v>-</v>
      </c>
      <c r="AY65" s="264" t="str">
        <f t="shared" si="112"/>
        <v>-</v>
      </c>
      <c r="AZ65" s="265" t="str">
        <f t="shared" si="113"/>
        <v>-</v>
      </c>
      <c r="BA65" s="256" t="str">
        <f t="shared" si="114"/>
        <v>-</v>
      </c>
      <c r="BB65" s="256" t="str">
        <f t="shared" si="115"/>
        <v>-</v>
      </c>
      <c r="BC65" s="256" t="str">
        <f t="shared" si="116"/>
        <v>-</v>
      </c>
      <c r="BD65" s="257" t="str">
        <f t="shared" si="117"/>
        <v>-</v>
      </c>
      <c r="BE65" s="255" t="str">
        <f t="shared" si="118"/>
        <v>-</v>
      </c>
      <c r="BF65" s="256" t="str">
        <f t="shared" si="119"/>
        <v>-</v>
      </c>
      <c r="BG65" s="256" t="str">
        <f t="shared" si="120"/>
        <v>-</v>
      </c>
      <c r="BH65" s="256" t="str">
        <f t="shared" si="121"/>
        <v>-</v>
      </c>
      <c r="BI65" s="264" t="str">
        <f t="shared" si="122"/>
        <v>-</v>
      </c>
      <c r="BJ65" s="265" t="str">
        <f t="shared" si="123"/>
        <v>-</v>
      </c>
      <c r="BK65" s="256" t="str">
        <f t="shared" si="124"/>
        <v>-</v>
      </c>
      <c r="BL65" s="256" t="str">
        <f t="shared" si="125"/>
        <v>-</v>
      </c>
      <c r="BM65" s="256" t="str">
        <f t="shared" si="126"/>
        <v>-</v>
      </c>
      <c r="BN65" s="257" t="str">
        <f t="shared" si="127"/>
        <v>-</v>
      </c>
      <c r="CE65"/>
    </row>
    <row r="66" spans="2:143">
      <c r="B66" s="276" t="s">
        <v>103</v>
      </c>
      <c r="C66" s="369" t="str">
        <f t="shared" ca="1" si="64"/>
        <v>-</v>
      </c>
      <c r="D66" s="249" t="str">
        <f t="shared" si="65"/>
        <v>NA</v>
      </c>
      <c r="E66" s="250" t="str">
        <f t="shared" si="66"/>
        <v>NA</v>
      </c>
      <c r="F66" s="286" t="str">
        <f t="shared" si="67"/>
        <v>NA</v>
      </c>
      <c r="G66" s="251" t="str">
        <f t="shared" si="68"/>
        <v>NA</v>
      </c>
      <c r="H66" s="249" t="str">
        <f t="shared" si="69"/>
        <v>-</v>
      </c>
      <c r="I66" s="250" t="str">
        <f t="shared" si="70"/>
        <v>-</v>
      </c>
      <c r="J66" s="251" t="str">
        <f t="shared" si="71"/>
        <v>-</v>
      </c>
      <c r="K66" s="258" t="str">
        <f t="shared" si="72"/>
        <v>-</v>
      </c>
      <c r="L66" s="259" t="str">
        <f t="shared" si="73"/>
        <v>-</v>
      </c>
      <c r="M66" s="259" t="str">
        <f t="shared" si="74"/>
        <v>-</v>
      </c>
      <c r="N66" s="259" t="str">
        <f t="shared" si="75"/>
        <v>-</v>
      </c>
      <c r="O66" s="259" t="str">
        <f t="shared" si="76"/>
        <v>-</v>
      </c>
      <c r="P66" s="266" t="str">
        <f t="shared" si="77"/>
        <v>-</v>
      </c>
      <c r="Q66" s="267" t="str">
        <f t="shared" si="78"/>
        <v>-</v>
      </c>
      <c r="R66" s="259" t="str">
        <f t="shared" si="79"/>
        <v>-</v>
      </c>
      <c r="S66" s="259" t="str">
        <f t="shared" si="80"/>
        <v>-</v>
      </c>
      <c r="T66" s="259" t="str">
        <f t="shared" si="81"/>
        <v>-</v>
      </c>
      <c r="U66" s="259" t="str">
        <f t="shared" si="82"/>
        <v>-</v>
      </c>
      <c r="V66" s="260" t="str">
        <f t="shared" si="83"/>
        <v>-</v>
      </c>
      <c r="W66" s="286" t="str">
        <f t="shared" si="84"/>
        <v>-</v>
      </c>
      <c r="X66" s="250" t="str">
        <f t="shared" si="85"/>
        <v>-</v>
      </c>
      <c r="Y66" s="250" t="str">
        <f t="shared" si="86"/>
        <v>-</v>
      </c>
      <c r="Z66" s="250" t="str">
        <f t="shared" si="87"/>
        <v>-</v>
      </c>
      <c r="AA66" s="250" t="str">
        <f t="shared" si="88"/>
        <v>-</v>
      </c>
      <c r="AB66" s="330" t="str">
        <f t="shared" si="89"/>
        <v>NA</v>
      </c>
      <c r="AC66" s="316" t="str">
        <f t="shared" si="90"/>
        <v>NA</v>
      </c>
      <c r="AD66" s="249" t="str">
        <f t="shared" si="91"/>
        <v>-</v>
      </c>
      <c r="AE66" s="250" t="str">
        <f t="shared" si="92"/>
        <v>-</v>
      </c>
      <c r="AF66" s="250" t="str">
        <f t="shared" si="93"/>
        <v>-</v>
      </c>
      <c r="AG66" s="250" t="str">
        <f t="shared" si="94"/>
        <v>-</v>
      </c>
      <c r="AH66" s="250" t="str">
        <f t="shared" si="95"/>
        <v>-</v>
      </c>
      <c r="AI66" s="330" t="str">
        <f t="shared" si="96"/>
        <v>NA</v>
      </c>
      <c r="AJ66" s="251" t="str">
        <f t="shared" si="97"/>
        <v>NA</v>
      </c>
      <c r="AK66" s="258" t="str">
        <f t="shared" si="98"/>
        <v>-</v>
      </c>
      <c r="AL66" s="259" t="str">
        <f t="shared" si="99"/>
        <v>-</v>
      </c>
      <c r="AM66" s="259" t="str">
        <f t="shared" si="100"/>
        <v>-</v>
      </c>
      <c r="AN66" s="259" t="str">
        <f t="shared" si="101"/>
        <v>-</v>
      </c>
      <c r="AO66" s="266" t="str">
        <f t="shared" si="102"/>
        <v>-</v>
      </c>
      <c r="AP66" s="267" t="str">
        <f t="shared" si="103"/>
        <v>-</v>
      </c>
      <c r="AQ66" s="259" t="str">
        <f t="shared" si="104"/>
        <v>-</v>
      </c>
      <c r="AR66" s="259" t="str">
        <f t="shared" si="105"/>
        <v>-</v>
      </c>
      <c r="AS66" s="259" t="str">
        <f t="shared" si="106"/>
        <v>-</v>
      </c>
      <c r="AT66" s="260" t="str">
        <f t="shared" si="107"/>
        <v>-</v>
      </c>
      <c r="AU66" s="258" t="str">
        <f t="shared" si="108"/>
        <v>-</v>
      </c>
      <c r="AV66" s="259" t="str">
        <f t="shared" si="109"/>
        <v>-</v>
      </c>
      <c r="AW66" s="259" t="str">
        <f t="shared" si="110"/>
        <v>-</v>
      </c>
      <c r="AX66" s="259" t="str">
        <f t="shared" si="111"/>
        <v>-</v>
      </c>
      <c r="AY66" s="266" t="str">
        <f t="shared" si="112"/>
        <v>-</v>
      </c>
      <c r="AZ66" s="267" t="str">
        <f t="shared" si="113"/>
        <v>-</v>
      </c>
      <c r="BA66" s="259" t="str">
        <f t="shared" si="114"/>
        <v>-</v>
      </c>
      <c r="BB66" s="259" t="str">
        <f t="shared" si="115"/>
        <v>-</v>
      </c>
      <c r="BC66" s="259" t="str">
        <f t="shared" si="116"/>
        <v>-</v>
      </c>
      <c r="BD66" s="260" t="str">
        <f t="shared" si="117"/>
        <v>-</v>
      </c>
      <c r="BE66" s="258" t="str">
        <f t="shared" si="118"/>
        <v>-</v>
      </c>
      <c r="BF66" s="259" t="str">
        <f t="shared" si="119"/>
        <v>-</v>
      </c>
      <c r="BG66" s="259" t="str">
        <f t="shared" si="120"/>
        <v>-</v>
      </c>
      <c r="BH66" s="259" t="str">
        <f t="shared" si="121"/>
        <v>-</v>
      </c>
      <c r="BI66" s="266" t="str">
        <f t="shared" si="122"/>
        <v>-</v>
      </c>
      <c r="BJ66" s="267" t="str">
        <f t="shared" si="123"/>
        <v>-</v>
      </c>
      <c r="BK66" s="259" t="str">
        <f t="shared" si="124"/>
        <v>-</v>
      </c>
      <c r="BL66" s="259" t="str">
        <f t="shared" si="125"/>
        <v>-</v>
      </c>
      <c r="BM66" s="259" t="str">
        <f t="shared" si="126"/>
        <v>-</v>
      </c>
      <c r="BN66" s="260" t="str">
        <f t="shared" si="127"/>
        <v>-</v>
      </c>
      <c r="CE66"/>
    </row>
    <row r="67" spans="2:143">
      <c r="B67" s="274" t="s">
        <v>43</v>
      </c>
      <c r="C67" s="367" t="str">
        <f t="shared" ca="1" si="64"/>
        <v>-</v>
      </c>
      <c r="D67" s="168" t="str">
        <f t="shared" si="65"/>
        <v>NA</v>
      </c>
      <c r="E67" s="248" t="str">
        <f t="shared" si="66"/>
        <v>NA</v>
      </c>
      <c r="F67" s="285" t="str">
        <f t="shared" si="67"/>
        <v>NA</v>
      </c>
      <c r="G67" s="169" t="str">
        <f t="shared" si="68"/>
        <v>NA</v>
      </c>
      <c r="H67" s="168" t="str">
        <f t="shared" si="69"/>
        <v>-</v>
      </c>
      <c r="I67" s="248" t="str">
        <f t="shared" si="70"/>
        <v>-</v>
      </c>
      <c r="J67" s="169" t="str">
        <f t="shared" si="71"/>
        <v>-</v>
      </c>
      <c r="K67" s="255" t="str">
        <f t="shared" si="72"/>
        <v>-</v>
      </c>
      <c r="L67" s="256" t="str">
        <f t="shared" si="73"/>
        <v>-</v>
      </c>
      <c r="M67" s="256" t="str">
        <f t="shared" si="74"/>
        <v>-</v>
      </c>
      <c r="N67" s="256" t="str">
        <f t="shared" si="75"/>
        <v>-</v>
      </c>
      <c r="O67" s="256" t="str">
        <f t="shared" si="76"/>
        <v>-</v>
      </c>
      <c r="P67" s="264" t="str">
        <f t="shared" si="77"/>
        <v>-</v>
      </c>
      <c r="Q67" s="265" t="str">
        <f t="shared" si="78"/>
        <v>-</v>
      </c>
      <c r="R67" s="256" t="str">
        <f t="shared" si="79"/>
        <v>-</v>
      </c>
      <c r="S67" s="256" t="str">
        <f t="shared" si="80"/>
        <v>-</v>
      </c>
      <c r="T67" s="256" t="str">
        <f t="shared" si="81"/>
        <v>-</v>
      </c>
      <c r="U67" s="256" t="str">
        <f t="shared" si="82"/>
        <v>-</v>
      </c>
      <c r="V67" s="257" t="str">
        <f t="shared" si="83"/>
        <v>-</v>
      </c>
      <c r="W67" s="285" t="str">
        <f t="shared" si="84"/>
        <v>-</v>
      </c>
      <c r="X67" s="248" t="str">
        <f t="shared" si="85"/>
        <v>-</v>
      </c>
      <c r="Y67" s="248" t="str">
        <f t="shared" si="86"/>
        <v>-</v>
      </c>
      <c r="Z67" s="248" t="str">
        <f t="shared" si="87"/>
        <v>-</v>
      </c>
      <c r="AA67" s="248" t="str">
        <f t="shared" si="88"/>
        <v>-</v>
      </c>
      <c r="AB67" s="329" t="str">
        <f t="shared" si="89"/>
        <v>NA</v>
      </c>
      <c r="AC67" s="315" t="str">
        <f t="shared" si="90"/>
        <v>NA</v>
      </c>
      <c r="AD67" s="168" t="str">
        <f t="shared" si="91"/>
        <v>-</v>
      </c>
      <c r="AE67" s="248" t="str">
        <f t="shared" si="92"/>
        <v>-</v>
      </c>
      <c r="AF67" s="248" t="str">
        <f t="shared" si="93"/>
        <v>-</v>
      </c>
      <c r="AG67" s="248" t="str">
        <f t="shared" si="94"/>
        <v>-</v>
      </c>
      <c r="AH67" s="248" t="str">
        <f t="shared" si="95"/>
        <v>-</v>
      </c>
      <c r="AI67" s="329" t="str">
        <f t="shared" si="96"/>
        <v>NA</v>
      </c>
      <c r="AJ67" s="169" t="str">
        <f t="shared" si="97"/>
        <v>NA</v>
      </c>
      <c r="AK67" s="255" t="str">
        <f t="shared" si="98"/>
        <v>-</v>
      </c>
      <c r="AL67" s="256" t="str">
        <f t="shared" si="99"/>
        <v>-</v>
      </c>
      <c r="AM67" s="256" t="str">
        <f t="shared" si="100"/>
        <v>-</v>
      </c>
      <c r="AN67" s="256" t="str">
        <f t="shared" si="101"/>
        <v>-</v>
      </c>
      <c r="AO67" s="264" t="str">
        <f t="shared" si="102"/>
        <v>-</v>
      </c>
      <c r="AP67" s="265" t="str">
        <f t="shared" si="103"/>
        <v>-</v>
      </c>
      <c r="AQ67" s="256" t="str">
        <f t="shared" si="104"/>
        <v>-</v>
      </c>
      <c r="AR67" s="256" t="str">
        <f t="shared" si="105"/>
        <v>-</v>
      </c>
      <c r="AS67" s="256" t="str">
        <f t="shared" si="106"/>
        <v>-</v>
      </c>
      <c r="AT67" s="257" t="str">
        <f t="shared" si="107"/>
        <v>-</v>
      </c>
      <c r="AU67" s="255" t="str">
        <f t="shared" si="108"/>
        <v>-</v>
      </c>
      <c r="AV67" s="256" t="str">
        <f t="shared" si="109"/>
        <v>-</v>
      </c>
      <c r="AW67" s="256" t="str">
        <f t="shared" si="110"/>
        <v>-</v>
      </c>
      <c r="AX67" s="256" t="str">
        <f t="shared" si="111"/>
        <v>-</v>
      </c>
      <c r="AY67" s="264" t="str">
        <f t="shared" si="112"/>
        <v>-</v>
      </c>
      <c r="AZ67" s="265" t="str">
        <f t="shared" si="113"/>
        <v>-</v>
      </c>
      <c r="BA67" s="256" t="str">
        <f t="shared" si="114"/>
        <v>-</v>
      </c>
      <c r="BB67" s="256" t="str">
        <f t="shared" si="115"/>
        <v>-</v>
      </c>
      <c r="BC67" s="256" t="str">
        <f t="shared" si="116"/>
        <v>-</v>
      </c>
      <c r="BD67" s="257" t="str">
        <f t="shared" si="117"/>
        <v>-</v>
      </c>
      <c r="BE67" s="255" t="str">
        <f t="shared" si="118"/>
        <v>-</v>
      </c>
      <c r="BF67" s="256" t="str">
        <f t="shared" si="119"/>
        <v>-</v>
      </c>
      <c r="BG67" s="256" t="str">
        <f t="shared" si="120"/>
        <v>-</v>
      </c>
      <c r="BH67" s="256" t="str">
        <f t="shared" si="121"/>
        <v>-</v>
      </c>
      <c r="BI67" s="264" t="str">
        <f t="shared" si="122"/>
        <v>-</v>
      </c>
      <c r="BJ67" s="265" t="str">
        <f t="shared" si="123"/>
        <v>-</v>
      </c>
      <c r="BK67" s="256" t="str">
        <f t="shared" si="124"/>
        <v>-</v>
      </c>
      <c r="BL67" s="256" t="str">
        <f t="shared" si="125"/>
        <v>-</v>
      </c>
      <c r="BM67" s="256" t="str">
        <f t="shared" si="126"/>
        <v>-</v>
      </c>
      <c r="BN67" s="257" t="str">
        <f t="shared" si="127"/>
        <v>-</v>
      </c>
      <c r="CE67"/>
    </row>
    <row r="68" spans="2:143" s="230" customFormat="1" ht="23.25" thickBot="1">
      <c r="B68" s="337" t="s">
        <v>46</v>
      </c>
      <c r="C68" s="372" t="str">
        <f t="shared" ca="1" si="64"/>
        <v>-</v>
      </c>
      <c r="D68" s="338" t="str">
        <f t="shared" si="65"/>
        <v>NA</v>
      </c>
      <c r="E68" s="339" t="str">
        <f t="shared" si="66"/>
        <v>NA</v>
      </c>
      <c r="F68" s="340" t="str">
        <f t="shared" si="67"/>
        <v>NA</v>
      </c>
      <c r="G68" s="341" t="str">
        <f t="shared" si="68"/>
        <v>NA</v>
      </c>
      <c r="H68" s="338" t="str">
        <f t="shared" si="69"/>
        <v>-</v>
      </c>
      <c r="I68" s="339" t="str">
        <f t="shared" si="70"/>
        <v>-</v>
      </c>
      <c r="J68" s="341" t="str">
        <f t="shared" si="71"/>
        <v>-</v>
      </c>
      <c r="K68" s="342" t="str">
        <f t="shared" si="72"/>
        <v>-</v>
      </c>
      <c r="L68" s="343" t="str">
        <f t="shared" si="73"/>
        <v>-</v>
      </c>
      <c r="M68" s="343" t="str">
        <f t="shared" si="74"/>
        <v>-</v>
      </c>
      <c r="N68" s="343" t="str">
        <f t="shared" si="75"/>
        <v>-</v>
      </c>
      <c r="O68" s="343" t="str">
        <f t="shared" si="76"/>
        <v>-</v>
      </c>
      <c r="P68" s="344" t="str">
        <f t="shared" si="77"/>
        <v>-</v>
      </c>
      <c r="Q68" s="345" t="str">
        <f t="shared" si="78"/>
        <v>-</v>
      </c>
      <c r="R68" s="343" t="str">
        <f t="shared" si="79"/>
        <v>-</v>
      </c>
      <c r="S68" s="343" t="str">
        <f t="shared" si="80"/>
        <v>-</v>
      </c>
      <c r="T68" s="343" t="str">
        <f t="shared" si="81"/>
        <v>-</v>
      </c>
      <c r="U68" s="343" t="str">
        <f t="shared" si="82"/>
        <v>-</v>
      </c>
      <c r="V68" s="346" t="str">
        <f t="shared" si="83"/>
        <v>-</v>
      </c>
      <c r="W68" s="340" t="str">
        <f t="shared" si="84"/>
        <v>-</v>
      </c>
      <c r="X68" s="339" t="str">
        <f t="shared" si="85"/>
        <v>-</v>
      </c>
      <c r="Y68" s="339" t="str">
        <f t="shared" si="86"/>
        <v>-</v>
      </c>
      <c r="Z68" s="339" t="str">
        <f t="shared" si="87"/>
        <v>-</v>
      </c>
      <c r="AA68" s="339" t="str">
        <f t="shared" si="88"/>
        <v>-</v>
      </c>
      <c r="AB68" s="347" t="str">
        <f t="shared" si="89"/>
        <v>NA</v>
      </c>
      <c r="AC68" s="348" t="str">
        <f t="shared" si="90"/>
        <v>NA</v>
      </c>
      <c r="AD68" s="338" t="str">
        <f t="shared" si="91"/>
        <v>-</v>
      </c>
      <c r="AE68" s="339" t="str">
        <f t="shared" si="92"/>
        <v>-</v>
      </c>
      <c r="AF68" s="339" t="str">
        <f t="shared" si="93"/>
        <v>-</v>
      </c>
      <c r="AG68" s="339" t="str">
        <f t="shared" si="94"/>
        <v>-</v>
      </c>
      <c r="AH68" s="339" t="str">
        <f t="shared" si="95"/>
        <v>-</v>
      </c>
      <c r="AI68" s="347" t="str">
        <f t="shared" si="96"/>
        <v>NA</v>
      </c>
      <c r="AJ68" s="341" t="str">
        <f t="shared" si="97"/>
        <v>NA</v>
      </c>
      <c r="AK68" s="342" t="str">
        <f t="shared" si="98"/>
        <v>-</v>
      </c>
      <c r="AL68" s="343" t="str">
        <f t="shared" si="99"/>
        <v>-</v>
      </c>
      <c r="AM68" s="343" t="str">
        <f t="shared" si="100"/>
        <v>-</v>
      </c>
      <c r="AN68" s="343" t="str">
        <f t="shared" si="101"/>
        <v>-</v>
      </c>
      <c r="AO68" s="344" t="str">
        <f t="shared" si="102"/>
        <v>-</v>
      </c>
      <c r="AP68" s="345" t="str">
        <f t="shared" si="103"/>
        <v>-</v>
      </c>
      <c r="AQ68" s="343" t="str">
        <f t="shared" si="104"/>
        <v>-</v>
      </c>
      <c r="AR68" s="343" t="str">
        <f t="shared" si="105"/>
        <v>-</v>
      </c>
      <c r="AS68" s="343" t="str">
        <f t="shared" si="106"/>
        <v>-</v>
      </c>
      <c r="AT68" s="346" t="str">
        <f t="shared" si="107"/>
        <v>-</v>
      </c>
      <c r="AU68" s="342" t="str">
        <f t="shared" si="108"/>
        <v>-</v>
      </c>
      <c r="AV68" s="343" t="str">
        <f t="shared" si="109"/>
        <v>-</v>
      </c>
      <c r="AW68" s="343" t="str">
        <f t="shared" si="110"/>
        <v>-</v>
      </c>
      <c r="AX68" s="343" t="str">
        <f t="shared" si="111"/>
        <v>-</v>
      </c>
      <c r="AY68" s="344" t="str">
        <f t="shared" si="112"/>
        <v>-</v>
      </c>
      <c r="AZ68" s="345" t="str">
        <f t="shared" si="113"/>
        <v>-</v>
      </c>
      <c r="BA68" s="343" t="str">
        <f t="shared" si="114"/>
        <v>-</v>
      </c>
      <c r="BB68" s="343" t="str">
        <f t="shared" si="115"/>
        <v>-</v>
      </c>
      <c r="BC68" s="343" t="str">
        <f t="shared" si="116"/>
        <v>-</v>
      </c>
      <c r="BD68" s="346" t="str">
        <f t="shared" si="117"/>
        <v>-</v>
      </c>
      <c r="BE68" s="342" t="str">
        <f t="shared" si="118"/>
        <v>-</v>
      </c>
      <c r="BF68" s="343" t="str">
        <f t="shared" si="119"/>
        <v>-</v>
      </c>
      <c r="BG68" s="343" t="str">
        <f t="shared" si="120"/>
        <v>-</v>
      </c>
      <c r="BH68" s="343" t="str">
        <f t="shared" si="121"/>
        <v>-</v>
      </c>
      <c r="BI68" s="344" t="str">
        <f t="shared" si="122"/>
        <v>-</v>
      </c>
      <c r="BJ68" s="345" t="str">
        <f t="shared" si="123"/>
        <v>-</v>
      </c>
      <c r="BK68" s="343" t="str">
        <f t="shared" si="124"/>
        <v>-</v>
      </c>
      <c r="BL68" s="343" t="str">
        <f t="shared" si="125"/>
        <v>-</v>
      </c>
      <c r="BM68" s="343" t="str">
        <f t="shared" si="126"/>
        <v>-</v>
      </c>
      <c r="BN68" s="346" t="str">
        <f t="shared" si="127"/>
        <v>-</v>
      </c>
      <c r="BX68" s="231"/>
      <c r="BY68" s="232"/>
      <c r="BZ68" s="232"/>
    </row>
    <row r="69" spans="2:143" ht="12" thickTop="1">
      <c r="CE69"/>
    </row>
    <row r="70" spans="2:143">
      <c r="C70" s="373"/>
      <c r="CE70"/>
    </row>
    <row r="71" spans="2:143">
      <c r="CE71"/>
    </row>
    <row r="72" spans="2:143">
      <c r="CE72"/>
    </row>
    <row r="73" spans="2:143">
      <c r="CE73"/>
      <c r="CF73" s="334"/>
    </row>
    <row r="74" spans="2:143">
      <c r="CE74"/>
      <c r="CG74" s="335"/>
      <c r="CH74" s="335"/>
      <c r="CI74" s="335"/>
      <c r="CJ74" s="335"/>
      <c r="CK74" s="335"/>
    </row>
    <row r="75" spans="2:143">
      <c r="BU75" s="164"/>
      <c r="CE75"/>
    </row>
    <row r="76" spans="2:143">
      <c r="BT76" s="222"/>
      <c r="BU76" s="165"/>
      <c r="BV76" s="166" t="s">
        <v>44</v>
      </c>
      <c r="BW76" s="167"/>
      <c r="BX76" s="167"/>
      <c r="BY76" s="170" t="s">
        <v>115</v>
      </c>
      <c r="BZ76" s="171" t="e">
        <f>Entity_Code</f>
        <v>#REF!</v>
      </c>
      <c r="CD76" s="361" t="s">
        <v>138</v>
      </c>
      <c r="CE76" s="100">
        <f ca="1">IF(COUNTA(OFFSET($CD$76,5,0,5000,1))=0,1,COUNTA(OFFSET($CD$76,5,0,5000,1)))</f>
        <v>1</v>
      </c>
      <c r="CF76" s="100">
        <f>COUNTA($CD$77:$EM$77)</f>
        <v>62</v>
      </c>
      <c r="CG76" s="349"/>
      <c r="CH76" s="349"/>
      <c r="CI76" s="349"/>
      <c r="CJ76" s="349"/>
      <c r="CK76" s="349"/>
      <c r="CL76" s="349"/>
      <c r="CM76" s="349"/>
      <c r="CN76" s="349"/>
      <c r="CO76" s="349"/>
      <c r="CP76" s="349"/>
      <c r="CQ76" s="349"/>
      <c r="CR76" s="349"/>
      <c r="CS76" s="349"/>
      <c r="CT76" s="349"/>
      <c r="CU76" s="349"/>
      <c r="CV76" s="349"/>
      <c r="CW76" s="349"/>
      <c r="CX76" s="349"/>
      <c r="CY76" s="349"/>
      <c r="CZ76" s="349"/>
      <c r="DA76" s="349"/>
      <c r="DB76" s="349"/>
      <c r="DC76" s="349"/>
      <c r="DD76" s="349"/>
      <c r="DE76" s="349"/>
      <c r="DF76" s="349"/>
      <c r="DG76" s="349"/>
      <c r="DH76" s="349"/>
      <c r="DI76" s="349"/>
      <c r="DJ76" s="349"/>
      <c r="DK76" s="349"/>
      <c r="DL76" s="349"/>
      <c r="DM76" s="349"/>
      <c r="DN76" s="349"/>
      <c r="DO76" s="349"/>
      <c r="DP76" s="349"/>
      <c r="DQ76" s="349"/>
      <c r="DR76" s="349"/>
      <c r="DS76" s="349"/>
      <c r="DT76" s="349"/>
      <c r="DU76" s="349"/>
      <c r="DV76" s="349"/>
      <c r="DW76" s="349"/>
      <c r="DX76" s="349"/>
      <c r="DY76" s="349"/>
      <c r="DZ76" s="349"/>
      <c r="EA76" s="349"/>
      <c r="EB76" s="349"/>
      <c r="EC76" s="349"/>
      <c r="ED76" s="349"/>
      <c r="EE76" s="349"/>
      <c r="EF76" s="349"/>
      <c r="EG76" s="349"/>
      <c r="EH76" s="349"/>
      <c r="EI76" s="349"/>
      <c r="EJ76" s="349"/>
      <c r="EK76" s="349"/>
      <c r="EL76" s="349"/>
      <c r="EM76" s="350"/>
    </row>
    <row r="77" spans="2:143">
      <c r="BT77" s="223"/>
      <c r="BU77" s="165"/>
      <c r="BV77" s="205">
        <v>116383</v>
      </c>
      <c r="BW77" s="206"/>
      <c r="BX77" s="207"/>
      <c r="BY77" s="227"/>
      <c r="BZ77" s="228"/>
      <c r="CD77" s="351" t="s">
        <v>11</v>
      </c>
      <c r="CE77" s="362" t="s">
        <v>12</v>
      </c>
      <c r="CF77" s="353" t="s">
        <v>47</v>
      </c>
      <c r="CG77" s="353" t="s">
        <v>48</v>
      </c>
      <c r="CH77" s="353" t="s">
        <v>49</v>
      </c>
      <c r="CI77" s="353" t="s">
        <v>50</v>
      </c>
      <c r="CJ77" s="353" t="s">
        <v>51</v>
      </c>
      <c r="CK77" s="353" t="s">
        <v>52</v>
      </c>
      <c r="CL77" s="353" t="s">
        <v>53</v>
      </c>
      <c r="CM77" s="353" t="s">
        <v>54</v>
      </c>
      <c r="CN77" s="353" t="s">
        <v>55</v>
      </c>
      <c r="CO77" s="353" t="s">
        <v>56</v>
      </c>
      <c r="CP77" s="353" t="s">
        <v>57</v>
      </c>
      <c r="CQ77" s="353" t="s">
        <v>58</v>
      </c>
      <c r="CR77" s="353" t="s">
        <v>59</v>
      </c>
      <c r="CS77" s="353" t="s">
        <v>60</v>
      </c>
      <c r="CT77" s="353" t="s">
        <v>61</v>
      </c>
      <c r="CU77" s="353" t="s">
        <v>62</v>
      </c>
      <c r="CV77" s="353" t="s">
        <v>63</v>
      </c>
      <c r="CW77" s="353" t="s">
        <v>64</v>
      </c>
      <c r="CX77" s="353" t="s">
        <v>65</v>
      </c>
      <c r="CY77" s="353" t="s">
        <v>66</v>
      </c>
      <c r="CZ77" s="353" t="s">
        <v>67</v>
      </c>
      <c r="DA77" s="353" t="s">
        <v>68</v>
      </c>
      <c r="DB77" s="353" t="s">
        <v>69</v>
      </c>
      <c r="DC77" s="353" t="s">
        <v>70</v>
      </c>
      <c r="DD77" s="353" t="s">
        <v>71</v>
      </c>
      <c r="DE77" s="353" t="s">
        <v>72</v>
      </c>
      <c r="DF77" s="353" t="s">
        <v>73</v>
      </c>
      <c r="DG77" s="353" t="s">
        <v>74</v>
      </c>
      <c r="DH77" s="353" t="s">
        <v>75</v>
      </c>
      <c r="DI77" s="353" t="s">
        <v>76</v>
      </c>
      <c r="DJ77" s="353" t="s">
        <v>77</v>
      </c>
      <c r="DK77" s="353" t="s">
        <v>78</v>
      </c>
      <c r="DL77" s="353" t="s">
        <v>79</v>
      </c>
      <c r="DM77" s="353" t="s">
        <v>80</v>
      </c>
      <c r="DN77" s="353" t="s">
        <v>81</v>
      </c>
      <c r="DO77" s="353" t="s">
        <v>82</v>
      </c>
      <c r="DP77" s="353" t="s">
        <v>83</v>
      </c>
      <c r="DQ77" s="353" t="s">
        <v>84</v>
      </c>
      <c r="DR77" s="353" t="s">
        <v>85</v>
      </c>
      <c r="DS77" s="353" t="s">
        <v>86</v>
      </c>
      <c r="DT77" s="353" t="s">
        <v>87</v>
      </c>
      <c r="DU77" s="353" t="s">
        <v>88</v>
      </c>
      <c r="DV77" s="353" t="s">
        <v>89</v>
      </c>
      <c r="DW77" s="353" t="s">
        <v>90</v>
      </c>
      <c r="DX77" s="353" t="s">
        <v>91</v>
      </c>
      <c r="DY77" s="353" t="s">
        <v>92</v>
      </c>
      <c r="DZ77" s="353" t="s">
        <v>93</v>
      </c>
      <c r="EA77" s="353" t="s">
        <v>94</v>
      </c>
      <c r="EB77" s="353" t="s">
        <v>95</v>
      </c>
      <c r="EC77" s="353" t="s">
        <v>96</v>
      </c>
      <c r="ED77" s="353" t="s">
        <v>97</v>
      </c>
      <c r="EE77" s="354" t="s">
        <v>137</v>
      </c>
      <c r="EF77" s="353" t="s">
        <v>98</v>
      </c>
      <c r="EG77" s="353" t="s">
        <v>99</v>
      </c>
      <c r="EH77" s="353" t="s">
        <v>100</v>
      </c>
      <c r="EI77" s="353" t="s">
        <v>101</v>
      </c>
      <c r="EJ77" s="353" t="s">
        <v>102</v>
      </c>
      <c r="EK77" s="353" t="s">
        <v>103</v>
      </c>
      <c r="EL77" s="353" t="s">
        <v>104</v>
      </c>
      <c r="EM77" s="355" t="s">
        <v>46</v>
      </c>
    </row>
    <row r="78" spans="2:143">
      <c r="BT78" s="180" t="s">
        <v>128</v>
      </c>
      <c r="BU78" s="180"/>
      <c r="BV78" s="181"/>
      <c r="BW78" s="182"/>
      <c r="BX78" s="182"/>
      <c r="BY78" s="183"/>
      <c r="BZ78" s="229"/>
      <c r="CD78" s="351"/>
      <c r="CE78" s="352"/>
      <c r="CF78" s="353">
        <v>120034</v>
      </c>
      <c r="CG78" s="353">
        <v>120034</v>
      </c>
      <c r="CH78" s="353">
        <v>120034</v>
      </c>
      <c r="CI78" s="353">
        <v>120034</v>
      </c>
      <c r="CJ78" s="353">
        <v>120034</v>
      </c>
      <c r="CK78" s="353">
        <v>120034</v>
      </c>
      <c r="CL78" s="353">
        <v>120034</v>
      </c>
      <c r="CM78" s="353">
        <v>120034</v>
      </c>
      <c r="CN78" s="353">
        <v>120034</v>
      </c>
      <c r="CO78" s="353">
        <v>120034</v>
      </c>
      <c r="CP78" s="353">
        <v>120034</v>
      </c>
      <c r="CQ78" s="353">
        <v>120034</v>
      </c>
      <c r="CR78" s="353">
        <v>120034</v>
      </c>
      <c r="CS78" s="353">
        <v>120034</v>
      </c>
      <c r="CT78" s="353">
        <v>120034</v>
      </c>
      <c r="CU78" s="353">
        <v>120034</v>
      </c>
      <c r="CV78" s="353">
        <v>120034</v>
      </c>
      <c r="CW78" s="353">
        <v>120034</v>
      </c>
      <c r="CX78" s="353">
        <v>120034</v>
      </c>
      <c r="CY78" s="353">
        <v>120034</v>
      </c>
      <c r="CZ78" s="353">
        <v>120034</v>
      </c>
      <c r="DA78" s="353">
        <v>120034</v>
      </c>
      <c r="DB78" s="353">
        <v>120034</v>
      </c>
      <c r="DC78" s="353">
        <v>120034</v>
      </c>
      <c r="DD78" s="353">
        <v>120034</v>
      </c>
      <c r="DE78" s="353">
        <v>120034</v>
      </c>
      <c r="DF78" s="353">
        <v>120034</v>
      </c>
      <c r="DG78" s="353">
        <v>120034</v>
      </c>
      <c r="DH78" s="353">
        <v>120034</v>
      </c>
      <c r="DI78" s="353">
        <v>120034</v>
      </c>
      <c r="DJ78" s="353">
        <v>120034</v>
      </c>
      <c r="DK78" s="353">
        <v>120034</v>
      </c>
      <c r="DL78" s="353">
        <v>120034</v>
      </c>
      <c r="DM78" s="353">
        <v>120034</v>
      </c>
      <c r="DN78" s="353">
        <v>120034</v>
      </c>
      <c r="DO78" s="353">
        <v>120034</v>
      </c>
      <c r="DP78" s="353">
        <v>120034</v>
      </c>
      <c r="DQ78" s="353">
        <v>120034</v>
      </c>
      <c r="DR78" s="353">
        <v>120034</v>
      </c>
      <c r="DS78" s="353">
        <v>120034</v>
      </c>
      <c r="DT78" s="353">
        <v>120034</v>
      </c>
      <c r="DU78" s="353">
        <v>120034</v>
      </c>
      <c r="DV78" s="353">
        <v>120034</v>
      </c>
      <c r="DW78" s="353">
        <v>120034</v>
      </c>
      <c r="DX78" s="353">
        <v>120034</v>
      </c>
      <c r="DY78" s="353">
        <v>120034</v>
      </c>
      <c r="DZ78" s="353">
        <v>120034</v>
      </c>
      <c r="EA78" s="353">
        <v>120034</v>
      </c>
      <c r="EB78" s="353">
        <v>120034</v>
      </c>
      <c r="EC78" s="353">
        <v>120034</v>
      </c>
      <c r="ED78" s="353">
        <v>120034</v>
      </c>
      <c r="EE78" s="354">
        <v>120034</v>
      </c>
      <c r="EF78" s="353">
        <v>120034</v>
      </c>
      <c r="EG78" s="353">
        <v>120034</v>
      </c>
      <c r="EH78" s="353">
        <v>120034</v>
      </c>
      <c r="EI78" s="353">
        <v>120034</v>
      </c>
      <c r="EJ78" s="353">
        <v>120034</v>
      </c>
      <c r="EK78" s="353">
        <v>120034</v>
      </c>
      <c r="EL78" s="353">
        <v>120034</v>
      </c>
      <c r="EM78" s="355">
        <v>124055</v>
      </c>
    </row>
    <row r="79" spans="2:143">
      <c r="AI79" s="335"/>
      <c r="BT79" s="364">
        <v>0</v>
      </c>
      <c r="BU79" s="184" t="s">
        <v>47</v>
      </c>
      <c r="BV79" s="193">
        <v>124054</v>
      </c>
      <c r="BW79" s="194" t="e">
        <f t="shared" ref="BW79:BW110" si="128">Period_Y</f>
        <v>#REF!</v>
      </c>
      <c r="BX79" s="195" t="e">
        <f>IF(AND(State_LOB_Code=18,LEFT(BW79,4)&lt;"2009"),81,State_LOB_Code)&amp;"|333"</f>
        <v>#REF!</v>
      </c>
      <c r="BY79" s="185"/>
      <c r="BZ79" s="186"/>
      <c r="CD79" s="356"/>
      <c r="CE79" s="353"/>
      <c r="CF79" s="353" t="e">
        <f t="shared" ref="CF79:DK79" si="129">Period_Y</f>
        <v>#REF!</v>
      </c>
      <c r="CG79" s="353" t="e">
        <f t="shared" si="129"/>
        <v>#REF!</v>
      </c>
      <c r="CH79" s="353" t="e">
        <f t="shared" si="129"/>
        <v>#REF!</v>
      </c>
      <c r="CI79" s="353" t="e">
        <f t="shared" si="129"/>
        <v>#REF!</v>
      </c>
      <c r="CJ79" s="353" t="e">
        <f t="shared" si="129"/>
        <v>#REF!</v>
      </c>
      <c r="CK79" s="353" t="e">
        <f t="shared" si="129"/>
        <v>#REF!</v>
      </c>
      <c r="CL79" s="353" t="e">
        <f t="shared" si="129"/>
        <v>#REF!</v>
      </c>
      <c r="CM79" s="353" t="e">
        <f t="shared" si="129"/>
        <v>#REF!</v>
      </c>
      <c r="CN79" s="353" t="e">
        <f t="shared" si="129"/>
        <v>#REF!</v>
      </c>
      <c r="CO79" s="353" t="e">
        <f t="shared" si="129"/>
        <v>#REF!</v>
      </c>
      <c r="CP79" s="353" t="e">
        <f t="shared" si="129"/>
        <v>#REF!</v>
      </c>
      <c r="CQ79" s="353" t="e">
        <f t="shared" si="129"/>
        <v>#REF!</v>
      </c>
      <c r="CR79" s="353" t="e">
        <f t="shared" si="129"/>
        <v>#REF!</v>
      </c>
      <c r="CS79" s="353" t="e">
        <f t="shared" si="129"/>
        <v>#REF!</v>
      </c>
      <c r="CT79" s="353" t="e">
        <f t="shared" si="129"/>
        <v>#REF!</v>
      </c>
      <c r="CU79" s="353" t="e">
        <f t="shared" si="129"/>
        <v>#REF!</v>
      </c>
      <c r="CV79" s="353" t="e">
        <f t="shared" si="129"/>
        <v>#REF!</v>
      </c>
      <c r="CW79" s="353" t="e">
        <f t="shared" si="129"/>
        <v>#REF!</v>
      </c>
      <c r="CX79" s="353" t="e">
        <f t="shared" si="129"/>
        <v>#REF!</v>
      </c>
      <c r="CY79" s="353" t="e">
        <f t="shared" si="129"/>
        <v>#REF!</v>
      </c>
      <c r="CZ79" s="353" t="e">
        <f t="shared" si="129"/>
        <v>#REF!</v>
      </c>
      <c r="DA79" s="353" t="e">
        <f t="shared" si="129"/>
        <v>#REF!</v>
      </c>
      <c r="DB79" s="353" t="e">
        <f t="shared" si="129"/>
        <v>#REF!</v>
      </c>
      <c r="DC79" s="353" t="e">
        <f t="shared" si="129"/>
        <v>#REF!</v>
      </c>
      <c r="DD79" s="353" t="e">
        <f t="shared" si="129"/>
        <v>#REF!</v>
      </c>
      <c r="DE79" s="353" t="e">
        <f t="shared" si="129"/>
        <v>#REF!</v>
      </c>
      <c r="DF79" s="353" t="e">
        <f t="shared" si="129"/>
        <v>#REF!</v>
      </c>
      <c r="DG79" s="353" t="e">
        <f t="shared" si="129"/>
        <v>#REF!</v>
      </c>
      <c r="DH79" s="353" t="e">
        <f t="shared" si="129"/>
        <v>#REF!</v>
      </c>
      <c r="DI79" s="353" t="e">
        <f t="shared" si="129"/>
        <v>#REF!</v>
      </c>
      <c r="DJ79" s="353" t="e">
        <f t="shared" si="129"/>
        <v>#REF!</v>
      </c>
      <c r="DK79" s="353" t="e">
        <f t="shared" si="129"/>
        <v>#REF!</v>
      </c>
      <c r="DL79" s="353" t="e">
        <f t="shared" ref="DL79:EM79" si="130">Period_Y</f>
        <v>#REF!</v>
      </c>
      <c r="DM79" s="353" t="e">
        <f t="shared" si="130"/>
        <v>#REF!</v>
      </c>
      <c r="DN79" s="353" t="e">
        <f t="shared" si="130"/>
        <v>#REF!</v>
      </c>
      <c r="DO79" s="353" t="e">
        <f t="shared" si="130"/>
        <v>#REF!</v>
      </c>
      <c r="DP79" s="353" t="e">
        <f t="shared" si="130"/>
        <v>#REF!</v>
      </c>
      <c r="DQ79" s="353" t="e">
        <f t="shared" si="130"/>
        <v>#REF!</v>
      </c>
      <c r="DR79" s="353" t="e">
        <f t="shared" si="130"/>
        <v>#REF!</v>
      </c>
      <c r="DS79" s="353" t="e">
        <f t="shared" si="130"/>
        <v>#REF!</v>
      </c>
      <c r="DT79" s="353" t="e">
        <f t="shared" si="130"/>
        <v>#REF!</v>
      </c>
      <c r="DU79" s="353" t="e">
        <f t="shared" si="130"/>
        <v>#REF!</v>
      </c>
      <c r="DV79" s="353" t="e">
        <f t="shared" si="130"/>
        <v>#REF!</v>
      </c>
      <c r="DW79" s="353" t="e">
        <f t="shared" si="130"/>
        <v>#REF!</v>
      </c>
      <c r="DX79" s="353" t="e">
        <f t="shared" si="130"/>
        <v>#REF!</v>
      </c>
      <c r="DY79" s="353" t="e">
        <f t="shared" si="130"/>
        <v>#REF!</v>
      </c>
      <c r="DZ79" s="353" t="e">
        <f t="shared" si="130"/>
        <v>#REF!</v>
      </c>
      <c r="EA79" s="353" t="e">
        <f t="shared" si="130"/>
        <v>#REF!</v>
      </c>
      <c r="EB79" s="353" t="e">
        <f t="shared" si="130"/>
        <v>#REF!</v>
      </c>
      <c r="EC79" s="353" t="e">
        <f t="shared" si="130"/>
        <v>#REF!</v>
      </c>
      <c r="ED79" s="353" t="e">
        <f t="shared" si="130"/>
        <v>#REF!</v>
      </c>
      <c r="EE79" s="354" t="e">
        <f t="shared" si="130"/>
        <v>#REF!</v>
      </c>
      <c r="EF79" s="353" t="e">
        <f t="shared" si="130"/>
        <v>#REF!</v>
      </c>
      <c r="EG79" s="353" t="e">
        <f t="shared" si="130"/>
        <v>#REF!</v>
      </c>
      <c r="EH79" s="353" t="e">
        <f t="shared" si="130"/>
        <v>#REF!</v>
      </c>
      <c r="EI79" s="353" t="e">
        <f t="shared" si="130"/>
        <v>#REF!</v>
      </c>
      <c r="EJ79" s="353" t="e">
        <f t="shared" si="130"/>
        <v>#REF!</v>
      </c>
      <c r="EK79" s="353" t="e">
        <f t="shared" si="130"/>
        <v>#REF!</v>
      </c>
      <c r="EL79" s="353" t="e">
        <f t="shared" si="130"/>
        <v>#REF!</v>
      </c>
      <c r="EM79" s="355" t="e">
        <f t="shared" si="130"/>
        <v>#REF!</v>
      </c>
    </row>
    <row r="80" spans="2:143" ht="12" thickBot="1">
      <c r="BT80" s="365">
        <v>1</v>
      </c>
      <c r="BU80" s="187" t="s">
        <v>48</v>
      </c>
      <c r="BV80" s="196">
        <v>124054</v>
      </c>
      <c r="BW80" s="197" t="e">
        <f t="shared" si="128"/>
        <v>#REF!</v>
      </c>
      <c r="BX80" s="198" t="e">
        <f>IF(AND(State_LOB_Code=18,LEFT(BW80,4)&lt;"2009"),81,State_LOB_Code)&amp;"|334"</f>
        <v>#REF!</v>
      </c>
      <c r="BY80" s="174"/>
      <c r="BZ80" s="175"/>
      <c r="CD80" s="357"/>
      <c r="CE80" s="358"/>
      <c r="CF80" s="358" t="e">
        <f>IF(AND(State_LOB_Code=18,LEFT(CF79,4)&lt;"2009"),81,State_LOB_Code)&amp;"|333"</f>
        <v>#REF!</v>
      </c>
      <c r="CG80" s="358" t="e">
        <f>IF(AND(State_LOB_Code=18,LEFT(CG79,4)&lt;"2009"),81,State_LOB_Code)&amp;"|334"</f>
        <v>#REF!</v>
      </c>
      <c r="CH80" s="358" t="e">
        <f>IF(AND(State_LOB_Code=18,LEFT(CH79,4)&lt;"2009"),81,State_LOB_Code)&amp;"|335"</f>
        <v>#REF!</v>
      </c>
      <c r="CI80" s="358" t="e">
        <f>IF(AND(State_LOB_Code=18,LEFT(CI79,4)&lt;"2009"),81,State_LOB_Code)&amp;"|337"</f>
        <v>#REF!</v>
      </c>
      <c r="CJ80" s="358" t="e">
        <f>IF(AND(State_LOB_Code=18,LEFT(CJ79,4)&lt;"2009"),81,State_LOB_Code)&amp;"|338"</f>
        <v>#REF!</v>
      </c>
      <c r="CK80" s="358" t="e">
        <f>IF(AND(State_LOB_Code=18,LEFT(CK79,4)&lt;"2009"),81,State_LOB_Code)&amp;"|339"</f>
        <v>#REF!</v>
      </c>
      <c r="CL80" s="358" t="e">
        <f>IF(AND(State_LOB_Code=18,LEFT(CL79,4)&lt;"2009"),81,State_LOB_Code)&amp;"|340"</f>
        <v>#REF!</v>
      </c>
      <c r="CM80" s="358" t="e">
        <f>IF(AND(State_LOB_Code=18,LEFT(CM79,4)&lt;"2009"),81,State_LOB_Code)&amp;"|341"</f>
        <v>#REF!</v>
      </c>
      <c r="CN80" s="358" t="e">
        <f>IF(AND(State_LOB_Code=18,LEFT(CN79,4)&lt;"2009"),81,State_LOB_Code)&amp;"|342"</f>
        <v>#REF!</v>
      </c>
      <c r="CO80" s="358" t="e">
        <f>IF(AND(State_LOB_Code=18,LEFT(CO79,4)&lt;"2009"),81,State_LOB_Code)&amp;"|343"</f>
        <v>#REF!</v>
      </c>
      <c r="CP80" s="358" t="e">
        <f>IF(AND(State_LOB_Code=18,LEFT(CP79,4)&lt;"2009"),81,State_LOB_Code)&amp;"|344"</f>
        <v>#REF!</v>
      </c>
      <c r="CQ80" s="358" t="e">
        <f>IF(AND(State_LOB_Code=18,LEFT(CQ79,4)&lt;"2009"),81,State_LOB_Code)&amp;"|346"</f>
        <v>#REF!</v>
      </c>
      <c r="CR80" s="358" t="e">
        <f>IF(AND(State_LOB_Code=18,LEFT(CR79,4)&lt;"2009"),81,State_LOB_Code)&amp;"|347"</f>
        <v>#REF!</v>
      </c>
      <c r="CS80" s="358" t="e">
        <f>IF(AND(State_LOB_Code=18,LEFT(CS79,4)&lt;"2009"),81,State_LOB_Code)&amp;"|348"</f>
        <v>#REF!</v>
      </c>
      <c r="CT80" s="358" t="e">
        <f>IF(AND(State_LOB_Code=18,LEFT(CT79,4)&lt;"2009"),81,State_LOB_Code)&amp;"|349"</f>
        <v>#REF!</v>
      </c>
      <c r="CU80" s="358" t="e">
        <f>IF(AND(State_LOB_Code=18,LEFT(CU79,4)&lt;"2009"),81,State_LOB_Code)&amp;"|350"</f>
        <v>#REF!</v>
      </c>
      <c r="CV80" s="358" t="e">
        <f>IF(AND(State_LOB_Code=18,LEFT(CV79,4)&lt;"2009"),81,State_LOB_Code)&amp;"|351"</f>
        <v>#REF!</v>
      </c>
      <c r="CW80" s="358" t="e">
        <f>IF(AND(State_LOB_Code=18,LEFT(CW79,4)&lt;"2009"),81,State_LOB_Code)&amp;"|352"</f>
        <v>#REF!</v>
      </c>
      <c r="CX80" s="358" t="e">
        <f>IF(AND(State_LOB_Code=18,LEFT(CX79,4)&lt;"2009"),81,State_LOB_Code)&amp;"|353"</f>
        <v>#REF!</v>
      </c>
      <c r="CY80" s="358" t="e">
        <f>IF(AND(State_LOB_Code=18,LEFT(CY79,4)&lt;"2009"),81,State_LOB_Code)&amp;"|354"</f>
        <v>#REF!</v>
      </c>
      <c r="CZ80" s="358" t="e">
        <f>IF(AND(State_LOB_Code=18,LEFT(CZ79,4)&lt;"2009"),81,State_LOB_Code)&amp;"|355"</f>
        <v>#REF!</v>
      </c>
      <c r="DA80" s="358" t="e">
        <f>IF(AND(State_LOB_Code=18,LEFT(DA79,4)&lt;"2009"),81,State_LOB_Code)&amp;"|356"</f>
        <v>#REF!</v>
      </c>
      <c r="DB80" s="358" t="e">
        <f>IF(AND(State_LOB_Code=18,LEFT(DB79,4)&lt;"2009"),81,State_LOB_Code)&amp;"|357"</f>
        <v>#REF!</v>
      </c>
      <c r="DC80" s="358" t="e">
        <f>IF(AND(State_LOB_Code=18,LEFT(DC79,4)&lt;"2009"),81,State_LOB_Code)&amp;"|358"</f>
        <v>#REF!</v>
      </c>
      <c r="DD80" s="358" t="e">
        <f>IF(AND(State_LOB_Code=18,LEFT(DD79,4)&lt;"2009"),81,State_LOB_Code)&amp;"|359"</f>
        <v>#REF!</v>
      </c>
      <c r="DE80" s="358" t="e">
        <f>IF(AND(State_LOB_Code=18,LEFT(DE79,4)&lt;"2009"),81,State_LOB_Code)&amp;"|361"</f>
        <v>#REF!</v>
      </c>
      <c r="DF80" s="358" t="e">
        <f>IF(AND(State_LOB_Code=18,LEFT(DF79,4)&lt;"2009"),81,State_LOB_Code)&amp;"|362"</f>
        <v>#REF!</v>
      </c>
      <c r="DG80" s="358" t="e">
        <f>IF(AND(State_LOB_Code=18,LEFT(DG79,4)&lt;"2009"),81,State_LOB_Code)&amp;"|363"</f>
        <v>#REF!</v>
      </c>
      <c r="DH80" s="358" t="e">
        <f>IF(AND(State_LOB_Code=18,LEFT(DH79,4)&lt;"2009"),81,State_LOB_Code)&amp;"|364"</f>
        <v>#REF!</v>
      </c>
      <c r="DI80" s="358" t="e">
        <f>IF(AND(State_LOB_Code=18,LEFT(DI79,4)&lt;"2009"),81,State_LOB_Code)&amp;"|365"</f>
        <v>#REF!</v>
      </c>
      <c r="DJ80" s="358" t="e">
        <f>IF(AND(State_LOB_Code=18,LEFT(DJ79,4)&lt;"2009"),81,State_LOB_Code)&amp;"|366"</f>
        <v>#REF!</v>
      </c>
      <c r="DK80" s="358" t="e">
        <f>IF(AND(State_LOB_Code=18,LEFT(DK79,4)&lt;"2009"),81,State_LOB_Code)&amp;"|367"</f>
        <v>#REF!</v>
      </c>
      <c r="DL80" s="358" t="e">
        <f>IF(AND(State_LOB_Code=18,LEFT(DL79,4)&lt;"2009"),81,State_LOB_Code)&amp;"|368"</f>
        <v>#REF!</v>
      </c>
      <c r="DM80" s="358" t="e">
        <f>IF(AND(State_LOB_Code=18,LEFT(DM79,4)&lt;"2009"),81,State_LOB_Code)&amp;"|369"</f>
        <v>#REF!</v>
      </c>
      <c r="DN80" s="358" t="e">
        <f>IF(AND(State_LOB_Code=18,LEFT(DN79,4)&lt;"2009"),81,State_LOB_Code)&amp;"|370"</f>
        <v>#REF!</v>
      </c>
      <c r="DO80" s="358" t="e">
        <f>IF(AND(State_LOB_Code=18,LEFT(DO79,4)&lt;"2009"),81,State_LOB_Code)&amp;"|371"</f>
        <v>#REF!</v>
      </c>
      <c r="DP80" s="358" t="e">
        <f>IF(AND(State_LOB_Code=18,LEFT(DP79,4)&lt;"2009"),81,State_LOB_Code)&amp;"|372"</f>
        <v>#REF!</v>
      </c>
      <c r="DQ80" s="358" t="e">
        <f>IF(AND(State_LOB_Code=18,LEFT(DQ79,4)&lt;"2009"),81,State_LOB_Code)&amp;"|373"</f>
        <v>#REF!</v>
      </c>
      <c r="DR80" s="358" t="e">
        <f>IF(AND(State_LOB_Code=18,LEFT(DR79,4)&lt;"2009"),81,State_LOB_Code)&amp;"|374"</f>
        <v>#REF!</v>
      </c>
      <c r="DS80" s="358" t="e">
        <f>IF(AND(State_LOB_Code=18,LEFT(DS79,4)&lt;"2009"),81,State_LOB_Code)&amp;"|376"</f>
        <v>#REF!</v>
      </c>
      <c r="DT80" s="358" t="e">
        <f>IF(AND(State_LOB_Code=18,LEFT(DT79,4)&lt;"2009"),81,State_LOB_Code)&amp;"|377"</f>
        <v>#REF!</v>
      </c>
      <c r="DU80" s="358" t="e">
        <f>IF(AND(State_LOB_Code=18,LEFT(DU79,4)&lt;"2009"),81,State_LOB_Code)&amp;"|378"</f>
        <v>#REF!</v>
      </c>
      <c r="DV80" s="358" t="e">
        <f>IF(AND(State_LOB_Code=18,LEFT(DV79,4)&lt;"2009"),81,State_LOB_Code)&amp;"|379"</f>
        <v>#REF!</v>
      </c>
      <c r="DW80" s="358" t="e">
        <f>IF(AND(State_LOB_Code=18,LEFT(DW79,4)&lt;"2009"),81,State_LOB_Code)&amp;"|380"</f>
        <v>#REF!</v>
      </c>
      <c r="DX80" s="358" t="e">
        <f>IF(AND(State_LOB_Code=18,LEFT(DX79,4)&lt;"2009"),81,State_LOB_Code)&amp;"|381"</f>
        <v>#REF!</v>
      </c>
      <c r="DY80" s="358" t="e">
        <f>IF(AND(State_LOB_Code=18,LEFT(DY79,4)&lt;"2009"),81,State_LOB_Code)&amp;"|382"</f>
        <v>#REF!</v>
      </c>
      <c r="DZ80" s="358" t="e">
        <f>IF(AND(State_LOB_Code=18,LEFT(DZ79,4)&lt;"2009"),81,State_LOB_Code)&amp;"|384"</f>
        <v>#REF!</v>
      </c>
      <c r="EA80" s="358" t="e">
        <f>IF(AND(State_LOB_Code=18,LEFT(EA79,4)&lt;"2009"),81,State_LOB_Code)&amp;"|385"</f>
        <v>#REF!</v>
      </c>
      <c r="EB80" s="358" t="e">
        <f>IF(AND(State_LOB_Code=18,LEFT(EB79,4)&lt;"2009"),81,State_LOB_Code)&amp;"|386"</f>
        <v>#REF!</v>
      </c>
      <c r="EC80" s="358" t="e">
        <f>IF(AND(State_LOB_Code=18,LEFT(EC79,4)&lt;"2009"),81,State_LOB_Code)&amp;"|387"</f>
        <v>#REF!</v>
      </c>
      <c r="ED80" s="358" t="e">
        <f>IF(AND(State_LOB_Code=18,LEFT(ED79,4)&lt;"2009"),81,State_LOB_Code)&amp;"|388"</f>
        <v>#REF!</v>
      </c>
      <c r="EE80" s="359" t="e">
        <f>IF(AND(State_LOB_Code=18,LEFT(EE79,4)&lt;"2009"),81,State_LOB_Code)&amp;"|600"</f>
        <v>#REF!</v>
      </c>
      <c r="EF80" s="358" t="e">
        <f>IF(AND(State_LOB_Code=18,LEFT(EF79,4)&lt;"2009"),81,State_LOB_Code)&amp;"|336"</f>
        <v>#REF!</v>
      </c>
      <c r="EG80" s="358" t="e">
        <f>IF(AND(State_LOB_Code=18,LEFT(EG79,4)&lt;"2009"),81,State_LOB_Code)&amp;"|345"</f>
        <v>#REF!</v>
      </c>
      <c r="EH80" s="358" t="e">
        <f>IF(AND(State_LOB_Code=18,LEFT(EH79,4)&lt;"2009"),81,State_LOB_Code)&amp;"|360"</f>
        <v>#REF!</v>
      </c>
      <c r="EI80" s="358" t="e">
        <f>IF(AND(State_LOB_Code=18,LEFT(EI79,4)&lt;"2009"),81,State_LOB_Code)&amp;"|375"</f>
        <v>#REF!</v>
      </c>
      <c r="EJ80" s="358" t="e">
        <f>IF(AND(State_LOB_Code=18,LEFT(EJ79,4)&lt;"2009"),81,State_LOB_Code)&amp;"|383"</f>
        <v>#REF!</v>
      </c>
      <c r="EK80" s="358" t="e">
        <f>IF(AND(State_LOB_Code=18,LEFT(EK79,4)&lt;"2009"),81,State_LOB_Code)&amp;"|332"</f>
        <v>#REF!</v>
      </c>
      <c r="EL80" s="358" t="e">
        <f>IF(AND(State_LOB_Code=18,LEFT(EL79,4)&lt;"2009"),81,State_LOB_Code)&amp;"|330"</f>
        <v>#REF!</v>
      </c>
      <c r="EM80" s="360" t="e">
        <f>IF(AND(State_LOB_Code=18,LEFT(EM79,4)&lt;"2009"),81,State_LOB_Code)</f>
        <v>#REF!</v>
      </c>
    </row>
    <row r="81" spans="72:143" ht="12" thickTop="1">
      <c r="BT81" s="365">
        <v>2</v>
      </c>
      <c r="BU81" s="187" t="s">
        <v>49</v>
      </c>
      <c r="BV81" s="196">
        <v>124054</v>
      </c>
      <c r="BW81" s="197" t="e">
        <f t="shared" si="128"/>
        <v>#REF!</v>
      </c>
      <c r="BX81" s="198" t="e">
        <f>IF(AND(State_LOB_Code=18,LEFT(BW81,4)&lt;"2009"),81,State_LOB_Code)&amp;"|335"</f>
        <v>#REF!</v>
      </c>
      <c r="BY81" s="174"/>
      <c r="BZ81" s="175"/>
      <c r="CD81" s="163"/>
      <c r="CE81" s="363"/>
      <c r="CF81" s="335"/>
      <c r="CG81" s="335"/>
      <c r="CH81" s="335"/>
      <c r="CI81" s="335"/>
      <c r="CJ81" s="335"/>
      <c r="CK81" s="335"/>
      <c r="CL81" s="335"/>
      <c r="CM81" s="335"/>
      <c r="CN81" s="335"/>
      <c r="CO81" s="335"/>
      <c r="CP81" s="335"/>
      <c r="CQ81" s="335"/>
      <c r="CR81" s="335"/>
      <c r="CS81" s="335"/>
      <c r="CT81" s="335"/>
      <c r="CU81" s="335"/>
      <c r="CV81" s="335"/>
      <c r="CW81" s="335"/>
      <c r="CX81" s="335"/>
      <c r="CY81" s="335"/>
      <c r="CZ81" s="335"/>
      <c r="DA81" s="335"/>
      <c r="DB81" s="335"/>
      <c r="DC81" s="335"/>
      <c r="DD81" s="335"/>
      <c r="DE81" s="335"/>
      <c r="DF81" s="335"/>
      <c r="DG81" s="335"/>
      <c r="DH81" s="335"/>
      <c r="DI81" s="335"/>
      <c r="DJ81" s="335"/>
      <c r="DK81" s="335"/>
      <c r="DL81" s="335"/>
      <c r="DM81" s="335"/>
      <c r="DN81" s="335"/>
      <c r="DO81" s="335"/>
      <c r="DP81" s="335"/>
      <c r="DQ81" s="335"/>
      <c r="DR81" s="335"/>
      <c r="DS81" s="335"/>
      <c r="DT81" s="335"/>
      <c r="DU81" s="335"/>
      <c r="DV81" s="335"/>
      <c r="DW81" s="335"/>
      <c r="DX81" s="335"/>
      <c r="DY81" s="335"/>
      <c r="DZ81" s="335"/>
      <c r="EA81" s="335"/>
      <c r="EB81" s="335"/>
      <c r="EC81" s="335"/>
      <c r="ED81" s="335"/>
      <c r="EE81" s="335"/>
      <c r="EF81" s="335"/>
      <c r="EG81" s="335"/>
      <c r="EH81" s="335"/>
      <c r="EI81" s="335"/>
      <c r="EJ81" s="335"/>
      <c r="EK81" s="335"/>
      <c r="EL81" s="335"/>
      <c r="EM81" s="335"/>
    </row>
    <row r="82" spans="72:143">
      <c r="BT82" s="365">
        <v>3</v>
      </c>
      <c r="BU82" s="187" t="s">
        <v>50</v>
      </c>
      <c r="BV82" s="196">
        <v>124054</v>
      </c>
      <c r="BW82" s="197" t="e">
        <f t="shared" si="128"/>
        <v>#REF!</v>
      </c>
      <c r="BX82" s="198" t="e">
        <f>IF(AND(State_LOB_Code=18,LEFT(BW82,4)&lt;"2009"),81,State_LOB_Code)&amp;"|337"</f>
        <v>#REF!</v>
      </c>
      <c r="BY82" s="174"/>
      <c r="BZ82" s="175"/>
      <c r="CD82" s="163"/>
      <c r="CE82" s="363"/>
      <c r="CF82" s="335"/>
      <c r="CG82" s="335"/>
      <c r="CH82" s="335"/>
      <c r="CI82" s="335"/>
      <c r="CJ82" s="335"/>
      <c r="CK82" s="335"/>
      <c r="CL82" s="335"/>
      <c r="CM82" s="335"/>
      <c r="CN82" s="335"/>
      <c r="CO82" s="335"/>
      <c r="CP82" s="335"/>
      <c r="CQ82" s="335"/>
      <c r="CR82" s="335"/>
      <c r="CS82" s="335"/>
      <c r="CT82" s="335"/>
      <c r="CU82" s="335"/>
      <c r="CV82" s="335"/>
      <c r="CW82" s="335"/>
      <c r="CX82" s="335"/>
      <c r="CY82" s="335"/>
      <c r="CZ82" s="335"/>
      <c r="DA82" s="335"/>
      <c r="DB82" s="335"/>
      <c r="DC82" s="335"/>
      <c r="DD82" s="335"/>
      <c r="DE82" s="335"/>
      <c r="DF82" s="335"/>
      <c r="DG82" s="335"/>
      <c r="DH82" s="335"/>
      <c r="DI82" s="335"/>
      <c r="DJ82" s="335"/>
      <c r="DK82" s="335"/>
      <c r="DL82" s="335"/>
      <c r="DM82" s="335"/>
      <c r="DN82" s="335"/>
      <c r="DO82" s="335"/>
      <c r="DP82" s="335"/>
      <c r="DQ82" s="335"/>
      <c r="DR82" s="335"/>
      <c r="DS82" s="335"/>
      <c r="DT82" s="335"/>
      <c r="DU82" s="335"/>
      <c r="DV82" s="335"/>
      <c r="DW82" s="335"/>
      <c r="DX82" s="335"/>
      <c r="DY82" s="335"/>
      <c r="DZ82" s="335"/>
      <c r="EA82" s="335"/>
      <c r="EB82" s="335"/>
      <c r="EC82" s="335"/>
      <c r="ED82" s="335"/>
      <c r="EE82" s="335"/>
      <c r="EF82" s="335"/>
      <c r="EG82" s="335"/>
      <c r="EH82" s="335"/>
      <c r="EI82" s="335"/>
      <c r="EJ82" s="335"/>
      <c r="EK82" s="335"/>
      <c r="EL82" s="335"/>
      <c r="EM82" s="335"/>
    </row>
    <row r="83" spans="72:143">
      <c r="BT83" s="365">
        <v>4</v>
      </c>
      <c r="BU83" s="187" t="s">
        <v>51</v>
      </c>
      <c r="BV83" s="196">
        <v>124054</v>
      </c>
      <c r="BW83" s="197" t="e">
        <f t="shared" si="128"/>
        <v>#REF!</v>
      </c>
      <c r="BX83" s="198" t="e">
        <f>IF(AND(State_LOB_Code=18,LEFT(BW83,4)&lt;"2009"),81,State_LOB_Code)&amp;"|338"</f>
        <v>#REF!</v>
      </c>
      <c r="BY83" s="174"/>
      <c r="BZ83" s="175"/>
      <c r="CD83" s="163"/>
      <c r="CE83" s="363"/>
      <c r="CF83" s="335"/>
      <c r="CG83" s="335"/>
      <c r="CH83" s="335"/>
      <c r="CI83" s="335"/>
      <c r="CJ83" s="335"/>
      <c r="CK83" s="335"/>
      <c r="CL83" s="335"/>
      <c r="CM83" s="335"/>
      <c r="CN83" s="335"/>
      <c r="CO83" s="335"/>
      <c r="CP83" s="335"/>
      <c r="CQ83" s="335"/>
      <c r="CR83" s="335"/>
      <c r="CS83" s="335"/>
      <c r="CT83" s="335"/>
      <c r="CU83" s="335"/>
      <c r="CV83" s="335"/>
      <c r="CW83" s="335"/>
      <c r="CX83" s="335"/>
      <c r="CY83" s="335"/>
      <c r="CZ83" s="335"/>
      <c r="DA83" s="335"/>
      <c r="DB83" s="335"/>
      <c r="DC83" s="335"/>
      <c r="DD83" s="335"/>
      <c r="DE83" s="335"/>
      <c r="DF83" s="335"/>
      <c r="DG83" s="335"/>
      <c r="DH83" s="335"/>
      <c r="DI83" s="335"/>
      <c r="DJ83" s="335"/>
      <c r="DK83" s="335"/>
      <c r="DL83" s="335"/>
      <c r="DM83" s="335"/>
      <c r="DN83" s="335"/>
      <c r="DO83" s="335"/>
      <c r="DP83" s="335"/>
      <c r="DQ83" s="335"/>
      <c r="DR83" s="335"/>
      <c r="DS83" s="335"/>
      <c r="DT83" s="335"/>
      <c r="DU83" s="335"/>
      <c r="DV83" s="335"/>
      <c r="DW83" s="335"/>
      <c r="DX83" s="335"/>
      <c r="DY83" s="335"/>
      <c r="DZ83" s="335"/>
      <c r="EA83" s="335"/>
      <c r="EB83" s="335"/>
      <c r="EC83" s="335"/>
      <c r="ED83" s="335"/>
      <c r="EE83" s="335"/>
      <c r="EF83" s="335"/>
      <c r="EG83" s="335"/>
      <c r="EH83" s="335"/>
      <c r="EI83" s="335"/>
      <c r="EJ83" s="335"/>
      <c r="EK83" s="335"/>
      <c r="EL83" s="335"/>
      <c r="EM83" s="335"/>
    </row>
    <row r="84" spans="72:143">
      <c r="BT84" s="365">
        <v>5</v>
      </c>
      <c r="BU84" s="187" t="s">
        <v>52</v>
      </c>
      <c r="BV84" s="196">
        <v>124054</v>
      </c>
      <c r="BW84" s="197" t="e">
        <f t="shared" si="128"/>
        <v>#REF!</v>
      </c>
      <c r="BX84" s="198" t="e">
        <f>IF(AND(State_LOB_Code=18,LEFT(BW84,4)&lt;"2009"),81,State_LOB_Code)&amp;"|339"</f>
        <v>#REF!</v>
      </c>
      <c r="BY84" s="174"/>
      <c r="BZ84" s="175"/>
      <c r="CD84" s="163"/>
      <c r="CE84" s="363"/>
      <c r="CF84" s="335"/>
      <c r="CG84" s="335"/>
      <c r="CH84" s="335"/>
      <c r="CI84" s="335"/>
      <c r="CJ84" s="335"/>
      <c r="CK84" s="335"/>
      <c r="CL84" s="335"/>
      <c r="CM84" s="335"/>
      <c r="CN84" s="335"/>
      <c r="CO84" s="335"/>
      <c r="CP84" s="335"/>
      <c r="CQ84" s="335"/>
      <c r="CR84" s="335"/>
      <c r="CS84" s="335"/>
      <c r="CT84" s="335"/>
      <c r="CU84" s="335"/>
      <c r="CV84" s="335"/>
      <c r="CW84" s="335"/>
      <c r="CX84" s="335"/>
      <c r="CY84" s="335"/>
      <c r="CZ84" s="335"/>
      <c r="DA84" s="335"/>
      <c r="DB84" s="335"/>
      <c r="DC84" s="335"/>
      <c r="DD84" s="335"/>
      <c r="DE84" s="335"/>
      <c r="DF84" s="335"/>
      <c r="DG84" s="335"/>
      <c r="DH84" s="335"/>
      <c r="DI84" s="335"/>
      <c r="DJ84" s="335"/>
      <c r="DK84" s="335"/>
      <c r="DL84" s="335"/>
      <c r="DM84" s="335"/>
      <c r="DN84" s="335"/>
      <c r="DO84" s="335"/>
      <c r="DP84" s="335"/>
      <c r="DQ84" s="335"/>
      <c r="DR84" s="335"/>
      <c r="DS84" s="335"/>
      <c r="DT84" s="335"/>
      <c r="DU84" s="335"/>
      <c r="DV84" s="335"/>
      <c r="DW84" s="335"/>
      <c r="DX84" s="335"/>
      <c r="DY84" s="335"/>
      <c r="DZ84" s="335"/>
      <c r="EA84" s="335"/>
      <c r="EB84" s="335"/>
      <c r="EC84" s="335"/>
      <c r="ED84" s="335"/>
      <c r="EE84" s="335"/>
      <c r="EF84" s="335"/>
      <c r="EG84" s="335"/>
      <c r="EH84" s="335"/>
      <c r="EI84" s="335"/>
      <c r="EJ84" s="335"/>
      <c r="EK84" s="335"/>
      <c r="EL84" s="335"/>
      <c r="EM84" s="335"/>
    </row>
    <row r="85" spans="72:143">
      <c r="BT85" s="365">
        <v>6</v>
      </c>
      <c r="BU85" s="187" t="s">
        <v>53</v>
      </c>
      <c r="BV85" s="196">
        <v>124054</v>
      </c>
      <c r="BW85" s="197" t="e">
        <f t="shared" si="128"/>
        <v>#REF!</v>
      </c>
      <c r="BX85" s="198" t="e">
        <f>IF(AND(State_LOB_Code=18,LEFT(BW85,4)&lt;"2009"),81,State_LOB_Code)&amp;"|340"</f>
        <v>#REF!</v>
      </c>
      <c r="BY85" s="174"/>
      <c r="BZ85" s="175"/>
      <c r="CD85" s="163"/>
      <c r="CE85" s="363"/>
      <c r="CF85" s="335"/>
      <c r="CG85" s="335"/>
      <c r="CH85" s="335"/>
      <c r="CI85" s="335"/>
      <c r="CJ85" s="335"/>
      <c r="CK85" s="335"/>
      <c r="CL85" s="335"/>
      <c r="CM85" s="335"/>
      <c r="CN85" s="335"/>
      <c r="CO85" s="335"/>
      <c r="CP85" s="335"/>
      <c r="CQ85" s="335"/>
      <c r="CR85" s="335"/>
      <c r="CS85" s="335"/>
      <c r="CT85" s="335"/>
      <c r="CU85" s="335"/>
      <c r="CV85" s="335"/>
      <c r="CW85" s="335"/>
      <c r="CX85" s="335"/>
      <c r="CY85" s="335"/>
      <c r="CZ85" s="335"/>
      <c r="DA85" s="335"/>
      <c r="DB85" s="335"/>
      <c r="DC85" s="335"/>
      <c r="DD85" s="335"/>
      <c r="DE85" s="335"/>
      <c r="DF85" s="335"/>
      <c r="DG85" s="335"/>
      <c r="DH85" s="335"/>
      <c r="DI85" s="335"/>
      <c r="DJ85" s="335"/>
      <c r="DK85" s="335"/>
      <c r="DL85" s="335"/>
      <c r="DM85" s="335"/>
      <c r="DN85" s="335"/>
      <c r="DO85" s="335"/>
      <c r="DP85" s="335"/>
      <c r="DQ85" s="335"/>
      <c r="DR85" s="335"/>
      <c r="DS85" s="335"/>
      <c r="DT85" s="335"/>
      <c r="DU85" s="335"/>
      <c r="DV85" s="335"/>
      <c r="DW85" s="335"/>
      <c r="DX85" s="335"/>
      <c r="DY85" s="335"/>
      <c r="DZ85" s="335"/>
      <c r="EA85" s="335"/>
      <c r="EB85" s="335"/>
      <c r="EC85" s="335"/>
      <c r="ED85" s="335"/>
      <c r="EE85" s="335"/>
      <c r="EF85" s="335"/>
      <c r="EG85" s="335"/>
      <c r="EH85" s="335"/>
      <c r="EI85" s="335"/>
      <c r="EJ85" s="335"/>
      <c r="EK85" s="335"/>
      <c r="EL85" s="335"/>
      <c r="EM85" s="335"/>
    </row>
    <row r="86" spans="72:143">
      <c r="BT86" s="365">
        <v>7</v>
      </c>
      <c r="BU86" s="187" t="s">
        <v>54</v>
      </c>
      <c r="BV86" s="196">
        <v>124054</v>
      </c>
      <c r="BW86" s="197" t="e">
        <f t="shared" si="128"/>
        <v>#REF!</v>
      </c>
      <c r="BX86" s="198" t="e">
        <f>IF(AND(State_LOB_Code=18,LEFT(BW86,4)&lt;"2009"),81,State_LOB_Code)&amp;"|341"</f>
        <v>#REF!</v>
      </c>
      <c r="BY86" s="174"/>
      <c r="BZ86" s="175"/>
      <c r="CD86" s="163"/>
      <c r="CE86" s="363"/>
      <c r="CF86" s="335"/>
      <c r="CG86" s="335"/>
      <c r="CH86" s="335"/>
      <c r="CI86" s="335"/>
      <c r="CJ86" s="335"/>
      <c r="CK86" s="335"/>
      <c r="CL86" s="335"/>
      <c r="CM86" s="335"/>
      <c r="CN86" s="335"/>
      <c r="CO86" s="335"/>
      <c r="CP86" s="335"/>
      <c r="CQ86" s="335"/>
      <c r="CR86" s="335"/>
      <c r="CS86" s="335"/>
      <c r="CT86" s="335"/>
      <c r="CU86" s="335"/>
      <c r="CV86" s="335"/>
      <c r="CW86" s="335"/>
      <c r="CX86" s="335"/>
      <c r="CY86" s="335"/>
      <c r="CZ86" s="335"/>
      <c r="DA86" s="335"/>
      <c r="DB86" s="335"/>
      <c r="DC86" s="335"/>
      <c r="DD86" s="335"/>
      <c r="DE86" s="335"/>
      <c r="DF86" s="335"/>
      <c r="DG86" s="335"/>
      <c r="DH86" s="335"/>
      <c r="DI86" s="335"/>
      <c r="DJ86" s="335"/>
      <c r="DK86" s="335"/>
      <c r="DL86" s="335"/>
      <c r="DM86" s="335"/>
      <c r="DN86" s="335"/>
      <c r="DO86" s="335"/>
      <c r="DP86" s="335"/>
      <c r="DQ86" s="335"/>
      <c r="DR86" s="335"/>
      <c r="DS86" s="335"/>
      <c r="DT86" s="335"/>
      <c r="DU86" s="335"/>
      <c r="DV86" s="335"/>
      <c r="DW86" s="335"/>
      <c r="DX86" s="335"/>
      <c r="DY86" s="335"/>
      <c r="DZ86" s="335"/>
      <c r="EA86" s="335"/>
      <c r="EB86" s="335"/>
      <c r="EC86" s="335"/>
      <c r="ED86" s="335"/>
      <c r="EE86" s="335"/>
      <c r="EF86" s="335"/>
      <c r="EG86" s="335"/>
      <c r="EH86" s="335"/>
      <c r="EI86" s="335"/>
      <c r="EJ86" s="335"/>
      <c r="EK86" s="335"/>
      <c r="EL86" s="335"/>
      <c r="EM86" s="335"/>
    </row>
    <row r="87" spans="72:143">
      <c r="BT87" s="365">
        <v>8</v>
      </c>
      <c r="BU87" s="187" t="s">
        <v>55</v>
      </c>
      <c r="BV87" s="196">
        <v>124054</v>
      </c>
      <c r="BW87" s="197" t="e">
        <f t="shared" si="128"/>
        <v>#REF!</v>
      </c>
      <c r="BX87" s="198" t="e">
        <f>IF(AND(State_LOB_Code=18,LEFT(BW87,4)&lt;"2009"),81,State_LOB_Code)&amp;"|342"</f>
        <v>#REF!</v>
      </c>
      <c r="BY87" s="174"/>
      <c r="BZ87" s="175"/>
      <c r="CD87" s="163"/>
      <c r="CE87" s="363"/>
      <c r="CF87" s="335"/>
      <c r="CG87" s="335"/>
      <c r="CH87" s="335"/>
      <c r="CI87" s="335"/>
      <c r="CJ87" s="335"/>
      <c r="CK87" s="335"/>
      <c r="CL87" s="335"/>
      <c r="CM87" s="335"/>
      <c r="CN87" s="335"/>
      <c r="CO87" s="335"/>
      <c r="CP87" s="335"/>
      <c r="CQ87" s="335"/>
      <c r="CR87" s="335"/>
      <c r="CS87" s="335"/>
      <c r="CT87" s="335"/>
      <c r="CU87" s="335"/>
      <c r="CV87" s="335"/>
      <c r="CW87" s="335"/>
      <c r="CX87" s="335"/>
      <c r="CY87" s="335"/>
      <c r="CZ87" s="335"/>
      <c r="DA87" s="335"/>
      <c r="DB87" s="335"/>
      <c r="DC87" s="335"/>
      <c r="DD87" s="335"/>
      <c r="DE87" s="335"/>
      <c r="DF87" s="335"/>
      <c r="DG87" s="335"/>
      <c r="DH87" s="335"/>
      <c r="DI87" s="335"/>
      <c r="DJ87" s="335"/>
      <c r="DK87" s="335"/>
      <c r="DL87" s="335"/>
      <c r="DM87" s="335"/>
      <c r="DN87" s="335"/>
      <c r="DO87" s="335"/>
      <c r="DP87" s="335"/>
      <c r="DQ87" s="335"/>
      <c r="DR87" s="335"/>
      <c r="DS87" s="335"/>
      <c r="DT87" s="335"/>
      <c r="DU87" s="335"/>
      <c r="DV87" s="335"/>
      <c r="DW87" s="335"/>
      <c r="DX87" s="335"/>
      <c r="DY87" s="335"/>
      <c r="DZ87" s="335"/>
      <c r="EA87" s="335"/>
      <c r="EB87" s="335"/>
      <c r="EC87" s="335"/>
      <c r="ED87" s="335"/>
      <c r="EE87" s="335"/>
      <c r="EF87" s="335"/>
      <c r="EG87" s="335"/>
      <c r="EH87" s="335"/>
      <c r="EI87" s="335"/>
      <c r="EJ87" s="335"/>
      <c r="EK87" s="335"/>
      <c r="EL87" s="335"/>
      <c r="EM87" s="335"/>
    </row>
    <row r="88" spans="72:143">
      <c r="BT88" s="365">
        <v>9</v>
      </c>
      <c r="BU88" s="187" t="s">
        <v>56</v>
      </c>
      <c r="BV88" s="196">
        <v>124054</v>
      </c>
      <c r="BW88" s="197" t="e">
        <f t="shared" si="128"/>
        <v>#REF!</v>
      </c>
      <c r="BX88" s="198" t="e">
        <f>IF(AND(State_LOB_Code=18,LEFT(BW88,4)&lt;"2009"),81,State_LOB_Code)&amp;"|343"</f>
        <v>#REF!</v>
      </c>
      <c r="BY88" s="174"/>
      <c r="BZ88" s="175"/>
      <c r="CD88" s="163"/>
      <c r="CE88" s="363"/>
      <c r="CF88" s="335"/>
      <c r="CG88" s="335"/>
      <c r="CH88" s="335"/>
      <c r="CI88" s="335"/>
      <c r="CJ88" s="335"/>
      <c r="CK88" s="335"/>
      <c r="CL88" s="335"/>
      <c r="CM88" s="335"/>
      <c r="CN88" s="335"/>
      <c r="CO88" s="335"/>
      <c r="CP88" s="335"/>
      <c r="CQ88" s="335"/>
      <c r="CR88" s="335"/>
      <c r="CS88" s="335"/>
      <c r="CT88" s="335"/>
      <c r="CU88" s="335"/>
      <c r="CV88" s="335"/>
      <c r="CW88" s="335"/>
      <c r="CX88" s="335"/>
      <c r="CY88" s="335"/>
      <c r="CZ88" s="335"/>
      <c r="DA88" s="335"/>
      <c r="DB88" s="335"/>
      <c r="DC88" s="335"/>
      <c r="DD88" s="335"/>
      <c r="DE88" s="335"/>
      <c r="DF88" s="335"/>
      <c r="DG88" s="335"/>
      <c r="DH88" s="335"/>
      <c r="DI88" s="335"/>
      <c r="DJ88" s="335"/>
      <c r="DK88" s="335"/>
      <c r="DL88" s="335"/>
      <c r="DM88" s="335"/>
      <c r="DN88" s="335"/>
      <c r="DO88" s="335"/>
      <c r="DP88" s="335"/>
      <c r="DQ88" s="335"/>
      <c r="DR88" s="335"/>
      <c r="DS88" s="335"/>
      <c r="DT88" s="335"/>
      <c r="DU88" s="335"/>
      <c r="DV88" s="335"/>
      <c r="DW88" s="335"/>
      <c r="DX88" s="335"/>
      <c r="DY88" s="335"/>
      <c r="DZ88" s="335"/>
      <c r="EA88" s="335"/>
      <c r="EB88" s="335"/>
      <c r="EC88" s="335"/>
      <c r="ED88" s="335"/>
      <c r="EE88" s="335"/>
      <c r="EF88" s="335"/>
      <c r="EG88" s="335"/>
      <c r="EH88" s="335"/>
      <c r="EI88" s="335"/>
      <c r="EJ88" s="335"/>
      <c r="EK88" s="335"/>
      <c r="EL88" s="335"/>
      <c r="EM88" s="335"/>
    </row>
    <row r="89" spans="72:143">
      <c r="BT89" s="365">
        <v>10</v>
      </c>
      <c r="BU89" s="187" t="s">
        <v>57</v>
      </c>
      <c r="BV89" s="196">
        <v>124054</v>
      </c>
      <c r="BW89" s="197" t="e">
        <f t="shared" si="128"/>
        <v>#REF!</v>
      </c>
      <c r="BX89" s="198" t="e">
        <f>IF(AND(State_LOB_Code=18,LEFT(BW89,4)&lt;"2009"),81,State_LOB_Code)&amp;"|344"</f>
        <v>#REF!</v>
      </c>
      <c r="BY89" s="174"/>
      <c r="BZ89" s="175"/>
      <c r="CD89" s="163"/>
      <c r="CE89" s="363"/>
      <c r="CF89" s="335"/>
      <c r="CG89" s="335"/>
      <c r="CH89" s="335"/>
      <c r="CI89" s="335"/>
      <c r="CJ89" s="335"/>
      <c r="CK89" s="335"/>
      <c r="CL89" s="335"/>
      <c r="CM89" s="335"/>
      <c r="CN89" s="335"/>
      <c r="CO89" s="335"/>
      <c r="CP89" s="335"/>
      <c r="CQ89" s="335"/>
      <c r="CR89" s="335"/>
      <c r="CS89" s="335"/>
      <c r="CT89" s="335"/>
      <c r="CU89" s="335"/>
      <c r="CV89" s="335"/>
      <c r="CW89" s="335"/>
      <c r="CX89" s="335"/>
      <c r="CY89" s="335"/>
      <c r="CZ89" s="335"/>
      <c r="DA89" s="335"/>
      <c r="DB89" s="335"/>
      <c r="DC89" s="335"/>
      <c r="DD89" s="335"/>
      <c r="DE89" s="335"/>
      <c r="DF89" s="335"/>
      <c r="DG89" s="335"/>
      <c r="DH89" s="335"/>
      <c r="DI89" s="335"/>
      <c r="DJ89" s="335"/>
      <c r="DK89" s="335"/>
      <c r="DL89" s="335"/>
      <c r="DM89" s="335"/>
      <c r="DN89" s="335"/>
      <c r="DO89" s="335"/>
      <c r="DP89" s="335"/>
      <c r="DQ89" s="335"/>
      <c r="DR89" s="335"/>
      <c r="DS89" s="335"/>
      <c r="DT89" s="335"/>
      <c r="DU89" s="335"/>
      <c r="DV89" s="335"/>
      <c r="DW89" s="335"/>
      <c r="DX89" s="335"/>
      <c r="DY89" s="335"/>
      <c r="DZ89" s="335"/>
      <c r="EA89" s="335"/>
      <c r="EB89" s="335"/>
      <c r="EC89" s="335"/>
      <c r="ED89" s="335"/>
      <c r="EE89" s="335"/>
      <c r="EF89" s="335"/>
      <c r="EG89" s="335"/>
      <c r="EH89" s="335"/>
      <c r="EI89" s="335"/>
      <c r="EJ89" s="335"/>
      <c r="EK89" s="335"/>
      <c r="EL89" s="335"/>
      <c r="EM89" s="335"/>
    </row>
    <row r="90" spans="72:143">
      <c r="BT90" s="365">
        <v>11</v>
      </c>
      <c r="BU90" s="187" t="s">
        <v>58</v>
      </c>
      <c r="BV90" s="196">
        <v>124054</v>
      </c>
      <c r="BW90" s="197" t="e">
        <f t="shared" si="128"/>
        <v>#REF!</v>
      </c>
      <c r="BX90" s="198" t="e">
        <f>IF(AND(State_LOB_Code=18,LEFT(BW90,4)&lt;"2009"),81,State_LOB_Code)&amp;"|346"</f>
        <v>#REF!</v>
      </c>
      <c r="BY90" s="174"/>
      <c r="BZ90" s="175"/>
      <c r="CD90" s="163"/>
      <c r="CE90" s="363"/>
      <c r="CF90" s="335"/>
      <c r="CG90" s="335"/>
      <c r="CH90" s="335"/>
      <c r="CI90" s="335"/>
      <c r="CJ90" s="335"/>
      <c r="CK90" s="335"/>
      <c r="CL90" s="335"/>
      <c r="CM90" s="335"/>
      <c r="CN90" s="335"/>
      <c r="CO90" s="335"/>
      <c r="CP90" s="335"/>
      <c r="CQ90" s="335"/>
      <c r="CR90" s="335"/>
      <c r="CS90" s="335"/>
      <c r="CT90" s="335"/>
      <c r="CU90" s="335"/>
      <c r="CV90" s="335"/>
      <c r="CW90" s="335"/>
      <c r="CX90" s="335"/>
      <c r="CY90" s="335"/>
      <c r="CZ90" s="335"/>
      <c r="DA90" s="335"/>
      <c r="DB90" s="335"/>
      <c r="DC90" s="335"/>
      <c r="DD90" s="335"/>
      <c r="DE90" s="335"/>
      <c r="DF90" s="335"/>
      <c r="DG90" s="335"/>
      <c r="DH90" s="335"/>
      <c r="DI90" s="335"/>
      <c r="DJ90" s="335"/>
      <c r="DK90" s="335"/>
      <c r="DL90" s="335"/>
      <c r="DM90" s="335"/>
      <c r="DN90" s="335"/>
      <c r="DO90" s="335"/>
      <c r="DP90" s="335"/>
      <c r="DQ90" s="335"/>
      <c r="DR90" s="335"/>
      <c r="DS90" s="335"/>
      <c r="DT90" s="335"/>
      <c r="DU90" s="335"/>
      <c r="DV90" s="335"/>
      <c r="DW90" s="335"/>
      <c r="DX90" s="335"/>
      <c r="DY90" s="335"/>
      <c r="DZ90" s="335"/>
      <c r="EA90" s="335"/>
      <c r="EB90" s="335"/>
      <c r="EC90" s="335"/>
      <c r="ED90" s="335"/>
      <c r="EE90" s="335"/>
      <c r="EF90" s="335"/>
      <c r="EG90" s="335"/>
      <c r="EH90" s="335"/>
      <c r="EI90" s="335"/>
      <c r="EJ90" s="335"/>
      <c r="EK90" s="335"/>
      <c r="EL90" s="335"/>
      <c r="EM90" s="335"/>
    </row>
    <row r="91" spans="72:143">
      <c r="BT91" s="365">
        <v>12</v>
      </c>
      <c r="BU91" s="187" t="s">
        <v>59</v>
      </c>
      <c r="BV91" s="196">
        <v>124054</v>
      </c>
      <c r="BW91" s="197" t="e">
        <f t="shared" si="128"/>
        <v>#REF!</v>
      </c>
      <c r="BX91" s="198" t="e">
        <f>IF(AND(State_LOB_Code=18,LEFT(BW91,4)&lt;"2009"),81,State_LOB_Code)&amp;"|347"</f>
        <v>#REF!</v>
      </c>
      <c r="BY91" s="174"/>
      <c r="BZ91" s="175"/>
      <c r="CD91" s="163"/>
      <c r="CE91" s="363"/>
      <c r="CF91" s="335"/>
      <c r="CG91" s="335"/>
      <c r="CH91" s="335"/>
      <c r="CI91" s="335"/>
      <c r="CJ91" s="335"/>
      <c r="CK91" s="335"/>
      <c r="CL91" s="335"/>
      <c r="CM91" s="335"/>
      <c r="CN91" s="335"/>
      <c r="CO91" s="335"/>
      <c r="CP91" s="335"/>
      <c r="CQ91" s="335"/>
      <c r="CR91" s="335"/>
      <c r="CS91" s="335"/>
      <c r="CT91" s="335"/>
      <c r="CU91" s="335"/>
      <c r="CV91" s="335"/>
      <c r="CW91" s="335"/>
      <c r="CX91" s="335"/>
      <c r="CY91" s="335"/>
      <c r="CZ91" s="335"/>
      <c r="DA91" s="335"/>
      <c r="DB91" s="335"/>
      <c r="DC91" s="335"/>
      <c r="DD91" s="335"/>
      <c r="DE91" s="335"/>
      <c r="DF91" s="335"/>
      <c r="DG91" s="335"/>
      <c r="DH91" s="335"/>
      <c r="DI91" s="335"/>
      <c r="DJ91" s="335"/>
      <c r="DK91" s="335"/>
      <c r="DL91" s="335"/>
      <c r="DM91" s="335"/>
      <c r="DN91" s="335"/>
      <c r="DO91" s="335"/>
      <c r="DP91" s="335"/>
      <c r="DQ91" s="335"/>
      <c r="DR91" s="335"/>
      <c r="DS91" s="335"/>
      <c r="DT91" s="335"/>
      <c r="DU91" s="335"/>
      <c r="DV91" s="335"/>
      <c r="DW91" s="335"/>
      <c r="DX91" s="335"/>
      <c r="DY91" s="335"/>
      <c r="DZ91" s="335"/>
      <c r="EA91" s="335"/>
      <c r="EB91" s="335"/>
      <c r="EC91" s="335"/>
      <c r="ED91" s="335"/>
      <c r="EE91" s="335"/>
      <c r="EF91" s="335"/>
      <c r="EG91" s="335"/>
      <c r="EH91" s="335"/>
      <c r="EI91" s="335"/>
      <c r="EJ91" s="335"/>
      <c r="EK91" s="335"/>
      <c r="EL91" s="335"/>
      <c r="EM91" s="335"/>
    </row>
    <row r="92" spans="72:143">
      <c r="BT92" s="365">
        <v>13</v>
      </c>
      <c r="BU92" s="187" t="s">
        <v>60</v>
      </c>
      <c r="BV92" s="196">
        <v>124054</v>
      </c>
      <c r="BW92" s="197" t="e">
        <f t="shared" si="128"/>
        <v>#REF!</v>
      </c>
      <c r="BX92" s="198" t="e">
        <f>IF(AND(State_LOB_Code=18,LEFT(BW92,4)&lt;"2009"),81,State_LOB_Code)&amp;"|348"</f>
        <v>#REF!</v>
      </c>
      <c r="BY92" s="174"/>
      <c r="BZ92" s="175"/>
      <c r="CD92" s="163"/>
      <c r="CE92" s="363"/>
      <c r="CF92" s="335"/>
      <c r="CG92" s="335"/>
      <c r="CH92" s="335"/>
      <c r="CI92" s="335"/>
      <c r="CJ92" s="335"/>
      <c r="CK92" s="335"/>
      <c r="CL92" s="335"/>
      <c r="CM92" s="335"/>
      <c r="CN92" s="335"/>
      <c r="CO92" s="335"/>
      <c r="CP92" s="335"/>
      <c r="CQ92" s="335"/>
      <c r="CR92" s="335"/>
      <c r="CS92" s="335"/>
      <c r="CT92" s="335"/>
      <c r="CU92" s="335"/>
      <c r="CV92" s="335"/>
      <c r="CW92" s="335"/>
      <c r="CX92" s="335"/>
      <c r="CY92" s="335"/>
      <c r="CZ92" s="335"/>
      <c r="DA92" s="335"/>
      <c r="DB92" s="335"/>
      <c r="DC92" s="335"/>
      <c r="DD92" s="335"/>
      <c r="DE92" s="335"/>
      <c r="DF92" s="335"/>
      <c r="DG92" s="335"/>
      <c r="DH92" s="335"/>
      <c r="DI92" s="335"/>
      <c r="DJ92" s="335"/>
      <c r="DK92" s="335"/>
      <c r="DL92" s="335"/>
      <c r="DM92" s="335"/>
      <c r="DN92" s="335"/>
      <c r="DO92" s="335"/>
      <c r="DP92" s="335"/>
      <c r="DQ92" s="335"/>
      <c r="DR92" s="335"/>
      <c r="DS92" s="335"/>
      <c r="DT92" s="335"/>
      <c r="DU92" s="335"/>
      <c r="DV92" s="335"/>
      <c r="DW92" s="335"/>
      <c r="DX92" s="335"/>
      <c r="DY92" s="335"/>
      <c r="DZ92" s="335"/>
      <c r="EA92" s="335"/>
      <c r="EB92" s="335"/>
      <c r="EC92" s="335"/>
      <c r="ED92" s="335"/>
      <c r="EE92" s="335"/>
      <c r="EF92" s="335"/>
      <c r="EG92" s="335"/>
      <c r="EH92" s="335"/>
      <c r="EI92" s="335"/>
      <c r="EJ92" s="335"/>
      <c r="EK92" s="335"/>
      <c r="EL92" s="335"/>
      <c r="EM92" s="335"/>
    </row>
    <row r="93" spans="72:143">
      <c r="BT93" s="365">
        <v>14</v>
      </c>
      <c r="BU93" s="187" t="s">
        <v>61</v>
      </c>
      <c r="BV93" s="196">
        <v>124054</v>
      </c>
      <c r="BW93" s="197" t="e">
        <f t="shared" si="128"/>
        <v>#REF!</v>
      </c>
      <c r="BX93" s="198" t="e">
        <f>IF(AND(State_LOB_Code=18,LEFT(BW93,4)&lt;"2009"),81,State_LOB_Code)&amp;"|349"</f>
        <v>#REF!</v>
      </c>
      <c r="BY93" s="174"/>
      <c r="BZ93" s="175"/>
      <c r="CD93" s="163"/>
      <c r="CE93" s="363"/>
      <c r="CF93" s="335"/>
      <c r="CG93" s="335"/>
      <c r="CH93" s="335"/>
      <c r="CI93" s="335"/>
      <c r="CJ93" s="335"/>
      <c r="CK93" s="335"/>
      <c r="CL93" s="335"/>
      <c r="CM93" s="335"/>
      <c r="CN93" s="335"/>
      <c r="CO93" s="335"/>
      <c r="CP93" s="335"/>
      <c r="CQ93" s="335"/>
      <c r="CR93" s="335"/>
      <c r="CS93" s="335"/>
      <c r="CT93" s="335"/>
      <c r="CU93" s="335"/>
      <c r="CV93" s="335"/>
      <c r="CW93" s="335"/>
      <c r="CX93" s="335"/>
      <c r="CY93" s="335"/>
      <c r="CZ93" s="335"/>
      <c r="DA93" s="335"/>
      <c r="DB93" s="335"/>
      <c r="DC93" s="335"/>
      <c r="DD93" s="335"/>
      <c r="DE93" s="335"/>
      <c r="DF93" s="335"/>
      <c r="DG93" s="335"/>
      <c r="DH93" s="335"/>
      <c r="DI93" s="335"/>
      <c r="DJ93" s="335"/>
      <c r="DK93" s="335"/>
      <c r="DL93" s="335"/>
      <c r="DM93" s="335"/>
      <c r="DN93" s="335"/>
      <c r="DO93" s="335"/>
      <c r="DP93" s="335"/>
      <c r="DQ93" s="335"/>
      <c r="DR93" s="335"/>
      <c r="DS93" s="335"/>
      <c r="DT93" s="335"/>
      <c r="DU93" s="335"/>
      <c r="DV93" s="335"/>
      <c r="DW93" s="335"/>
      <c r="DX93" s="335"/>
      <c r="DY93" s="335"/>
      <c r="DZ93" s="335"/>
      <c r="EA93" s="335"/>
      <c r="EB93" s="335"/>
      <c r="EC93" s="335"/>
      <c r="ED93" s="335"/>
      <c r="EE93" s="335"/>
      <c r="EF93" s="335"/>
      <c r="EG93" s="335"/>
      <c r="EH93" s="335"/>
      <c r="EI93" s="335"/>
      <c r="EJ93" s="335"/>
      <c r="EK93" s="335"/>
      <c r="EL93" s="335"/>
      <c r="EM93" s="335"/>
    </row>
    <row r="94" spans="72:143">
      <c r="BT94" s="365">
        <v>15</v>
      </c>
      <c r="BU94" s="187" t="s">
        <v>62</v>
      </c>
      <c r="BV94" s="196">
        <v>124054</v>
      </c>
      <c r="BW94" s="197" t="e">
        <f t="shared" si="128"/>
        <v>#REF!</v>
      </c>
      <c r="BX94" s="198" t="e">
        <f>IF(AND(State_LOB_Code=18,LEFT(BW94,4)&lt;"2009"),81,State_LOB_Code)&amp;"|350"</f>
        <v>#REF!</v>
      </c>
      <c r="BY94" s="174"/>
      <c r="BZ94" s="175"/>
      <c r="CD94" s="163"/>
      <c r="CE94" s="363"/>
      <c r="CF94" s="335"/>
      <c r="CG94" s="335"/>
      <c r="CH94" s="335"/>
      <c r="CI94" s="335"/>
      <c r="CJ94" s="335"/>
      <c r="CK94" s="335"/>
      <c r="CL94" s="335"/>
      <c r="CM94" s="335"/>
      <c r="CN94" s="335"/>
      <c r="CO94" s="335"/>
      <c r="CP94" s="335"/>
      <c r="CQ94" s="335"/>
      <c r="CR94" s="335"/>
      <c r="CS94" s="335"/>
      <c r="CT94" s="335"/>
      <c r="CU94" s="335"/>
      <c r="CV94" s="335"/>
      <c r="CW94" s="335"/>
      <c r="CX94" s="335"/>
      <c r="CY94" s="335"/>
      <c r="CZ94" s="335"/>
      <c r="DA94" s="335"/>
      <c r="DB94" s="335"/>
      <c r="DC94" s="335"/>
      <c r="DD94" s="335"/>
      <c r="DE94" s="335"/>
      <c r="DF94" s="335"/>
      <c r="DG94" s="335"/>
      <c r="DH94" s="335"/>
      <c r="DI94" s="335"/>
      <c r="DJ94" s="335"/>
      <c r="DK94" s="335"/>
      <c r="DL94" s="335"/>
      <c r="DM94" s="335"/>
      <c r="DN94" s="335"/>
      <c r="DO94" s="335"/>
      <c r="DP94" s="335"/>
      <c r="DQ94" s="335"/>
      <c r="DR94" s="335"/>
      <c r="DS94" s="335"/>
      <c r="DT94" s="335"/>
      <c r="DU94" s="335"/>
      <c r="DV94" s="335"/>
      <c r="DW94" s="335"/>
      <c r="DX94" s="335"/>
      <c r="DY94" s="335"/>
      <c r="DZ94" s="335"/>
      <c r="EA94" s="335"/>
      <c r="EB94" s="335"/>
      <c r="EC94" s="335"/>
      <c r="ED94" s="335"/>
      <c r="EE94" s="335"/>
      <c r="EF94" s="335"/>
      <c r="EG94" s="335"/>
      <c r="EH94" s="335"/>
      <c r="EI94" s="335"/>
      <c r="EJ94" s="335"/>
      <c r="EK94" s="335"/>
      <c r="EL94" s="335"/>
      <c r="EM94" s="335"/>
    </row>
    <row r="95" spans="72:143">
      <c r="BT95" s="365">
        <v>16</v>
      </c>
      <c r="BU95" s="187" t="s">
        <v>63</v>
      </c>
      <c r="BV95" s="196">
        <v>124054</v>
      </c>
      <c r="BW95" s="197" t="e">
        <f t="shared" si="128"/>
        <v>#REF!</v>
      </c>
      <c r="BX95" s="198" t="e">
        <f>IF(AND(State_LOB_Code=18,LEFT(BW95,4)&lt;"2009"),81,State_LOB_Code)&amp;"|351"</f>
        <v>#REF!</v>
      </c>
      <c r="BY95" s="174"/>
      <c r="BZ95" s="175"/>
      <c r="CD95" s="163"/>
      <c r="CE95" s="363"/>
      <c r="CF95" s="335"/>
      <c r="CG95" s="335"/>
      <c r="CH95" s="335"/>
      <c r="CI95" s="335"/>
      <c r="CJ95" s="335"/>
      <c r="CK95" s="335"/>
      <c r="CL95" s="335"/>
      <c r="CM95" s="335"/>
      <c r="CN95" s="335"/>
      <c r="CO95" s="335"/>
      <c r="CP95" s="335"/>
      <c r="CQ95" s="335"/>
      <c r="CR95" s="335"/>
      <c r="CS95" s="335"/>
      <c r="CT95" s="335"/>
      <c r="CU95" s="335"/>
      <c r="CV95" s="335"/>
      <c r="CW95" s="335"/>
      <c r="CX95" s="335"/>
      <c r="CY95" s="335"/>
      <c r="CZ95" s="335"/>
      <c r="DA95" s="335"/>
      <c r="DB95" s="335"/>
      <c r="DC95" s="335"/>
      <c r="DD95" s="335"/>
      <c r="DE95" s="335"/>
      <c r="DF95" s="335"/>
      <c r="DG95" s="335"/>
      <c r="DH95" s="335"/>
      <c r="DI95" s="335"/>
      <c r="DJ95" s="335"/>
      <c r="DK95" s="335"/>
      <c r="DL95" s="335"/>
      <c r="DM95" s="335"/>
      <c r="DN95" s="335"/>
      <c r="DO95" s="335"/>
      <c r="DP95" s="335"/>
      <c r="DQ95" s="335"/>
      <c r="DR95" s="335"/>
      <c r="DS95" s="335"/>
      <c r="DT95" s="335"/>
      <c r="DU95" s="335"/>
      <c r="DV95" s="335"/>
      <c r="DW95" s="335"/>
      <c r="DX95" s="335"/>
      <c r="DY95" s="335"/>
      <c r="DZ95" s="335"/>
      <c r="EA95" s="335"/>
      <c r="EB95" s="335"/>
      <c r="EC95" s="335"/>
      <c r="ED95" s="335"/>
      <c r="EE95" s="335"/>
      <c r="EF95" s="335"/>
      <c r="EG95" s="335"/>
      <c r="EH95" s="335"/>
      <c r="EI95" s="335"/>
      <c r="EJ95" s="335"/>
      <c r="EK95" s="335"/>
      <c r="EL95" s="335"/>
      <c r="EM95" s="335"/>
    </row>
    <row r="96" spans="72:143">
      <c r="BT96" s="365">
        <v>17</v>
      </c>
      <c r="BU96" s="187" t="s">
        <v>64</v>
      </c>
      <c r="BV96" s="196">
        <v>124054</v>
      </c>
      <c r="BW96" s="197" t="e">
        <f t="shared" si="128"/>
        <v>#REF!</v>
      </c>
      <c r="BX96" s="198" t="e">
        <f>IF(AND(State_LOB_Code=18,LEFT(BW96,4)&lt;"2009"),81,State_LOB_Code)&amp;"|352"</f>
        <v>#REF!</v>
      </c>
      <c r="BY96" s="174"/>
      <c r="BZ96" s="175"/>
      <c r="CD96" s="163"/>
      <c r="CE96" s="363"/>
      <c r="CF96" s="335"/>
      <c r="CG96" s="335"/>
      <c r="CH96" s="335"/>
      <c r="CI96" s="335"/>
      <c r="CJ96" s="335"/>
      <c r="CK96" s="335"/>
      <c r="CL96" s="335"/>
      <c r="CM96" s="335"/>
      <c r="CN96" s="335"/>
      <c r="CO96" s="335"/>
      <c r="CP96" s="335"/>
      <c r="CQ96" s="335"/>
      <c r="CR96" s="335"/>
      <c r="CS96" s="335"/>
      <c r="CT96" s="335"/>
      <c r="CU96" s="335"/>
      <c r="CV96" s="335"/>
      <c r="CW96" s="335"/>
      <c r="CX96" s="335"/>
      <c r="CY96" s="335"/>
      <c r="CZ96" s="335"/>
      <c r="DA96" s="335"/>
      <c r="DB96" s="335"/>
      <c r="DC96" s="335"/>
      <c r="DD96" s="335"/>
      <c r="DE96" s="335"/>
      <c r="DF96" s="335"/>
      <c r="DG96" s="335"/>
      <c r="DH96" s="335"/>
      <c r="DI96" s="335"/>
      <c r="DJ96" s="335"/>
      <c r="DK96" s="335"/>
      <c r="DL96" s="335"/>
      <c r="DM96" s="335"/>
      <c r="DN96" s="335"/>
      <c r="DO96" s="335"/>
      <c r="DP96" s="335"/>
      <c r="DQ96" s="335"/>
      <c r="DR96" s="335"/>
      <c r="DS96" s="335"/>
      <c r="DT96" s="335"/>
      <c r="DU96" s="335"/>
      <c r="DV96" s="335"/>
      <c r="DW96" s="335"/>
      <c r="DX96" s="335"/>
      <c r="DY96" s="335"/>
      <c r="DZ96" s="335"/>
      <c r="EA96" s="335"/>
      <c r="EB96" s="335"/>
      <c r="EC96" s="335"/>
      <c r="ED96" s="335"/>
      <c r="EE96" s="335"/>
      <c r="EF96" s="335"/>
      <c r="EG96" s="335"/>
      <c r="EH96" s="335"/>
      <c r="EI96" s="335"/>
      <c r="EJ96" s="335"/>
      <c r="EK96" s="335"/>
      <c r="EL96" s="335"/>
      <c r="EM96" s="335"/>
    </row>
    <row r="97" spans="72:143">
      <c r="BT97" s="365">
        <v>18</v>
      </c>
      <c r="BU97" s="187" t="s">
        <v>65</v>
      </c>
      <c r="BV97" s="196">
        <v>124054</v>
      </c>
      <c r="BW97" s="197" t="e">
        <f t="shared" si="128"/>
        <v>#REF!</v>
      </c>
      <c r="BX97" s="198" t="e">
        <f>IF(AND(State_LOB_Code=18,LEFT(BW97,4)&lt;"2009"),81,State_LOB_Code)&amp;"|353"</f>
        <v>#REF!</v>
      </c>
      <c r="BY97" s="174"/>
      <c r="BZ97" s="175"/>
      <c r="CD97" s="163"/>
      <c r="CE97" s="363"/>
      <c r="CF97" s="335"/>
      <c r="CG97" s="335"/>
      <c r="CH97" s="335"/>
      <c r="CI97" s="335"/>
      <c r="CJ97" s="335"/>
      <c r="CK97" s="335"/>
      <c r="CL97" s="335"/>
      <c r="CM97" s="335"/>
      <c r="CN97" s="335"/>
      <c r="CO97" s="335"/>
      <c r="CP97" s="335"/>
      <c r="CQ97" s="335"/>
      <c r="CR97" s="335"/>
      <c r="CS97" s="335"/>
      <c r="CT97" s="335"/>
      <c r="CU97" s="335"/>
      <c r="CV97" s="335"/>
      <c r="CW97" s="335"/>
      <c r="CX97" s="335"/>
      <c r="CY97" s="335"/>
      <c r="CZ97" s="335"/>
      <c r="DA97" s="335"/>
      <c r="DB97" s="335"/>
      <c r="DC97" s="335"/>
      <c r="DD97" s="335"/>
      <c r="DE97" s="335"/>
      <c r="DF97" s="335"/>
      <c r="DG97" s="335"/>
      <c r="DH97" s="335"/>
      <c r="DI97" s="335"/>
      <c r="DJ97" s="335"/>
      <c r="DK97" s="335"/>
      <c r="DL97" s="335"/>
      <c r="DM97" s="335"/>
      <c r="DN97" s="335"/>
      <c r="DO97" s="335"/>
      <c r="DP97" s="335"/>
      <c r="DQ97" s="335"/>
      <c r="DR97" s="335"/>
      <c r="DS97" s="335"/>
      <c r="DT97" s="335"/>
      <c r="DU97" s="335"/>
      <c r="DV97" s="335"/>
      <c r="DW97" s="335"/>
      <c r="DX97" s="335"/>
      <c r="DY97" s="335"/>
      <c r="DZ97" s="335"/>
      <c r="EA97" s="335"/>
      <c r="EB97" s="335"/>
      <c r="EC97" s="335"/>
      <c r="ED97" s="335"/>
      <c r="EE97" s="335"/>
      <c r="EF97" s="335"/>
      <c r="EG97" s="335"/>
      <c r="EH97" s="335"/>
      <c r="EI97" s="335"/>
      <c r="EJ97" s="335"/>
      <c r="EK97" s="335"/>
      <c r="EL97" s="335"/>
      <c r="EM97" s="335"/>
    </row>
    <row r="98" spans="72:143">
      <c r="BT98" s="365">
        <v>19</v>
      </c>
      <c r="BU98" s="187" t="s">
        <v>66</v>
      </c>
      <c r="BV98" s="196">
        <v>124054</v>
      </c>
      <c r="BW98" s="197" t="e">
        <f t="shared" si="128"/>
        <v>#REF!</v>
      </c>
      <c r="BX98" s="198" t="e">
        <f>IF(AND(State_LOB_Code=18,LEFT(BW98,4)&lt;"2009"),81,State_LOB_Code)&amp;"|354"</f>
        <v>#REF!</v>
      </c>
      <c r="BY98" s="174"/>
      <c r="BZ98" s="175"/>
      <c r="CD98" s="163"/>
      <c r="CE98" s="363"/>
      <c r="CF98" s="335"/>
      <c r="CG98" s="335"/>
      <c r="CH98" s="335"/>
      <c r="CI98" s="335"/>
      <c r="CJ98" s="335"/>
      <c r="CK98" s="335"/>
      <c r="CL98" s="335"/>
      <c r="CM98" s="335"/>
      <c r="CN98" s="335"/>
      <c r="CO98" s="335"/>
      <c r="CP98" s="335"/>
      <c r="CQ98" s="335"/>
      <c r="CR98" s="335"/>
      <c r="CS98" s="335"/>
      <c r="CT98" s="335"/>
      <c r="CU98" s="335"/>
      <c r="CV98" s="335"/>
      <c r="CW98" s="335"/>
      <c r="CX98" s="335"/>
      <c r="CY98" s="335"/>
      <c r="CZ98" s="335"/>
      <c r="DA98" s="335"/>
      <c r="DB98" s="335"/>
      <c r="DC98" s="335"/>
      <c r="DD98" s="335"/>
      <c r="DE98" s="335"/>
      <c r="DF98" s="335"/>
      <c r="DG98" s="335"/>
      <c r="DH98" s="335"/>
      <c r="DI98" s="335"/>
      <c r="DJ98" s="335"/>
      <c r="DK98" s="335"/>
      <c r="DL98" s="335"/>
      <c r="DM98" s="335"/>
      <c r="DN98" s="335"/>
      <c r="DO98" s="335"/>
      <c r="DP98" s="335"/>
      <c r="DQ98" s="335"/>
      <c r="DR98" s="335"/>
      <c r="DS98" s="335"/>
      <c r="DT98" s="335"/>
      <c r="DU98" s="335"/>
      <c r="DV98" s="335"/>
      <c r="DW98" s="335"/>
      <c r="DX98" s="335"/>
      <c r="DY98" s="335"/>
      <c r="DZ98" s="335"/>
      <c r="EA98" s="335"/>
      <c r="EB98" s="335"/>
      <c r="EC98" s="335"/>
      <c r="ED98" s="335"/>
      <c r="EE98" s="335"/>
      <c r="EF98" s="335"/>
      <c r="EG98" s="335"/>
      <c r="EH98" s="335"/>
      <c r="EI98" s="335"/>
      <c r="EJ98" s="335"/>
      <c r="EK98" s="335"/>
      <c r="EL98" s="335"/>
      <c r="EM98" s="335"/>
    </row>
    <row r="99" spans="72:143">
      <c r="BT99" s="365">
        <v>20</v>
      </c>
      <c r="BU99" s="187" t="s">
        <v>67</v>
      </c>
      <c r="BV99" s="196">
        <v>124054</v>
      </c>
      <c r="BW99" s="197" t="e">
        <f t="shared" si="128"/>
        <v>#REF!</v>
      </c>
      <c r="BX99" s="198" t="e">
        <f>IF(AND(State_LOB_Code=18,LEFT(BW99,4)&lt;"2009"),81,State_LOB_Code)&amp;"|355"</f>
        <v>#REF!</v>
      </c>
      <c r="BY99" s="174"/>
      <c r="BZ99" s="175"/>
      <c r="CD99" s="163"/>
      <c r="CE99" s="363"/>
      <c r="CF99" s="335"/>
      <c r="CG99" s="335"/>
      <c r="CH99" s="335"/>
      <c r="CI99" s="335"/>
      <c r="CJ99" s="335"/>
      <c r="CK99" s="335"/>
      <c r="CL99" s="335"/>
      <c r="CM99" s="335"/>
      <c r="CN99" s="335"/>
      <c r="CO99" s="335"/>
      <c r="CP99" s="335"/>
      <c r="CQ99" s="335"/>
      <c r="CR99" s="335"/>
      <c r="CS99" s="335"/>
      <c r="CT99" s="335"/>
      <c r="CU99" s="335"/>
      <c r="CV99" s="335"/>
      <c r="CW99" s="335"/>
      <c r="CX99" s="335"/>
      <c r="CY99" s="335"/>
      <c r="CZ99" s="335"/>
      <c r="DA99" s="335"/>
      <c r="DB99" s="335"/>
      <c r="DC99" s="335"/>
      <c r="DD99" s="335"/>
      <c r="DE99" s="335"/>
      <c r="DF99" s="335"/>
      <c r="DG99" s="335"/>
      <c r="DH99" s="335"/>
      <c r="DI99" s="335"/>
      <c r="DJ99" s="335"/>
      <c r="DK99" s="335"/>
      <c r="DL99" s="335"/>
      <c r="DM99" s="335"/>
      <c r="DN99" s="335"/>
      <c r="DO99" s="335"/>
      <c r="DP99" s="335"/>
      <c r="DQ99" s="335"/>
      <c r="DR99" s="335"/>
      <c r="DS99" s="335"/>
      <c r="DT99" s="335"/>
      <c r="DU99" s="335"/>
      <c r="DV99" s="335"/>
      <c r="DW99" s="335"/>
      <c r="DX99" s="335"/>
      <c r="DY99" s="335"/>
      <c r="DZ99" s="335"/>
      <c r="EA99" s="335"/>
      <c r="EB99" s="335"/>
      <c r="EC99" s="335"/>
      <c r="ED99" s="335"/>
      <c r="EE99" s="335"/>
      <c r="EF99" s="335"/>
      <c r="EG99" s="335"/>
      <c r="EH99" s="335"/>
      <c r="EI99" s="335"/>
      <c r="EJ99" s="335"/>
      <c r="EK99" s="335"/>
      <c r="EL99" s="335"/>
      <c r="EM99" s="335"/>
    </row>
    <row r="100" spans="72:143">
      <c r="BT100" s="365">
        <v>21</v>
      </c>
      <c r="BU100" s="187" t="s">
        <v>68</v>
      </c>
      <c r="BV100" s="196">
        <v>124054</v>
      </c>
      <c r="BW100" s="197" t="e">
        <f t="shared" si="128"/>
        <v>#REF!</v>
      </c>
      <c r="BX100" s="198" t="e">
        <f>IF(AND(State_LOB_Code=18,LEFT(BW100,4)&lt;"2009"),81,State_LOB_Code)&amp;"|356"</f>
        <v>#REF!</v>
      </c>
      <c r="BY100" s="174"/>
      <c r="BZ100" s="175"/>
      <c r="CD100" s="163"/>
      <c r="CE100" s="363"/>
      <c r="CF100" s="335"/>
      <c r="CG100" s="335"/>
      <c r="CH100" s="335"/>
      <c r="CI100" s="335"/>
      <c r="CJ100" s="335"/>
      <c r="CK100" s="335"/>
      <c r="CL100" s="335"/>
      <c r="CM100" s="335"/>
      <c r="CN100" s="335"/>
      <c r="CO100" s="335"/>
      <c r="CP100" s="335"/>
      <c r="CQ100" s="335"/>
      <c r="CR100" s="335"/>
      <c r="CS100" s="335"/>
      <c r="CT100" s="335"/>
      <c r="CU100" s="335"/>
      <c r="CV100" s="335"/>
      <c r="CW100" s="335"/>
      <c r="CX100" s="335"/>
      <c r="CY100" s="335"/>
      <c r="CZ100" s="335"/>
      <c r="DA100" s="335"/>
      <c r="DB100" s="335"/>
      <c r="DC100" s="335"/>
      <c r="DD100" s="335"/>
      <c r="DE100" s="335"/>
      <c r="DF100" s="335"/>
      <c r="DG100" s="335"/>
      <c r="DH100" s="335"/>
      <c r="DI100" s="335"/>
      <c r="DJ100" s="335"/>
      <c r="DK100" s="335"/>
      <c r="DL100" s="335"/>
      <c r="DM100" s="335"/>
      <c r="DN100" s="335"/>
      <c r="DO100" s="335"/>
      <c r="DP100" s="335"/>
      <c r="DQ100" s="335"/>
      <c r="DR100" s="335"/>
      <c r="DS100" s="335"/>
      <c r="DT100" s="335"/>
      <c r="DU100" s="335"/>
      <c r="DV100" s="335"/>
      <c r="DW100" s="335"/>
      <c r="DX100" s="335"/>
      <c r="DY100" s="335"/>
      <c r="DZ100" s="335"/>
      <c r="EA100" s="335"/>
      <c r="EB100" s="335"/>
      <c r="EC100" s="335"/>
      <c r="ED100" s="335"/>
      <c r="EE100" s="335"/>
      <c r="EF100" s="335"/>
      <c r="EG100" s="335"/>
      <c r="EH100" s="335"/>
      <c r="EI100" s="335"/>
      <c r="EJ100" s="335"/>
      <c r="EK100" s="335"/>
      <c r="EL100" s="335"/>
      <c r="EM100" s="335"/>
    </row>
    <row r="101" spans="72:143">
      <c r="BT101" s="365">
        <v>22</v>
      </c>
      <c r="BU101" s="187" t="s">
        <v>69</v>
      </c>
      <c r="BV101" s="196">
        <v>124054</v>
      </c>
      <c r="BW101" s="197" t="e">
        <f t="shared" si="128"/>
        <v>#REF!</v>
      </c>
      <c r="BX101" s="198" t="e">
        <f>IF(AND(State_LOB_Code=18,LEFT(BW101,4)&lt;"2009"),81,State_LOB_Code)&amp;"|357"</f>
        <v>#REF!</v>
      </c>
      <c r="BY101" s="174"/>
      <c r="BZ101" s="175"/>
      <c r="CD101" s="163"/>
      <c r="CE101" s="363"/>
      <c r="CF101" s="335"/>
      <c r="CG101" s="335"/>
      <c r="CH101" s="335"/>
      <c r="CI101" s="335"/>
      <c r="CJ101" s="335"/>
      <c r="CK101" s="335"/>
      <c r="CL101" s="335"/>
      <c r="CM101" s="335"/>
      <c r="CN101" s="335"/>
      <c r="CO101" s="335"/>
      <c r="CP101" s="335"/>
      <c r="CQ101" s="335"/>
      <c r="CR101" s="335"/>
      <c r="CS101" s="335"/>
      <c r="CT101" s="335"/>
      <c r="CU101" s="335"/>
      <c r="CV101" s="335"/>
      <c r="CW101" s="335"/>
      <c r="CX101" s="335"/>
      <c r="CY101" s="335"/>
      <c r="CZ101" s="335"/>
      <c r="DA101" s="335"/>
      <c r="DB101" s="335"/>
      <c r="DC101" s="335"/>
      <c r="DD101" s="335"/>
      <c r="DE101" s="335"/>
      <c r="DF101" s="335"/>
      <c r="DG101" s="335"/>
      <c r="DH101" s="335"/>
      <c r="DI101" s="335"/>
      <c r="DJ101" s="335"/>
      <c r="DK101" s="335"/>
      <c r="DL101" s="335"/>
      <c r="DM101" s="335"/>
      <c r="DN101" s="335"/>
      <c r="DO101" s="335"/>
      <c r="DP101" s="335"/>
      <c r="DQ101" s="335"/>
      <c r="DR101" s="335"/>
      <c r="DS101" s="335"/>
      <c r="DT101" s="335"/>
      <c r="DU101" s="335"/>
      <c r="DV101" s="335"/>
      <c r="DW101" s="335"/>
      <c r="DX101" s="335"/>
      <c r="DY101" s="335"/>
      <c r="DZ101" s="335"/>
      <c r="EA101" s="335"/>
      <c r="EB101" s="335"/>
      <c r="EC101" s="335"/>
      <c r="ED101" s="335"/>
      <c r="EE101" s="335"/>
      <c r="EF101" s="335"/>
      <c r="EG101" s="335"/>
      <c r="EH101" s="335"/>
      <c r="EI101" s="335"/>
      <c r="EJ101" s="335"/>
      <c r="EK101" s="335"/>
      <c r="EL101" s="335"/>
      <c r="EM101" s="335"/>
    </row>
    <row r="102" spans="72:143">
      <c r="BT102" s="365">
        <v>23</v>
      </c>
      <c r="BU102" s="187" t="s">
        <v>70</v>
      </c>
      <c r="BV102" s="196">
        <v>124054</v>
      </c>
      <c r="BW102" s="197" t="e">
        <f t="shared" si="128"/>
        <v>#REF!</v>
      </c>
      <c r="BX102" s="198" t="e">
        <f>IF(AND(State_LOB_Code=18,LEFT(BW102,4)&lt;"2009"),81,State_LOB_Code)&amp;"|358"</f>
        <v>#REF!</v>
      </c>
      <c r="BY102" s="174"/>
      <c r="BZ102" s="175"/>
      <c r="CD102" s="163"/>
      <c r="CE102" s="363"/>
      <c r="CF102" s="335"/>
      <c r="CG102" s="335"/>
      <c r="CH102" s="335"/>
      <c r="CI102" s="335"/>
      <c r="CJ102" s="335"/>
      <c r="CK102" s="335"/>
      <c r="CL102" s="335"/>
      <c r="CM102" s="335"/>
      <c r="CN102" s="335"/>
      <c r="CO102" s="335"/>
      <c r="CP102" s="335"/>
      <c r="CQ102" s="335"/>
      <c r="CR102" s="335"/>
      <c r="CS102" s="335"/>
      <c r="CT102" s="335"/>
      <c r="CU102" s="335"/>
      <c r="CV102" s="335"/>
      <c r="CW102" s="335"/>
      <c r="CX102" s="335"/>
      <c r="CY102" s="335"/>
      <c r="CZ102" s="335"/>
      <c r="DA102" s="335"/>
      <c r="DB102" s="335"/>
      <c r="DC102" s="335"/>
      <c r="DD102" s="335"/>
      <c r="DE102" s="335"/>
      <c r="DF102" s="335"/>
      <c r="DG102" s="335"/>
      <c r="DH102" s="335"/>
      <c r="DI102" s="335"/>
      <c r="DJ102" s="335"/>
      <c r="DK102" s="335"/>
      <c r="DL102" s="335"/>
      <c r="DM102" s="335"/>
      <c r="DN102" s="335"/>
      <c r="DO102" s="335"/>
      <c r="DP102" s="335"/>
      <c r="DQ102" s="335"/>
      <c r="DR102" s="335"/>
      <c r="DS102" s="335"/>
      <c r="DT102" s="335"/>
      <c r="DU102" s="335"/>
      <c r="DV102" s="335"/>
      <c r="DW102" s="335"/>
      <c r="DX102" s="335"/>
      <c r="DY102" s="335"/>
      <c r="DZ102" s="335"/>
      <c r="EA102" s="335"/>
      <c r="EB102" s="335"/>
      <c r="EC102" s="335"/>
      <c r="ED102" s="335"/>
      <c r="EE102" s="335"/>
      <c r="EF102" s="335"/>
      <c r="EG102" s="335"/>
      <c r="EH102" s="335"/>
      <c r="EI102" s="335"/>
      <c r="EJ102" s="335"/>
      <c r="EK102" s="335"/>
      <c r="EL102" s="335"/>
      <c r="EM102" s="335"/>
    </row>
    <row r="103" spans="72:143">
      <c r="BT103" s="365">
        <v>24</v>
      </c>
      <c r="BU103" s="187" t="s">
        <v>71</v>
      </c>
      <c r="BV103" s="196">
        <v>124054</v>
      </c>
      <c r="BW103" s="197" t="e">
        <f t="shared" si="128"/>
        <v>#REF!</v>
      </c>
      <c r="BX103" s="198" t="e">
        <f>IF(AND(State_LOB_Code=18,LEFT(BW103,4)&lt;"2009"),81,State_LOB_Code)&amp;"|359"</f>
        <v>#REF!</v>
      </c>
      <c r="BY103" s="174"/>
      <c r="BZ103" s="175"/>
      <c r="CD103" s="163"/>
      <c r="CE103" s="363"/>
      <c r="CF103" s="335"/>
      <c r="CG103" s="335"/>
      <c r="CH103" s="335"/>
      <c r="CI103" s="335"/>
      <c r="CJ103" s="335"/>
      <c r="CK103" s="335"/>
      <c r="CL103" s="335"/>
      <c r="CM103" s="335"/>
      <c r="CN103" s="335"/>
      <c r="CO103" s="335"/>
      <c r="CP103" s="335"/>
      <c r="CQ103" s="335"/>
      <c r="CR103" s="335"/>
      <c r="CS103" s="335"/>
      <c r="CT103" s="335"/>
      <c r="CU103" s="335"/>
      <c r="CV103" s="335"/>
      <c r="CW103" s="335"/>
      <c r="CX103" s="335"/>
      <c r="CY103" s="335"/>
      <c r="CZ103" s="335"/>
      <c r="DA103" s="335"/>
      <c r="DB103" s="335"/>
      <c r="DC103" s="335"/>
      <c r="DD103" s="335"/>
      <c r="DE103" s="335"/>
      <c r="DF103" s="335"/>
      <c r="DG103" s="335"/>
      <c r="DH103" s="335"/>
      <c r="DI103" s="335"/>
      <c r="DJ103" s="335"/>
      <c r="DK103" s="335"/>
      <c r="DL103" s="335"/>
      <c r="DM103" s="335"/>
      <c r="DN103" s="335"/>
      <c r="DO103" s="335"/>
      <c r="DP103" s="335"/>
      <c r="DQ103" s="335"/>
      <c r="DR103" s="335"/>
      <c r="DS103" s="335"/>
      <c r="DT103" s="335"/>
      <c r="DU103" s="335"/>
      <c r="DV103" s="335"/>
      <c r="DW103" s="335"/>
      <c r="DX103" s="335"/>
      <c r="DY103" s="335"/>
      <c r="DZ103" s="335"/>
      <c r="EA103" s="335"/>
      <c r="EB103" s="335"/>
      <c r="EC103" s="335"/>
      <c r="ED103" s="335"/>
      <c r="EE103" s="335"/>
      <c r="EF103" s="335"/>
      <c r="EG103" s="335"/>
      <c r="EH103" s="335"/>
      <c r="EI103" s="335"/>
      <c r="EJ103" s="335"/>
      <c r="EK103" s="335"/>
      <c r="EL103" s="335"/>
      <c r="EM103" s="335"/>
    </row>
    <row r="104" spans="72:143">
      <c r="BT104" s="365">
        <v>25</v>
      </c>
      <c r="BU104" s="187" t="s">
        <v>72</v>
      </c>
      <c r="BV104" s="196">
        <v>124054</v>
      </c>
      <c r="BW104" s="197" t="e">
        <f t="shared" si="128"/>
        <v>#REF!</v>
      </c>
      <c r="BX104" s="198" t="e">
        <f>IF(AND(State_LOB_Code=18,LEFT(BW104,4)&lt;"2009"),81,State_LOB_Code)&amp;"|361"</f>
        <v>#REF!</v>
      </c>
      <c r="BY104" s="174"/>
      <c r="BZ104" s="175"/>
      <c r="CD104" s="163"/>
      <c r="CE104" s="363"/>
      <c r="CF104" s="335"/>
      <c r="CG104" s="335"/>
      <c r="CH104" s="335"/>
      <c r="CI104" s="335"/>
      <c r="CJ104" s="335"/>
      <c r="CK104" s="335"/>
      <c r="CL104" s="335"/>
      <c r="CM104" s="335"/>
      <c r="CN104" s="335"/>
      <c r="CO104" s="335"/>
      <c r="CP104" s="335"/>
      <c r="CQ104" s="335"/>
      <c r="CR104" s="335"/>
      <c r="CS104" s="335"/>
      <c r="CT104" s="335"/>
      <c r="CU104" s="335"/>
      <c r="CV104" s="335"/>
      <c r="CW104" s="335"/>
      <c r="CX104" s="335"/>
      <c r="CY104" s="335"/>
      <c r="CZ104" s="335"/>
      <c r="DA104" s="335"/>
      <c r="DB104" s="335"/>
      <c r="DC104" s="335"/>
      <c r="DD104" s="335"/>
      <c r="DE104" s="335"/>
      <c r="DF104" s="335"/>
      <c r="DG104" s="335"/>
      <c r="DH104" s="335"/>
      <c r="DI104" s="335"/>
      <c r="DJ104" s="335"/>
      <c r="DK104" s="335"/>
      <c r="DL104" s="335"/>
      <c r="DM104" s="335"/>
      <c r="DN104" s="335"/>
      <c r="DO104" s="335"/>
      <c r="DP104" s="335"/>
      <c r="DQ104" s="335"/>
      <c r="DR104" s="335"/>
      <c r="DS104" s="335"/>
      <c r="DT104" s="335"/>
      <c r="DU104" s="335"/>
      <c r="DV104" s="335"/>
      <c r="DW104" s="335"/>
      <c r="DX104" s="335"/>
      <c r="DY104" s="335"/>
      <c r="DZ104" s="335"/>
      <c r="EA104" s="335"/>
      <c r="EB104" s="335"/>
      <c r="EC104" s="335"/>
      <c r="ED104" s="335"/>
      <c r="EE104" s="335"/>
      <c r="EF104" s="335"/>
      <c r="EG104" s="335"/>
      <c r="EH104" s="335"/>
      <c r="EI104" s="335"/>
      <c r="EJ104" s="335"/>
      <c r="EK104" s="335"/>
      <c r="EL104" s="335"/>
      <c r="EM104" s="335"/>
    </row>
    <row r="105" spans="72:143">
      <c r="BT105" s="365">
        <v>26</v>
      </c>
      <c r="BU105" s="187" t="s">
        <v>73</v>
      </c>
      <c r="BV105" s="196">
        <v>124054</v>
      </c>
      <c r="BW105" s="197" t="e">
        <f t="shared" si="128"/>
        <v>#REF!</v>
      </c>
      <c r="BX105" s="198" t="e">
        <f>IF(AND(State_LOB_Code=18,LEFT(BW105,4)&lt;"2009"),81,State_LOB_Code)&amp;"|362"</f>
        <v>#REF!</v>
      </c>
      <c r="BY105" s="174"/>
      <c r="BZ105" s="175"/>
      <c r="CD105" s="163"/>
      <c r="CE105" s="363"/>
      <c r="CF105" s="335"/>
      <c r="CG105" s="335"/>
      <c r="CH105" s="335"/>
      <c r="CI105" s="335"/>
      <c r="CJ105" s="335"/>
      <c r="CK105" s="335"/>
      <c r="CL105" s="335"/>
      <c r="CM105" s="335"/>
      <c r="CN105" s="335"/>
      <c r="CO105" s="335"/>
      <c r="CP105" s="335"/>
      <c r="CQ105" s="335"/>
      <c r="CR105" s="335"/>
      <c r="CS105" s="335"/>
      <c r="CT105" s="335"/>
      <c r="CU105" s="335"/>
      <c r="CV105" s="335"/>
      <c r="CW105" s="335"/>
      <c r="CX105" s="335"/>
      <c r="CY105" s="335"/>
      <c r="CZ105" s="335"/>
      <c r="DA105" s="335"/>
      <c r="DB105" s="335"/>
      <c r="DC105" s="335"/>
      <c r="DD105" s="335"/>
      <c r="DE105" s="335"/>
      <c r="DF105" s="335"/>
      <c r="DG105" s="335"/>
      <c r="DH105" s="335"/>
      <c r="DI105" s="335"/>
      <c r="DJ105" s="335"/>
      <c r="DK105" s="335"/>
      <c r="DL105" s="335"/>
      <c r="DM105" s="335"/>
      <c r="DN105" s="335"/>
      <c r="DO105" s="335"/>
      <c r="DP105" s="335"/>
      <c r="DQ105" s="335"/>
      <c r="DR105" s="335"/>
      <c r="DS105" s="335"/>
      <c r="DT105" s="335"/>
      <c r="DU105" s="335"/>
      <c r="DV105" s="335"/>
      <c r="DW105" s="335"/>
      <c r="DX105" s="335"/>
      <c r="DY105" s="335"/>
      <c r="DZ105" s="335"/>
      <c r="EA105" s="335"/>
      <c r="EB105" s="335"/>
      <c r="EC105" s="335"/>
      <c r="ED105" s="335"/>
      <c r="EE105" s="335"/>
      <c r="EF105" s="335"/>
      <c r="EG105" s="335"/>
      <c r="EH105" s="335"/>
      <c r="EI105" s="335"/>
      <c r="EJ105" s="335"/>
      <c r="EK105" s="335"/>
      <c r="EL105" s="335"/>
      <c r="EM105" s="335"/>
    </row>
    <row r="106" spans="72:143">
      <c r="BT106" s="365">
        <v>27</v>
      </c>
      <c r="BU106" s="187" t="s">
        <v>74</v>
      </c>
      <c r="BV106" s="196">
        <v>124054</v>
      </c>
      <c r="BW106" s="197" t="e">
        <f t="shared" si="128"/>
        <v>#REF!</v>
      </c>
      <c r="BX106" s="198" t="e">
        <f>IF(AND(State_LOB_Code=18,LEFT(BW106,4)&lt;"2009"),81,State_LOB_Code)&amp;"|363"</f>
        <v>#REF!</v>
      </c>
      <c r="BY106" s="174"/>
      <c r="BZ106" s="175"/>
      <c r="CD106" s="163"/>
      <c r="CE106" s="363"/>
      <c r="CF106" s="335"/>
      <c r="CG106" s="335"/>
      <c r="CH106" s="335"/>
      <c r="CI106" s="335"/>
      <c r="CJ106" s="335"/>
      <c r="CK106" s="335"/>
      <c r="CL106" s="335"/>
      <c r="CM106" s="335"/>
      <c r="CN106" s="335"/>
      <c r="CO106" s="335"/>
      <c r="CP106" s="335"/>
      <c r="CQ106" s="335"/>
      <c r="CR106" s="335"/>
      <c r="CS106" s="335"/>
      <c r="CT106" s="335"/>
      <c r="CU106" s="335"/>
      <c r="CV106" s="335"/>
      <c r="CW106" s="335"/>
      <c r="CX106" s="335"/>
      <c r="CY106" s="335"/>
      <c r="CZ106" s="335"/>
      <c r="DA106" s="335"/>
      <c r="DB106" s="335"/>
      <c r="DC106" s="335"/>
      <c r="DD106" s="335"/>
      <c r="DE106" s="335"/>
      <c r="DF106" s="335"/>
      <c r="DG106" s="335"/>
      <c r="DH106" s="335"/>
      <c r="DI106" s="335"/>
      <c r="DJ106" s="335"/>
      <c r="DK106" s="335"/>
      <c r="DL106" s="335"/>
      <c r="DM106" s="335"/>
      <c r="DN106" s="335"/>
      <c r="DO106" s="335"/>
      <c r="DP106" s="335"/>
      <c r="DQ106" s="335"/>
      <c r="DR106" s="335"/>
      <c r="DS106" s="335"/>
      <c r="DT106" s="335"/>
      <c r="DU106" s="335"/>
      <c r="DV106" s="335"/>
      <c r="DW106" s="335"/>
      <c r="DX106" s="335"/>
      <c r="DY106" s="335"/>
      <c r="DZ106" s="335"/>
      <c r="EA106" s="335"/>
      <c r="EB106" s="335"/>
      <c r="EC106" s="335"/>
      <c r="ED106" s="335"/>
      <c r="EE106" s="335"/>
      <c r="EF106" s="335"/>
      <c r="EG106" s="335"/>
      <c r="EH106" s="335"/>
      <c r="EI106" s="335"/>
      <c r="EJ106" s="335"/>
      <c r="EK106" s="335"/>
      <c r="EL106" s="335"/>
      <c r="EM106" s="335"/>
    </row>
    <row r="107" spans="72:143">
      <c r="BT107" s="365">
        <v>28</v>
      </c>
      <c r="BU107" s="187" t="s">
        <v>75</v>
      </c>
      <c r="BV107" s="196">
        <v>124054</v>
      </c>
      <c r="BW107" s="197" t="e">
        <f t="shared" si="128"/>
        <v>#REF!</v>
      </c>
      <c r="BX107" s="198" t="e">
        <f>IF(AND(State_LOB_Code=18,LEFT(BW107,4)&lt;"2009"),81,State_LOB_Code)&amp;"|364"</f>
        <v>#REF!</v>
      </c>
      <c r="BY107" s="174"/>
      <c r="BZ107" s="175"/>
      <c r="CD107" s="163"/>
      <c r="CE107" s="363"/>
      <c r="CF107" s="335"/>
      <c r="CG107" s="335"/>
      <c r="CH107" s="335"/>
      <c r="CI107" s="335"/>
      <c r="CJ107" s="335"/>
      <c r="CK107" s="335"/>
      <c r="CL107" s="335"/>
      <c r="CM107" s="335"/>
      <c r="CN107" s="335"/>
      <c r="CO107" s="335"/>
      <c r="CP107" s="335"/>
      <c r="CQ107" s="335"/>
      <c r="CR107" s="335"/>
      <c r="CS107" s="335"/>
      <c r="CT107" s="335"/>
      <c r="CU107" s="335"/>
      <c r="CV107" s="335"/>
      <c r="CW107" s="335"/>
      <c r="CX107" s="335"/>
      <c r="CY107" s="335"/>
      <c r="CZ107" s="335"/>
      <c r="DA107" s="335"/>
      <c r="DB107" s="335"/>
      <c r="DC107" s="335"/>
      <c r="DD107" s="335"/>
      <c r="DE107" s="335"/>
      <c r="DF107" s="335"/>
      <c r="DG107" s="335"/>
      <c r="DH107" s="335"/>
      <c r="DI107" s="335"/>
      <c r="DJ107" s="335"/>
      <c r="DK107" s="335"/>
      <c r="DL107" s="335"/>
      <c r="DM107" s="335"/>
      <c r="DN107" s="335"/>
      <c r="DO107" s="335"/>
      <c r="DP107" s="335"/>
      <c r="DQ107" s="335"/>
      <c r="DR107" s="335"/>
      <c r="DS107" s="335"/>
      <c r="DT107" s="335"/>
      <c r="DU107" s="335"/>
      <c r="DV107" s="335"/>
      <c r="DW107" s="335"/>
      <c r="DX107" s="335"/>
      <c r="DY107" s="335"/>
      <c r="DZ107" s="335"/>
      <c r="EA107" s="335"/>
      <c r="EB107" s="335"/>
      <c r="EC107" s="335"/>
      <c r="ED107" s="335"/>
      <c r="EE107" s="335"/>
      <c r="EF107" s="335"/>
      <c r="EG107" s="335"/>
      <c r="EH107" s="335"/>
      <c r="EI107" s="335"/>
      <c r="EJ107" s="335"/>
      <c r="EK107" s="335"/>
      <c r="EL107" s="335"/>
      <c r="EM107" s="335"/>
    </row>
    <row r="108" spans="72:143">
      <c r="BT108" s="365">
        <v>29</v>
      </c>
      <c r="BU108" s="187" t="s">
        <v>76</v>
      </c>
      <c r="BV108" s="196">
        <v>124054</v>
      </c>
      <c r="BW108" s="197" t="e">
        <f t="shared" si="128"/>
        <v>#REF!</v>
      </c>
      <c r="BX108" s="198" t="e">
        <f>IF(AND(State_LOB_Code=18,LEFT(BW108,4)&lt;"2009"),81,State_LOB_Code)&amp;"|365"</f>
        <v>#REF!</v>
      </c>
      <c r="BY108" s="174"/>
      <c r="BZ108" s="175"/>
      <c r="CD108" s="163"/>
      <c r="CE108" s="363"/>
      <c r="CF108" s="335"/>
      <c r="CG108" s="335"/>
      <c r="CH108" s="335"/>
      <c r="CI108" s="335"/>
      <c r="CJ108" s="335"/>
      <c r="CK108" s="335"/>
      <c r="CL108" s="335"/>
      <c r="CM108" s="335"/>
      <c r="CN108" s="335"/>
      <c r="CO108" s="335"/>
      <c r="CP108" s="335"/>
      <c r="CQ108" s="335"/>
      <c r="CR108" s="335"/>
      <c r="CS108" s="335"/>
      <c r="CT108" s="335"/>
      <c r="CU108" s="335"/>
      <c r="CV108" s="335"/>
      <c r="CW108" s="335"/>
      <c r="CX108" s="335"/>
      <c r="CY108" s="335"/>
      <c r="CZ108" s="335"/>
      <c r="DA108" s="335"/>
      <c r="DB108" s="335"/>
      <c r="DC108" s="335"/>
      <c r="DD108" s="335"/>
      <c r="DE108" s="335"/>
      <c r="DF108" s="335"/>
      <c r="DG108" s="335"/>
      <c r="DH108" s="335"/>
      <c r="DI108" s="335"/>
      <c r="DJ108" s="335"/>
      <c r="DK108" s="335"/>
      <c r="DL108" s="335"/>
      <c r="DM108" s="335"/>
      <c r="DN108" s="335"/>
      <c r="DO108" s="335"/>
      <c r="DP108" s="335"/>
      <c r="DQ108" s="335"/>
      <c r="DR108" s="335"/>
      <c r="DS108" s="335"/>
      <c r="DT108" s="335"/>
      <c r="DU108" s="335"/>
      <c r="DV108" s="335"/>
      <c r="DW108" s="335"/>
      <c r="DX108" s="335"/>
      <c r="DY108" s="335"/>
      <c r="DZ108" s="335"/>
      <c r="EA108" s="335"/>
      <c r="EB108" s="335"/>
      <c r="EC108" s="335"/>
      <c r="ED108" s="335"/>
      <c r="EE108" s="335"/>
      <c r="EF108" s="335"/>
      <c r="EG108" s="335"/>
      <c r="EH108" s="335"/>
      <c r="EI108" s="335"/>
      <c r="EJ108" s="335"/>
      <c r="EK108" s="335"/>
      <c r="EL108" s="335"/>
      <c r="EM108" s="335"/>
    </row>
    <row r="109" spans="72:143">
      <c r="BT109" s="365">
        <v>30</v>
      </c>
      <c r="BU109" s="187" t="s">
        <v>77</v>
      </c>
      <c r="BV109" s="196">
        <v>124054</v>
      </c>
      <c r="BW109" s="197" t="e">
        <f t="shared" si="128"/>
        <v>#REF!</v>
      </c>
      <c r="BX109" s="198" t="e">
        <f>IF(AND(State_LOB_Code=18,LEFT(BW109,4)&lt;"2009"),81,State_LOB_Code)&amp;"|366"</f>
        <v>#REF!</v>
      </c>
      <c r="BY109" s="174"/>
      <c r="BZ109" s="175"/>
      <c r="CD109" s="163"/>
      <c r="CE109" s="363"/>
      <c r="CF109" s="335"/>
      <c r="CG109" s="335"/>
      <c r="CH109" s="335"/>
      <c r="CI109" s="335"/>
      <c r="CJ109" s="335"/>
      <c r="CK109" s="335"/>
      <c r="CL109" s="335"/>
      <c r="CM109" s="335"/>
      <c r="CN109" s="335"/>
      <c r="CO109" s="335"/>
      <c r="CP109" s="335"/>
      <c r="CQ109" s="335"/>
      <c r="CR109" s="335"/>
      <c r="CS109" s="335"/>
      <c r="CT109" s="335"/>
      <c r="CU109" s="335"/>
      <c r="CV109" s="335"/>
      <c r="CW109" s="335"/>
      <c r="CX109" s="335"/>
      <c r="CY109" s="335"/>
      <c r="CZ109" s="335"/>
      <c r="DA109" s="335"/>
      <c r="DB109" s="335"/>
      <c r="DC109" s="335"/>
      <c r="DD109" s="335"/>
      <c r="DE109" s="335"/>
      <c r="DF109" s="335"/>
      <c r="DG109" s="335"/>
      <c r="DH109" s="335"/>
      <c r="DI109" s="335"/>
      <c r="DJ109" s="335"/>
      <c r="DK109" s="335"/>
      <c r="DL109" s="335"/>
      <c r="DM109" s="335"/>
      <c r="DN109" s="335"/>
      <c r="DO109" s="335"/>
      <c r="DP109" s="335"/>
      <c r="DQ109" s="335"/>
      <c r="DR109" s="335"/>
      <c r="DS109" s="335"/>
      <c r="DT109" s="335"/>
      <c r="DU109" s="335"/>
      <c r="DV109" s="335"/>
      <c r="DW109" s="335"/>
      <c r="DX109" s="335"/>
      <c r="DY109" s="335"/>
      <c r="DZ109" s="335"/>
      <c r="EA109" s="335"/>
      <c r="EB109" s="335"/>
      <c r="EC109" s="335"/>
      <c r="ED109" s="335"/>
      <c r="EE109" s="335"/>
      <c r="EF109" s="335"/>
      <c r="EG109" s="335"/>
      <c r="EH109" s="335"/>
      <c r="EI109" s="335"/>
      <c r="EJ109" s="335"/>
      <c r="EK109" s="335"/>
      <c r="EL109" s="335"/>
      <c r="EM109" s="335"/>
    </row>
    <row r="110" spans="72:143">
      <c r="BT110" s="365">
        <v>31</v>
      </c>
      <c r="BU110" s="187" t="s">
        <v>78</v>
      </c>
      <c r="BV110" s="196">
        <v>124054</v>
      </c>
      <c r="BW110" s="197" t="e">
        <f t="shared" si="128"/>
        <v>#REF!</v>
      </c>
      <c r="BX110" s="198" t="e">
        <f>IF(AND(State_LOB_Code=18,LEFT(BW110,4)&lt;"2009"),81,State_LOB_Code)&amp;"|367"</f>
        <v>#REF!</v>
      </c>
      <c r="BY110" s="174"/>
      <c r="BZ110" s="175"/>
      <c r="CD110" s="163"/>
      <c r="CE110" s="363"/>
      <c r="CF110" s="335"/>
      <c r="CG110" s="335"/>
      <c r="CH110" s="335"/>
      <c r="CI110" s="335"/>
      <c r="CJ110" s="335"/>
      <c r="CK110" s="335"/>
      <c r="CL110" s="335"/>
      <c r="CM110" s="335"/>
      <c r="CN110" s="335"/>
      <c r="CO110" s="335"/>
      <c r="CP110" s="335"/>
      <c r="CQ110" s="335"/>
      <c r="CR110" s="335"/>
      <c r="CS110" s="335"/>
      <c r="CT110" s="335"/>
      <c r="CU110" s="335"/>
      <c r="CV110" s="335"/>
      <c r="CW110" s="335"/>
      <c r="CX110" s="335"/>
      <c r="CY110" s="335"/>
      <c r="CZ110" s="335"/>
      <c r="DA110" s="335"/>
      <c r="DB110" s="335"/>
      <c r="DC110" s="335"/>
      <c r="DD110" s="335"/>
      <c r="DE110" s="335"/>
      <c r="DF110" s="335"/>
      <c r="DG110" s="335"/>
      <c r="DH110" s="335"/>
      <c r="DI110" s="335"/>
      <c r="DJ110" s="335"/>
      <c r="DK110" s="335"/>
      <c r="DL110" s="335"/>
      <c r="DM110" s="335"/>
      <c r="DN110" s="335"/>
      <c r="DO110" s="335"/>
      <c r="DP110" s="335"/>
      <c r="DQ110" s="335"/>
      <c r="DR110" s="335"/>
      <c r="DS110" s="335"/>
      <c r="DT110" s="335"/>
      <c r="DU110" s="335"/>
      <c r="DV110" s="335"/>
      <c r="DW110" s="335"/>
      <c r="DX110" s="335"/>
      <c r="DY110" s="335"/>
      <c r="DZ110" s="335"/>
      <c r="EA110" s="335"/>
      <c r="EB110" s="335"/>
      <c r="EC110" s="335"/>
      <c r="ED110" s="335"/>
      <c r="EE110" s="335"/>
      <c r="EF110" s="335"/>
      <c r="EG110" s="335"/>
      <c r="EH110" s="335"/>
      <c r="EI110" s="335"/>
      <c r="EJ110" s="335"/>
      <c r="EK110" s="335"/>
      <c r="EL110" s="335"/>
      <c r="EM110" s="335"/>
    </row>
    <row r="111" spans="72:143">
      <c r="BT111" s="365">
        <v>32</v>
      </c>
      <c r="BU111" s="187" t="s">
        <v>79</v>
      </c>
      <c r="BV111" s="196">
        <v>124054</v>
      </c>
      <c r="BW111" s="197" t="e">
        <f t="shared" ref="BW111:BW138" si="131">Period_Y</f>
        <v>#REF!</v>
      </c>
      <c r="BX111" s="198" t="e">
        <f>IF(AND(State_LOB_Code=18,LEFT(BW111,4)&lt;"2009"),81,State_LOB_Code)&amp;"|368"</f>
        <v>#REF!</v>
      </c>
      <c r="BY111" s="174"/>
      <c r="BZ111" s="175"/>
      <c r="CD111" s="163"/>
      <c r="CE111" s="363"/>
      <c r="CF111" s="335"/>
      <c r="CG111" s="335"/>
      <c r="CH111" s="335"/>
      <c r="CI111" s="335"/>
      <c r="CJ111" s="335"/>
      <c r="CK111" s="335"/>
      <c r="CL111" s="335"/>
      <c r="CM111" s="335"/>
      <c r="CN111" s="335"/>
      <c r="CO111" s="335"/>
      <c r="CP111" s="335"/>
      <c r="CQ111" s="335"/>
      <c r="CR111" s="335"/>
      <c r="CS111" s="335"/>
      <c r="CT111" s="335"/>
      <c r="CU111" s="335"/>
      <c r="CV111" s="335"/>
      <c r="CW111" s="335"/>
      <c r="CX111" s="335"/>
      <c r="CY111" s="335"/>
      <c r="CZ111" s="335"/>
      <c r="DA111" s="335"/>
      <c r="DB111" s="335"/>
      <c r="DC111" s="335"/>
      <c r="DD111" s="335"/>
      <c r="DE111" s="335"/>
      <c r="DF111" s="335"/>
      <c r="DG111" s="335"/>
      <c r="DH111" s="335"/>
      <c r="DI111" s="335"/>
      <c r="DJ111" s="335"/>
      <c r="DK111" s="335"/>
      <c r="DL111" s="335"/>
      <c r="DM111" s="335"/>
      <c r="DN111" s="335"/>
      <c r="DO111" s="335"/>
      <c r="DP111" s="335"/>
      <c r="DQ111" s="335"/>
      <c r="DR111" s="335"/>
      <c r="DS111" s="335"/>
      <c r="DT111" s="335"/>
      <c r="DU111" s="335"/>
      <c r="DV111" s="335"/>
      <c r="DW111" s="335"/>
      <c r="DX111" s="335"/>
      <c r="DY111" s="335"/>
      <c r="DZ111" s="335"/>
      <c r="EA111" s="335"/>
      <c r="EB111" s="335"/>
      <c r="EC111" s="335"/>
      <c r="ED111" s="335"/>
      <c r="EE111" s="335"/>
      <c r="EF111" s="335"/>
      <c r="EG111" s="335"/>
      <c r="EH111" s="335"/>
      <c r="EI111" s="335"/>
      <c r="EJ111" s="335"/>
      <c r="EK111" s="335"/>
      <c r="EL111" s="335"/>
      <c r="EM111" s="335"/>
    </row>
    <row r="112" spans="72:143">
      <c r="BT112" s="365">
        <v>33</v>
      </c>
      <c r="BU112" s="187" t="s">
        <v>80</v>
      </c>
      <c r="BV112" s="196">
        <v>124054</v>
      </c>
      <c r="BW112" s="197" t="e">
        <f t="shared" si="131"/>
        <v>#REF!</v>
      </c>
      <c r="BX112" s="198" t="e">
        <f>IF(AND(State_LOB_Code=18,LEFT(BW112,4)&lt;"2009"),81,State_LOB_Code)&amp;"|369"</f>
        <v>#REF!</v>
      </c>
      <c r="BY112" s="174"/>
      <c r="BZ112" s="175"/>
      <c r="CD112" s="163"/>
      <c r="CE112" s="363"/>
      <c r="CF112" s="335"/>
      <c r="CG112" s="335"/>
      <c r="CH112" s="335"/>
      <c r="CI112" s="335"/>
      <c r="CJ112" s="335"/>
      <c r="CK112" s="335"/>
      <c r="CL112" s="335"/>
      <c r="CM112" s="335"/>
      <c r="CN112" s="335"/>
      <c r="CO112" s="335"/>
      <c r="CP112" s="335"/>
      <c r="CQ112" s="335"/>
      <c r="CR112" s="335"/>
      <c r="CS112" s="335"/>
      <c r="CT112" s="335"/>
      <c r="CU112" s="335"/>
      <c r="CV112" s="335"/>
      <c r="CW112" s="335"/>
      <c r="CX112" s="335"/>
      <c r="CY112" s="335"/>
      <c r="CZ112" s="335"/>
      <c r="DA112" s="335"/>
      <c r="DB112" s="335"/>
      <c r="DC112" s="335"/>
      <c r="DD112" s="335"/>
      <c r="DE112" s="335"/>
      <c r="DF112" s="335"/>
      <c r="DG112" s="335"/>
      <c r="DH112" s="335"/>
      <c r="DI112" s="335"/>
      <c r="DJ112" s="335"/>
      <c r="DK112" s="335"/>
      <c r="DL112" s="335"/>
      <c r="DM112" s="335"/>
      <c r="DN112" s="335"/>
      <c r="DO112" s="335"/>
      <c r="DP112" s="335"/>
      <c r="DQ112" s="335"/>
      <c r="DR112" s="335"/>
      <c r="DS112" s="335"/>
      <c r="DT112" s="335"/>
      <c r="DU112" s="335"/>
      <c r="DV112" s="335"/>
      <c r="DW112" s="335"/>
      <c r="DX112" s="335"/>
      <c r="DY112" s="335"/>
      <c r="DZ112" s="335"/>
      <c r="EA112" s="335"/>
      <c r="EB112" s="335"/>
      <c r="EC112" s="335"/>
      <c r="ED112" s="335"/>
      <c r="EE112" s="335"/>
      <c r="EF112" s="335"/>
      <c r="EG112" s="335"/>
      <c r="EH112" s="335"/>
      <c r="EI112" s="335"/>
      <c r="EJ112" s="335"/>
      <c r="EK112" s="335"/>
      <c r="EL112" s="335"/>
      <c r="EM112" s="335"/>
    </row>
    <row r="113" spans="72:143">
      <c r="BT113" s="365">
        <v>34</v>
      </c>
      <c r="BU113" s="187" t="s">
        <v>81</v>
      </c>
      <c r="BV113" s="196">
        <v>124054</v>
      </c>
      <c r="BW113" s="197" t="e">
        <f t="shared" si="131"/>
        <v>#REF!</v>
      </c>
      <c r="BX113" s="198" t="e">
        <f>IF(AND(State_LOB_Code=18,LEFT(BW113,4)&lt;"2009"),81,State_LOB_Code)&amp;"|370"</f>
        <v>#REF!</v>
      </c>
      <c r="BY113" s="174"/>
      <c r="BZ113" s="175"/>
      <c r="CD113" s="163"/>
      <c r="CE113" s="363"/>
      <c r="CF113" s="335"/>
      <c r="CG113" s="335"/>
      <c r="CH113" s="335"/>
      <c r="CI113" s="335"/>
      <c r="CJ113" s="335"/>
      <c r="CK113" s="335"/>
      <c r="CL113" s="335"/>
      <c r="CM113" s="335"/>
      <c r="CN113" s="335"/>
      <c r="CO113" s="335"/>
      <c r="CP113" s="335"/>
      <c r="CQ113" s="335"/>
      <c r="CR113" s="335"/>
      <c r="CS113" s="335"/>
      <c r="CT113" s="335"/>
      <c r="CU113" s="335"/>
      <c r="CV113" s="335"/>
      <c r="CW113" s="335"/>
      <c r="CX113" s="335"/>
      <c r="CY113" s="335"/>
      <c r="CZ113" s="335"/>
      <c r="DA113" s="335"/>
      <c r="DB113" s="335"/>
      <c r="DC113" s="335"/>
      <c r="DD113" s="335"/>
      <c r="DE113" s="335"/>
      <c r="DF113" s="335"/>
      <c r="DG113" s="335"/>
      <c r="DH113" s="335"/>
      <c r="DI113" s="335"/>
      <c r="DJ113" s="335"/>
      <c r="DK113" s="335"/>
      <c r="DL113" s="335"/>
      <c r="DM113" s="335"/>
      <c r="DN113" s="335"/>
      <c r="DO113" s="335"/>
      <c r="DP113" s="335"/>
      <c r="DQ113" s="335"/>
      <c r="DR113" s="335"/>
      <c r="DS113" s="335"/>
      <c r="DT113" s="335"/>
      <c r="DU113" s="335"/>
      <c r="DV113" s="335"/>
      <c r="DW113" s="335"/>
      <c r="DX113" s="335"/>
      <c r="DY113" s="335"/>
      <c r="DZ113" s="335"/>
      <c r="EA113" s="335"/>
      <c r="EB113" s="335"/>
      <c r="EC113" s="335"/>
      <c r="ED113" s="335"/>
      <c r="EE113" s="335"/>
      <c r="EF113" s="335"/>
      <c r="EG113" s="335"/>
      <c r="EH113" s="335"/>
      <c r="EI113" s="335"/>
      <c r="EJ113" s="335"/>
      <c r="EK113" s="335"/>
      <c r="EL113" s="335"/>
      <c r="EM113" s="335"/>
    </row>
    <row r="114" spans="72:143">
      <c r="BT114" s="365">
        <v>35</v>
      </c>
      <c r="BU114" s="187" t="s">
        <v>82</v>
      </c>
      <c r="BV114" s="196">
        <v>124054</v>
      </c>
      <c r="BW114" s="197" t="e">
        <f t="shared" si="131"/>
        <v>#REF!</v>
      </c>
      <c r="BX114" s="198" t="e">
        <f>IF(AND(State_LOB_Code=18,LEFT(BW114,4)&lt;"2009"),81,State_LOB_Code)&amp;"|371"</f>
        <v>#REF!</v>
      </c>
      <c r="BY114" s="174"/>
      <c r="BZ114" s="175"/>
      <c r="CD114" s="163"/>
      <c r="CE114" s="363"/>
      <c r="CF114" s="335"/>
      <c r="CG114" s="335"/>
      <c r="CH114" s="335"/>
      <c r="CI114" s="335"/>
      <c r="CJ114" s="335"/>
      <c r="CK114" s="335"/>
      <c r="CL114" s="335"/>
      <c r="CM114" s="335"/>
      <c r="CN114" s="335"/>
      <c r="CO114" s="335"/>
      <c r="CP114" s="335"/>
      <c r="CQ114" s="335"/>
      <c r="CR114" s="335"/>
      <c r="CS114" s="335"/>
      <c r="CT114" s="335"/>
      <c r="CU114" s="335"/>
      <c r="CV114" s="335"/>
      <c r="CW114" s="335"/>
      <c r="CX114" s="335"/>
      <c r="CY114" s="335"/>
      <c r="CZ114" s="335"/>
      <c r="DA114" s="335"/>
      <c r="DB114" s="335"/>
      <c r="DC114" s="335"/>
      <c r="DD114" s="335"/>
      <c r="DE114" s="335"/>
      <c r="DF114" s="335"/>
      <c r="DG114" s="335"/>
      <c r="DH114" s="335"/>
      <c r="DI114" s="335"/>
      <c r="DJ114" s="335"/>
      <c r="DK114" s="335"/>
      <c r="DL114" s="335"/>
      <c r="DM114" s="335"/>
      <c r="DN114" s="335"/>
      <c r="DO114" s="335"/>
      <c r="DP114" s="335"/>
      <c r="DQ114" s="335"/>
      <c r="DR114" s="335"/>
      <c r="DS114" s="335"/>
      <c r="DT114" s="335"/>
      <c r="DU114" s="335"/>
      <c r="DV114" s="335"/>
      <c r="DW114" s="335"/>
      <c r="DX114" s="335"/>
      <c r="DY114" s="335"/>
      <c r="DZ114" s="335"/>
      <c r="EA114" s="335"/>
      <c r="EB114" s="335"/>
      <c r="EC114" s="335"/>
      <c r="ED114" s="335"/>
      <c r="EE114" s="335"/>
      <c r="EF114" s="335"/>
      <c r="EG114" s="335"/>
      <c r="EH114" s="335"/>
      <c r="EI114" s="335"/>
      <c r="EJ114" s="335"/>
      <c r="EK114" s="335"/>
      <c r="EL114" s="335"/>
      <c r="EM114" s="335"/>
    </row>
    <row r="115" spans="72:143">
      <c r="BT115" s="365">
        <v>36</v>
      </c>
      <c r="BU115" s="187" t="s">
        <v>83</v>
      </c>
      <c r="BV115" s="196">
        <v>124054</v>
      </c>
      <c r="BW115" s="197" t="e">
        <f t="shared" si="131"/>
        <v>#REF!</v>
      </c>
      <c r="BX115" s="198" t="e">
        <f>IF(AND(State_LOB_Code=18,LEFT(BW115,4)&lt;"2009"),81,State_LOB_Code)&amp;"|372"</f>
        <v>#REF!</v>
      </c>
      <c r="BY115" s="174"/>
      <c r="BZ115" s="175"/>
      <c r="CD115" s="163"/>
      <c r="CE115" s="363"/>
      <c r="CF115" s="335"/>
      <c r="CG115" s="335"/>
      <c r="CH115" s="335"/>
      <c r="CI115" s="335"/>
      <c r="CJ115" s="335"/>
      <c r="CK115" s="335"/>
      <c r="CL115" s="335"/>
      <c r="CM115" s="335"/>
      <c r="CN115" s="335"/>
      <c r="CO115" s="335"/>
      <c r="CP115" s="335"/>
      <c r="CQ115" s="335"/>
      <c r="CR115" s="335"/>
      <c r="CS115" s="335"/>
      <c r="CT115" s="335"/>
      <c r="CU115" s="335"/>
      <c r="CV115" s="335"/>
      <c r="CW115" s="335"/>
      <c r="CX115" s="335"/>
      <c r="CY115" s="335"/>
      <c r="CZ115" s="335"/>
      <c r="DA115" s="335"/>
      <c r="DB115" s="335"/>
      <c r="DC115" s="335"/>
      <c r="DD115" s="335"/>
      <c r="DE115" s="335"/>
      <c r="DF115" s="335"/>
      <c r="DG115" s="335"/>
      <c r="DH115" s="335"/>
      <c r="DI115" s="335"/>
      <c r="DJ115" s="335"/>
      <c r="DK115" s="335"/>
      <c r="DL115" s="335"/>
      <c r="DM115" s="335"/>
      <c r="DN115" s="335"/>
      <c r="DO115" s="335"/>
      <c r="DP115" s="335"/>
      <c r="DQ115" s="335"/>
      <c r="DR115" s="335"/>
      <c r="DS115" s="335"/>
      <c r="DT115" s="335"/>
      <c r="DU115" s="335"/>
      <c r="DV115" s="335"/>
      <c r="DW115" s="335"/>
      <c r="DX115" s="335"/>
      <c r="DY115" s="335"/>
      <c r="DZ115" s="335"/>
      <c r="EA115" s="335"/>
      <c r="EB115" s="335"/>
      <c r="EC115" s="335"/>
      <c r="ED115" s="335"/>
      <c r="EE115" s="335"/>
      <c r="EF115" s="335"/>
      <c r="EG115" s="335"/>
      <c r="EH115" s="335"/>
      <c r="EI115" s="335"/>
      <c r="EJ115" s="335"/>
      <c r="EK115" s="335"/>
      <c r="EL115" s="335"/>
      <c r="EM115" s="335"/>
    </row>
    <row r="116" spans="72:143">
      <c r="BT116" s="365">
        <v>37</v>
      </c>
      <c r="BU116" s="187" t="s">
        <v>84</v>
      </c>
      <c r="BV116" s="196">
        <v>124054</v>
      </c>
      <c r="BW116" s="197" t="e">
        <f t="shared" si="131"/>
        <v>#REF!</v>
      </c>
      <c r="BX116" s="198" t="e">
        <f>IF(AND(State_LOB_Code=18,LEFT(BW116,4)&lt;"2009"),81,State_LOB_Code)&amp;"|373"</f>
        <v>#REF!</v>
      </c>
      <c r="BY116" s="174"/>
      <c r="BZ116" s="175"/>
      <c r="CD116" s="163"/>
      <c r="CE116" s="363"/>
      <c r="CF116" s="335"/>
      <c r="CG116" s="335"/>
      <c r="CH116" s="335"/>
      <c r="CI116" s="335"/>
      <c r="CJ116" s="335"/>
      <c r="CK116" s="335"/>
      <c r="CL116" s="335"/>
      <c r="CM116" s="335"/>
      <c r="CN116" s="335"/>
      <c r="CO116" s="335"/>
      <c r="CP116" s="335"/>
      <c r="CQ116" s="335"/>
      <c r="CR116" s="335"/>
      <c r="CS116" s="335"/>
      <c r="CT116" s="335"/>
      <c r="CU116" s="335"/>
      <c r="CV116" s="335"/>
      <c r="CW116" s="335"/>
      <c r="CX116" s="335"/>
      <c r="CY116" s="335"/>
      <c r="CZ116" s="335"/>
      <c r="DA116" s="335"/>
      <c r="DB116" s="335"/>
      <c r="DC116" s="335"/>
      <c r="DD116" s="335"/>
      <c r="DE116" s="335"/>
      <c r="DF116" s="335"/>
      <c r="DG116" s="335"/>
      <c r="DH116" s="335"/>
      <c r="DI116" s="335"/>
      <c r="DJ116" s="335"/>
      <c r="DK116" s="335"/>
      <c r="DL116" s="335"/>
      <c r="DM116" s="335"/>
      <c r="DN116" s="335"/>
      <c r="DO116" s="335"/>
      <c r="DP116" s="335"/>
      <c r="DQ116" s="335"/>
      <c r="DR116" s="335"/>
      <c r="DS116" s="335"/>
      <c r="DT116" s="335"/>
      <c r="DU116" s="335"/>
      <c r="DV116" s="335"/>
      <c r="DW116" s="335"/>
      <c r="DX116" s="335"/>
      <c r="DY116" s="335"/>
      <c r="DZ116" s="335"/>
      <c r="EA116" s="335"/>
      <c r="EB116" s="335"/>
      <c r="EC116" s="335"/>
      <c r="ED116" s="335"/>
      <c r="EE116" s="335"/>
      <c r="EF116" s="335"/>
      <c r="EG116" s="335"/>
      <c r="EH116" s="335"/>
      <c r="EI116" s="335"/>
      <c r="EJ116" s="335"/>
      <c r="EK116" s="335"/>
      <c r="EL116" s="335"/>
      <c r="EM116" s="335"/>
    </row>
    <row r="117" spans="72:143">
      <c r="BT117" s="365">
        <v>38</v>
      </c>
      <c r="BU117" s="187" t="s">
        <v>85</v>
      </c>
      <c r="BV117" s="196">
        <v>124054</v>
      </c>
      <c r="BW117" s="197" t="e">
        <f t="shared" si="131"/>
        <v>#REF!</v>
      </c>
      <c r="BX117" s="198" t="e">
        <f>IF(AND(State_LOB_Code=18,LEFT(BW117,4)&lt;"2009"),81,State_LOB_Code)&amp;"|374"</f>
        <v>#REF!</v>
      </c>
      <c r="BY117" s="174"/>
      <c r="BZ117" s="175"/>
      <c r="CD117" s="163"/>
      <c r="CE117" s="363"/>
      <c r="CF117" s="335"/>
      <c r="CG117" s="335"/>
      <c r="CH117" s="335"/>
      <c r="CI117" s="335"/>
      <c r="CJ117" s="335"/>
      <c r="CK117" s="335"/>
      <c r="CL117" s="335"/>
      <c r="CM117" s="335"/>
      <c r="CN117" s="335"/>
      <c r="CO117" s="335"/>
      <c r="CP117" s="335"/>
      <c r="CQ117" s="335"/>
      <c r="CR117" s="335"/>
      <c r="CS117" s="335"/>
      <c r="CT117" s="335"/>
      <c r="CU117" s="335"/>
      <c r="CV117" s="335"/>
      <c r="CW117" s="335"/>
      <c r="CX117" s="335"/>
      <c r="CY117" s="335"/>
      <c r="CZ117" s="335"/>
      <c r="DA117" s="335"/>
      <c r="DB117" s="335"/>
      <c r="DC117" s="335"/>
      <c r="DD117" s="335"/>
      <c r="DE117" s="335"/>
      <c r="DF117" s="335"/>
      <c r="DG117" s="335"/>
      <c r="DH117" s="335"/>
      <c r="DI117" s="335"/>
      <c r="DJ117" s="335"/>
      <c r="DK117" s="335"/>
      <c r="DL117" s="335"/>
      <c r="DM117" s="335"/>
      <c r="DN117" s="335"/>
      <c r="DO117" s="335"/>
      <c r="DP117" s="335"/>
      <c r="DQ117" s="335"/>
      <c r="DR117" s="335"/>
      <c r="DS117" s="335"/>
      <c r="DT117" s="335"/>
      <c r="DU117" s="335"/>
      <c r="DV117" s="335"/>
      <c r="DW117" s="335"/>
      <c r="DX117" s="335"/>
      <c r="DY117" s="335"/>
      <c r="DZ117" s="335"/>
      <c r="EA117" s="335"/>
      <c r="EB117" s="335"/>
      <c r="EC117" s="335"/>
      <c r="ED117" s="335"/>
      <c r="EE117" s="335"/>
      <c r="EF117" s="335"/>
      <c r="EG117" s="335"/>
      <c r="EH117" s="335"/>
      <c r="EI117" s="335"/>
      <c r="EJ117" s="335"/>
      <c r="EK117" s="335"/>
      <c r="EL117" s="335"/>
      <c r="EM117" s="335"/>
    </row>
    <row r="118" spans="72:143">
      <c r="BT118" s="365">
        <v>39</v>
      </c>
      <c r="BU118" s="187" t="s">
        <v>86</v>
      </c>
      <c r="BV118" s="196">
        <v>124054</v>
      </c>
      <c r="BW118" s="197" t="e">
        <f t="shared" si="131"/>
        <v>#REF!</v>
      </c>
      <c r="BX118" s="198" t="e">
        <f>IF(AND(State_LOB_Code=18,LEFT(BW118,4)&lt;"2009"),81,State_LOB_Code)&amp;"|376"</f>
        <v>#REF!</v>
      </c>
      <c r="BY118" s="174"/>
      <c r="BZ118" s="175"/>
      <c r="CD118" s="163"/>
      <c r="CE118" s="363"/>
      <c r="CF118" s="335"/>
      <c r="CG118" s="335"/>
      <c r="CH118" s="335"/>
      <c r="CI118" s="335"/>
      <c r="CJ118" s="335"/>
      <c r="CK118" s="335"/>
      <c r="CL118" s="335"/>
      <c r="CM118" s="335"/>
      <c r="CN118" s="335"/>
      <c r="CO118" s="335"/>
      <c r="CP118" s="335"/>
      <c r="CQ118" s="335"/>
      <c r="CR118" s="335"/>
      <c r="CS118" s="335"/>
      <c r="CT118" s="335"/>
      <c r="CU118" s="335"/>
      <c r="CV118" s="335"/>
      <c r="CW118" s="335"/>
      <c r="CX118" s="335"/>
      <c r="CY118" s="335"/>
      <c r="CZ118" s="335"/>
      <c r="DA118" s="335"/>
      <c r="DB118" s="335"/>
      <c r="DC118" s="335"/>
      <c r="DD118" s="335"/>
      <c r="DE118" s="335"/>
      <c r="DF118" s="335"/>
      <c r="DG118" s="335"/>
      <c r="DH118" s="335"/>
      <c r="DI118" s="335"/>
      <c r="DJ118" s="335"/>
      <c r="DK118" s="335"/>
      <c r="DL118" s="335"/>
      <c r="DM118" s="335"/>
      <c r="DN118" s="335"/>
      <c r="DO118" s="335"/>
      <c r="DP118" s="335"/>
      <c r="DQ118" s="335"/>
      <c r="DR118" s="335"/>
      <c r="DS118" s="335"/>
      <c r="DT118" s="335"/>
      <c r="DU118" s="335"/>
      <c r="DV118" s="335"/>
      <c r="DW118" s="335"/>
      <c r="DX118" s="335"/>
      <c r="DY118" s="335"/>
      <c r="DZ118" s="335"/>
      <c r="EA118" s="335"/>
      <c r="EB118" s="335"/>
      <c r="EC118" s="335"/>
      <c r="ED118" s="335"/>
      <c r="EE118" s="335"/>
      <c r="EF118" s="335"/>
      <c r="EG118" s="335"/>
      <c r="EH118" s="335"/>
      <c r="EI118" s="335"/>
      <c r="EJ118" s="335"/>
      <c r="EK118" s="335"/>
      <c r="EL118" s="335"/>
      <c r="EM118" s="335"/>
    </row>
    <row r="119" spans="72:143">
      <c r="BT119" s="365">
        <v>40</v>
      </c>
      <c r="BU119" s="187" t="s">
        <v>87</v>
      </c>
      <c r="BV119" s="196">
        <v>124054</v>
      </c>
      <c r="BW119" s="197" t="e">
        <f t="shared" si="131"/>
        <v>#REF!</v>
      </c>
      <c r="BX119" s="198" t="e">
        <f>IF(AND(State_LOB_Code=18,LEFT(BW119,4)&lt;"2009"),81,State_LOB_Code)&amp;"|377"</f>
        <v>#REF!</v>
      </c>
      <c r="BY119" s="174"/>
      <c r="BZ119" s="175"/>
      <c r="CD119" s="163"/>
      <c r="CE119" s="363"/>
      <c r="CF119" s="335"/>
      <c r="CG119" s="335"/>
      <c r="CH119" s="335"/>
      <c r="CI119" s="335"/>
      <c r="CJ119" s="335"/>
      <c r="CK119" s="335"/>
      <c r="CL119" s="335"/>
      <c r="CM119" s="335"/>
      <c r="CN119" s="335"/>
      <c r="CO119" s="335"/>
      <c r="CP119" s="335"/>
      <c r="CQ119" s="335"/>
      <c r="CR119" s="335"/>
      <c r="CS119" s="335"/>
      <c r="CT119" s="335"/>
      <c r="CU119" s="335"/>
      <c r="CV119" s="335"/>
      <c r="CW119" s="335"/>
      <c r="CX119" s="335"/>
      <c r="CY119" s="335"/>
      <c r="CZ119" s="335"/>
      <c r="DA119" s="335"/>
      <c r="DB119" s="335"/>
      <c r="DC119" s="335"/>
      <c r="DD119" s="335"/>
      <c r="DE119" s="335"/>
      <c r="DF119" s="335"/>
      <c r="DG119" s="335"/>
      <c r="DH119" s="335"/>
      <c r="DI119" s="335"/>
      <c r="DJ119" s="335"/>
      <c r="DK119" s="335"/>
      <c r="DL119" s="335"/>
      <c r="DM119" s="335"/>
      <c r="DN119" s="335"/>
      <c r="DO119" s="335"/>
      <c r="DP119" s="335"/>
      <c r="DQ119" s="335"/>
      <c r="DR119" s="335"/>
      <c r="DS119" s="335"/>
      <c r="DT119" s="335"/>
      <c r="DU119" s="335"/>
      <c r="DV119" s="335"/>
      <c r="DW119" s="335"/>
      <c r="DX119" s="335"/>
      <c r="DY119" s="335"/>
      <c r="DZ119" s="335"/>
      <c r="EA119" s="335"/>
      <c r="EB119" s="335"/>
      <c r="EC119" s="335"/>
      <c r="ED119" s="335"/>
      <c r="EE119" s="335"/>
      <c r="EF119" s="335"/>
      <c r="EG119" s="335"/>
      <c r="EH119" s="335"/>
      <c r="EI119" s="335"/>
      <c r="EJ119" s="335"/>
      <c r="EK119" s="335"/>
      <c r="EL119" s="335"/>
      <c r="EM119" s="335"/>
    </row>
    <row r="120" spans="72:143">
      <c r="BT120" s="365">
        <v>41</v>
      </c>
      <c r="BU120" s="187" t="s">
        <v>88</v>
      </c>
      <c r="BV120" s="196">
        <v>124054</v>
      </c>
      <c r="BW120" s="197" t="e">
        <f t="shared" si="131"/>
        <v>#REF!</v>
      </c>
      <c r="BX120" s="198" t="e">
        <f>IF(AND(State_LOB_Code=18,LEFT(BW120,4)&lt;"2009"),81,State_LOB_Code)&amp;"|378"</f>
        <v>#REF!</v>
      </c>
      <c r="BY120" s="174"/>
      <c r="BZ120" s="175"/>
      <c r="CD120" s="163"/>
      <c r="CE120" s="363"/>
      <c r="CF120" s="335"/>
      <c r="CG120" s="335"/>
      <c r="CH120" s="335"/>
      <c r="CI120" s="335"/>
      <c r="CJ120" s="335"/>
      <c r="CK120" s="335"/>
      <c r="CL120" s="335"/>
      <c r="CM120" s="335"/>
      <c r="CN120" s="335"/>
      <c r="CO120" s="335"/>
      <c r="CP120" s="335"/>
      <c r="CQ120" s="335"/>
      <c r="CR120" s="335"/>
      <c r="CS120" s="335"/>
      <c r="CT120" s="335"/>
      <c r="CU120" s="335"/>
      <c r="CV120" s="335"/>
      <c r="CW120" s="335"/>
      <c r="CX120" s="335"/>
      <c r="CY120" s="335"/>
      <c r="CZ120" s="335"/>
      <c r="DA120" s="335"/>
      <c r="DB120" s="335"/>
      <c r="DC120" s="335"/>
      <c r="DD120" s="335"/>
      <c r="DE120" s="335"/>
      <c r="DF120" s="335"/>
      <c r="DG120" s="335"/>
      <c r="DH120" s="335"/>
      <c r="DI120" s="335"/>
      <c r="DJ120" s="335"/>
      <c r="DK120" s="335"/>
      <c r="DL120" s="335"/>
      <c r="DM120" s="335"/>
      <c r="DN120" s="335"/>
      <c r="DO120" s="335"/>
      <c r="DP120" s="335"/>
      <c r="DQ120" s="335"/>
      <c r="DR120" s="335"/>
      <c r="DS120" s="335"/>
      <c r="DT120" s="335"/>
      <c r="DU120" s="335"/>
      <c r="DV120" s="335"/>
      <c r="DW120" s="335"/>
      <c r="DX120" s="335"/>
      <c r="DY120" s="335"/>
      <c r="DZ120" s="335"/>
      <c r="EA120" s="335"/>
      <c r="EB120" s="335"/>
      <c r="EC120" s="335"/>
      <c r="ED120" s="335"/>
      <c r="EE120" s="335"/>
      <c r="EF120" s="335"/>
      <c r="EG120" s="335"/>
      <c r="EH120" s="335"/>
      <c r="EI120" s="335"/>
      <c r="EJ120" s="335"/>
      <c r="EK120" s="335"/>
      <c r="EL120" s="335"/>
      <c r="EM120" s="335"/>
    </row>
    <row r="121" spans="72:143">
      <c r="BT121" s="365">
        <v>42</v>
      </c>
      <c r="BU121" s="187" t="s">
        <v>89</v>
      </c>
      <c r="BV121" s="196">
        <v>124054</v>
      </c>
      <c r="BW121" s="197" t="e">
        <f t="shared" si="131"/>
        <v>#REF!</v>
      </c>
      <c r="BX121" s="198" t="e">
        <f>IF(AND(State_LOB_Code=18,LEFT(BW121,4)&lt;"2009"),81,State_LOB_Code)&amp;"|379"</f>
        <v>#REF!</v>
      </c>
      <c r="BY121" s="174"/>
      <c r="BZ121" s="175"/>
      <c r="CD121" s="163"/>
      <c r="CE121" s="363"/>
      <c r="CF121" s="335"/>
      <c r="CG121" s="335"/>
      <c r="CH121" s="335"/>
      <c r="CI121" s="335"/>
      <c r="CJ121" s="335"/>
      <c r="CK121" s="335"/>
      <c r="CL121" s="335"/>
      <c r="CM121" s="335"/>
      <c r="CN121" s="335"/>
      <c r="CO121" s="335"/>
      <c r="CP121" s="335"/>
      <c r="CQ121" s="335"/>
      <c r="CR121" s="335"/>
      <c r="CS121" s="335"/>
      <c r="CT121" s="335"/>
      <c r="CU121" s="335"/>
      <c r="CV121" s="335"/>
      <c r="CW121" s="335"/>
      <c r="CX121" s="335"/>
      <c r="CY121" s="335"/>
      <c r="CZ121" s="335"/>
      <c r="DA121" s="335"/>
      <c r="DB121" s="335"/>
      <c r="DC121" s="335"/>
      <c r="DD121" s="335"/>
      <c r="DE121" s="335"/>
      <c r="DF121" s="335"/>
      <c r="DG121" s="335"/>
      <c r="DH121" s="335"/>
      <c r="DI121" s="335"/>
      <c r="DJ121" s="335"/>
      <c r="DK121" s="335"/>
      <c r="DL121" s="335"/>
      <c r="DM121" s="335"/>
      <c r="DN121" s="335"/>
      <c r="DO121" s="335"/>
      <c r="DP121" s="335"/>
      <c r="DQ121" s="335"/>
      <c r="DR121" s="335"/>
      <c r="DS121" s="335"/>
      <c r="DT121" s="335"/>
      <c r="DU121" s="335"/>
      <c r="DV121" s="335"/>
      <c r="DW121" s="335"/>
      <c r="DX121" s="335"/>
      <c r="DY121" s="335"/>
      <c r="DZ121" s="335"/>
      <c r="EA121" s="335"/>
      <c r="EB121" s="335"/>
      <c r="EC121" s="335"/>
      <c r="ED121" s="335"/>
      <c r="EE121" s="335"/>
      <c r="EF121" s="335"/>
      <c r="EG121" s="335"/>
      <c r="EH121" s="335"/>
      <c r="EI121" s="335"/>
      <c r="EJ121" s="335"/>
      <c r="EK121" s="335"/>
      <c r="EL121" s="335"/>
      <c r="EM121" s="335"/>
    </row>
    <row r="122" spans="72:143">
      <c r="BT122" s="365">
        <v>43</v>
      </c>
      <c r="BU122" s="187" t="s">
        <v>90</v>
      </c>
      <c r="BV122" s="196">
        <v>124054</v>
      </c>
      <c r="BW122" s="197" t="e">
        <f t="shared" si="131"/>
        <v>#REF!</v>
      </c>
      <c r="BX122" s="198" t="e">
        <f>IF(AND(State_LOB_Code=18,LEFT(BW122,4)&lt;"2009"),81,State_LOB_Code)&amp;"|380"</f>
        <v>#REF!</v>
      </c>
      <c r="BY122" s="174"/>
      <c r="BZ122" s="175"/>
      <c r="CD122" s="163"/>
      <c r="CE122" s="363"/>
      <c r="CF122" s="335"/>
      <c r="CG122" s="335"/>
      <c r="CH122" s="335"/>
      <c r="CI122" s="335"/>
      <c r="CJ122" s="335"/>
      <c r="CK122" s="335"/>
      <c r="CL122" s="335"/>
      <c r="CM122" s="335"/>
      <c r="CN122" s="335"/>
      <c r="CO122" s="335"/>
      <c r="CP122" s="335"/>
      <c r="CQ122" s="335"/>
      <c r="CR122" s="335"/>
      <c r="CS122" s="335"/>
      <c r="CT122" s="335"/>
      <c r="CU122" s="335"/>
      <c r="CV122" s="335"/>
      <c r="CW122" s="335"/>
      <c r="CX122" s="335"/>
      <c r="CY122" s="335"/>
      <c r="CZ122" s="335"/>
      <c r="DA122" s="335"/>
      <c r="DB122" s="335"/>
      <c r="DC122" s="335"/>
      <c r="DD122" s="335"/>
      <c r="DE122" s="335"/>
      <c r="DF122" s="335"/>
      <c r="DG122" s="335"/>
      <c r="DH122" s="335"/>
      <c r="DI122" s="335"/>
      <c r="DJ122" s="335"/>
      <c r="DK122" s="335"/>
      <c r="DL122" s="335"/>
      <c r="DM122" s="335"/>
      <c r="DN122" s="335"/>
      <c r="DO122" s="335"/>
      <c r="DP122" s="335"/>
      <c r="DQ122" s="335"/>
      <c r="DR122" s="335"/>
      <c r="DS122" s="335"/>
      <c r="DT122" s="335"/>
      <c r="DU122" s="335"/>
      <c r="DV122" s="335"/>
      <c r="DW122" s="335"/>
      <c r="DX122" s="335"/>
      <c r="DY122" s="335"/>
      <c r="DZ122" s="335"/>
      <c r="EA122" s="335"/>
      <c r="EB122" s="335"/>
      <c r="EC122" s="335"/>
      <c r="ED122" s="335"/>
      <c r="EE122" s="335"/>
      <c r="EF122" s="335"/>
      <c r="EG122" s="335"/>
      <c r="EH122" s="335"/>
      <c r="EI122" s="335"/>
      <c r="EJ122" s="335"/>
      <c r="EK122" s="335"/>
      <c r="EL122" s="335"/>
      <c r="EM122" s="335"/>
    </row>
    <row r="123" spans="72:143">
      <c r="BT123" s="365">
        <v>44</v>
      </c>
      <c r="BU123" s="187" t="s">
        <v>91</v>
      </c>
      <c r="BV123" s="196">
        <v>124054</v>
      </c>
      <c r="BW123" s="197" t="e">
        <f t="shared" si="131"/>
        <v>#REF!</v>
      </c>
      <c r="BX123" s="198" t="e">
        <f>IF(AND(State_LOB_Code=18,LEFT(BW123,4)&lt;"2009"),81,State_LOB_Code)&amp;"|381"</f>
        <v>#REF!</v>
      </c>
      <c r="BY123" s="174"/>
      <c r="BZ123" s="175"/>
      <c r="CD123" s="163"/>
      <c r="CE123" s="363"/>
      <c r="CF123" s="335"/>
      <c r="CG123" s="335"/>
      <c r="CH123" s="335"/>
      <c r="CI123" s="335"/>
      <c r="CJ123" s="335"/>
      <c r="CK123" s="335"/>
      <c r="CL123" s="335"/>
      <c r="CM123" s="335"/>
      <c r="CN123" s="335"/>
      <c r="CO123" s="335"/>
      <c r="CP123" s="335"/>
      <c r="CQ123" s="335"/>
      <c r="CR123" s="335"/>
      <c r="CS123" s="335"/>
      <c r="CT123" s="335"/>
      <c r="CU123" s="335"/>
      <c r="CV123" s="335"/>
      <c r="CW123" s="335"/>
      <c r="CX123" s="335"/>
      <c r="CY123" s="335"/>
      <c r="CZ123" s="335"/>
      <c r="DA123" s="335"/>
      <c r="DB123" s="335"/>
      <c r="DC123" s="335"/>
      <c r="DD123" s="335"/>
      <c r="DE123" s="335"/>
      <c r="DF123" s="335"/>
      <c r="DG123" s="335"/>
      <c r="DH123" s="335"/>
      <c r="DI123" s="335"/>
      <c r="DJ123" s="335"/>
      <c r="DK123" s="335"/>
      <c r="DL123" s="335"/>
      <c r="DM123" s="335"/>
      <c r="DN123" s="335"/>
      <c r="DO123" s="335"/>
      <c r="DP123" s="335"/>
      <c r="DQ123" s="335"/>
      <c r="DR123" s="335"/>
      <c r="DS123" s="335"/>
      <c r="DT123" s="335"/>
      <c r="DU123" s="335"/>
      <c r="DV123" s="335"/>
      <c r="DW123" s="335"/>
      <c r="DX123" s="335"/>
      <c r="DY123" s="335"/>
      <c r="DZ123" s="335"/>
      <c r="EA123" s="335"/>
      <c r="EB123" s="335"/>
      <c r="EC123" s="335"/>
      <c r="ED123" s="335"/>
      <c r="EE123" s="335"/>
      <c r="EF123" s="335"/>
      <c r="EG123" s="335"/>
      <c r="EH123" s="335"/>
      <c r="EI123" s="335"/>
      <c r="EJ123" s="335"/>
      <c r="EK123" s="335"/>
      <c r="EL123" s="335"/>
      <c r="EM123" s="335"/>
    </row>
    <row r="124" spans="72:143">
      <c r="BT124" s="365">
        <v>45</v>
      </c>
      <c r="BU124" s="187" t="s">
        <v>92</v>
      </c>
      <c r="BV124" s="196">
        <v>124054</v>
      </c>
      <c r="BW124" s="197" t="e">
        <f t="shared" si="131"/>
        <v>#REF!</v>
      </c>
      <c r="BX124" s="198" t="e">
        <f>IF(AND(State_LOB_Code=18,LEFT(BW124,4)&lt;"2009"),81,State_LOB_Code)&amp;"|382"</f>
        <v>#REF!</v>
      </c>
      <c r="BY124" s="174"/>
      <c r="BZ124" s="175"/>
      <c r="CD124" s="163"/>
      <c r="CE124" s="363"/>
      <c r="CF124" s="335"/>
      <c r="CG124" s="335"/>
      <c r="CH124" s="335"/>
      <c r="CI124" s="335"/>
      <c r="CJ124" s="335"/>
      <c r="CK124" s="335"/>
      <c r="CL124" s="335"/>
      <c r="CM124" s="335"/>
      <c r="CN124" s="335"/>
      <c r="CO124" s="335"/>
      <c r="CP124" s="335"/>
      <c r="CQ124" s="335"/>
      <c r="CR124" s="335"/>
      <c r="CS124" s="335"/>
      <c r="CT124" s="335"/>
      <c r="CU124" s="335"/>
      <c r="CV124" s="335"/>
      <c r="CW124" s="335"/>
      <c r="CX124" s="335"/>
      <c r="CY124" s="335"/>
      <c r="CZ124" s="335"/>
      <c r="DA124" s="335"/>
      <c r="DB124" s="335"/>
      <c r="DC124" s="335"/>
      <c r="DD124" s="335"/>
      <c r="DE124" s="335"/>
      <c r="DF124" s="335"/>
      <c r="DG124" s="335"/>
      <c r="DH124" s="335"/>
      <c r="DI124" s="335"/>
      <c r="DJ124" s="335"/>
      <c r="DK124" s="335"/>
      <c r="DL124" s="335"/>
      <c r="DM124" s="335"/>
      <c r="DN124" s="335"/>
      <c r="DO124" s="335"/>
      <c r="DP124" s="335"/>
      <c r="DQ124" s="335"/>
      <c r="DR124" s="335"/>
      <c r="DS124" s="335"/>
      <c r="DT124" s="335"/>
      <c r="DU124" s="335"/>
      <c r="DV124" s="335"/>
      <c r="DW124" s="335"/>
      <c r="DX124" s="335"/>
      <c r="DY124" s="335"/>
      <c r="DZ124" s="335"/>
      <c r="EA124" s="335"/>
      <c r="EB124" s="335"/>
      <c r="EC124" s="335"/>
      <c r="ED124" s="335"/>
      <c r="EE124" s="335"/>
      <c r="EF124" s="335"/>
      <c r="EG124" s="335"/>
      <c r="EH124" s="335"/>
      <c r="EI124" s="335"/>
      <c r="EJ124" s="335"/>
      <c r="EK124" s="335"/>
      <c r="EL124" s="335"/>
      <c r="EM124" s="335"/>
    </row>
    <row r="125" spans="72:143">
      <c r="BT125" s="365">
        <v>46</v>
      </c>
      <c r="BU125" s="187" t="s">
        <v>93</v>
      </c>
      <c r="BV125" s="196">
        <v>124054</v>
      </c>
      <c r="BW125" s="197" t="e">
        <f t="shared" si="131"/>
        <v>#REF!</v>
      </c>
      <c r="BX125" s="198" t="e">
        <f>IF(AND(State_LOB_Code=18,LEFT(BW125,4)&lt;"2009"),81,State_LOB_Code)&amp;"|384"</f>
        <v>#REF!</v>
      </c>
      <c r="BY125" s="174"/>
      <c r="BZ125" s="175"/>
      <c r="CD125" s="163"/>
      <c r="CE125" s="363"/>
      <c r="CF125" s="335"/>
      <c r="CG125" s="335"/>
      <c r="CH125" s="335"/>
      <c r="CI125" s="335"/>
      <c r="CJ125" s="335"/>
      <c r="CK125" s="335"/>
      <c r="CL125" s="335"/>
      <c r="CM125" s="335"/>
      <c r="CN125" s="335"/>
      <c r="CO125" s="335"/>
      <c r="CP125" s="335"/>
      <c r="CQ125" s="335"/>
      <c r="CR125" s="335"/>
      <c r="CS125" s="335"/>
      <c r="CT125" s="335"/>
      <c r="CU125" s="335"/>
      <c r="CV125" s="335"/>
      <c r="CW125" s="335"/>
      <c r="CX125" s="335"/>
      <c r="CY125" s="335"/>
      <c r="CZ125" s="335"/>
      <c r="DA125" s="335"/>
      <c r="DB125" s="335"/>
      <c r="DC125" s="335"/>
      <c r="DD125" s="335"/>
      <c r="DE125" s="335"/>
      <c r="DF125" s="335"/>
      <c r="DG125" s="335"/>
      <c r="DH125" s="335"/>
      <c r="DI125" s="335"/>
      <c r="DJ125" s="335"/>
      <c r="DK125" s="335"/>
      <c r="DL125" s="335"/>
      <c r="DM125" s="335"/>
      <c r="DN125" s="335"/>
      <c r="DO125" s="335"/>
      <c r="DP125" s="335"/>
      <c r="DQ125" s="335"/>
      <c r="DR125" s="335"/>
      <c r="DS125" s="335"/>
      <c r="DT125" s="335"/>
      <c r="DU125" s="335"/>
      <c r="DV125" s="335"/>
      <c r="DW125" s="335"/>
      <c r="DX125" s="335"/>
      <c r="DY125" s="335"/>
      <c r="DZ125" s="335"/>
      <c r="EA125" s="335"/>
      <c r="EB125" s="335"/>
      <c r="EC125" s="335"/>
      <c r="ED125" s="335"/>
      <c r="EE125" s="335"/>
      <c r="EF125" s="335"/>
      <c r="EG125" s="335"/>
      <c r="EH125" s="335"/>
      <c r="EI125" s="335"/>
      <c r="EJ125" s="335"/>
      <c r="EK125" s="335"/>
      <c r="EL125" s="335"/>
      <c r="EM125" s="335"/>
    </row>
    <row r="126" spans="72:143">
      <c r="BT126" s="365">
        <v>47</v>
      </c>
      <c r="BU126" s="187" t="s">
        <v>94</v>
      </c>
      <c r="BV126" s="196">
        <v>124054</v>
      </c>
      <c r="BW126" s="197" t="e">
        <f t="shared" si="131"/>
        <v>#REF!</v>
      </c>
      <c r="BX126" s="198" t="e">
        <f>IF(AND(State_LOB_Code=18,LEFT(BW126,4)&lt;"2009"),81,State_LOB_Code)&amp;"|385"</f>
        <v>#REF!</v>
      </c>
      <c r="BY126" s="174"/>
      <c r="BZ126" s="175"/>
      <c r="CD126" s="163"/>
      <c r="CE126" s="363"/>
      <c r="CF126" s="335"/>
      <c r="CG126" s="335"/>
      <c r="CH126" s="335"/>
      <c r="CI126" s="335"/>
      <c r="CJ126" s="335"/>
      <c r="CK126" s="335"/>
      <c r="CL126" s="335"/>
      <c r="CM126" s="335"/>
      <c r="CN126" s="335"/>
      <c r="CO126" s="335"/>
      <c r="CP126" s="335"/>
      <c r="CQ126" s="335"/>
      <c r="CR126" s="335"/>
      <c r="CS126" s="335"/>
      <c r="CT126" s="335"/>
      <c r="CU126" s="335"/>
      <c r="CV126" s="335"/>
      <c r="CW126" s="335"/>
      <c r="CX126" s="335"/>
      <c r="CY126" s="335"/>
      <c r="CZ126" s="335"/>
      <c r="DA126" s="335"/>
      <c r="DB126" s="335"/>
      <c r="DC126" s="335"/>
      <c r="DD126" s="335"/>
      <c r="DE126" s="335"/>
      <c r="DF126" s="335"/>
      <c r="DG126" s="335"/>
      <c r="DH126" s="335"/>
      <c r="DI126" s="335"/>
      <c r="DJ126" s="335"/>
      <c r="DK126" s="335"/>
      <c r="DL126" s="335"/>
      <c r="DM126" s="335"/>
      <c r="DN126" s="335"/>
      <c r="DO126" s="335"/>
      <c r="DP126" s="335"/>
      <c r="DQ126" s="335"/>
      <c r="DR126" s="335"/>
      <c r="DS126" s="335"/>
      <c r="DT126" s="335"/>
      <c r="DU126" s="335"/>
      <c r="DV126" s="335"/>
      <c r="DW126" s="335"/>
      <c r="DX126" s="335"/>
      <c r="DY126" s="335"/>
      <c r="DZ126" s="335"/>
      <c r="EA126" s="335"/>
      <c r="EB126" s="335"/>
      <c r="EC126" s="335"/>
      <c r="ED126" s="335"/>
      <c r="EE126" s="335"/>
      <c r="EF126" s="335"/>
      <c r="EG126" s="335"/>
      <c r="EH126" s="335"/>
      <c r="EI126" s="335"/>
      <c r="EJ126" s="335"/>
      <c r="EK126" s="335"/>
      <c r="EL126" s="335"/>
      <c r="EM126" s="335"/>
    </row>
    <row r="127" spans="72:143">
      <c r="BT127" s="365">
        <v>48</v>
      </c>
      <c r="BU127" s="187" t="s">
        <v>95</v>
      </c>
      <c r="BV127" s="196">
        <v>124054</v>
      </c>
      <c r="BW127" s="197" t="e">
        <f t="shared" si="131"/>
        <v>#REF!</v>
      </c>
      <c r="BX127" s="198" t="e">
        <f>IF(AND(State_LOB_Code=18,LEFT(BW127,4)&lt;"2009"),81,State_LOB_Code)&amp;"|386"</f>
        <v>#REF!</v>
      </c>
      <c r="BY127" s="174"/>
      <c r="BZ127" s="175"/>
      <c r="CD127" s="163"/>
      <c r="CE127" s="363"/>
      <c r="CF127" s="335"/>
      <c r="CG127" s="335"/>
      <c r="CH127" s="335"/>
      <c r="CI127" s="335"/>
      <c r="CJ127" s="335"/>
      <c r="CK127" s="335"/>
      <c r="CL127" s="335"/>
      <c r="CM127" s="335"/>
      <c r="CN127" s="335"/>
      <c r="CO127" s="335"/>
      <c r="CP127" s="335"/>
      <c r="CQ127" s="335"/>
      <c r="CR127" s="335"/>
      <c r="CS127" s="335"/>
      <c r="CT127" s="335"/>
      <c r="CU127" s="335"/>
      <c r="CV127" s="335"/>
      <c r="CW127" s="335"/>
      <c r="CX127" s="335"/>
      <c r="CY127" s="335"/>
      <c r="CZ127" s="335"/>
      <c r="DA127" s="335"/>
      <c r="DB127" s="335"/>
      <c r="DC127" s="335"/>
      <c r="DD127" s="335"/>
      <c r="DE127" s="335"/>
      <c r="DF127" s="335"/>
      <c r="DG127" s="335"/>
      <c r="DH127" s="335"/>
      <c r="DI127" s="335"/>
      <c r="DJ127" s="335"/>
      <c r="DK127" s="335"/>
      <c r="DL127" s="335"/>
      <c r="DM127" s="335"/>
      <c r="DN127" s="335"/>
      <c r="DO127" s="335"/>
      <c r="DP127" s="335"/>
      <c r="DQ127" s="335"/>
      <c r="DR127" s="335"/>
      <c r="DS127" s="335"/>
      <c r="DT127" s="335"/>
      <c r="DU127" s="335"/>
      <c r="DV127" s="335"/>
      <c r="DW127" s="335"/>
      <c r="DX127" s="335"/>
      <c r="DY127" s="335"/>
      <c r="DZ127" s="335"/>
      <c r="EA127" s="335"/>
      <c r="EB127" s="335"/>
      <c r="EC127" s="335"/>
      <c r="ED127" s="335"/>
      <c r="EE127" s="335"/>
      <c r="EF127" s="335"/>
      <c r="EG127" s="335"/>
      <c r="EH127" s="335"/>
      <c r="EI127" s="335"/>
      <c r="EJ127" s="335"/>
      <c r="EK127" s="335"/>
      <c r="EL127" s="335"/>
      <c r="EM127" s="335"/>
    </row>
    <row r="128" spans="72:143">
      <c r="BT128" s="365">
        <v>49</v>
      </c>
      <c r="BU128" s="187" t="s">
        <v>96</v>
      </c>
      <c r="BV128" s="196">
        <v>124054</v>
      </c>
      <c r="BW128" s="197" t="e">
        <f t="shared" si="131"/>
        <v>#REF!</v>
      </c>
      <c r="BX128" s="198" t="e">
        <f>IF(AND(State_LOB_Code=18,LEFT(BW128,4)&lt;"2009"),81,State_LOB_Code)&amp;"|387"</f>
        <v>#REF!</v>
      </c>
      <c r="BY128" s="174"/>
      <c r="BZ128" s="175"/>
      <c r="CD128" s="163"/>
      <c r="CE128" s="363"/>
      <c r="CF128" s="335"/>
      <c r="CG128" s="335"/>
      <c r="CH128" s="335"/>
      <c r="CI128" s="335"/>
      <c r="CJ128" s="335"/>
      <c r="CK128" s="335"/>
      <c r="CL128" s="335"/>
      <c r="CM128" s="335"/>
      <c r="CN128" s="335"/>
      <c r="CO128" s="335"/>
      <c r="CP128" s="335"/>
      <c r="CQ128" s="335"/>
      <c r="CR128" s="335"/>
      <c r="CS128" s="335"/>
      <c r="CT128" s="335"/>
      <c r="CU128" s="335"/>
      <c r="CV128" s="335"/>
      <c r="CW128" s="335"/>
      <c r="CX128" s="335"/>
      <c r="CY128" s="335"/>
      <c r="CZ128" s="335"/>
      <c r="DA128" s="335"/>
      <c r="DB128" s="335"/>
      <c r="DC128" s="335"/>
      <c r="DD128" s="335"/>
      <c r="DE128" s="335"/>
      <c r="DF128" s="335"/>
      <c r="DG128" s="335"/>
      <c r="DH128" s="335"/>
      <c r="DI128" s="335"/>
      <c r="DJ128" s="335"/>
      <c r="DK128" s="335"/>
      <c r="DL128" s="335"/>
      <c r="DM128" s="335"/>
      <c r="DN128" s="335"/>
      <c r="DO128" s="335"/>
      <c r="DP128" s="335"/>
      <c r="DQ128" s="335"/>
      <c r="DR128" s="335"/>
      <c r="DS128" s="335"/>
      <c r="DT128" s="335"/>
      <c r="DU128" s="335"/>
      <c r="DV128" s="335"/>
      <c r="DW128" s="335"/>
      <c r="DX128" s="335"/>
      <c r="DY128" s="335"/>
      <c r="DZ128" s="335"/>
      <c r="EA128" s="335"/>
      <c r="EB128" s="335"/>
      <c r="EC128" s="335"/>
      <c r="ED128" s="335"/>
      <c r="EE128" s="335"/>
      <c r="EF128" s="335"/>
      <c r="EG128" s="335"/>
      <c r="EH128" s="335"/>
      <c r="EI128" s="335"/>
      <c r="EJ128" s="335"/>
      <c r="EK128" s="335"/>
      <c r="EL128" s="335"/>
      <c r="EM128" s="335"/>
    </row>
    <row r="129" spans="72:143">
      <c r="BT129" s="365">
        <v>50</v>
      </c>
      <c r="BU129" s="187" t="s">
        <v>97</v>
      </c>
      <c r="BV129" s="196">
        <v>124054</v>
      </c>
      <c r="BW129" s="197" t="e">
        <f t="shared" si="131"/>
        <v>#REF!</v>
      </c>
      <c r="BX129" s="198" t="e">
        <f>IF(AND(State_LOB_Code=18,LEFT(BW129,4)&lt;"2009"),81,State_LOB_Code)&amp;"|388"</f>
        <v>#REF!</v>
      </c>
      <c r="BY129" s="174"/>
      <c r="BZ129" s="175"/>
      <c r="CD129" s="163"/>
      <c r="CE129" s="363"/>
      <c r="CF129" s="335"/>
      <c r="CG129" s="335"/>
      <c r="CH129" s="335"/>
      <c r="CI129" s="335"/>
      <c r="CJ129" s="335"/>
      <c r="CK129" s="335"/>
      <c r="CL129" s="335"/>
      <c r="CM129" s="335"/>
      <c r="CN129" s="335"/>
      <c r="CO129" s="335"/>
      <c r="CP129" s="335"/>
      <c r="CQ129" s="335"/>
      <c r="CR129" s="335"/>
      <c r="CS129" s="335"/>
      <c r="CT129" s="335"/>
      <c r="CU129" s="335"/>
      <c r="CV129" s="335"/>
      <c r="CW129" s="335"/>
      <c r="CX129" s="335"/>
      <c r="CY129" s="335"/>
      <c r="CZ129" s="335"/>
      <c r="DA129" s="335"/>
      <c r="DB129" s="335"/>
      <c r="DC129" s="335"/>
      <c r="DD129" s="335"/>
      <c r="DE129" s="335"/>
      <c r="DF129" s="335"/>
      <c r="DG129" s="335"/>
      <c r="DH129" s="335"/>
      <c r="DI129" s="335"/>
      <c r="DJ129" s="335"/>
      <c r="DK129" s="335"/>
      <c r="DL129" s="335"/>
      <c r="DM129" s="335"/>
      <c r="DN129" s="335"/>
      <c r="DO129" s="335"/>
      <c r="DP129" s="335"/>
      <c r="DQ129" s="335"/>
      <c r="DR129" s="335"/>
      <c r="DS129" s="335"/>
      <c r="DT129" s="335"/>
      <c r="DU129" s="335"/>
      <c r="DV129" s="335"/>
      <c r="DW129" s="335"/>
      <c r="DX129" s="335"/>
      <c r="DY129" s="335"/>
      <c r="DZ129" s="335"/>
      <c r="EA129" s="335"/>
      <c r="EB129" s="335"/>
      <c r="EC129" s="335"/>
      <c r="ED129" s="335"/>
      <c r="EE129" s="335"/>
      <c r="EF129" s="335"/>
      <c r="EG129" s="335"/>
      <c r="EH129" s="335"/>
      <c r="EI129" s="335"/>
      <c r="EJ129" s="335"/>
      <c r="EK129" s="335"/>
      <c r="EL129" s="335"/>
      <c r="EM129" s="335"/>
    </row>
    <row r="130" spans="72:143">
      <c r="BT130" s="365">
        <v>51</v>
      </c>
      <c r="BU130" s="189" t="s">
        <v>137</v>
      </c>
      <c r="BV130" s="199">
        <v>124054</v>
      </c>
      <c r="BW130" s="200" t="e">
        <f t="shared" si="131"/>
        <v>#REF!</v>
      </c>
      <c r="BX130" s="201" t="e">
        <f>IF(AND(State_LOB_Code=18,LEFT(BW130,4)&lt;"2009"),81,State_LOB_Code)&amp;"|600"</f>
        <v>#REF!</v>
      </c>
      <c r="BY130" s="176"/>
      <c r="BZ130" s="177"/>
      <c r="CD130" s="163"/>
      <c r="CE130" s="363"/>
      <c r="CF130" s="335"/>
      <c r="CG130" s="335"/>
      <c r="CH130" s="335"/>
      <c r="CI130" s="335"/>
      <c r="CJ130" s="335"/>
      <c r="CK130" s="335"/>
      <c r="CL130" s="335"/>
      <c r="CM130" s="335"/>
      <c r="CN130" s="335"/>
      <c r="CO130" s="335"/>
      <c r="CP130" s="335"/>
      <c r="CQ130" s="335"/>
      <c r="CR130" s="335"/>
      <c r="CS130" s="335"/>
      <c r="CT130" s="335"/>
      <c r="CU130" s="335"/>
      <c r="CV130" s="335"/>
      <c r="CW130" s="335"/>
      <c r="CX130" s="335"/>
      <c r="CY130" s="335"/>
      <c r="CZ130" s="335"/>
      <c r="DA130" s="335"/>
      <c r="DB130" s="335"/>
      <c r="DC130" s="335"/>
      <c r="DD130" s="335"/>
      <c r="DE130" s="335"/>
      <c r="DF130" s="335"/>
      <c r="DG130" s="335"/>
      <c r="DH130" s="335"/>
      <c r="DI130" s="335"/>
      <c r="DJ130" s="335"/>
      <c r="DK130" s="335"/>
      <c r="DL130" s="335"/>
      <c r="DM130" s="335"/>
      <c r="DN130" s="335"/>
      <c r="DO130" s="335"/>
      <c r="DP130" s="335"/>
      <c r="DQ130" s="335"/>
      <c r="DR130" s="335"/>
      <c r="DS130" s="335"/>
      <c r="DT130" s="335"/>
      <c r="DU130" s="335"/>
      <c r="DV130" s="335"/>
      <c r="DW130" s="335"/>
      <c r="DX130" s="335"/>
      <c r="DY130" s="335"/>
      <c r="DZ130" s="335"/>
      <c r="EA130" s="335"/>
      <c r="EB130" s="335"/>
      <c r="EC130" s="335"/>
      <c r="ED130" s="335"/>
      <c r="EE130" s="335"/>
      <c r="EF130" s="335"/>
      <c r="EG130" s="335"/>
      <c r="EH130" s="335"/>
      <c r="EI130" s="335"/>
      <c r="EJ130" s="335"/>
      <c r="EK130" s="335"/>
      <c r="EL130" s="335"/>
      <c r="EM130" s="335"/>
    </row>
    <row r="131" spans="72:143">
      <c r="BT131" s="365">
        <v>52</v>
      </c>
      <c r="BU131" s="187" t="s">
        <v>98</v>
      </c>
      <c r="BV131" s="196">
        <v>124054</v>
      </c>
      <c r="BW131" s="197" t="e">
        <f t="shared" si="131"/>
        <v>#REF!</v>
      </c>
      <c r="BX131" s="198" t="e">
        <f>IF(AND(State_LOB_Code=18,LEFT(BW131,4)&lt;"2009"),81,State_LOB_Code)&amp;"|336"</f>
        <v>#REF!</v>
      </c>
      <c r="BY131" s="174"/>
      <c r="BZ131" s="175"/>
      <c r="CD131" s="163"/>
      <c r="CE131" s="363"/>
      <c r="CF131" s="335"/>
      <c r="CG131" s="335"/>
      <c r="CH131" s="335"/>
      <c r="CI131" s="335"/>
      <c r="CJ131" s="335"/>
      <c r="CK131" s="335"/>
      <c r="CL131" s="335"/>
      <c r="CM131" s="335"/>
      <c r="CN131" s="335"/>
      <c r="CO131" s="335"/>
      <c r="CP131" s="335"/>
      <c r="CQ131" s="335"/>
      <c r="CR131" s="335"/>
      <c r="CS131" s="335"/>
      <c r="CT131" s="335"/>
      <c r="CU131" s="335"/>
      <c r="CV131" s="335"/>
      <c r="CW131" s="335"/>
      <c r="CX131" s="335"/>
      <c r="CY131" s="335"/>
      <c r="CZ131" s="335"/>
      <c r="DA131" s="335"/>
      <c r="DB131" s="335"/>
      <c r="DC131" s="335"/>
      <c r="DD131" s="335"/>
      <c r="DE131" s="335"/>
      <c r="DF131" s="335"/>
      <c r="DG131" s="335"/>
      <c r="DH131" s="335"/>
      <c r="DI131" s="335"/>
      <c r="DJ131" s="335"/>
      <c r="DK131" s="335"/>
      <c r="DL131" s="335"/>
      <c r="DM131" s="335"/>
      <c r="DN131" s="335"/>
      <c r="DO131" s="335"/>
      <c r="DP131" s="335"/>
      <c r="DQ131" s="335"/>
      <c r="DR131" s="335"/>
      <c r="DS131" s="335"/>
      <c r="DT131" s="335"/>
      <c r="DU131" s="335"/>
      <c r="DV131" s="335"/>
      <c r="DW131" s="335"/>
      <c r="DX131" s="335"/>
      <c r="DY131" s="335"/>
      <c r="DZ131" s="335"/>
      <c r="EA131" s="335"/>
      <c r="EB131" s="335"/>
      <c r="EC131" s="335"/>
      <c r="ED131" s="335"/>
      <c r="EE131" s="335"/>
      <c r="EF131" s="335"/>
      <c r="EG131" s="335"/>
      <c r="EH131" s="335"/>
      <c r="EI131" s="335"/>
      <c r="EJ131" s="335"/>
      <c r="EK131" s="335"/>
      <c r="EL131" s="335"/>
      <c r="EM131" s="335"/>
    </row>
    <row r="132" spans="72:143">
      <c r="BT132" s="365">
        <v>53</v>
      </c>
      <c r="BU132" s="187" t="s">
        <v>99</v>
      </c>
      <c r="BV132" s="196">
        <v>124054</v>
      </c>
      <c r="BW132" s="197" t="e">
        <f t="shared" si="131"/>
        <v>#REF!</v>
      </c>
      <c r="BX132" s="198" t="e">
        <f>IF(AND(State_LOB_Code=18,LEFT(BW132,4)&lt;"2009"),81,State_LOB_Code)&amp;"|345"</f>
        <v>#REF!</v>
      </c>
      <c r="BY132" s="174"/>
      <c r="BZ132" s="175"/>
      <c r="CD132" s="163"/>
      <c r="CE132" s="363"/>
      <c r="CF132" s="335"/>
      <c r="CG132" s="335"/>
      <c r="CH132" s="335"/>
      <c r="CI132" s="335"/>
      <c r="CJ132" s="335"/>
      <c r="CK132" s="335"/>
      <c r="CL132" s="335"/>
      <c r="CM132" s="335"/>
      <c r="CN132" s="335"/>
      <c r="CO132" s="335"/>
      <c r="CP132" s="335"/>
      <c r="CQ132" s="335"/>
      <c r="CR132" s="335"/>
      <c r="CS132" s="335"/>
      <c r="CT132" s="335"/>
      <c r="CU132" s="335"/>
      <c r="CV132" s="335"/>
      <c r="CW132" s="335"/>
      <c r="CX132" s="335"/>
      <c r="CY132" s="335"/>
      <c r="CZ132" s="335"/>
      <c r="DA132" s="335"/>
      <c r="DB132" s="335"/>
      <c r="DC132" s="335"/>
      <c r="DD132" s="335"/>
      <c r="DE132" s="335"/>
      <c r="DF132" s="335"/>
      <c r="DG132" s="335"/>
      <c r="DH132" s="335"/>
      <c r="DI132" s="335"/>
      <c r="DJ132" s="335"/>
      <c r="DK132" s="335"/>
      <c r="DL132" s="335"/>
      <c r="DM132" s="335"/>
      <c r="DN132" s="335"/>
      <c r="DO132" s="335"/>
      <c r="DP132" s="335"/>
      <c r="DQ132" s="335"/>
      <c r="DR132" s="335"/>
      <c r="DS132" s="335"/>
      <c r="DT132" s="335"/>
      <c r="DU132" s="335"/>
      <c r="DV132" s="335"/>
      <c r="DW132" s="335"/>
      <c r="DX132" s="335"/>
      <c r="DY132" s="335"/>
      <c r="DZ132" s="335"/>
      <c r="EA132" s="335"/>
      <c r="EB132" s="335"/>
      <c r="EC132" s="335"/>
      <c r="ED132" s="335"/>
      <c r="EE132" s="335"/>
      <c r="EF132" s="335"/>
      <c r="EG132" s="335"/>
      <c r="EH132" s="335"/>
      <c r="EI132" s="335"/>
      <c r="EJ132" s="335"/>
      <c r="EK132" s="335"/>
      <c r="EL132" s="335"/>
      <c r="EM132" s="335"/>
    </row>
    <row r="133" spans="72:143">
      <c r="BT133" s="365">
        <v>54</v>
      </c>
      <c r="BU133" s="187" t="s">
        <v>100</v>
      </c>
      <c r="BV133" s="196">
        <v>124054</v>
      </c>
      <c r="BW133" s="197" t="e">
        <f t="shared" si="131"/>
        <v>#REF!</v>
      </c>
      <c r="BX133" s="198" t="e">
        <f>IF(AND(State_LOB_Code=18,LEFT(BW133,4)&lt;"2009"),81,State_LOB_Code)&amp;"|360"</f>
        <v>#REF!</v>
      </c>
      <c r="BY133" s="174"/>
      <c r="BZ133" s="175"/>
      <c r="CD133" s="163"/>
      <c r="CE133" s="363"/>
      <c r="CF133" s="335"/>
      <c r="CG133" s="335"/>
      <c r="CH133" s="335"/>
      <c r="CI133" s="335"/>
      <c r="CJ133" s="335"/>
      <c r="CK133" s="335"/>
      <c r="CL133" s="335"/>
      <c r="CM133" s="335"/>
      <c r="CN133" s="335"/>
      <c r="CO133" s="335"/>
      <c r="CP133" s="335"/>
      <c r="CQ133" s="335"/>
      <c r="CR133" s="335"/>
      <c r="CS133" s="335"/>
      <c r="CT133" s="335"/>
      <c r="CU133" s="335"/>
      <c r="CV133" s="335"/>
      <c r="CW133" s="335"/>
      <c r="CX133" s="335"/>
      <c r="CY133" s="335"/>
      <c r="CZ133" s="335"/>
      <c r="DA133" s="335"/>
      <c r="DB133" s="335"/>
      <c r="DC133" s="335"/>
      <c r="DD133" s="335"/>
      <c r="DE133" s="335"/>
      <c r="DF133" s="335"/>
      <c r="DG133" s="335"/>
      <c r="DH133" s="335"/>
      <c r="DI133" s="335"/>
      <c r="DJ133" s="335"/>
      <c r="DK133" s="335"/>
      <c r="DL133" s="335"/>
      <c r="DM133" s="335"/>
      <c r="DN133" s="335"/>
      <c r="DO133" s="335"/>
      <c r="DP133" s="335"/>
      <c r="DQ133" s="335"/>
      <c r="DR133" s="335"/>
      <c r="DS133" s="335"/>
      <c r="DT133" s="335"/>
      <c r="DU133" s="335"/>
      <c r="DV133" s="335"/>
      <c r="DW133" s="335"/>
      <c r="DX133" s="335"/>
      <c r="DY133" s="335"/>
      <c r="DZ133" s="335"/>
      <c r="EA133" s="335"/>
      <c r="EB133" s="335"/>
      <c r="EC133" s="335"/>
      <c r="ED133" s="335"/>
      <c r="EE133" s="335"/>
      <c r="EF133" s="335"/>
      <c r="EG133" s="335"/>
      <c r="EH133" s="335"/>
      <c r="EI133" s="335"/>
      <c r="EJ133" s="335"/>
      <c r="EK133" s="335"/>
      <c r="EL133" s="335"/>
      <c r="EM133" s="335"/>
    </row>
    <row r="134" spans="72:143">
      <c r="BT134" s="365">
        <v>55</v>
      </c>
      <c r="BU134" s="187" t="s">
        <v>101</v>
      </c>
      <c r="BV134" s="196">
        <v>124054</v>
      </c>
      <c r="BW134" s="197" t="e">
        <f t="shared" si="131"/>
        <v>#REF!</v>
      </c>
      <c r="BX134" s="198" t="e">
        <f>IF(AND(State_LOB_Code=18,LEFT(BW134,4)&lt;"2009"),81,State_LOB_Code)&amp;"|375"</f>
        <v>#REF!</v>
      </c>
      <c r="BY134" s="174"/>
      <c r="BZ134" s="175"/>
      <c r="CD134" s="163"/>
      <c r="CE134" s="363"/>
      <c r="CF134" s="335"/>
      <c r="CG134" s="335"/>
      <c r="CH134" s="335"/>
      <c r="CI134" s="335"/>
      <c r="CJ134" s="335"/>
      <c r="CK134" s="335"/>
      <c r="CL134" s="335"/>
      <c r="CM134" s="335"/>
      <c r="CN134" s="335"/>
      <c r="CO134" s="335"/>
      <c r="CP134" s="335"/>
      <c r="CQ134" s="335"/>
      <c r="CR134" s="335"/>
      <c r="CS134" s="335"/>
      <c r="CT134" s="335"/>
      <c r="CU134" s="335"/>
      <c r="CV134" s="335"/>
      <c r="CW134" s="335"/>
      <c r="CX134" s="335"/>
      <c r="CY134" s="335"/>
      <c r="CZ134" s="335"/>
      <c r="DA134" s="335"/>
      <c r="DB134" s="335"/>
      <c r="DC134" s="335"/>
      <c r="DD134" s="335"/>
      <c r="DE134" s="335"/>
      <c r="DF134" s="335"/>
      <c r="DG134" s="335"/>
      <c r="DH134" s="335"/>
      <c r="DI134" s="335"/>
      <c r="DJ134" s="335"/>
      <c r="DK134" s="335"/>
      <c r="DL134" s="335"/>
      <c r="DM134" s="335"/>
      <c r="DN134" s="335"/>
      <c r="DO134" s="335"/>
      <c r="DP134" s="335"/>
      <c r="DQ134" s="335"/>
      <c r="DR134" s="335"/>
      <c r="DS134" s="335"/>
      <c r="DT134" s="335"/>
      <c r="DU134" s="335"/>
      <c r="DV134" s="335"/>
      <c r="DW134" s="335"/>
      <c r="DX134" s="335"/>
      <c r="DY134" s="335"/>
      <c r="DZ134" s="335"/>
      <c r="EA134" s="335"/>
      <c r="EB134" s="335"/>
      <c r="EC134" s="335"/>
      <c r="ED134" s="335"/>
      <c r="EE134" s="335"/>
      <c r="EF134" s="335"/>
      <c r="EG134" s="335"/>
      <c r="EH134" s="335"/>
      <c r="EI134" s="335"/>
      <c r="EJ134" s="335"/>
      <c r="EK134" s="335"/>
      <c r="EL134" s="335"/>
      <c r="EM134" s="335"/>
    </row>
    <row r="135" spans="72:143">
      <c r="BT135" s="365">
        <v>56</v>
      </c>
      <c r="BU135" s="187" t="s">
        <v>102</v>
      </c>
      <c r="BV135" s="196">
        <v>124054</v>
      </c>
      <c r="BW135" s="197" t="e">
        <f t="shared" si="131"/>
        <v>#REF!</v>
      </c>
      <c r="BX135" s="198" t="e">
        <f>IF(AND(State_LOB_Code=18,LEFT(BW135,4)&lt;"2009"),81,State_LOB_Code)&amp;"|383"</f>
        <v>#REF!</v>
      </c>
      <c r="BY135" s="174"/>
      <c r="BZ135" s="175"/>
      <c r="CD135" s="163"/>
      <c r="CE135" s="363"/>
      <c r="CF135" s="335"/>
      <c r="CG135" s="335"/>
      <c r="CH135" s="335"/>
      <c r="CI135" s="335"/>
      <c r="CJ135" s="335"/>
      <c r="CK135" s="335"/>
      <c r="CL135" s="335"/>
      <c r="CM135" s="335"/>
      <c r="CN135" s="335"/>
      <c r="CO135" s="335"/>
      <c r="CP135" s="335"/>
      <c r="CQ135" s="335"/>
      <c r="CR135" s="335"/>
      <c r="CS135" s="335"/>
      <c r="CT135" s="335"/>
      <c r="CU135" s="335"/>
      <c r="CV135" s="335"/>
      <c r="CW135" s="335"/>
      <c r="CX135" s="335"/>
      <c r="CY135" s="335"/>
      <c r="CZ135" s="335"/>
      <c r="DA135" s="335"/>
      <c r="DB135" s="335"/>
      <c r="DC135" s="335"/>
      <c r="DD135" s="335"/>
      <c r="DE135" s="335"/>
      <c r="DF135" s="335"/>
      <c r="DG135" s="335"/>
      <c r="DH135" s="335"/>
      <c r="DI135" s="335"/>
      <c r="DJ135" s="335"/>
      <c r="DK135" s="335"/>
      <c r="DL135" s="335"/>
      <c r="DM135" s="335"/>
      <c r="DN135" s="335"/>
      <c r="DO135" s="335"/>
      <c r="DP135" s="335"/>
      <c r="DQ135" s="335"/>
      <c r="DR135" s="335"/>
      <c r="DS135" s="335"/>
      <c r="DT135" s="335"/>
      <c r="DU135" s="335"/>
      <c r="DV135" s="335"/>
      <c r="DW135" s="335"/>
      <c r="DX135" s="335"/>
      <c r="DY135" s="335"/>
      <c r="DZ135" s="335"/>
      <c r="EA135" s="335"/>
      <c r="EB135" s="335"/>
      <c r="EC135" s="335"/>
      <c r="ED135" s="335"/>
      <c r="EE135" s="335"/>
      <c r="EF135" s="335"/>
      <c r="EG135" s="335"/>
      <c r="EH135" s="335"/>
      <c r="EI135" s="335"/>
      <c r="EJ135" s="335"/>
      <c r="EK135" s="335"/>
      <c r="EL135" s="335"/>
      <c r="EM135" s="335"/>
    </row>
    <row r="136" spans="72:143">
      <c r="BT136" s="365">
        <v>57</v>
      </c>
      <c r="BU136" s="187" t="s">
        <v>103</v>
      </c>
      <c r="BV136" s="196">
        <v>124054</v>
      </c>
      <c r="BW136" s="197" t="e">
        <f t="shared" si="131"/>
        <v>#REF!</v>
      </c>
      <c r="BX136" s="198" t="e">
        <f>IF(AND(State_LOB_Code=18,LEFT(BW136,4)&lt;"2009"),81,State_LOB_Code)&amp;"|332"</f>
        <v>#REF!</v>
      </c>
      <c r="BY136" s="174"/>
      <c r="BZ136" s="175"/>
      <c r="CD136" s="163"/>
      <c r="CE136" s="363"/>
      <c r="CF136" s="335"/>
      <c r="CG136" s="335"/>
      <c r="CH136" s="335"/>
      <c r="CI136" s="335"/>
      <c r="CJ136" s="335"/>
      <c r="CK136" s="335"/>
      <c r="CL136" s="335"/>
      <c r="CM136" s="335"/>
      <c r="CN136" s="335"/>
      <c r="CO136" s="335"/>
      <c r="CP136" s="335"/>
      <c r="CQ136" s="335"/>
      <c r="CR136" s="335"/>
      <c r="CS136" s="335"/>
      <c r="CT136" s="335"/>
      <c r="CU136" s="335"/>
      <c r="CV136" s="335"/>
      <c r="CW136" s="335"/>
      <c r="CX136" s="335"/>
      <c r="CY136" s="335"/>
      <c r="CZ136" s="335"/>
      <c r="DA136" s="335"/>
      <c r="DB136" s="335"/>
      <c r="DC136" s="335"/>
      <c r="DD136" s="335"/>
      <c r="DE136" s="335"/>
      <c r="DF136" s="335"/>
      <c r="DG136" s="335"/>
      <c r="DH136" s="335"/>
      <c r="DI136" s="335"/>
      <c r="DJ136" s="335"/>
      <c r="DK136" s="335"/>
      <c r="DL136" s="335"/>
      <c r="DM136" s="335"/>
      <c r="DN136" s="335"/>
      <c r="DO136" s="335"/>
      <c r="DP136" s="335"/>
      <c r="DQ136" s="335"/>
      <c r="DR136" s="335"/>
      <c r="DS136" s="335"/>
      <c r="DT136" s="335"/>
      <c r="DU136" s="335"/>
      <c r="DV136" s="335"/>
      <c r="DW136" s="335"/>
      <c r="DX136" s="335"/>
      <c r="DY136" s="335"/>
      <c r="DZ136" s="335"/>
      <c r="EA136" s="335"/>
      <c r="EB136" s="335"/>
      <c r="EC136" s="335"/>
      <c r="ED136" s="335"/>
      <c r="EE136" s="335"/>
      <c r="EF136" s="335"/>
      <c r="EG136" s="335"/>
      <c r="EH136" s="335"/>
      <c r="EI136" s="335"/>
      <c r="EJ136" s="335"/>
      <c r="EK136" s="335"/>
      <c r="EL136" s="335"/>
      <c r="EM136" s="335"/>
    </row>
    <row r="137" spans="72:143">
      <c r="BT137" s="365">
        <v>58</v>
      </c>
      <c r="BU137" s="187" t="s">
        <v>104</v>
      </c>
      <c r="BV137" s="196">
        <v>124054</v>
      </c>
      <c r="BW137" s="197" t="e">
        <f t="shared" si="131"/>
        <v>#REF!</v>
      </c>
      <c r="BX137" s="198" t="e">
        <f>IF(AND(State_LOB_Code=18,LEFT(BW137,4)&lt;"2009"),81,State_LOB_Code)&amp;"|330"</f>
        <v>#REF!</v>
      </c>
      <c r="BY137" s="174"/>
      <c r="BZ137" s="175"/>
      <c r="CD137" s="163"/>
      <c r="CE137" s="363"/>
      <c r="CF137" s="335"/>
      <c r="CG137" s="335"/>
      <c r="CH137" s="335"/>
      <c r="CI137" s="335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335"/>
      <c r="CU137" s="335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  <c r="DF137" s="335"/>
      <c r="DG137" s="335"/>
      <c r="DH137" s="335"/>
      <c r="DI137" s="335"/>
      <c r="DJ137" s="335"/>
      <c r="DK137" s="335"/>
      <c r="DL137" s="335"/>
      <c r="DM137" s="335"/>
      <c r="DN137" s="335"/>
      <c r="DO137" s="335"/>
      <c r="DP137" s="335"/>
      <c r="DQ137" s="335"/>
      <c r="DR137" s="335"/>
      <c r="DS137" s="335"/>
      <c r="DT137" s="335"/>
      <c r="DU137" s="335"/>
      <c r="DV137" s="335"/>
      <c r="DW137" s="335"/>
      <c r="DX137" s="335"/>
      <c r="DY137" s="335"/>
      <c r="DZ137" s="335"/>
      <c r="EA137" s="335"/>
      <c r="EB137" s="335"/>
      <c r="EC137" s="335"/>
      <c r="ED137" s="335"/>
      <c r="EE137" s="335"/>
      <c r="EF137" s="335"/>
      <c r="EG137" s="335"/>
      <c r="EH137" s="335"/>
      <c r="EI137" s="335"/>
      <c r="EJ137" s="335"/>
      <c r="EK137" s="335"/>
      <c r="EL137" s="335"/>
      <c r="EM137" s="335"/>
    </row>
    <row r="138" spans="72:143">
      <c r="BT138" s="366">
        <v>59</v>
      </c>
      <c r="BU138" s="190" t="s">
        <v>46</v>
      </c>
      <c r="BV138" s="202">
        <v>124056</v>
      </c>
      <c r="BW138" s="203" t="e">
        <f t="shared" si="131"/>
        <v>#REF!</v>
      </c>
      <c r="BX138" s="204" t="e">
        <f>IF(AND(State_LOB_Code=18,LEFT(BW138,4)&lt;"2009"),81,State_LOB_Code)</f>
        <v>#REF!</v>
      </c>
      <c r="BY138" s="191"/>
      <c r="BZ138" s="192"/>
      <c r="CD138" s="163"/>
      <c r="CE138" s="363"/>
      <c r="CF138" s="335"/>
      <c r="CG138" s="335"/>
      <c r="CH138" s="335"/>
      <c r="CI138" s="335"/>
      <c r="CJ138" s="335"/>
      <c r="CK138" s="335"/>
      <c r="CL138" s="335"/>
      <c r="CM138" s="335"/>
      <c r="CN138" s="335"/>
      <c r="CO138" s="335"/>
      <c r="CP138" s="335"/>
      <c r="CQ138" s="335"/>
      <c r="CR138" s="335"/>
      <c r="CS138" s="335"/>
      <c r="CT138" s="335"/>
      <c r="CU138" s="335"/>
      <c r="CV138" s="335"/>
      <c r="CW138" s="335"/>
      <c r="CX138" s="335"/>
      <c r="CY138" s="335"/>
      <c r="CZ138" s="335"/>
      <c r="DA138" s="335"/>
      <c r="DB138" s="335"/>
      <c r="DC138" s="335"/>
      <c r="DD138" s="335"/>
      <c r="DE138" s="335"/>
      <c r="DF138" s="335"/>
      <c r="DG138" s="335"/>
      <c r="DH138" s="335"/>
      <c r="DI138" s="335"/>
      <c r="DJ138" s="335"/>
      <c r="DK138" s="335"/>
      <c r="DL138" s="335"/>
      <c r="DM138" s="335"/>
      <c r="DN138" s="335"/>
      <c r="DO138" s="335"/>
      <c r="DP138" s="335"/>
      <c r="DQ138" s="335"/>
      <c r="DR138" s="335"/>
      <c r="DS138" s="335"/>
      <c r="DT138" s="335"/>
      <c r="DU138" s="335"/>
      <c r="DV138" s="335"/>
      <c r="DW138" s="335"/>
      <c r="DX138" s="335"/>
      <c r="DY138" s="335"/>
      <c r="DZ138" s="335"/>
      <c r="EA138" s="335"/>
      <c r="EB138" s="335"/>
      <c r="EC138" s="335"/>
      <c r="ED138" s="335"/>
      <c r="EE138" s="335"/>
      <c r="EF138" s="335"/>
      <c r="EG138" s="335"/>
      <c r="EH138" s="335"/>
      <c r="EI138" s="335"/>
      <c r="EJ138" s="335"/>
      <c r="EK138" s="335"/>
      <c r="EL138" s="335"/>
      <c r="EM138" s="335"/>
    </row>
    <row r="139" spans="72:143">
      <c r="BT139" s="187"/>
      <c r="BU139" s="187"/>
      <c r="BV139" s="188"/>
      <c r="BW139" s="188"/>
      <c r="BX139" s="188"/>
      <c r="BY139" s="172"/>
      <c r="BZ139" s="173"/>
      <c r="CD139" s="163"/>
      <c r="CE139" s="363"/>
      <c r="CF139" s="335"/>
      <c r="CG139" s="335"/>
      <c r="CH139" s="335"/>
      <c r="CI139" s="335"/>
      <c r="CJ139" s="335"/>
      <c r="CK139" s="335"/>
      <c r="CL139" s="335"/>
      <c r="CM139" s="335"/>
      <c r="CN139" s="335"/>
      <c r="CO139" s="335"/>
      <c r="CP139" s="335"/>
      <c r="CQ139" s="335"/>
      <c r="CR139" s="335"/>
      <c r="CS139" s="335"/>
      <c r="CT139" s="335"/>
      <c r="CU139" s="335"/>
      <c r="CV139" s="335"/>
      <c r="CW139" s="335"/>
      <c r="CX139" s="335"/>
      <c r="CY139" s="335"/>
      <c r="CZ139" s="335"/>
      <c r="DA139" s="335"/>
      <c r="DB139" s="335"/>
      <c r="DC139" s="335"/>
      <c r="DD139" s="335"/>
      <c r="DE139" s="335"/>
      <c r="DF139" s="335"/>
      <c r="DG139" s="335"/>
      <c r="DH139" s="335"/>
      <c r="DI139" s="335"/>
      <c r="DJ139" s="335"/>
      <c r="DK139" s="335"/>
      <c r="DL139" s="335"/>
      <c r="DM139" s="335"/>
      <c r="DN139" s="335"/>
      <c r="DO139" s="335"/>
      <c r="DP139" s="335"/>
      <c r="DQ139" s="335"/>
      <c r="DR139" s="335"/>
      <c r="DS139" s="335"/>
      <c r="DT139" s="335"/>
      <c r="DU139" s="335"/>
      <c r="DV139" s="335"/>
      <c r="DW139" s="335"/>
      <c r="DX139" s="335"/>
      <c r="DY139" s="335"/>
      <c r="DZ139" s="335"/>
      <c r="EA139" s="335"/>
      <c r="EB139" s="335"/>
      <c r="EC139" s="335"/>
      <c r="ED139" s="335"/>
      <c r="EE139" s="335"/>
      <c r="EF139" s="335"/>
      <c r="EG139" s="335"/>
      <c r="EH139" s="335"/>
      <c r="EI139" s="335"/>
      <c r="EJ139" s="335"/>
      <c r="EK139" s="335"/>
      <c r="EL139" s="335"/>
      <c r="EM139" s="335"/>
    </row>
    <row r="140" spans="72:143">
      <c r="BT140" s="187"/>
      <c r="BU140" s="184" t="s">
        <v>47</v>
      </c>
      <c r="BV140" s="193">
        <v>124054</v>
      </c>
      <c r="BW140" s="194" t="e">
        <f t="shared" ref="BW140:BW171" si="132">LEFT(BW79,4)-1&amp;"Y"</f>
        <v>#REF!</v>
      </c>
      <c r="BX140" s="195" t="e">
        <f>IF(AND(State_LOB_Code=18,LEFT(BW140,4)&lt;"2009"),81,State_LOB_Code)&amp;"|333"</f>
        <v>#REF!</v>
      </c>
      <c r="BY140" s="185"/>
      <c r="BZ140" s="186"/>
      <c r="CD140" s="163"/>
      <c r="CE140" s="363"/>
      <c r="CF140" s="335"/>
      <c r="CG140" s="335"/>
      <c r="CH140" s="335"/>
      <c r="CI140" s="335"/>
      <c r="CJ140" s="335"/>
      <c r="CK140" s="335"/>
      <c r="CL140" s="335"/>
      <c r="CM140" s="335"/>
      <c r="CN140" s="335"/>
      <c r="CO140" s="335"/>
      <c r="CP140" s="335"/>
      <c r="CQ140" s="335"/>
      <c r="CR140" s="335"/>
      <c r="CS140" s="335"/>
      <c r="CT140" s="335"/>
      <c r="CU140" s="335"/>
      <c r="CV140" s="335"/>
      <c r="CW140" s="335"/>
      <c r="CX140" s="335"/>
      <c r="CY140" s="335"/>
      <c r="CZ140" s="335"/>
      <c r="DA140" s="335"/>
      <c r="DB140" s="335"/>
      <c r="DC140" s="335"/>
      <c r="DD140" s="335"/>
      <c r="DE140" s="335"/>
      <c r="DF140" s="335"/>
      <c r="DG140" s="335"/>
      <c r="DH140" s="335"/>
      <c r="DI140" s="335"/>
      <c r="DJ140" s="335"/>
      <c r="DK140" s="335"/>
      <c r="DL140" s="335"/>
      <c r="DM140" s="335"/>
      <c r="DN140" s="335"/>
      <c r="DO140" s="335"/>
      <c r="DP140" s="335"/>
      <c r="DQ140" s="335"/>
      <c r="DR140" s="335"/>
      <c r="DS140" s="335"/>
      <c r="DT140" s="335"/>
      <c r="DU140" s="335"/>
      <c r="DV140" s="335"/>
      <c r="DW140" s="335"/>
      <c r="DX140" s="335"/>
      <c r="DY140" s="335"/>
      <c r="DZ140" s="335"/>
      <c r="EA140" s="335"/>
      <c r="EB140" s="335"/>
      <c r="EC140" s="335"/>
      <c r="ED140" s="335"/>
      <c r="EE140" s="335"/>
      <c r="EF140" s="335"/>
      <c r="EG140" s="335"/>
      <c r="EH140" s="335"/>
      <c r="EI140" s="335"/>
      <c r="EJ140" s="335"/>
      <c r="EK140" s="335"/>
      <c r="EL140" s="335"/>
      <c r="EM140" s="335"/>
    </row>
    <row r="141" spans="72:143">
      <c r="BT141" s="187"/>
      <c r="BU141" s="187" t="s">
        <v>48</v>
      </c>
      <c r="BV141" s="196">
        <v>124054</v>
      </c>
      <c r="BW141" s="197" t="e">
        <f t="shared" si="132"/>
        <v>#REF!</v>
      </c>
      <c r="BX141" s="198" t="e">
        <f>IF(AND(State_LOB_Code=18,LEFT(BW141,4)&lt;"2009"),81,State_LOB_Code)&amp;"|334"</f>
        <v>#REF!</v>
      </c>
      <c r="BY141" s="174"/>
      <c r="BZ141" s="175"/>
      <c r="CD141" s="163"/>
      <c r="CE141" s="363"/>
      <c r="CF141" s="335"/>
      <c r="CG141" s="335"/>
      <c r="CH141" s="335"/>
      <c r="CI141" s="335"/>
      <c r="CJ141" s="335"/>
      <c r="CK141" s="335"/>
      <c r="CL141" s="335"/>
      <c r="CM141" s="335"/>
      <c r="CN141" s="335"/>
      <c r="CO141" s="335"/>
      <c r="CP141" s="335"/>
      <c r="CQ141" s="335"/>
      <c r="CR141" s="335"/>
      <c r="CS141" s="335"/>
      <c r="CT141" s="335"/>
      <c r="CU141" s="335"/>
      <c r="CV141" s="335"/>
      <c r="CW141" s="335"/>
      <c r="CX141" s="335"/>
      <c r="CY141" s="335"/>
      <c r="CZ141" s="335"/>
      <c r="DA141" s="335"/>
      <c r="DB141" s="335"/>
      <c r="DC141" s="335"/>
      <c r="DD141" s="335"/>
      <c r="DE141" s="335"/>
      <c r="DF141" s="335"/>
      <c r="DG141" s="335"/>
      <c r="DH141" s="335"/>
      <c r="DI141" s="335"/>
      <c r="DJ141" s="335"/>
      <c r="DK141" s="335"/>
      <c r="DL141" s="335"/>
      <c r="DM141" s="335"/>
      <c r="DN141" s="335"/>
      <c r="DO141" s="335"/>
      <c r="DP141" s="335"/>
      <c r="DQ141" s="335"/>
      <c r="DR141" s="335"/>
      <c r="DS141" s="335"/>
      <c r="DT141" s="335"/>
      <c r="DU141" s="335"/>
      <c r="DV141" s="335"/>
      <c r="DW141" s="335"/>
      <c r="DX141" s="335"/>
      <c r="DY141" s="335"/>
      <c r="DZ141" s="335"/>
      <c r="EA141" s="335"/>
      <c r="EB141" s="335"/>
      <c r="EC141" s="335"/>
      <c r="ED141" s="335"/>
      <c r="EE141" s="335"/>
      <c r="EF141" s="335"/>
      <c r="EG141" s="335"/>
      <c r="EH141" s="335"/>
      <c r="EI141" s="335"/>
      <c r="EJ141" s="335"/>
      <c r="EK141" s="335"/>
      <c r="EL141" s="335"/>
      <c r="EM141" s="335"/>
    </row>
    <row r="142" spans="72:143">
      <c r="BT142" s="187"/>
      <c r="BU142" s="187" t="s">
        <v>49</v>
      </c>
      <c r="BV142" s="196">
        <v>124054</v>
      </c>
      <c r="BW142" s="197" t="e">
        <f t="shared" si="132"/>
        <v>#REF!</v>
      </c>
      <c r="BX142" s="198" t="e">
        <f>IF(AND(State_LOB_Code=18,LEFT(BW142,4)&lt;"2009"),81,State_LOB_Code)&amp;"|335"</f>
        <v>#REF!</v>
      </c>
      <c r="BY142" s="174"/>
      <c r="BZ142" s="175"/>
      <c r="CD142" s="163"/>
      <c r="CE142" s="363"/>
      <c r="CF142" s="335"/>
      <c r="CG142" s="335"/>
      <c r="CH142" s="335"/>
      <c r="CI142" s="335"/>
      <c r="CJ142" s="335"/>
      <c r="CK142" s="335"/>
      <c r="CL142" s="335"/>
      <c r="CM142" s="335"/>
      <c r="CN142" s="335"/>
      <c r="CO142" s="335"/>
      <c r="CP142" s="335"/>
      <c r="CQ142" s="335"/>
      <c r="CR142" s="335"/>
      <c r="CS142" s="335"/>
      <c r="CT142" s="335"/>
      <c r="CU142" s="335"/>
      <c r="CV142" s="335"/>
      <c r="CW142" s="335"/>
      <c r="CX142" s="335"/>
      <c r="CY142" s="335"/>
      <c r="CZ142" s="335"/>
      <c r="DA142" s="335"/>
      <c r="DB142" s="335"/>
      <c r="DC142" s="335"/>
      <c r="DD142" s="335"/>
      <c r="DE142" s="335"/>
      <c r="DF142" s="335"/>
      <c r="DG142" s="335"/>
      <c r="DH142" s="335"/>
      <c r="DI142" s="335"/>
      <c r="DJ142" s="335"/>
      <c r="DK142" s="335"/>
      <c r="DL142" s="335"/>
      <c r="DM142" s="335"/>
      <c r="DN142" s="335"/>
      <c r="DO142" s="335"/>
      <c r="DP142" s="335"/>
      <c r="DQ142" s="335"/>
      <c r="DR142" s="335"/>
      <c r="DS142" s="335"/>
      <c r="DT142" s="335"/>
      <c r="DU142" s="335"/>
      <c r="DV142" s="335"/>
      <c r="DW142" s="335"/>
      <c r="DX142" s="335"/>
      <c r="DY142" s="335"/>
      <c r="DZ142" s="335"/>
      <c r="EA142" s="335"/>
      <c r="EB142" s="335"/>
      <c r="EC142" s="335"/>
      <c r="ED142" s="335"/>
      <c r="EE142" s="335"/>
      <c r="EF142" s="335"/>
      <c r="EG142" s="335"/>
      <c r="EH142" s="335"/>
      <c r="EI142" s="335"/>
      <c r="EJ142" s="335"/>
      <c r="EK142" s="335"/>
      <c r="EL142" s="335"/>
      <c r="EM142" s="335"/>
    </row>
    <row r="143" spans="72:143">
      <c r="BT143" s="187"/>
      <c r="BU143" s="187" t="s">
        <v>50</v>
      </c>
      <c r="BV143" s="196">
        <v>124054</v>
      </c>
      <c r="BW143" s="197" t="e">
        <f t="shared" si="132"/>
        <v>#REF!</v>
      </c>
      <c r="BX143" s="198" t="e">
        <f>IF(AND(State_LOB_Code=18,LEFT(BW143,4)&lt;"2009"),81,State_LOB_Code)&amp;"|337"</f>
        <v>#REF!</v>
      </c>
      <c r="BY143" s="174"/>
      <c r="BZ143" s="175"/>
      <c r="CD143" s="163"/>
      <c r="CE143" s="363"/>
      <c r="CF143" s="335"/>
      <c r="CG143" s="335"/>
      <c r="CH143" s="335"/>
      <c r="CI143" s="335"/>
      <c r="CJ143" s="335"/>
      <c r="CK143" s="335"/>
      <c r="CL143" s="335"/>
      <c r="CM143" s="335"/>
      <c r="CN143" s="335"/>
      <c r="CO143" s="335"/>
      <c r="CP143" s="335"/>
      <c r="CQ143" s="335"/>
      <c r="CR143" s="335"/>
      <c r="CS143" s="335"/>
      <c r="CT143" s="335"/>
      <c r="CU143" s="335"/>
      <c r="CV143" s="335"/>
      <c r="CW143" s="335"/>
      <c r="CX143" s="335"/>
      <c r="CY143" s="335"/>
      <c r="CZ143" s="335"/>
      <c r="DA143" s="335"/>
      <c r="DB143" s="335"/>
      <c r="DC143" s="335"/>
      <c r="DD143" s="335"/>
      <c r="DE143" s="335"/>
      <c r="DF143" s="335"/>
      <c r="DG143" s="335"/>
      <c r="DH143" s="335"/>
      <c r="DI143" s="335"/>
      <c r="DJ143" s="335"/>
      <c r="DK143" s="335"/>
      <c r="DL143" s="335"/>
      <c r="DM143" s="335"/>
      <c r="DN143" s="335"/>
      <c r="DO143" s="335"/>
      <c r="DP143" s="335"/>
      <c r="DQ143" s="335"/>
      <c r="DR143" s="335"/>
      <c r="DS143" s="335"/>
      <c r="DT143" s="335"/>
      <c r="DU143" s="335"/>
      <c r="DV143" s="335"/>
      <c r="DW143" s="335"/>
      <c r="DX143" s="335"/>
      <c r="DY143" s="335"/>
      <c r="DZ143" s="335"/>
      <c r="EA143" s="335"/>
      <c r="EB143" s="335"/>
      <c r="EC143" s="335"/>
      <c r="ED143" s="335"/>
      <c r="EE143" s="335"/>
      <c r="EF143" s="335"/>
      <c r="EG143" s="335"/>
      <c r="EH143" s="335"/>
      <c r="EI143" s="335"/>
      <c r="EJ143" s="335"/>
      <c r="EK143" s="335"/>
      <c r="EL143" s="335"/>
      <c r="EM143" s="335"/>
    </row>
    <row r="144" spans="72:143">
      <c r="BT144" s="187"/>
      <c r="BU144" s="187" t="s">
        <v>51</v>
      </c>
      <c r="BV144" s="196">
        <v>124054</v>
      </c>
      <c r="BW144" s="197" t="e">
        <f t="shared" si="132"/>
        <v>#REF!</v>
      </c>
      <c r="BX144" s="198" t="e">
        <f>IF(AND(State_LOB_Code=18,LEFT(BW144,4)&lt;"2009"),81,State_LOB_Code)&amp;"|338"</f>
        <v>#REF!</v>
      </c>
      <c r="BY144" s="174"/>
      <c r="BZ144" s="175"/>
      <c r="CD144" s="163"/>
      <c r="CE144" s="363"/>
      <c r="CF144" s="335"/>
      <c r="CG144" s="335"/>
      <c r="CH144" s="335"/>
      <c r="CI144" s="335"/>
      <c r="CJ144" s="335"/>
      <c r="CK144" s="335"/>
      <c r="CL144" s="335"/>
      <c r="CM144" s="335"/>
      <c r="CN144" s="335"/>
      <c r="CO144" s="335"/>
      <c r="CP144" s="335"/>
      <c r="CQ144" s="335"/>
      <c r="CR144" s="335"/>
      <c r="CS144" s="335"/>
      <c r="CT144" s="335"/>
      <c r="CU144" s="335"/>
      <c r="CV144" s="335"/>
      <c r="CW144" s="335"/>
      <c r="CX144" s="335"/>
      <c r="CY144" s="335"/>
      <c r="CZ144" s="335"/>
      <c r="DA144" s="335"/>
      <c r="DB144" s="335"/>
      <c r="DC144" s="335"/>
      <c r="DD144" s="335"/>
      <c r="DE144" s="335"/>
      <c r="DF144" s="335"/>
      <c r="DG144" s="335"/>
      <c r="DH144" s="335"/>
      <c r="DI144" s="335"/>
      <c r="DJ144" s="335"/>
      <c r="DK144" s="335"/>
      <c r="DL144" s="335"/>
      <c r="DM144" s="335"/>
      <c r="DN144" s="335"/>
      <c r="DO144" s="335"/>
      <c r="DP144" s="335"/>
      <c r="DQ144" s="335"/>
      <c r="DR144" s="335"/>
      <c r="DS144" s="335"/>
      <c r="DT144" s="335"/>
      <c r="DU144" s="335"/>
      <c r="DV144" s="335"/>
      <c r="DW144" s="335"/>
      <c r="DX144" s="335"/>
      <c r="DY144" s="335"/>
      <c r="DZ144" s="335"/>
      <c r="EA144" s="335"/>
      <c r="EB144" s="335"/>
      <c r="EC144" s="335"/>
      <c r="ED144" s="335"/>
      <c r="EE144" s="335"/>
      <c r="EF144" s="335"/>
      <c r="EG144" s="335"/>
      <c r="EH144" s="335"/>
      <c r="EI144" s="335"/>
      <c r="EJ144" s="335"/>
      <c r="EK144" s="335"/>
      <c r="EL144" s="335"/>
      <c r="EM144" s="335"/>
    </row>
    <row r="145" spans="72:143">
      <c r="BT145" s="187"/>
      <c r="BU145" s="187" t="s">
        <v>52</v>
      </c>
      <c r="BV145" s="196">
        <v>124054</v>
      </c>
      <c r="BW145" s="197" t="e">
        <f t="shared" si="132"/>
        <v>#REF!</v>
      </c>
      <c r="BX145" s="198" t="e">
        <f>IF(AND(State_LOB_Code=18,LEFT(BW145,4)&lt;"2009"),81,State_LOB_Code)&amp;"|339"</f>
        <v>#REF!</v>
      </c>
      <c r="BY145" s="174"/>
      <c r="BZ145" s="175"/>
      <c r="CD145" s="163"/>
      <c r="CE145" s="363"/>
      <c r="CF145" s="335"/>
      <c r="CG145" s="335"/>
      <c r="CH145" s="335"/>
      <c r="CI145" s="335"/>
      <c r="CJ145" s="335"/>
      <c r="CK145" s="335"/>
      <c r="CL145" s="335"/>
      <c r="CM145" s="335"/>
      <c r="CN145" s="335"/>
      <c r="CO145" s="335"/>
      <c r="CP145" s="335"/>
      <c r="CQ145" s="335"/>
      <c r="CR145" s="335"/>
      <c r="CS145" s="335"/>
      <c r="CT145" s="335"/>
      <c r="CU145" s="335"/>
      <c r="CV145" s="335"/>
      <c r="CW145" s="335"/>
      <c r="CX145" s="335"/>
      <c r="CY145" s="335"/>
      <c r="CZ145" s="335"/>
      <c r="DA145" s="335"/>
      <c r="DB145" s="335"/>
      <c r="DC145" s="335"/>
      <c r="DD145" s="335"/>
      <c r="DE145" s="335"/>
      <c r="DF145" s="335"/>
      <c r="DG145" s="335"/>
      <c r="DH145" s="335"/>
      <c r="DI145" s="335"/>
      <c r="DJ145" s="335"/>
      <c r="DK145" s="335"/>
      <c r="DL145" s="335"/>
      <c r="DM145" s="335"/>
      <c r="DN145" s="335"/>
      <c r="DO145" s="335"/>
      <c r="DP145" s="335"/>
      <c r="DQ145" s="335"/>
      <c r="DR145" s="335"/>
      <c r="DS145" s="335"/>
      <c r="DT145" s="335"/>
      <c r="DU145" s="335"/>
      <c r="DV145" s="335"/>
      <c r="DW145" s="335"/>
      <c r="DX145" s="335"/>
      <c r="DY145" s="335"/>
      <c r="DZ145" s="335"/>
      <c r="EA145" s="335"/>
      <c r="EB145" s="335"/>
      <c r="EC145" s="335"/>
      <c r="ED145" s="335"/>
      <c r="EE145" s="335"/>
      <c r="EF145" s="335"/>
      <c r="EG145" s="335"/>
      <c r="EH145" s="335"/>
      <c r="EI145" s="335"/>
      <c r="EJ145" s="335"/>
      <c r="EK145" s="335"/>
      <c r="EL145" s="335"/>
      <c r="EM145" s="335"/>
    </row>
    <row r="146" spans="72:143">
      <c r="BT146" s="187"/>
      <c r="BU146" s="187" t="s">
        <v>53</v>
      </c>
      <c r="BV146" s="196">
        <v>124054</v>
      </c>
      <c r="BW146" s="197" t="e">
        <f t="shared" si="132"/>
        <v>#REF!</v>
      </c>
      <c r="BX146" s="198" t="e">
        <f>IF(AND(State_LOB_Code=18,LEFT(BW146,4)&lt;"2009"),81,State_LOB_Code)&amp;"|340"</f>
        <v>#REF!</v>
      </c>
      <c r="BY146" s="174"/>
      <c r="BZ146" s="175"/>
      <c r="CD146" s="163"/>
      <c r="CE146" s="363"/>
      <c r="CF146" s="335"/>
      <c r="CG146" s="335"/>
      <c r="CH146" s="335"/>
      <c r="CI146" s="335"/>
      <c r="CJ146" s="335"/>
      <c r="CK146" s="335"/>
      <c r="CL146" s="335"/>
      <c r="CM146" s="335"/>
      <c r="CN146" s="335"/>
      <c r="CO146" s="335"/>
      <c r="CP146" s="335"/>
      <c r="CQ146" s="335"/>
      <c r="CR146" s="335"/>
      <c r="CS146" s="335"/>
      <c r="CT146" s="335"/>
      <c r="CU146" s="335"/>
      <c r="CV146" s="335"/>
      <c r="CW146" s="335"/>
      <c r="CX146" s="335"/>
      <c r="CY146" s="335"/>
      <c r="CZ146" s="335"/>
      <c r="DA146" s="335"/>
      <c r="DB146" s="335"/>
      <c r="DC146" s="335"/>
      <c r="DD146" s="335"/>
      <c r="DE146" s="335"/>
      <c r="DF146" s="335"/>
      <c r="DG146" s="335"/>
      <c r="DH146" s="335"/>
      <c r="DI146" s="335"/>
      <c r="DJ146" s="335"/>
      <c r="DK146" s="335"/>
      <c r="DL146" s="335"/>
      <c r="DM146" s="335"/>
      <c r="DN146" s="335"/>
      <c r="DO146" s="335"/>
      <c r="DP146" s="335"/>
      <c r="DQ146" s="335"/>
      <c r="DR146" s="335"/>
      <c r="DS146" s="335"/>
      <c r="DT146" s="335"/>
      <c r="DU146" s="335"/>
      <c r="DV146" s="335"/>
      <c r="DW146" s="335"/>
      <c r="DX146" s="335"/>
      <c r="DY146" s="335"/>
      <c r="DZ146" s="335"/>
      <c r="EA146" s="335"/>
      <c r="EB146" s="335"/>
      <c r="EC146" s="335"/>
      <c r="ED146" s="335"/>
      <c r="EE146" s="335"/>
      <c r="EF146" s="335"/>
      <c r="EG146" s="335"/>
      <c r="EH146" s="335"/>
      <c r="EI146" s="335"/>
      <c r="EJ146" s="335"/>
      <c r="EK146" s="335"/>
      <c r="EL146" s="335"/>
      <c r="EM146" s="335"/>
    </row>
    <row r="147" spans="72:143">
      <c r="BT147" s="187"/>
      <c r="BU147" s="187" t="s">
        <v>54</v>
      </c>
      <c r="BV147" s="196">
        <v>124054</v>
      </c>
      <c r="BW147" s="197" t="e">
        <f t="shared" si="132"/>
        <v>#REF!</v>
      </c>
      <c r="BX147" s="198" t="e">
        <f>IF(AND(State_LOB_Code=18,LEFT(BW147,4)&lt;"2009"),81,State_LOB_Code)&amp;"|341"</f>
        <v>#REF!</v>
      </c>
      <c r="BY147" s="174"/>
      <c r="BZ147" s="175"/>
      <c r="CD147" s="163"/>
      <c r="CE147" s="363"/>
      <c r="CF147" s="335"/>
      <c r="CG147" s="335"/>
      <c r="CH147" s="335"/>
      <c r="CI147" s="335"/>
      <c r="CJ147" s="335"/>
      <c r="CK147" s="335"/>
      <c r="CL147" s="335"/>
      <c r="CM147" s="335"/>
      <c r="CN147" s="335"/>
      <c r="CO147" s="335"/>
      <c r="CP147" s="335"/>
      <c r="CQ147" s="335"/>
      <c r="CR147" s="335"/>
      <c r="CS147" s="335"/>
      <c r="CT147" s="335"/>
      <c r="CU147" s="335"/>
      <c r="CV147" s="335"/>
      <c r="CW147" s="335"/>
      <c r="CX147" s="335"/>
      <c r="CY147" s="335"/>
      <c r="CZ147" s="335"/>
      <c r="DA147" s="335"/>
      <c r="DB147" s="335"/>
      <c r="DC147" s="335"/>
      <c r="DD147" s="335"/>
      <c r="DE147" s="335"/>
      <c r="DF147" s="335"/>
      <c r="DG147" s="335"/>
      <c r="DH147" s="335"/>
      <c r="DI147" s="335"/>
      <c r="DJ147" s="335"/>
      <c r="DK147" s="335"/>
      <c r="DL147" s="335"/>
      <c r="DM147" s="335"/>
      <c r="DN147" s="335"/>
      <c r="DO147" s="335"/>
      <c r="DP147" s="335"/>
      <c r="DQ147" s="335"/>
      <c r="DR147" s="335"/>
      <c r="DS147" s="335"/>
      <c r="DT147" s="335"/>
      <c r="DU147" s="335"/>
      <c r="DV147" s="335"/>
      <c r="DW147" s="335"/>
      <c r="DX147" s="335"/>
      <c r="DY147" s="335"/>
      <c r="DZ147" s="335"/>
      <c r="EA147" s="335"/>
      <c r="EB147" s="335"/>
      <c r="EC147" s="335"/>
      <c r="ED147" s="335"/>
      <c r="EE147" s="335"/>
      <c r="EF147" s="335"/>
      <c r="EG147" s="335"/>
      <c r="EH147" s="335"/>
      <c r="EI147" s="335"/>
      <c r="EJ147" s="335"/>
      <c r="EK147" s="335"/>
      <c r="EL147" s="335"/>
      <c r="EM147" s="335"/>
    </row>
    <row r="148" spans="72:143">
      <c r="BT148" s="187"/>
      <c r="BU148" s="187" t="s">
        <v>55</v>
      </c>
      <c r="BV148" s="196">
        <v>124054</v>
      </c>
      <c r="BW148" s="197" t="e">
        <f t="shared" si="132"/>
        <v>#REF!</v>
      </c>
      <c r="BX148" s="198" t="e">
        <f>IF(AND(State_LOB_Code=18,LEFT(BW148,4)&lt;"2009"),81,State_LOB_Code)&amp;"|342"</f>
        <v>#REF!</v>
      </c>
      <c r="BY148" s="174"/>
      <c r="BZ148" s="175"/>
      <c r="CD148" s="163"/>
      <c r="CE148" s="363"/>
      <c r="CF148" s="335"/>
      <c r="CG148" s="335"/>
      <c r="CH148" s="335"/>
      <c r="CI148" s="335"/>
      <c r="CJ148" s="335"/>
      <c r="CK148" s="335"/>
      <c r="CL148" s="335"/>
      <c r="CM148" s="335"/>
      <c r="CN148" s="335"/>
      <c r="CO148" s="335"/>
      <c r="CP148" s="335"/>
      <c r="CQ148" s="335"/>
      <c r="CR148" s="335"/>
      <c r="CS148" s="335"/>
      <c r="CT148" s="335"/>
      <c r="CU148" s="335"/>
      <c r="CV148" s="335"/>
      <c r="CW148" s="335"/>
      <c r="CX148" s="335"/>
      <c r="CY148" s="335"/>
      <c r="CZ148" s="335"/>
      <c r="DA148" s="335"/>
      <c r="DB148" s="335"/>
      <c r="DC148" s="335"/>
      <c r="DD148" s="335"/>
      <c r="DE148" s="335"/>
      <c r="DF148" s="335"/>
      <c r="DG148" s="335"/>
      <c r="DH148" s="335"/>
      <c r="DI148" s="335"/>
      <c r="DJ148" s="335"/>
      <c r="DK148" s="335"/>
      <c r="DL148" s="335"/>
      <c r="DM148" s="335"/>
      <c r="DN148" s="335"/>
      <c r="DO148" s="335"/>
      <c r="DP148" s="335"/>
      <c r="DQ148" s="335"/>
      <c r="DR148" s="335"/>
      <c r="DS148" s="335"/>
      <c r="DT148" s="335"/>
      <c r="DU148" s="335"/>
      <c r="DV148" s="335"/>
      <c r="DW148" s="335"/>
      <c r="DX148" s="335"/>
      <c r="DY148" s="335"/>
      <c r="DZ148" s="335"/>
      <c r="EA148" s="335"/>
      <c r="EB148" s="335"/>
      <c r="EC148" s="335"/>
      <c r="ED148" s="335"/>
      <c r="EE148" s="335"/>
      <c r="EF148" s="335"/>
      <c r="EG148" s="335"/>
      <c r="EH148" s="335"/>
      <c r="EI148" s="335"/>
      <c r="EJ148" s="335"/>
      <c r="EK148" s="335"/>
      <c r="EL148" s="335"/>
      <c r="EM148" s="335"/>
    </row>
    <row r="149" spans="72:143">
      <c r="BT149" s="187"/>
      <c r="BU149" s="187" t="s">
        <v>56</v>
      </c>
      <c r="BV149" s="196">
        <v>124054</v>
      </c>
      <c r="BW149" s="197" t="e">
        <f t="shared" si="132"/>
        <v>#REF!</v>
      </c>
      <c r="BX149" s="198" t="e">
        <f>IF(AND(State_LOB_Code=18,LEFT(BW149,4)&lt;"2009"),81,State_LOB_Code)&amp;"|343"</f>
        <v>#REF!</v>
      </c>
      <c r="BY149" s="174"/>
      <c r="BZ149" s="175"/>
      <c r="CD149" s="163"/>
      <c r="CE149" s="363"/>
      <c r="CF149" s="335"/>
      <c r="CG149" s="335"/>
      <c r="CH149" s="335"/>
      <c r="CI149" s="335"/>
      <c r="CJ149" s="335"/>
      <c r="CK149" s="335"/>
      <c r="CL149" s="335"/>
      <c r="CM149" s="335"/>
      <c r="CN149" s="335"/>
      <c r="CO149" s="335"/>
      <c r="CP149" s="335"/>
      <c r="CQ149" s="335"/>
      <c r="CR149" s="335"/>
      <c r="CS149" s="335"/>
      <c r="CT149" s="335"/>
      <c r="CU149" s="335"/>
      <c r="CV149" s="335"/>
      <c r="CW149" s="335"/>
      <c r="CX149" s="335"/>
      <c r="CY149" s="335"/>
      <c r="CZ149" s="335"/>
      <c r="DA149" s="335"/>
      <c r="DB149" s="335"/>
      <c r="DC149" s="335"/>
      <c r="DD149" s="335"/>
      <c r="DE149" s="335"/>
      <c r="DF149" s="335"/>
      <c r="DG149" s="335"/>
      <c r="DH149" s="335"/>
      <c r="DI149" s="335"/>
      <c r="DJ149" s="335"/>
      <c r="DK149" s="335"/>
      <c r="DL149" s="335"/>
      <c r="DM149" s="335"/>
      <c r="DN149" s="335"/>
      <c r="DO149" s="335"/>
      <c r="DP149" s="335"/>
      <c r="DQ149" s="335"/>
      <c r="DR149" s="335"/>
      <c r="DS149" s="335"/>
      <c r="DT149" s="335"/>
      <c r="DU149" s="335"/>
      <c r="DV149" s="335"/>
      <c r="DW149" s="335"/>
      <c r="DX149" s="335"/>
      <c r="DY149" s="335"/>
      <c r="DZ149" s="335"/>
      <c r="EA149" s="335"/>
      <c r="EB149" s="335"/>
      <c r="EC149" s="335"/>
      <c r="ED149" s="335"/>
      <c r="EE149" s="335"/>
      <c r="EF149" s="335"/>
      <c r="EG149" s="335"/>
      <c r="EH149" s="335"/>
      <c r="EI149" s="335"/>
      <c r="EJ149" s="335"/>
      <c r="EK149" s="335"/>
      <c r="EL149" s="335"/>
      <c r="EM149" s="335"/>
    </row>
    <row r="150" spans="72:143">
      <c r="BT150" s="187"/>
      <c r="BU150" s="187" t="s">
        <v>57</v>
      </c>
      <c r="BV150" s="196">
        <v>124054</v>
      </c>
      <c r="BW150" s="197" t="e">
        <f t="shared" si="132"/>
        <v>#REF!</v>
      </c>
      <c r="BX150" s="198" t="e">
        <f>IF(AND(State_LOB_Code=18,LEFT(BW150,4)&lt;"2009"),81,State_LOB_Code)&amp;"|344"</f>
        <v>#REF!</v>
      </c>
      <c r="BY150" s="174"/>
      <c r="BZ150" s="175"/>
      <c r="CD150" s="163"/>
      <c r="CE150" s="363"/>
      <c r="CF150" s="335"/>
      <c r="CG150" s="335"/>
      <c r="CH150" s="335"/>
      <c r="CI150" s="335"/>
      <c r="CJ150" s="335"/>
      <c r="CK150" s="335"/>
      <c r="CL150" s="335"/>
      <c r="CM150" s="335"/>
      <c r="CN150" s="335"/>
      <c r="CO150" s="335"/>
      <c r="CP150" s="335"/>
      <c r="CQ150" s="335"/>
      <c r="CR150" s="335"/>
      <c r="CS150" s="335"/>
      <c r="CT150" s="335"/>
      <c r="CU150" s="335"/>
      <c r="CV150" s="335"/>
      <c r="CW150" s="335"/>
      <c r="CX150" s="335"/>
      <c r="CY150" s="335"/>
      <c r="CZ150" s="335"/>
      <c r="DA150" s="335"/>
      <c r="DB150" s="335"/>
      <c r="DC150" s="335"/>
      <c r="DD150" s="335"/>
      <c r="DE150" s="335"/>
      <c r="DF150" s="335"/>
      <c r="DG150" s="335"/>
      <c r="DH150" s="335"/>
      <c r="DI150" s="335"/>
      <c r="DJ150" s="335"/>
      <c r="DK150" s="335"/>
      <c r="DL150" s="335"/>
      <c r="DM150" s="335"/>
      <c r="DN150" s="335"/>
      <c r="DO150" s="335"/>
      <c r="DP150" s="335"/>
      <c r="DQ150" s="335"/>
      <c r="DR150" s="335"/>
      <c r="DS150" s="335"/>
      <c r="DT150" s="335"/>
      <c r="DU150" s="335"/>
      <c r="DV150" s="335"/>
      <c r="DW150" s="335"/>
      <c r="DX150" s="335"/>
      <c r="DY150" s="335"/>
      <c r="DZ150" s="335"/>
      <c r="EA150" s="335"/>
      <c r="EB150" s="335"/>
      <c r="EC150" s="335"/>
      <c r="ED150" s="335"/>
      <c r="EE150" s="335"/>
      <c r="EF150" s="335"/>
      <c r="EG150" s="335"/>
      <c r="EH150" s="335"/>
      <c r="EI150" s="335"/>
      <c r="EJ150" s="335"/>
      <c r="EK150" s="335"/>
      <c r="EL150" s="335"/>
      <c r="EM150" s="335"/>
    </row>
    <row r="151" spans="72:143">
      <c r="BT151" s="187"/>
      <c r="BU151" s="187" t="s">
        <v>58</v>
      </c>
      <c r="BV151" s="196">
        <v>124054</v>
      </c>
      <c r="BW151" s="197" t="e">
        <f t="shared" si="132"/>
        <v>#REF!</v>
      </c>
      <c r="BX151" s="198" t="e">
        <f>IF(AND(State_LOB_Code=18,LEFT(BW151,4)&lt;"2009"),81,State_LOB_Code)&amp;"|346"</f>
        <v>#REF!</v>
      </c>
      <c r="BY151" s="174"/>
      <c r="BZ151" s="175"/>
      <c r="CD151" s="163"/>
      <c r="CE151" s="363"/>
      <c r="CF151" s="335"/>
      <c r="CG151" s="335"/>
      <c r="CH151" s="335"/>
      <c r="CI151" s="335"/>
      <c r="CJ151" s="335"/>
      <c r="CK151" s="335"/>
      <c r="CL151" s="335"/>
      <c r="CM151" s="335"/>
      <c r="CN151" s="335"/>
      <c r="CO151" s="335"/>
      <c r="CP151" s="335"/>
      <c r="CQ151" s="335"/>
      <c r="CR151" s="335"/>
      <c r="CS151" s="335"/>
      <c r="CT151" s="335"/>
      <c r="CU151" s="335"/>
      <c r="CV151" s="335"/>
      <c r="CW151" s="335"/>
      <c r="CX151" s="335"/>
      <c r="CY151" s="335"/>
      <c r="CZ151" s="335"/>
      <c r="DA151" s="335"/>
      <c r="DB151" s="335"/>
      <c r="DC151" s="335"/>
      <c r="DD151" s="335"/>
      <c r="DE151" s="335"/>
      <c r="DF151" s="335"/>
      <c r="DG151" s="335"/>
      <c r="DH151" s="335"/>
      <c r="DI151" s="335"/>
      <c r="DJ151" s="335"/>
      <c r="DK151" s="335"/>
      <c r="DL151" s="335"/>
      <c r="DM151" s="335"/>
      <c r="DN151" s="335"/>
      <c r="DO151" s="335"/>
      <c r="DP151" s="335"/>
      <c r="DQ151" s="335"/>
      <c r="DR151" s="335"/>
      <c r="DS151" s="335"/>
      <c r="DT151" s="335"/>
      <c r="DU151" s="335"/>
      <c r="DV151" s="335"/>
      <c r="DW151" s="335"/>
      <c r="DX151" s="335"/>
      <c r="DY151" s="335"/>
      <c r="DZ151" s="335"/>
      <c r="EA151" s="335"/>
      <c r="EB151" s="335"/>
      <c r="EC151" s="335"/>
      <c r="ED151" s="335"/>
      <c r="EE151" s="335"/>
      <c r="EF151" s="335"/>
      <c r="EG151" s="335"/>
      <c r="EH151" s="335"/>
      <c r="EI151" s="335"/>
      <c r="EJ151" s="335"/>
      <c r="EK151" s="335"/>
      <c r="EL151" s="335"/>
      <c r="EM151" s="335"/>
    </row>
    <row r="152" spans="72:143">
      <c r="BT152" s="187"/>
      <c r="BU152" s="187" t="s">
        <v>59</v>
      </c>
      <c r="BV152" s="196">
        <v>124054</v>
      </c>
      <c r="BW152" s="197" t="e">
        <f t="shared" si="132"/>
        <v>#REF!</v>
      </c>
      <c r="BX152" s="198" t="e">
        <f>IF(AND(State_LOB_Code=18,LEFT(BW152,4)&lt;"2009"),81,State_LOB_Code)&amp;"|347"</f>
        <v>#REF!</v>
      </c>
      <c r="BY152" s="174"/>
      <c r="BZ152" s="175"/>
      <c r="CD152" s="163"/>
      <c r="CE152" s="363"/>
      <c r="CF152" s="335"/>
      <c r="CG152" s="335"/>
      <c r="CH152" s="335"/>
      <c r="CI152" s="335"/>
      <c r="CJ152" s="335"/>
      <c r="CK152" s="335"/>
      <c r="CL152" s="335"/>
      <c r="CM152" s="335"/>
      <c r="CN152" s="335"/>
      <c r="CO152" s="335"/>
      <c r="CP152" s="335"/>
      <c r="CQ152" s="335"/>
      <c r="CR152" s="335"/>
      <c r="CS152" s="335"/>
      <c r="CT152" s="335"/>
      <c r="CU152" s="335"/>
      <c r="CV152" s="335"/>
      <c r="CW152" s="335"/>
      <c r="CX152" s="335"/>
      <c r="CY152" s="335"/>
      <c r="CZ152" s="335"/>
      <c r="DA152" s="335"/>
      <c r="DB152" s="335"/>
      <c r="DC152" s="335"/>
      <c r="DD152" s="335"/>
      <c r="DE152" s="335"/>
      <c r="DF152" s="335"/>
      <c r="DG152" s="335"/>
      <c r="DH152" s="335"/>
      <c r="DI152" s="335"/>
      <c r="DJ152" s="335"/>
      <c r="DK152" s="335"/>
      <c r="DL152" s="335"/>
      <c r="DM152" s="335"/>
      <c r="DN152" s="335"/>
      <c r="DO152" s="335"/>
      <c r="DP152" s="335"/>
      <c r="DQ152" s="335"/>
      <c r="DR152" s="335"/>
      <c r="DS152" s="335"/>
      <c r="DT152" s="335"/>
      <c r="DU152" s="335"/>
      <c r="DV152" s="335"/>
      <c r="DW152" s="335"/>
      <c r="DX152" s="335"/>
      <c r="DY152" s="335"/>
      <c r="DZ152" s="335"/>
      <c r="EA152" s="335"/>
      <c r="EB152" s="335"/>
      <c r="EC152" s="335"/>
      <c r="ED152" s="335"/>
      <c r="EE152" s="335"/>
      <c r="EF152" s="335"/>
      <c r="EG152" s="335"/>
      <c r="EH152" s="335"/>
      <c r="EI152" s="335"/>
      <c r="EJ152" s="335"/>
      <c r="EK152" s="335"/>
      <c r="EL152" s="335"/>
      <c r="EM152" s="335"/>
    </row>
    <row r="153" spans="72:143">
      <c r="BT153" s="187"/>
      <c r="BU153" s="187" t="s">
        <v>60</v>
      </c>
      <c r="BV153" s="196">
        <v>124054</v>
      </c>
      <c r="BW153" s="197" t="e">
        <f t="shared" si="132"/>
        <v>#REF!</v>
      </c>
      <c r="BX153" s="198" t="e">
        <f>IF(AND(State_LOB_Code=18,LEFT(BW153,4)&lt;"2009"),81,State_LOB_Code)&amp;"|348"</f>
        <v>#REF!</v>
      </c>
      <c r="BY153" s="174"/>
      <c r="BZ153" s="175"/>
      <c r="CD153" s="163"/>
      <c r="CE153" s="363"/>
      <c r="CF153" s="335"/>
      <c r="CG153" s="335"/>
      <c r="CH153" s="335"/>
      <c r="CI153" s="335"/>
      <c r="CJ153" s="335"/>
      <c r="CK153" s="335"/>
      <c r="CL153" s="335"/>
      <c r="CM153" s="335"/>
      <c r="CN153" s="335"/>
      <c r="CO153" s="335"/>
      <c r="CP153" s="335"/>
      <c r="CQ153" s="335"/>
      <c r="CR153" s="335"/>
      <c r="CS153" s="335"/>
      <c r="CT153" s="335"/>
      <c r="CU153" s="335"/>
      <c r="CV153" s="335"/>
      <c r="CW153" s="335"/>
      <c r="CX153" s="335"/>
      <c r="CY153" s="335"/>
      <c r="CZ153" s="335"/>
      <c r="DA153" s="335"/>
      <c r="DB153" s="335"/>
      <c r="DC153" s="335"/>
      <c r="DD153" s="335"/>
      <c r="DE153" s="335"/>
      <c r="DF153" s="335"/>
      <c r="DG153" s="335"/>
      <c r="DH153" s="335"/>
      <c r="DI153" s="335"/>
      <c r="DJ153" s="335"/>
      <c r="DK153" s="335"/>
      <c r="DL153" s="335"/>
      <c r="DM153" s="335"/>
      <c r="DN153" s="335"/>
      <c r="DO153" s="335"/>
      <c r="DP153" s="335"/>
      <c r="DQ153" s="335"/>
      <c r="DR153" s="335"/>
      <c r="DS153" s="335"/>
      <c r="DT153" s="335"/>
      <c r="DU153" s="335"/>
      <c r="DV153" s="335"/>
      <c r="DW153" s="335"/>
      <c r="DX153" s="335"/>
      <c r="DY153" s="335"/>
      <c r="DZ153" s="335"/>
      <c r="EA153" s="335"/>
      <c r="EB153" s="335"/>
      <c r="EC153" s="335"/>
      <c r="ED153" s="335"/>
      <c r="EE153" s="335"/>
      <c r="EF153" s="335"/>
      <c r="EG153" s="335"/>
      <c r="EH153" s="335"/>
      <c r="EI153" s="335"/>
      <c r="EJ153" s="335"/>
      <c r="EK153" s="335"/>
      <c r="EL153" s="335"/>
      <c r="EM153" s="335"/>
    </row>
    <row r="154" spans="72:143">
      <c r="BT154" s="187"/>
      <c r="BU154" s="187" t="s">
        <v>61</v>
      </c>
      <c r="BV154" s="196">
        <v>124054</v>
      </c>
      <c r="BW154" s="197" t="e">
        <f t="shared" si="132"/>
        <v>#REF!</v>
      </c>
      <c r="BX154" s="198" t="e">
        <f>IF(AND(State_LOB_Code=18,LEFT(BW154,4)&lt;"2009"),81,State_LOB_Code)&amp;"|349"</f>
        <v>#REF!</v>
      </c>
      <c r="BY154" s="174"/>
      <c r="BZ154" s="175"/>
      <c r="CD154" s="163"/>
      <c r="CE154" s="363"/>
      <c r="CF154" s="335"/>
      <c r="CG154" s="335"/>
      <c r="CH154" s="335"/>
      <c r="CI154" s="335"/>
      <c r="CJ154" s="335"/>
      <c r="CK154" s="335"/>
      <c r="CL154" s="335"/>
      <c r="CM154" s="335"/>
      <c r="CN154" s="335"/>
      <c r="CO154" s="335"/>
      <c r="CP154" s="335"/>
      <c r="CQ154" s="335"/>
      <c r="CR154" s="335"/>
      <c r="CS154" s="335"/>
      <c r="CT154" s="335"/>
      <c r="CU154" s="335"/>
      <c r="CV154" s="335"/>
      <c r="CW154" s="335"/>
      <c r="CX154" s="335"/>
      <c r="CY154" s="335"/>
      <c r="CZ154" s="335"/>
      <c r="DA154" s="335"/>
      <c r="DB154" s="335"/>
      <c r="DC154" s="335"/>
      <c r="DD154" s="335"/>
      <c r="DE154" s="335"/>
      <c r="DF154" s="335"/>
      <c r="DG154" s="335"/>
      <c r="DH154" s="335"/>
      <c r="DI154" s="335"/>
      <c r="DJ154" s="335"/>
      <c r="DK154" s="335"/>
      <c r="DL154" s="335"/>
      <c r="DM154" s="335"/>
      <c r="DN154" s="335"/>
      <c r="DO154" s="335"/>
      <c r="DP154" s="335"/>
      <c r="DQ154" s="335"/>
      <c r="DR154" s="335"/>
      <c r="DS154" s="335"/>
      <c r="DT154" s="335"/>
      <c r="DU154" s="335"/>
      <c r="DV154" s="335"/>
      <c r="DW154" s="335"/>
      <c r="DX154" s="335"/>
      <c r="DY154" s="335"/>
      <c r="DZ154" s="335"/>
      <c r="EA154" s="335"/>
      <c r="EB154" s="335"/>
      <c r="EC154" s="335"/>
      <c r="ED154" s="335"/>
      <c r="EE154" s="335"/>
      <c r="EF154" s="335"/>
      <c r="EG154" s="335"/>
      <c r="EH154" s="335"/>
      <c r="EI154" s="335"/>
      <c r="EJ154" s="335"/>
      <c r="EK154" s="335"/>
      <c r="EL154" s="335"/>
      <c r="EM154" s="335"/>
    </row>
    <row r="155" spans="72:143">
      <c r="BT155" s="187"/>
      <c r="BU155" s="187" t="s">
        <v>62</v>
      </c>
      <c r="BV155" s="196">
        <v>124054</v>
      </c>
      <c r="BW155" s="197" t="e">
        <f t="shared" si="132"/>
        <v>#REF!</v>
      </c>
      <c r="BX155" s="198" t="e">
        <f>IF(AND(State_LOB_Code=18,LEFT(BW155,4)&lt;"2009"),81,State_LOB_Code)&amp;"|350"</f>
        <v>#REF!</v>
      </c>
      <c r="BY155" s="174"/>
      <c r="BZ155" s="175"/>
      <c r="CD155" s="163"/>
      <c r="CE155" s="363"/>
      <c r="CF155" s="335"/>
      <c r="CG155" s="335"/>
      <c r="CH155" s="335"/>
      <c r="CI155" s="335"/>
      <c r="CJ155" s="335"/>
      <c r="CK155" s="335"/>
      <c r="CL155" s="335"/>
      <c r="CM155" s="335"/>
      <c r="CN155" s="335"/>
      <c r="CO155" s="335"/>
      <c r="CP155" s="335"/>
      <c r="CQ155" s="335"/>
      <c r="CR155" s="335"/>
      <c r="CS155" s="335"/>
      <c r="CT155" s="335"/>
      <c r="CU155" s="335"/>
      <c r="CV155" s="335"/>
      <c r="CW155" s="335"/>
      <c r="CX155" s="335"/>
      <c r="CY155" s="335"/>
      <c r="CZ155" s="335"/>
      <c r="DA155" s="335"/>
      <c r="DB155" s="335"/>
      <c r="DC155" s="335"/>
      <c r="DD155" s="335"/>
      <c r="DE155" s="335"/>
      <c r="DF155" s="335"/>
      <c r="DG155" s="335"/>
      <c r="DH155" s="335"/>
      <c r="DI155" s="335"/>
      <c r="DJ155" s="335"/>
      <c r="DK155" s="335"/>
      <c r="DL155" s="335"/>
      <c r="DM155" s="335"/>
      <c r="DN155" s="335"/>
      <c r="DO155" s="335"/>
      <c r="DP155" s="335"/>
      <c r="DQ155" s="335"/>
      <c r="DR155" s="335"/>
      <c r="DS155" s="335"/>
      <c r="DT155" s="335"/>
      <c r="DU155" s="335"/>
      <c r="DV155" s="335"/>
      <c r="DW155" s="335"/>
      <c r="DX155" s="335"/>
      <c r="DY155" s="335"/>
      <c r="DZ155" s="335"/>
      <c r="EA155" s="335"/>
      <c r="EB155" s="335"/>
      <c r="EC155" s="335"/>
      <c r="ED155" s="335"/>
      <c r="EE155" s="335"/>
      <c r="EF155" s="335"/>
      <c r="EG155" s="335"/>
      <c r="EH155" s="335"/>
      <c r="EI155" s="335"/>
      <c r="EJ155" s="335"/>
      <c r="EK155" s="335"/>
      <c r="EL155" s="335"/>
      <c r="EM155" s="335"/>
    </row>
    <row r="156" spans="72:143">
      <c r="BT156" s="187"/>
      <c r="BU156" s="187" t="s">
        <v>63</v>
      </c>
      <c r="BV156" s="196">
        <v>124054</v>
      </c>
      <c r="BW156" s="197" t="e">
        <f t="shared" si="132"/>
        <v>#REF!</v>
      </c>
      <c r="BX156" s="198" t="e">
        <f>IF(AND(State_LOB_Code=18,LEFT(BW156,4)&lt;"2009"),81,State_LOB_Code)&amp;"|351"</f>
        <v>#REF!</v>
      </c>
      <c r="BY156" s="174"/>
      <c r="BZ156" s="175"/>
      <c r="CD156" s="163"/>
      <c r="CE156" s="363"/>
      <c r="CF156" s="335"/>
      <c r="CG156" s="335"/>
      <c r="CH156" s="335"/>
      <c r="CI156" s="335"/>
      <c r="CJ156" s="335"/>
      <c r="CK156" s="335"/>
      <c r="CL156" s="335"/>
      <c r="CM156" s="335"/>
      <c r="CN156" s="335"/>
      <c r="CO156" s="335"/>
      <c r="CP156" s="335"/>
      <c r="CQ156" s="335"/>
      <c r="CR156" s="335"/>
      <c r="CS156" s="335"/>
      <c r="CT156" s="335"/>
      <c r="CU156" s="335"/>
      <c r="CV156" s="335"/>
      <c r="CW156" s="335"/>
      <c r="CX156" s="335"/>
      <c r="CY156" s="335"/>
      <c r="CZ156" s="335"/>
      <c r="DA156" s="335"/>
      <c r="DB156" s="335"/>
      <c r="DC156" s="335"/>
      <c r="DD156" s="335"/>
      <c r="DE156" s="335"/>
      <c r="DF156" s="335"/>
      <c r="DG156" s="335"/>
      <c r="DH156" s="335"/>
      <c r="DI156" s="335"/>
      <c r="DJ156" s="335"/>
      <c r="DK156" s="335"/>
      <c r="DL156" s="335"/>
      <c r="DM156" s="335"/>
      <c r="DN156" s="335"/>
      <c r="DO156" s="335"/>
      <c r="DP156" s="335"/>
      <c r="DQ156" s="335"/>
      <c r="DR156" s="335"/>
      <c r="DS156" s="335"/>
      <c r="DT156" s="335"/>
      <c r="DU156" s="335"/>
      <c r="DV156" s="335"/>
      <c r="DW156" s="335"/>
      <c r="DX156" s="335"/>
      <c r="DY156" s="335"/>
      <c r="DZ156" s="335"/>
      <c r="EA156" s="335"/>
      <c r="EB156" s="335"/>
      <c r="EC156" s="335"/>
      <c r="ED156" s="335"/>
      <c r="EE156" s="335"/>
      <c r="EF156" s="335"/>
      <c r="EG156" s="335"/>
      <c r="EH156" s="335"/>
      <c r="EI156" s="335"/>
      <c r="EJ156" s="335"/>
      <c r="EK156" s="335"/>
      <c r="EL156" s="335"/>
      <c r="EM156" s="335"/>
    </row>
    <row r="157" spans="72:143">
      <c r="BT157" s="187"/>
      <c r="BU157" s="187" t="s">
        <v>64</v>
      </c>
      <c r="BV157" s="196">
        <v>124054</v>
      </c>
      <c r="BW157" s="197" t="e">
        <f t="shared" si="132"/>
        <v>#REF!</v>
      </c>
      <c r="BX157" s="198" t="e">
        <f>IF(AND(State_LOB_Code=18,LEFT(BW157,4)&lt;"2009"),81,State_LOB_Code)&amp;"|352"</f>
        <v>#REF!</v>
      </c>
      <c r="BY157" s="174"/>
      <c r="BZ157" s="175"/>
      <c r="CD157" s="163"/>
      <c r="CE157" s="363"/>
      <c r="CF157" s="335"/>
      <c r="CG157" s="335"/>
      <c r="CH157" s="335"/>
      <c r="CI157" s="335"/>
      <c r="CJ157" s="335"/>
      <c r="CK157" s="335"/>
      <c r="CL157" s="335"/>
      <c r="CM157" s="335"/>
      <c r="CN157" s="335"/>
      <c r="CO157" s="335"/>
      <c r="CP157" s="335"/>
      <c r="CQ157" s="335"/>
      <c r="CR157" s="335"/>
      <c r="CS157" s="335"/>
      <c r="CT157" s="335"/>
      <c r="CU157" s="335"/>
      <c r="CV157" s="335"/>
      <c r="CW157" s="335"/>
      <c r="CX157" s="335"/>
      <c r="CY157" s="335"/>
      <c r="CZ157" s="335"/>
      <c r="DA157" s="335"/>
      <c r="DB157" s="335"/>
      <c r="DC157" s="335"/>
      <c r="DD157" s="335"/>
      <c r="DE157" s="335"/>
      <c r="DF157" s="335"/>
      <c r="DG157" s="335"/>
      <c r="DH157" s="335"/>
      <c r="DI157" s="335"/>
      <c r="DJ157" s="335"/>
      <c r="DK157" s="335"/>
      <c r="DL157" s="335"/>
      <c r="DM157" s="335"/>
      <c r="DN157" s="335"/>
      <c r="DO157" s="335"/>
      <c r="DP157" s="335"/>
      <c r="DQ157" s="335"/>
      <c r="DR157" s="335"/>
      <c r="DS157" s="335"/>
      <c r="DT157" s="335"/>
      <c r="DU157" s="335"/>
      <c r="DV157" s="335"/>
      <c r="DW157" s="335"/>
      <c r="DX157" s="335"/>
      <c r="DY157" s="335"/>
      <c r="DZ157" s="335"/>
      <c r="EA157" s="335"/>
      <c r="EB157" s="335"/>
      <c r="EC157" s="335"/>
      <c r="ED157" s="335"/>
      <c r="EE157" s="335"/>
      <c r="EF157" s="335"/>
      <c r="EG157" s="335"/>
      <c r="EH157" s="335"/>
      <c r="EI157" s="335"/>
      <c r="EJ157" s="335"/>
      <c r="EK157" s="335"/>
      <c r="EL157" s="335"/>
      <c r="EM157" s="335"/>
    </row>
    <row r="158" spans="72:143">
      <c r="BT158" s="187"/>
      <c r="BU158" s="187" t="s">
        <v>65</v>
      </c>
      <c r="BV158" s="196">
        <v>124054</v>
      </c>
      <c r="BW158" s="197" t="e">
        <f t="shared" si="132"/>
        <v>#REF!</v>
      </c>
      <c r="BX158" s="198" t="e">
        <f>IF(AND(State_LOB_Code=18,LEFT(BW158,4)&lt;"2009"),81,State_LOB_Code)&amp;"|353"</f>
        <v>#REF!</v>
      </c>
      <c r="BY158" s="174"/>
      <c r="BZ158" s="175"/>
      <c r="CD158" s="163"/>
      <c r="CE158" s="363"/>
      <c r="CF158" s="335"/>
      <c r="CG158" s="335"/>
      <c r="CH158" s="335"/>
      <c r="CI158" s="335"/>
      <c r="CJ158" s="335"/>
      <c r="CK158" s="335"/>
      <c r="CL158" s="335"/>
      <c r="CM158" s="335"/>
      <c r="CN158" s="335"/>
      <c r="CO158" s="335"/>
      <c r="CP158" s="335"/>
      <c r="CQ158" s="335"/>
      <c r="CR158" s="335"/>
      <c r="CS158" s="335"/>
      <c r="CT158" s="335"/>
      <c r="CU158" s="335"/>
      <c r="CV158" s="335"/>
      <c r="CW158" s="335"/>
      <c r="CX158" s="335"/>
      <c r="CY158" s="335"/>
      <c r="CZ158" s="335"/>
      <c r="DA158" s="335"/>
      <c r="DB158" s="335"/>
      <c r="DC158" s="335"/>
      <c r="DD158" s="335"/>
      <c r="DE158" s="335"/>
      <c r="DF158" s="335"/>
      <c r="DG158" s="335"/>
      <c r="DH158" s="335"/>
      <c r="DI158" s="335"/>
      <c r="DJ158" s="335"/>
      <c r="DK158" s="335"/>
      <c r="DL158" s="335"/>
      <c r="DM158" s="335"/>
      <c r="DN158" s="335"/>
      <c r="DO158" s="335"/>
      <c r="DP158" s="335"/>
      <c r="DQ158" s="335"/>
      <c r="DR158" s="335"/>
      <c r="DS158" s="335"/>
      <c r="DT158" s="335"/>
      <c r="DU158" s="335"/>
      <c r="DV158" s="335"/>
      <c r="DW158" s="335"/>
      <c r="DX158" s="335"/>
      <c r="DY158" s="335"/>
      <c r="DZ158" s="335"/>
      <c r="EA158" s="335"/>
      <c r="EB158" s="335"/>
      <c r="EC158" s="335"/>
      <c r="ED158" s="335"/>
      <c r="EE158" s="335"/>
      <c r="EF158" s="335"/>
      <c r="EG158" s="335"/>
      <c r="EH158" s="335"/>
      <c r="EI158" s="335"/>
      <c r="EJ158" s="335"/>
      <c r="EK158" s="335"/>
      <c r="EL158" s="335"/>
      <c r="EM158" s="335"/>
    </row>
    <row r="159" spans="72:143">
      <c r="BT159" s="187"/>
      <c r="BU159" s="187" t="s">
        <v>66</v>
      </c>
      <c r="BV159" s="196">
        <v>124054</v>
      </c>
      <c r="BW159" s="197" t="e">
        <f t="shared" si="132"/>
        <v>#REF!</v>
      </c>
      <c r="BX159" s="198" t="e">
        <f>IF(AND(State_LOB_Code=18,LEFT(BW159,4)&lt;"2009"),81,State_LOB_Code)&amp;"|354"</f>
        <v>#REF!</v>
      </c>
      <c r="BY159" s="174"/>
      <c r="BZ159" s="175"/>
      <c r="CD159" s="163"/>
      <c r="CE159" s="363"/>
      <c r="CF159" s="335"/>
      <c r="CG159" s="335"/>
      <c r="CH159" s="335"/>
      <c r="CI159" s="335"/>
      <c r="CJ159" s="335"/>
      <c r="CK159" s="335"/>
      <c r="CL159" s="335"/>
      <c r="CM159" s="335"/>
      <c r="CN159" s="335"/>
      <c r="CO159" s="335"/>
      <c r="CP159" s="335"/>
      <c r="CQ159" s="335"/>
      <c r="CR159" s="335"/>
      <c r="CS159" s="335"/>
      <c r="CT159" s="335"/>
      <c r="CU159" s="335"/>
      <c r="CV159" s="335"/>
      <c r="CW159" s="335"/>
      <c r="CX159" s="335"/>
      <c r="CY159" s="335"/>
      <c r="CZ159" s="335"/>
      <c r="DA159" s="335"/>
      <c r="DB159" s="335"/>
      <c r="DC159" s="335"/>
      <c r="DD159" s="335"/>
      <c r="DE159" s="335"/>
      <c r="DF159" s="335"/>
      <c r="DG159" s="335"/>
      <c r="DH159" s="335"/>
      <c r="DI159" s="335"/>
      <c r="DJ159" s="335"/>
      <c r="DK159" s="335"/>
      <c r="DL159" s="335"/>
      <c r="DM159" s="335"/>
      <c r="DN159" s="335"/>
      <c r="DO159" s="335"/>
      <c r="DP159" s="335"/>
      <c r="DQ159" s="335"/>
      <c r="DR159" s="335"/>
      <c r="DS159" s="335"/>
      <c r="DT159" s="335"/>
      <c r="DU159" s="335"/>
      <c r="DV159" s="335"/>
      <c r="DW159" s="335"/>
      <c r="DX159" s="335"/>
      <c r="DY159" s="335"/>
      <c r="DZ159" s="335"/>
      <c r="EA159" s="335"/>
      <c r="EB159" s="335"/>
      <c r="EC159" s="335"/>
      <c r="ED159" s="335"/>
      <c r="EE159" s="335"/>
      <c r="EF159" s="335"/>
      <c r="EG159" s="335"/>
      <c r="EH159" s="335"/>
      <c r="EI159" s="335"/>
      <c r="EJ159" s="335"/>
      <c r="EK159" s="335"/>
      <c r="EL159" s="335"/>
      <c r="EM159" s="335"/>
    </row>
    <row r="160" spans="72:143">
      <c r="BT160" s="187"/>
      <c r="BU160" s="187" t="s">
        <v>67</v>
      </c>
      <c r="BV160" s="196">
        <v>124054</v>
      </c>
      <c r="BW160" s="197" t="e">
        <f t="shared" si="132"/>
        <v>#REF!</v>
      </c>
      <c r="BX160" s="198" t="e">
        <f>IF(AND(State_LOB_Code=18,LEFT(BW160,4)&lt;"2009"),81,State_LOB_Code)&amp;"|355"</f>
        <v>#REF!</v>
      </c>
      <c r="BY160" s="174"/>
      <c r="BZ160" s="175"/>
      <c r="CD160" s="163"/>
      <c r="CE160" s="363"/>
      <c r="CF160" s="335"/>
      <c r="CG160" s="335"/>
      <c r="CH160" s="335"/>
      <c r="CI160" s="335"/>
      <c r="CJ160" s="335"/>
      <c r="CK160" s="335"/>
      <c r="CL160" s="335"/>
      <c r="CM160" s="335"/>
      <c r="CN160" s="335"/>
      <c r="CO160" s="335"/>
      <c r="CP160" s="335"/>
      <c r="CQ160" s="335"/>
      <c r="CR160" s="335"/>
      <c r="CS160" s="335"/>
      <c r="CT160" s="335"/>
      <c r="CU160" s="335"/>
      <c r="CV160" s="335"/>
      <c r="CW160" s="335"/>
      <c r="CX160" s="335"/>
      <c r="CY160" s="335"/>
      <c r="CZ160" s="335"/>
      <c r="DA160" s="335"/>
      <c r="DB160" s="335"/>
      <c r="DC160" s="335"/>
      <c r="DD160" s="335"/>
      <c r="DE160" s="335"/>
      <c r="DF160" s="335"/>
      <c r="DG160" s="335"/>
      <c r="DH160" s="335"/>
      <c r="DI160" s="335"/>
      <c r="DJ160" s="335"/>
      <c r="DK160" s="335"/>
      <c r="DL160" s="335"/>
      <c r="DM160" s="335"/>
      <c r="DN160" s="335"/>
      <c r="DO160" s="335"/>
      <c r="DP160" s="335"/>
      <c r="DQ160" s="335"/>
      <c r="DR160" s="335"/>
      <c r="DS160" s="335"/>
      <c r="DT160" s="335"/>
      <c r="DU160" s="335"/>
      <c r="DV160" s="335"/>
      <c r="DW160" s="335"/>
      <c r="DX160" s="335"/>
      <c r="DY160" s="335"/>
      <c r="DZ160" s="335"/>
      <c r="EA160" s="335"/>
      <c r="EB160" s="335"/>
      <c r="EC160" s="335"/>
      <c r="ED160" s="335"/>
      <c r="EE160" s="335"/>
      <c r="EF160" s="335"/>
      <c r="EG160" s="335"/>
      <c r="EH160" s="335"/>
      <c r="EI160" s="335"/>
      <c r="EJ160" s="335"/>
      <c r="EK160" s="335"/>
      <c r="EL160" s="335"/>
      <c r="EM160" s="335"/>
    </row>
    <row r="161" spans="72:143">
      <c r="BT161" s="187"/>
      <c r="BU161" s="187" t="s">
        <v>68</v>
      </c>
      <c r="BV161" s="196">
        <v>124054</v>
      </c>
      <c r="BW161" s="197" t="e">
        <f t="shared" si="132"/>
        <v>#REF!</v>
      </c>
      <c r="BX161" s="198" t="e">
        <f>IF(AND(State_LOB_Code=18,LEFT(BW161,4)&lt;"2009"),81,State_LOB_Code)&amp;"|356"</f>
        <v>#REF!</v>
      </c>
      <c r="BY161" s="174"/>
      <c r="BZ161" s="175"/>
      <c r="CD161" s="163"/>
      <c r="CE161" s="363"/>
      <c r="CF161" s="335"/>
      <c r="CG161" s="335"/>
      <c r="CH161" s="335"/>
      <c r="CI161" s="335"/>
      <c r="CJ161" s="335"/>
      <c r="CK161" s="335"/>
      <c r="CL161" s="335"/>
      <c r="CM161" s="335"/>
      <c r="CN161" s="335"/>
      <c r="CO161" s="335"/>
      <c r="CP161" s="335"/>
      <c r="CQ161" s="335"/>
      <c r="CR161" s="335"/>
      <c r="CS161" s="335"/>
      <c r="CT161" s="335"/>
      <c r="CU161" s="335"/>
      <c r="CV161" s="335"/>
      <c r="CW161" s="335"/>
      <c r="CX161" s="335"/>
      <c r="CY161" s="335"/>
      <c r="CZ161" s="335"/>
      <c r="DA161" s="335"/>
      <c r="DB161" s="335"/>
      <c r="DC161" s="335"/>
      <c r="DD161" s="335"/>
      <c r="DE161" s="335"/>
      <c r="DF161" s="335"/>
      <c r="DG161" s="335"/>
      <c r="DH161" s="335"/>
      <c r="DI161" s="335"/>
      <c r="DJ161" s="335"/>
      <c r="DK161" s="335"/>
      <c r="DL161" s="335"/>
      <c r="DM161" s="335"/>
      <c r="DN161" s="335"/>
      <c r="DO161" s="335"/>
      <c r="DP161" s="335"/>
      <c r="DQ161" s="335"/>
      <c r="DR161" s="335"/>
      <c r="DS161" s="335"/>
      <c r="DT161" s="335"/>
      <c r="DU161" s="335"/>
      <c r="DV161" s="335"/>
      <c r="DW161" s="335"/>
      <c r="DX161" s="335"/>
      <c r="DY161" s="335"/>
      <c r="DZ161" s="335"/>
      <c r="EA161" s="335"/>
      <c r="EB161" s="335"/>
      <c r="EC161" s="335"/>
      <c r="ED161" s="335"/>
      <c r="EE161" s="335"/>
      <c r="EF161" s="335"/>
      <c r="EG161" s="335"/>
      <c r="EH161" s="335"/>
      <c r="EI161" s="335"/>
      <c r="EJ161" s="335"/>
      <c r="EK161" s="335"/>
      <c r="EL161" s="335"/>
      <c r="EM161" s="335"/>
    </row>
    <row r="162" spans="72:143">
      <c r="BT162" s="187"/>
      <c r="BU162" s="187" t="s">
        <v>69</v>
      </c>
      <c r="BV162" s="196">
        <v>124054</v>
      </c>
      <c r="BW162" s="197" t="e">
        <f t="shared" si="132"/>
        <v>#REF!</v>
      </c>
      <c r="BX162" s="198" t="e">
        <f>IF(AND(State_LOB_Code=18,LEFT(BW162,4)&lt;"2009"),81,State_LOB_Code)&amp;"|357"</f>
        <v>#REF!</v>
      </c>
      <c r="BY162" s="174"/>
      <c r="BZ162" s="175"/>
      <c r="CD162" s="163"/>
      <c r="CE162" s="363"/>
      <c r="CF162" s="335"/>
      <c r="CG162" s="335"/>
      <c r="CH162" s="335"/>
      <c r="CI162" s="335"/>
      <c r="CJ162" s="335"/>
      <c r="CK162" s="335"/>
      <c r="CL162" s="335"/>
      <c r="CM162" s="335"/>
      <c r="CN162" s="335"/>
      <c r="CO162" s="335"/>
      <c r="CP162" s="335"/>
      <c r="CQ162" s="335"/>
      <c r="CR162" s="335"/>
      <c r="CS162" s="335"/>
      <c r="CT162" s="335"/>
      <c r="CU162" s="335"/>
      <c r="CV162" s="335"/>
      <c r="CW162" s="335"/>
      <c r="CX162" s="335"/>
      <c r="CY162" s="335"/>
      <c r="CZ162" s="335"/>
      <c r="DA162" s="335"/>
      <c r="DB162" s="335"/>
      <c r="DC162" s="335"/>
      <c r="DD162" s="335"/>
      <c r="DE162" s="335"/>
      <c r="DF162" s="335"/>
      <c r="DG162" s="335"/>
      <c r="DH162" s="335"/>
      <c r="DI162" s="335"/>
      <c r="DJ162" s="335"/>
      <c r="DK162" s="335"/>
      <c r="DL162" s="335"/>
      <c r="DM162" s="335"/>
      <c r="DN162" s="335"/>
      <c r="DO162" s="335"/>
      <c r="DP162" s="335"/>
      <c r="DQ162" s="335"/>
      <c r="DR162" s="335"/>
      <c r="DS162" s="335"/>
      <c r="DT162" s="335"/>
      <c r="DU162" s="335"/>
      <c r="DV162" s="335"/>
      <c r="DW162" s="335"/>
      <c r="DX162" s="335"/>
      <c r="DY162" s="335"/>
      <c r="DZ162" s="335"/>
      <c r="EA162" s="335"/>
      <c r="EB162" s="335"/>
      <c r="EC162" s="335"/>
      <c r="ED162" s="335"/>
      <c r="EE162" s="335"/>
      <c r="EF162" s="335"/>
      <c r="EG162" s="335"/>
      <c r="EH162" s="335"/>
      <c r="EI162" s="335"/>
      <c r="EJ162" s="335"/>
      <c r="EK162" s="335"/>
      <c r="EL162" s="335"/>
      <c r="EM162" s="335"/>
    </row>
    <row r="163" spans="72:143">
      <c r="BT163" s="187"/>
      <c r="BU163" s="187" t="s">
        <v>70</v>
      </c>
      <c r="BV163" s="196">
        <v>124054</v>
      </c>
      <c r="BW163" s="197" t="e">
        <f t="shared" si="132"/>
        <v>#REF!</v>
      </c>
      <c r="BX163" s="198" t="e">
        <f>IF(AND(State_LOB_Code=18,LEFT(BW163,4)&lt;"2009"),81,State_LOB_Code)&amp;"|358"</f>
        <v>#REF!</v>
      </c>
      <c r="BY163" s="174"/>
      <c r="BZ163" s="175"/>
      <c r="CD163" s="163"/>
      <c r="CE163" s="363"/>
      <c r="CF163" s="335"/>
      <c r="CG163" s="335"/>
      <c r="CH163" s="335"/>
      <c r="CI163" s="335"/>
      <c r="CJ163" s="335"/>
      <c r="CK163" s="335"/>
      <c r="CL163" s="335"/>
      <c r="CM163" s="335"/>
      <c r="CN163" s="335"/>
      <c r="CO163" s="335"/>
      <c r="CP163" s="335"/>
      <c r="CQ163" s="335"/>
      <c r="CR163" s="335"/>
      <c r="CS163" s="335"/>
      <c r="CT163" s="335"/>
      <c r="CU163" s="335"/>
      <c r="CV163" s="335"/>
      <c r="CW163" s="335"/>
      <c r="CX163" s="335"/>
      <c r="CY163" s="335"/>
      <c r="CZ163" s="335"/>
      <c r="DA163" s="335"/>
      <c r="DB163" s="335"/>
      <c r="DC163" s="335"/>
      <c r="DD163" s="335"/>
      <c r="DE163" s="335"/>
      <c r="DF163" s="335"/>
      <c r="DG163" s="335"/>
      <c r="DH163" s="335"/>
      <c r="DI163" s="335"/>
      <c r="DJ163" s="335"/>
      <c r="DK163" s="335"/>
      <c r="DL163" s="335"/>
      <c r="DM163" s="335"/>
      <c r="DN163" s="335"/>
      <c r="DO163" s="335"/>
      <c r="DP163" s="335"/>
      <c r="DQ163" s="335"/>
      <c r="DR163" s="335"/>
      <c r="DS163" s="335"/>
      <c r="DT163" s="335"/>
      <c r="DU163" s="335"/>
      <c r="DV163" s="335"/>
      <c r="DW163" s="335"/>
      <c r="DX163" s="335"/>
      <c r="DY163" s="335"/>
      <c r="DZ163" s="335"/>
      <c r="EA163" s="335"/>
      <c r="EB163" s="335"/>
      <c r="EC163" s="335"/>
      <c r="ED163" s="335"/>
      <c r="EE163" s="335"/>
      <c r="EF163" s="335"/>
      <c r="EG163" s="335"/>
      <c r="EH163" s="335"/>
      <c r="EI163" s="335"/>
      <c r="EJ163" s="335"/>
      <c r="EK163" s="335"/>
      <c r="EL163" s="335"/>
      <c r="EM163" s="335"/>
    </row>
    <row r="164" spans="72:143">
      <c r="BT164" s="187"/>
      <c r="BU164" s="187" t="s">
        <v>71</v>
      </c>
      <c r="BV164" s="196">
        <v>124054</v>
      </c>
      <c r="BW164" s="197" t="e">
        <f t="shared" si="132"/>
        <v>#REF!</v>
      </c>
      <c r="BX164" s="198" t="e">
        <f>IF(AND(State_LOB_Code=18,LEFT(BW164,4)&lt;"2009"),81,State_LOB_Code)&amp;"|359"</f>
        <v>#REF!</v>
      </c>
      <c r="BY164" s="174"/>
      <c r="BZ164" s="175"/>
      <c r="CD164" s="163"/>
      <c r="CE164" s="363"/>
      <c r="CF164" s="335"/>
      <c r="CG164" s="335"/>
      <c r="CH164" s="335"/>
      <c r="CI164" s="335"/>
      <c r="CJ164" s="335"/>
      <c r="CK164" s="335"/>
      <c r="CL164" s="335"/>
      <c r="CM164" s="335"/>
      <c r="CN164" s="335"/>
      <c r="CO164" s="335"/>
      <c r="CP164" s="335"/>
      <c r="CQ164" s="335"/>
      <c r="CR164" s="335"/>
      <c r="CS164" s="335"/>
      <c r="CT164" s="335"/>
      <c r="CU164" s="335"/>
      <c r="CV164" s="335"/>
      <c r="CW164" s="335"/>
      <c r="CX164" s="335"/>
      <c r="CY164" s="335"/>
      <c r="CZ164" s="335"/>
      <c r="DA164" s="335"/>
      <c r="DB164" s="335"/>
      <c r="DC164" s="335"/>
      <c r="DD164" s="335"/>
      <c r="DE164" s="335"/>
      <c r="DF164" s="335"/>
      <c r="DG164" s="335"/>
      <c r="DH164" s="335"/>
      <c r="DI164" s="335"/>
      <c r="DJ164" s="335"/>
      <c r="DK164" s="335"/>
      <c r="DL164" s="335"/>
      <c r="DM164" s="335"/>
      <c r="DN164" s="335"/>
      <c r="DO164" s="335"/>
      <c r="DP164" s="335"/>
      <c r="DQ164" s="335"/>
      <c r="DR164" s="335"/>
      <c r="DS164" s="335"/>
      <c r="DT164" s="335"/>
      <c r="DU164" s="335"/>
      <c r="DV164" s="335"/>
      <c r="DW164" s="335"/>
      <c r="DX164" s="335"/>
      <c r="DY164" s="335"/>
      <c r="DZ164" s="335"/>
      <c r="EA164" s="335"/>
      <c r="EB164" s="335"/>
      <c r="EC164" s="335"/>
      <c r="ED164" s="335"/>
      <c r="EE164" s="335"/>
      <c r="EF164" s="335"/>
      <c r="EG164" s="335"/>
      <c r="EH164" s="335"/>
      <c r="EI164" s="335"/>
      <c r="EJ164" s="335"/>
      <c r="EK164" s="335"/>
      <c r="EL164" s="335"/>
      <c r="EM164" s="335"/>
    </row>
    <row r="165" spans="72:143">
      <c r="BT165" s="187"/>
      <c r="BU165" s="187" t="s">
        <v>72</v>
      </c>
      <c r="BV165" s="196">
        <v>124054</v>
      </c>
      <c r="BW165" s="197" t="e">
        <f t="shared" si="132"/>
        <v>#REF!</v>
      </c>
      <c r="BX165" s="198" t="e">
        <f>IF(AND(State_LOB_Code=18,LEFT(BW165,4)&lt;"2009"),81,State_LOB_Code)&amp;"|361"</f>
        <v>#REF!</v>
      </c>
      <c r="BY165" s="174"/>
      <c r="BZ165" s="175"/>
      <c r="CD165" s="163"/>
      <c r="CE165" s="363"/>
      <c r="CF165" s="335"/>
      <c r="CG165" s="335"/>
      <c r="CH165" s="335"/>
      <c r="CI165" s="335"/>
      <c r="CJ165" s="335"/>
      <c r="CK165" s="335"/>
      <c r="CL165" s="335"/>
      <c r="CM165" s="335"/>
      <c r="CN165" s="335"/>
      <c r="CO165" s="335"/>
      <c r="CP165" s="335"/>
      <c r="CQ165" s="335"/>
      <c r="CR165" s="335"/>
      <c r="CS165" s="335"/>
      <c r="CT165" s="335"/>
      <c r="CU165" s="335"/>
      <c r="CV165" s="335"/>
      <c r="CW165" s="335"/>
      <c r="CX165" s="335"/>
      <c r="CY165" s="335"/>
      <c r="CZ165" s="335"/>
      <c r="DA165" s="335"/>
      <c r="DB165" s="335"/>
      <c r="DC165" s="335"/>
      <c r="DD165" s="335"/>
      <c r="DE165" s="335"/>
      <c r="DF165" s="335"/>
      <c r="DG165" s="335"/>
      <c r="DH165" s="335"/>
      <c r="DI165" s="335"/>
      <c r="DJ165" s="335"/>
      <c r="DK165" s="335"/>
      <c r="DL165" s="335"/>
      <c r="DM165" s="335"/>
      <c r="DN165" s="335"/>
      <c r="DO165" s="335"/>
      <c r="DP165" s="335"/>
      <c r="DQ165" s="335"/>
      <c r="DR165" s="335"/>
      <c r="DS165" s="335"/>
      <c r="DT165" s="335"/>
      <c r="DU165" s="335"/>
      <c r="DV165" s="335"/>
      <c r="DW165" s="335"/>
      <c r="DX165" s="335"/>
      <c r="DY165" s="335"/>
      <c r="DZ165" s="335"/>
      <c r="EA165" s="335"/>
      <c r="EB165" s="335"/>
      <c r="EC165" s="335"/>
      <c r="ED165" s="335"/>
      <c r="EE165" s="335"/>
      <c r="EF165" s="335"/>
      <c r="EG165" s="335"/>
      <c r="EH165" s="335"/>
      <c r="EI165" s="335"/>
      <c r="EJ165" s="335"/>
      <c r="EK165" s="335"/>
      <c r="EL165" s="335"/>
      <c r="EM165" s="335"/>
    </row>
    <row r="166" spans="72:143">
      <c r="BT166" s="187"/>
      <c r="BU166" s="187" t="s">
        <v>73</v>
      </c>
      <c r="BV166" s="196">
        <v>124054</v>
      </c>
      <c r="BW166" s="197" t="e">
        <f t="shared" si="132"/>
        <v>#REF!</v>
      </c>
      <c r="BX166" s="198" t="e">
        <f>IF(AND(State_LOB_Code=18,LEFT(BW166,4)&lt;"2009"),81,State_LOB_Code)&amp;"|362"</f>
        <v>#REF!</v>
      </c>
      <c r="BY166" s="174"/>
      <c r="BZ166" s="175"/>
      <c r="CD166" s="163"/>
      <c r="CE166" s="363"/>
      <c r="CF166" s="335"/>
      <c r="CG166" s="335"/>
      <c r="CH166" s="335"/>
      <c r="CI166" s="335"/>
      <c r="CJ166" s="335"/>
      <c r="CK166" s="335"/>
      <c r="CL166" s="335"/>
      <c r="CM166" s="335"/>
      <c r="CN166" s="335"/>
      <c r="CO166" s="335"/>
      <c r="CP166" s="335"/>
      <c r="CQ166" s="335"/>
      <c r="CR166" s="335"/>
      <c r="CS166" s="335"/>
      <c r="CT166" s="335"/>
      <c r="CU166" s="335"/>
      <c r="CV166" s="335"/>
      <c r="CW166" s="335"/>
      <c r="CX166" s="335"/>
      <c r="CY166" s="335"/>
      <c r="CZ166" s="335"/>
      <c r="DA166" s="335"/>
      <c r="DB166" s="335"/>
      <c r="DC166" s="335"/>
      <c r="DD166" s="335"/>
      <c r="DE166" s="335"/>
      <c r="DF166" s="335"/>
      <c r="DG166" s="335"/>
      <c r="DH166" s="335"/>
      <c r="DI166" s="335"/>
      <c r="DJ166" s="335"/>
      <c r="DK166" s="335"/>
      <c r="DL166" s="335"/>
      <c r="DM166" s="335"/>
      <c r="DN166" s="335"/>
      <c r="DO166" s="335"/>
      <c r="DP166" s="335"/>
      <c r="DQ166" s="335"/>
      <c r="DR166" s="335"/>
      <c r="DS166" s="335"/>
      <c r="DT166" s="335"/>
      <c r="DU166" s="335"/>
      <c r="DV166" s="335"/>
      <c r="DW166" s="335"/>
      <c r="DX166" s="335"/>
      <c r="DY166" s="335"/>
      <c r="DZ166" s="335"/>
      <c r="EA166" s="335"/>
      <c r="EB166" s="335"/>
      <c r="EC166" s="335"/>
      <c r="ED166" s="335"/>
      <c r="EE166" s="335"/>
      <c r="EF166" s="335"/>
      <c r="EG166" s="335"/>
      <c r="EH166" s="335"/>
      <c r="EI166" s="335"/>
      <c r="EJ166" s="335"/>
      <c r="EK166" s="335"/>
      <c r="EL166" s="335"/>
      <c r="EM166" s="335"/>
    </row>
    <row r="167" spans="72:143">
      <c r="BT167" s="187"/>
      <c r="BU167" s="187" t="s">
        <v>74</v>
      </c>
      <c r="BV167" s="196">
        <v>124054</v>
      </c>
      <c r="BW167" s="197" t="e">
        <f t="shared" si="132"/>
        <v>#REF!</v>
      </c>
      <c r="BX167" s="198" t="e">
        <f>IF(AND(State_LOB_Code=18,LEFT(BW167,4)&lt;"2009"),81,State_LOB_Code)&amp;"|363"</f>
        <v>#REF!</v>
      </c>
      <c r="BY167" s="174"/>
      <c r="BZ167" s="175"/>
      <c r="CD167" s="163"/>
      <c r="CE167" s="363"/>
      <c r="CF167" s="335"/>
      <c r="CG167" s="335"/>
      <c r="CH167" s="335"/>
      <c r="CI167" s="335"/>
      <c r="CJ167" s="335"/>
      <c r="CK167" s="335"/>
      <c r="CL167" s="335"/>
      <c r="CM167" s="335"/>
      <c r="CN167" s="335"/>
      <c r="CO167" s="335"/>
      <c r="CP167" s="335"/>
      <c r="CQ167" s="335"/>
      <c r="CR167" s="335"/>
      <c r="CS167" s="335"/>
      <c r="CT167" s="335"/>
      <c r="CU167" s="335"/>
      <c r="CV167" s="335"/>
      <c r="CW167" s="335"/>
      <c r="CX167" s="335"/>
      <c r="CY167" s="335"/>
      <c r="CZ167" s="335"/>
      <c r="DA167" s="335"/>
      <c r="DB167" s="335"/>
      <c r="DC167" s="335"/>
      <c r="DD167" s="335"/>
      <c r="DE167" s="335"/>
      <c r="DF167" s="335"/>
      <c r="DG167" s="335"/>
      <c r="DH167" s="335"/>
      <c r="DI167" s="335"/>
      <c r="DJ167" s="335"/>
      <c r="DK167" s="335"/>
      <c r="DL167" s="335"/>
      <c r="DM167" s="335"/>
      <c r="DN167" s="335"/>
      <c r="DO167" s="335"/>
      <c r="DP167" s="335"/>
      <c r="DQ167" s="335"/>
      <c r="DR167" s="335"/>
      <c r="DS167" s="335"/>
      <c r="DT167" s="335"/>
      <c r="DU167" s="335"/>
      <c r="DV167" s="335"/>
      <c r="DW167" s="335"/>
      <c r="DX167" s="335"/>
      <c r="DY167" s="335"/>
      <c r="DZ167" s="335"/>
      <c r="EA167" s="335"/>
      <c r="EB167" s="335"/>
      <c r="EC167" s="335"/>
      <c r="ED167" s="335"/>
      <c r="EE167" s="335"/>
      <c r="EF167" s="335"/>
      <c r="EG167" s="335"/>
      <c r="EH167" s="335"/>
      <c r="EI167" s="335"/>
      <c r="EJ167" s="335"/>
      <c r="EK167" s="335"/>
      <c r="EL167" s="335"/>
      <c r="EM167" s="335"/>
    </row>
    <row r="168" spans="72:143">
      <c r="BT168" s="187"/>
      <c r="BU168" s="187" t="s">
        <v>75</v>
      </c>
      <c r="BV168" s="196">
        <v>124054</v>
      </c>
      <c r="BW168" s="197" t="e">
        <f t="shared" si="132"/>
        <v>#REF!</v>
      </c>
      <c r="BX168" s="198" t="e">
        <f>IF(AND(State_LOB_Code=18,LEFT(BW168,4)&lt;"2009"),81,State_LOB_Code)&amp;"|364"</f>
        <v>#REF!</v>
      </c>
      <c r="BY168" s="174"/>
      <c r="BZ168" s="175"/>
      <c r="CD168" s="163"/>
      <c r="CE168" s="363"/>
      <c r="CF168" s="335"/>
      <c r="CG168" s="335"/>
      <c r="CH168" s="335"/>
      <c r="CI168" s="335"/>
      <c r="CJ168" s="335"/>
      <c r="CK168" s="335"/>
      <c r="CL168" s="335"/>
      <c r="CM168" s="335"/>
      <c r="CN168" s="335"/>
      <c r="CO168" s="335"/>
      <c r="CP168" s="335"/>
      <c r="CQ168" s="335"/>
      <c r="CR168" s="335"/>
      <c r="CS168" s="335"/>
      <c r="CT168" s="335"/>
      <c r="CU168" s="335"/>
      <c r="CV168" s="335"/>
      <c r="CW168" s="335"/>
      <c r="CX168" s="335"/>
      <c r="CY168" s="335"/>
      <c r="CZ168" s="335"/>
      <c r="DA168" s="335"/>
      <c r="DB168" s="335"/>
      <c r="DC168" s="335"/>
      <c r="DD168" s="335"/>
      <c r="DE168" s="335"/>
      <c r="DF168" s="335"/>
      <c r="DG168" s="335"/>
      <c r="DH168" s="335"/>
      <c r="DI168" s="335"/>
      <c r="DJ168" s="335"/>
      <c r="DK168" s="335"/>
      <c r="DL168" s="335"/>
      <c r="DM168" s="335"/>
      <c r="DN168" s="335"/>
      <c r="DO168" s="335"/>
      <c r="DP168" s="335"/>
      <c r="DQ168" s="335"/>
      <c r="DR168" s="335"/>
      <c r="DS168" s="335"/>
      <c r="DT168" s="335"/>
      <c r="DU168" s="335"/>
      <c r="DV168" s="335"/>
      <c r="DW168" s="335"/>
      <c r="DX168" s="335"/>
      <c r="DY168" s="335"/>
      <c r="DZ168" s="335"/>
      <c r="EA168" s="335"/>
      <c r="EB168" s="335"/>
      <c r="EC168" s="335"/>
      <c r="ED168" s="335"/>
      <c r="EE168" s="335"/>
      <c r="EF168" s="335"/>
      <c r="EG168" s="335"/>
      <c r="EH168" s="335"/>
      <c r="EI168" s="335"/>
      <c r="EJ168" s="335"/>
      <c r="EK168" s="335"/>
      <c r="EL168" s="335"/>
      <c r="EM168" s="335"/>
    </row>
    <row r="169" spans="72:143">
      <c r="BT169" s="187"/>
      <c r="BU169" s="187" t="s">
        <v>76</v>
      </c>
      <c r="BV169" s="196">
        <v>124054</v>
      </c>
      <c r="BW169" s="197" t="e">
        <f t="shared" si="132"/>
        <v>#REF!</v>
      </c>
      <c r="BX169" s="198" t="e">
        <f>IF(AND(State_LOB_Code=18,LEFT(BW169,4)&lt;"2009"),81,State_LOB_Code)&amp;"|365"</f>
        <v>#REF!</v>
      </c>
      <c r="BY169" s="174"/>
      <c r="BZ169" s="175"/>
      <c r="CD169" s="163"/>
      <c r="CE169" s="363"/>
      <c r="CF169" s="335"/>
      <c r="CG169" s="335"/>
      <c r="CH169" s="335"/>
      <c r="CI169" s="335"/>
      <c r="CJ169" s="335"/>
      <c r="CK169" s="335"/>
      <c r="CL169" s="335"/>
      <c r="CM169" s="335"/>
      <c r="CN169" s="335"/>
      <c r="CO169" s="335"/>
      <c r="CP169" s="335"/>
      <c r="CQ169" s="335"/>
      <c r="CR169" s="335"/>
      <c r="CS169" s="335"/>
      <c r="CT169" s="335"/>
      <c r="CU169" s="335"/>
      <c r="CV169" s="335"/>
      <c r="CW169" s="335"/>
      <c r="CX169" s="335"/>
      <c r="CY169" s="335"/>
      <c r="CZ169" s="335"/>
      <c r="DA169" s="335"/>
      <c r="DB169" s="335"/>
      <c r="DC169" s="335"/>
      <c r="DD169" s="335"/>
      <c r="DE169" s="335"/>
      <c r="DF169" s="335"/>
      <c r="DG169" s="335"/>
      <c r="DH169" s="335"/>
      <c r="DI169" s="335"/>
      <c r="DJ169" s="335"/>
      <c r="DK169" s="335"/>
      <c r="DL169" s="335"/>
      <c r="DM169" s="335"/>
      <c r="DN169" s="335"/>
      <c r="DO169" s="335"/>
      <c r="DP169" s="335"/>
      <c r="DQ169" s="335"/>
      <c r="DR169" s="335"/>
      <c r="DS169" s="335"/>
      <c r="DT169" s="335"/>
      <c r="DU169" s="335"/>
      <c r="DV169" s="335"/>
      <c r="DW169" s="335"/>
      <c r="DX169" s="335"/>
      <c r="DY169" s="335"/>
      <c r="DZ169" s="335"/>
      <c r="EA169" s="335"/>
      <c r="EB169" s="335"/>
      <c r="EC169" s="335"/>
      <c r="ED169" s="335"/>
      <c r="EE169" s="335"/>
      <c r="EF169" s="335"/>
      <c r="EG169" s="335"/>
      <c r="EH169" s="335"/>
      <c r="EI169" s="335"/>
      <c r="EJ169" s="335"/>
      <c r="EK169" s="335"/>
      <c r="EL169" s="335"/>
      <c r="EM169" s="335"/>
    </row>
    <row r="170" spans="72:143">
      <c r="BT170" s="187"/>
      <c r="BU170" s="187" t="s">
        <v>77</v>
      </c>
      <c r="BV170" s="196">
        <v>124054</v>
      </c>
      <c r="BW170" s="197" t="e">
        <f t="shared" si="132"/>
        <v>#REF!</v>
      </c>
      <c r="BX170" s="198" t="e">
        <f>IF(AND(State_LOB_Code=18,LEFT(BW170,4)&lt;"2009"),81,State_LOB_Code)&amp;"|366"</f>
        <v>#REF!</v>
      </c>
      <c r="BY170" s="174"/>
      <c r="BZ170" s="175"/>
      <c r="CD170" s="163"/>
      <c r="CE170" s="363"/>
      <c r="CF170" s="335"/>
      <c r="CG170" s="335"/>
      <c r="CH170" s="335"/>
      <c r="CI170" s="335"/>
      <c r="CJ170" s="335"/>
      <c r="CK170" s="335"/>
      <c r="CL170" s="335"/>
      <c r="CM170" s="335"/>
      <c r="CN170" s="335"/>
      <c r="CO170" s="335"/>
      <c r="CP170" s="335"/>
      <c r="CQ170" s="335"/>
      <c r="CR170" s="335"/>
      <c r="CS170" s="335"/>
      <c r="CT170" s="335"/>
      <c r="CU170" s="335"/>
      <c r="CV170" s="335"/>
      <c r="CW170" s="335"/>
      <c r="CX170" s="335"/>
      <c r="CY170" s="335"/>
      <c r="CZ170" s="335"/>
      <c r="DA170" s="335"/>
      <c r="DB170" s="335"/>
      <c r="DC170" s="335"/>
      <c r="DD170" s="335"/>
      <c r="DE170" s="335"/>
      <c r="DF170" s="335"/>
      <c r="DG170" s="335"/>
      <c r="DH170" s="335"/>
      <c r="DI170" s="335"/>
      <c r="DJ170" s="335"/>
      <c r="DK170" s="335"/>
      <c r="DL170" s="335"/>
      <c r="DM170" s="335"/>
      <c r="DN170" s="335"/>
      <c r="DO170" s="335"/>
      <c r="DP170" s="335"/>
      <c r="DQ170" s="335"/>
      <c r="DR170" s="335"/>
      <c r="DS170" s="335"/>
      <c r="DT170" s="335"/>
      <c r="DU170" s="335"/>
      <c r="DV170" s="335"/>
      <c r="DW170" s="335"/>
      <c r="DX170" s="335"/>
      <c r="DY170" s="335"/>
      <c r="DZ170" s="335"/>
      <c r="EA170" s="335"/>
      <c r="EB170" s="335"/>
      <c r="EC170" s="335"/>
      <c r="ED170" s="335"/>
      <c r="EE170" s="335"/>
      <c r="EF170" s="335"/>
      <c r="EG170" s="335"/>
      <c r="EH170" s="335"/>
      <c r="EI170" s="335"/>
      <c r="EJ170" s="335"/>
      <c r="EK170" s="335"/>
      <c r="EL170" s="335"/>
      <c r="EM170" s="335"/>
    </row>
    <row r="171" spans="72:143">
      <c r="BT171" s="187"/>
      <c r="BU171" s="187" t="s">
        <v>78</v>
      </c>
      <c r="BV171" s="196">
        <v>124054</v>
      </c>
      <c r="BW171" s="197" t="e">
        <f t="shared" si="132"/>
        <v>#REF!</v>
      </c>
      <c r="BX171" s="198" t="e">
        <f>IF(AND(State_LOB_Code=18,LEFT(BW171,4)&lt;"2009"),81,State_LOB_Code)&amp;"|367"</f>
        <v>#REF!</v>
      </c>
      <c r="BY171" s="174"/>
      <c r="BZ171" s="175"/>
      <c r="CD171" s="163"/>
      <c r="CE171" s="363"/>
      <c r="CF171" s="335"/>
      <c r="CG171" s="335"/>
      <c r="CH171" s="335"/>
      <c r="CI171" s="335"/>
      <c r="CJ171" s="335"/>
      <c r="CK171" s="335"/>
      <c r="CL171" s="335"/>
      <c r="CM171" s="335"/>
      <c r="CN171" s="335"/>
      <c r="CO171" s="335"/>
      <c r="CP171" s="335"/>
      <c r="CQ171" s="335"/>
      <c r="CR171" s="335"/>
      <c r="CS171" s="335"/>
      <c r="CT171" s="335"/>
      <c r="CU171" s="335"/>
      <c r="CV171" s="335"/>
      <c r="CW171" s="335"/>
      <c r="CX171" s="335"/>
      <c r="CY171" s="335"/>
      <c r="CZ171" s="335"/>
      <c r="DA171" s="335"/>
      <c r="DB171" s="335"/>
      <c r="DC171" s="335"/>
      <c r="DD171" s="335"/>
      <c r="DE171" s="335"/>
      <c r="DF171" s="335"/>
      <c r="DG171" s="335"/>
      <c r="DH171" s="335"/>
      <c r="DI171" s="335"/>
      <c r="DJ171" s="335"/>
      <c r="DK171" s="335"/>
      <c r="DL171" s="335"/>
      <c r="DM171" s="335"/>
      <c r="DN171" s="335"/>
      <c r="DO171" s="335"/>
      <c r="DP171" s="335"/>
      <c r="DQ171" s="335"/>
      <c r="DR171" s="335"/>
      <c r="DS171" s="335"/>
      <c r="DT171" s="335"/>
      <c r="DU171" s="335"/>
      <c r="DV171" s="335"/>
      <c r="DW171" s="335"/>
      <c r="DX171" s="335"/>
      <c r="DY171" s="335"/>
      <c r="DZ171" s="335"/>
      <c r="EA171" s="335"/>
      <c r="EB171" s="335"/>
      <c r="EC171" s="335"/>
      <c r="ED171" s="335"/>
      <c r="EE171" s="335"/>
      <c r="EF171" s="335"/>
      <c r="EG171" s="335"/>
      <c r="EH171" s="335"/>
      <c r="EI171" s="335"/>
      <c r="EJ171" s="335"/>
      <c r="EK171" s="335"/>
      <c r="EL171" s="335"/>
      <c r="EM171" s="335"/>
    </row>
    <row r="172" spans="72:143">
      <c r="BT172" s="187"/>
      <c r="BU172" s="187" t="s">
        <v>79</v>
      </c>
      <c r="BV172" s="196">
        <v>124054</v>
      </c>
      <c r="BW172" s="197" t="e">
        <f t="shared" ref="BW172:BW199" si="133">LEFT(BW111,4)-1&amp;"Y"</f>
        <v>#REF!</v>
      </c>
      <c r="BX172" s="198" t="e">
        <f>IF(AND(State_LOB_Code=18,LEFT(BW172,4)&lt;"2009"),81,State_LOB_Code)&amp;"|368"</f>
        <v>#REF!</v>
      </c>
      <c r="BY172" s="174"/>
      <c r="BZ172" s="175"/>
      <c r="CD172" s="163"/>
      <c r="CE172" s="363"/>
      <c r="CF172" s="335"/>
      <c r="CG172" s="335"/>
      <c r="CH172" s="335"/>
      <c r="CI172" s="335"/>
      <c r="CJ172" s="335"/>
      <c r="CK172" s="335"/>
      <c r="CL172" s="335"/>
      <c r="CM172" s="335"/>
      <c r="CN172" s="335"/>
      <c r="CO172" s="335"/>
      <c r="CP172" s="335"/>
      <c r="CQ172" s="335"/>
      <c r="CR172" s="335"/>
      <c r="CS172" s="335"/>
      <c r="CT172" s="335"/>
      <c r="CU172" s="335"/>
      <c r="CV172" s="335"/>
      <c r="CW172" s="335"/>
      <c r="CX172" s="335"/>
      <c r="CY172" s="335"/>
      <c r="CZ172" s="335"/>
      <c r="DA172" s="335"/>
      <c r="DB172" s="335"/>
      <c r="DC172" s="335"/>
      <c r="DD172" s="335"/>
      <c r="DE172" s="335"/>
      <c r="DF172" s="335"/>
      <c r="DG172" s="335"/>
      <c r="DH172" s="335"/>
      <c r="DI172" s="335"/>
      <c r="DJ172" s="335"/>
      <c r="DK172" s="335"/>
      <c r="DL172" s="335"/>
      <c r="DM172" s="335"/>
      <c r="DN172" s="335"/>
      <c r="DO172" s="335"/>
      <c r="DP172" s="335"/>
      <c r="DQ172" s="335"/>
      <c r="DR172" s="335"/>
      <c r="DS172" s="335"/>
      <c r="DT172" s="335"/>
      <c r="DU172" s="335"/>
      <c r="DV172" s="335"/>
      <c r="DW172" s="335"/>
      <c r="DX172" s="335"/>
      <c r="DY172" s="335"/>
      <c r="DZ172" s="335"/>
      <c r="EA172" s="335"/>
      <c r="EB172" s="335"/>
      <c r="EC172" s="335"/>
      <c r="ED172" s="335"/>
      <c r="EE172" s="335"/>
      <c r="EF172" s="335"/>
      <c r="EG172" s="335"/>
      <c r="EH172" s="335"/>
      <c r="EI172" s="335"/>
      <c r="EJ172" s="335"/>
      <c r="EK172" s="335"/>
      <c r="EL172" s="335"/>
      <c r="EM172" s="335"/>
    </row>
    <row r="173" spans="72:143">
      <c r="BT173" s="187"/>
      <c r="BU173" s="187" t="s">
        <v>80</v>
      </c>
      <c r="BV173" s="196">
        <v>124054</v>
      </c>
      <c r="BW173" s="197" t="e">
        <f t="shared" si="133"/>
        <v>#REF!</v>
      </c>
      <c r="BX173" s="198" t="e">
        <f>IF(AND(State_LOB_Code=18,LEFT(BW173,4)&lt;"2009"),81,State_LOB_Code)&amp;"|369"</f>
        <v>#REF!</v>
      </c>
      <c r="BY173" s="174"/>
      <c r="BZ173" s="175"/>
      <c r="CD173" s="163"/>
      <c r="CE173" s="363"/>
      <c r="CF173" s="335"/>
      <c r="CG173" s="335"/>
      <c r="CH173" s="335"/>
      <c r="CI173" s="335"/>
      <c r="CJ173" s="335"/>
      <c r="CK173" s="335"/>
      <c r="CL173" s="335"/>
      <c r="CM173" s="335"/>
      <c r="CN173" s="335"/>
      <c r="CO173" s="335"/>
      <c r="CP173" s="335"/>
      <c r="CQ173" s="335"/>
      <c r="CR173" s="335"/>
      <c r="CS173" s="335"/>
      <c r="CT173" s="335"/>
      <c r="CU173" s="335"/>
      <c r="CV173" s="335"/>
      <c r="CW173" s="335"/>
      <c r="CX173" s="335"/>
      <c r="CY173" s="335"/>
      <c r="CZ173" s="335"/>
      <c r="DA173" s="335"/>
      <c r="DB173" s="335"/>
      <c r="DC173" s="335"/>
      <c r="DD173" s="335"/>
      <c r="DE173" s="335"/>
      <c r="DF173" s="335"/>
      <c r="DG173" s="335"/>
      <c r="DH173" s="335"/>
      <c r="DI173" s="335"/>
      <c r="DJ173" s="335"/>
      <c r="DK173" s="335"/>
      <c r="DL173" s="335"/>
      <c r="DM173" s="335"/>
      <c r="DN173" s="335"/>
      <c r="DO173" s="335"/>
      <c r="DP173" s="335"/>
      <c r="DQ173" s="335"/>
      <c r="DR173" s="335"/>
      <c r="DS173" s="335"/>
      <c r="DT173" s="335"/>
      <c r="DU173" s="335"/>
      <c r="DV173" s="335"/>
      <c r="DW173" s="335"/>
      <c r="DX173" s="335"/>
      <c r="DY173" s="335"/>
      <c r="DZ173" s="335"/>
      <c r="EA173" s="335"/>
      <c r="EB173" s="335"/>
      <c r="EC173" s="335"/>
      <c r="ED173" s="335"/>
      <c r="EE173" s="335"/>
      <c r="EF173" s="335"/>
      <c r="EG173" s="335"/>
      <c r="EH173" s="335"/>
      <c r="EI173" s="335"/>
      <c r="EJ173" s="335"/>
      <c r="EK173" s="335"/>
      <c r="EL173" s="335"/>
      <c r="EM173" s="335"/>
    </row>
    <row r="174" spans="72:143">
      <c r="BT174" s="187"/>
      <c r="BU174" s="187" t="s">
        <v>81</v>
      </c>
      <c r="BV174" s="196">
        <v>124054</v>
      </c>
      <c r="BW174" s="197" t="e">
        <f t="shared" si="133"/>
        <v>#REF!</v>
      </c>
      <c r="BX174" s="198" t="e">
        <f>IF(AND(State_LOB_Code=18,LEFT(BW174,4)&lt;"2009"),81,State_LOB_Code)&amp;"|370"</f>
        <v>#REF!</v>
      </c>
      <c r="BY174" s="174"/>
      <c r="BZ174" s="175"/>
      <c r="CD174" s="163"/>
      <c r="CE174" s="363"/>
      <c r="CF174" s="335"/>
      <c r="CG174" s="335"/>
      <c r="CH174" s="335"/>
      <c r="CI174" s="335"/>
      <c r="CJ174" s="335"/>
      <c r="CK174" s="335"/>
      <c r="CL174" s="335"/>
      <c r="CM174" s="335"/>
      <c r="CN174" s="335"/>
      <c r="CO174" s="335"/>
      <c r="CP174" s="335"/>
      <c r="CQ174" s="335"/>
      <c r="CR174" s="335"/>
      <c r="CS174" s="335"/>
      <c r="CT174" s="335"/>
      <c r="CU174" s="335"/>
      <c r="CV174" s="335"/>
      <c r="CW174" s="335"/>
      <c r="CX174" s="335"/>
      <c r="CY174" s="335"/>
      <c r="CZ174" s="335"/>
      <c r="DA174" s="335"/>
      <c r="DB174" s="335"/>
      <c r="DC174" s="335"/>
      <c r="DD174" s="335"/>
      <c r="DE174" s="335"/>
      <c r="DF174" s="335"/>
      <c r="DG174" s="335"/>
      <c r="DH174" s="335"/>
      <c r="DI174" s="335"/>
      <c r="DJ174" s="335"/>
      <c r="DK174" s="335"/>
      <c r="DL174" s="335"/>
      <c r="DM174" s="335"/>
      <c r="DN174" s="335"/>
      <c r="DO174" s="335"/>
      <c r="DP174" s="335"/>
      <c r="DQ174" s="335"/>
      <c r="DR174" s="335"/>
      <c r="DS174" s="335"/>
      <c r="DT174" s="335"/>
      <c r="DU174" s="335"/>
      <c r="DV174" s="335"/>
      <c r="DW174" s="335"/>
      <c r="DX174" s="335"/>
      <c r="DY174" s="335"/>
      <c r="DZ174" s="335"/>
      <c r="EA174" s="335"/>
      <c r="EB174" s="335"/>
      <c r="EC174" s="335"/>
      <c r="ED174" s="335"/>
      <c r="EE174" s="335"/>
      <c r="EF174" s="335"/>
      <c r="EG174" s="335"/>
      <c r="EH174" s="335"/>
      <c r="EI174" s="335"/>
      <c r="EJ174" s="335"/>
      <c r="EK174" s="335"/>
      <c r="EL174" s="335"/>
      <c r="EM174" s="335"/>
    </row>
    <row r="175" spans="72:143">
      <c r="BT175" s="187"/>
      <c r="BU175" s="187" t="s">
        <v>82</v>
      </c>
      <c r="BV175" s="196">
        <v>124054</v>
      </c>
      <c r="BW175" s="197" t="e">
        <f t="shared" si="133"/>
        <v>#REF!</v>
      </c>
      <c r="BX175" s="198" t="e">
        <f>IF(AND(State_LOB_Code=18,LEFT(BW175,4)&lt;"2009"),81,State_LOB_Code)&amp;"|371"</f>
        <v>#REF!</v>
      </c>
      <c r="BY175" s="174"/>
      <c r="BZ175" s="175"/>
      <c r="CD175" s="163"/>
      <c r="CE175" s="363"/>
      <c r="CF175" s="335"/>
      <c r="CG175" s="335"/>
      <c r="CH175" s="335"/>
      <c r="CI175" s="335"/>
      <c r="CJ175" s="335"/>
      <c r="CK175" s="335"/>
      <c r="CL175" s="335"/>
      <c r="CM175" s="335"/>
      <c r="CN175" s="335"/>
      <c r="CO175" s="335"/>
      <c r="CP175" s="335"/>
      <c r="CQ175" s="335"/>
      <c r="CR175" s="335"/>
      <c r="CS175" s="335"/>
      <c r="CT175" s="335"/>
      <c r="CU175" s="335"/>
      <c r="CV175" s="335"/>
      <c r="CW175" s="335"/>
      <c r="CX175" s="335"/>
      <c r="CY175" s="335"/>
      <c r="CZ175" s="335"/>
      <c r="DA175" s="335"/>
      <c r="DB175" s="335"/>
      <c r="DC175" s="335"/>
      <c r="DD175" s="335"/>
      <c r="DE175" s="335"/>
      <c r="DF175" s="335"/>
      <c r="DG175" s="335"/>
      <c r="DH175" s="335"/>
      <c r="DI175" s="335"/>
      <c r="DJ175" s="335"/>
      <c r="DK175" s="335"/>
      <c r="DL175" s="335"/>
      <c r="DM175" s="335"/>
      <c r="DN175" s="335"/>
      <c r="DO175" s="335"/>
      <c r="DP175" s="335"/>
      <c r="DQ175" s="335"/>
      <c r="DR175" s="335"/>
      <c r="DS175" s="335"/>
      <c r="DT175" s="335"/>
      <c r="DU175" s="335"/>
      <c r="DV175" s="335"/>
      <c r="DW175" s="335"/>
      <c r="DX175" s="335"/>
      <c r="DY175" s="335"/>
      <c r="DZ175" s="335"/>
      <c r="EA175" s="335"/>
      <c r="EB175" s="335"/>
      <c r="EC175" s="335"/>
      <c r="ED175" s="335"/>
      <c r="EE175" s="335"/>
      <c r="EF175" s="335"/>
      <c r="EG175" s="335"/>
      <c r="EH175" s="335"/>
      <c r="EI175" s="335"/>
      <c r="EJ175" s="335"/>
      <c r="EK175" s="335"/>
      <c r="EL175" s="335"/>
      <c r="EM175" s="335"/>
    </row>
    <row r="176" spans="72:143">
      <c r="BT176" s="187"/>
      <c r="BU176" s="187" t="s">
        <v>83</v>
      </c>
      <c r="BV176" s="196">
        <v>124054</v>
      </c>
      <c r="BW176" s="197" t="e">
        <f t="shared" si="133"/>
        <v>#REF!</v>
      </c>
      <c r="BX176" s="198" t="e">
        <f>IF(AND(State_LOB_Code=18,LEFT(BW176,4)&lt;"2009"),81,State_LOB_Code)&amp;"|372"</f>
        <v>#REF!</v>
      </c>
      <c r="BY176" s="174"/>
      <c r="BZ176" s="175"/>
      <c r="CD176" s="163"/>
      <c r="CE176" s="363"/>
      <c r="CF176" s="335"/>
      <c r="CG176" s="335"/>
      <c r="CH176" s="335"/>
      <c r="CI176" s="335"/>
      <c r="CJ176" s="335"/>
      <c r="CK176" s="335"/>
      <c r="CL176" s="335"/>
      <c r="CM176" s="335"/>
      <c r="CN176" s="335"/>
      <c r="CO176" s="335"/>
      <c r="CP176" s="335"/>
      <c r="CQ176" s="335"/>
      <c r="CR176" s="335"/>
      <c r="CS176" s="335"/>
      <c r="CT176" s="335"/>
      <c r="CU176" s="335"/>
      <c r="CV176" s="335"/>
      <c r="CW176" s="335"/>
      <c r="CX176" s="335"/>
      <c r="CY176" s="335"/>
      <c r="CZ176" s="335"/>
      <c r="DA176" s="335"/>
      <c r="DB176" s="335"/>
      <c r="DC176" s="335"/>
      <c r="DD176" s="335"/>
      <c r="DE176" s="335"/>
      <c r="DF176" s="335"/>
      <c r="DG176" s="335"/>
      <c r="DH176" s="335"/>
      <c r="DI176" s="335"/>
      <c r="DJ176" s="335"/>
      <c r="DK176" s="335"/>
      <c r="DL176" s="335"/>
      <c r="DM176" s="335"/>
      <c r="DN176" s="335"/>
      <c r="DO176" s="335"/>
      <c r="DP176" s="335"/>
      <c r="DQ176" s="335"/>
      <c r="DR176" s="335"/>
      <c r="DS176" s="335"/>
      <c r="DT176" s="335"/>
      <c r="DU176" s="335"/>
      <c r="DV176" s="335"/>
      <c r="DW176" s="335"/>
      <c r="DX176" s="335"/>
      <c r="DY176" s="335"/>
      <c r="DZ176" s="335"/>
      <c r="EA176" s="335"/>
      <c r="EB176" s="335"/>
      <c r="EC176" s="335"/>
      <c r="ED176" s="335"/>
      <c r="EE176" s="335"/>
      <c r="EF176" s="335"/>
      <c r="EG176" s="335"/>
      <c r="EH176" s="335"/>
      <c r="EI176" s="335"/>
      <c r="EJ176" s="335"/>
      <c r="EK176" s="335"/>
      <c r="EL176" s="335"/>
      <c r="EM176" s="335"/>
    </row>
    <row r="177" spans="72:143">
      <c r="BT177" s="187"/>
      <c r="BU177" s="187" t="s">
        <v>84</v>
      </c>
      <c r="BV177" s="196">
        <v>124054</v>
      </c>
      <c r="BW177" s="197" t="e">
        <f t="shared" si="133"/>
        <v>#REF!</v>
      </c>
      <c r="BX177" s="198" t="e">
        <f>IF(AND(State_LOB_Code=18,LEFT(BW177,4)&lt;"2009"),81,State_LOB_Code)&amp;"|373"</f>
        <v>#REF!</v>
      </c>
      <c r="BY177" s="174"/>
      <c r="BZ177" s="175"/>
      <c r="CD177" s="163"/>
      <c r="CE177" s="363"/>
      <c r="CF177" s="335"/>
      <c r="CG177" s="335"/>
      <c r="CH177" s="335"/>
      <c r="CI177" s="335"/>
      <c r="CJ177" s="335"/>
      <c r="CK177" s="335"/>
      <c r="CL177" s="335"/>
      <c r="CM177" s="335"/>
      <c r="CN177" s="335"/>
      <c r="CO177" s="335"/>
      <c r="CP177" s="335"/>
      <c r="CQ177" s="335"/>
      <c r="CR177" s="335"/>
      <c r="CS177" s="335"/>
      <c r="CT177" s="335"/>
      <c r="CU177" s="335"/>
      <c r="CV177" s="335"/>
      <c r="CW177" s="335"/>
      <c r="CX177" s="335"/>
      <c r="CY177" s="335"/>
      <c r="CZ177" s="335"/>
      <c r="DA177" s="335"/>
      <c r="DB177" s="335"/>
      <c r="DC177" s="335"/>
      <c r="DD177" s="335"/>
      <c r="DE177" s="335"/>
      <c r="DF177" s="335"/>
      <c r="DG177" s="335"/>
      <c r="DH177" s="335"/>
      <c r="DI177" s="335"/>
      <c r="DJ177" s="335"/>
      <c r="DK177" s="335"/>
      <c r="DL177" s="335"/>
      <c r="DM177" s="335"/>
      <c r="DN177" s="335"/>
      <c r="DO177" s="335"/>
      <c r="DP177" s="335"/>
      <c r="DQ177" s="335"/>
      <c r="DR177" s="335"/>
      <c r="DS177" s="335"/>
      <c r="DT177" s="335"/>
      <c r="DU177" s="335"/>
      <c r="DV177" s="335"/>
      <c r="DW177" s="335"/>
      <c r="DX177" s="335"/>
      <c r="DY177" s="335"/>
      <c r="DZ177" s="335"/>
      <c r="EA177" s="335"/>
      <c r="EB177" s="335"/>
      <c r="EC177" s="335"/>
      <c r="ED177" s="335"/>
      <c r="EE177" s="335"/>
      <c r="EF177" s="335"/>
      <c r="EG177" s="335"/>
      <c r="EH177" s="335"/>
      <c r="EI177" s="335"/>
      <c r="EJ177" s="335"/>
      <c r="EK177" s="335"/>
      <c r="EL177" s="335"/>
      <c r="EM177" s="335"/>
    </row>
    <row r="178" spans="72:143">
      <c r="BT178" s="187"/>
      <c r="BU178" s="187" t="s">
        <v>85</v>
      </c>
      <c r="BV178" s="196">
        <v>124054</v>
      </c>
      <c r="BW178" s="197" t="e">
        <f t="shared" si="133"/>
        <v>#REF!</v>
      </c>
      <c r="BX178" s="198" t="e">
        <f>IF(AND(State_LOB_Code=18,LEFT(BW178,4)&lt;"2009"),81,State_LOB_Code)&amp;"|374"</f>
        <v>#REF!</v>
      </c>
      <c r="BY178" s="174"/>
      <c r="BZ178" s="175"/>
      <c r="CD178" s="163"/>
      <c r="CE178" s="363"/>
      <c r="CF178" s="335"/>
      <c r="CG178" s="335"/>
      <c r="CH178" s="335"/>
      <c r="CI178" s="335"/>
      <c r="CJ178" s="335"/>
      <c r="CK178" s="335"/>
      <c r="CL178" s="335"/>
      <c r="CM178" s="335"/>
      <c r="CN178" s="335"/>
      <c r="CO178" s="335"/>
      <c r="CP178" s="335"/>
      <c r="CQ178" s="335"/>
      <c r="CR178" s="335"/>
      <c r="CS178" s="335"/>
      <c r="CT178" s="335"/>
      <c r="CU178" s="335"/>
      <c r="CV178" s="335"/>
      <c r="CW178" s="335"/>
      <c r="CX178" s="335"/>
      <c r="CY178" s="335"/>
      <c r="CZ178" s="335"/>
      <c r="DA178" s="335"/>
      <c r="DB178" s="335"/>
      <c r="DC178" s="335"/>
      <c r="DD178" s="335"/>
      <c r="DE178" s="335"/>
      <c r="DF178" s="335"/>
      <c r="DG178" s="335"/>
      <c r="DH178" s="335"/>
      <c r="DI178" s="335"/>
      <c r="DJ178" s="335"/>
      <c r="DK178" s="335"/>
      <c r="DL178" s="335"/>
      <c r="DM178" s="335"/>
      <c r="DN178" s="335"/>
      <c r="DO178" s="335"/>
      <c r="DP178" s="335"/>
      <c r="DQ178" s="335"/>
      <c r="DR178" s="335"/>
      <c r="DS178" s="335"/>
      <c r="DT178" s="335"/>
      <c r="DU178" s="335"/>
      <c r="DV178" s="335"/>
      <c r="DW178" s="335"/>
      <c r="DX178" s="335"/>
      <c r="DY178" s="335"/>
      <c r="DZ178" s="335"/>
      <c r="EA178" s="335"/>
      <c r="EB178" s="335"/>
      <c r="EC178" s="335"/>
      <c r="ED178" s="335"/>
      <c r="EE178" s="335"/>
      <c r="EF178" s="335"/>
      <c r="EG178" s="335"/>
      <c r="EH178" s="335"/>
      <c r="EI178" s="335"/>
      <c r="EJ178" s="335"/>
      <c r="EK178" s="335"/>
      <c r="EL178" s="335"/>
      <c r="EM178" s="335"/>
    </row>
    <row r="179" spans="72:143">
      <c r="BT179" s="187"/>
      <c r="BU179" s="187" t="s">
        <v>86</v>
      </c>
      <c r="BV179" s="196">
        <v>124054</v>
      </c>
      <c r="BW179" s="197" t="e">
        <f t="shared" si="133"/>
        <v>#REF!</v>
      </c>
      <c r="BX179" s="198" t="e">
        <f>IF(AND(State_LOB_Code=18,LEFT(BW179,4)&lt;"2009"),81,State_LOB_Code)&amp;"|376"</f>
        <v>#REF!</v>
      </c>
      <c r="BY179" s="174"/>
      <c r="BZ179" s="175"/>
      <c r="CD179" s="163"/>
      <c r="CE179" s="363"/>
      <c r="CF179" s="335"/>
      <c r="CG179" s="335"/>
      <c r="CH179" s="335"/>
      <c r="CI179" s="335"/>
      <c r="CJ179" s="335"/>
      <c r="CK179" s="335"/>
      <c r="CL179" s="335"/>
      <c r="CM179" s="335"/>
      <c r="CN179" s="335"/>
      <c r="CO179" s="335"/>
      <c r="CP179" s="335"/>
      <c r="CQ179" s="335"/>
      <c r="CR179" s="335"/>
      <c r="CS179" s="335"/>
      <c r="CT179" s="335"/>
      <c r="CU179" s="335"/>
      <c r="CV179" s="335"/>
      <c r="CW179" s="335"/>
      <c r="CX179" s="335"/>
      <c r="CY179" s="335"/>
      <c r="CZ179" s="335"/>
      <c r="DA179" s="335"/>
      <c r="DB179" s="335"/>
      <c r="DC179" s="335"/>
      <c r="DD179" s="335"/>
      <c r="DE179" s="335"/>
      <c r="DF179" s="335"/>
      <c r="DG179" s="335"/>
      <c r="DH179" s="335"/>
      <c r="DI179" s="335"/>
      <c r="DJ179" s="335"/>
      <c r="DK179" s="335"/>
      <c r="DL179" s="335"/>
      <c r="DM179" s="335"/>
      <c r="DN179" s="335"/>
      <c r="DO179" s="335"/>
      <c r="DP179" s="335"/>
      <c r="DQ179" s="335"/>
      <c r="DR179" s="335"/>
      <c r="DS179" s="335"/>
      <c r="DT179" s="335"/>
      <c r="DU179" s="335"/>
      <c r="DV179" s="335"/>
      <c r="DW179" s="335"/>
      <c r="DX179" s="335"/>
      <c r="DY179" s="335"/>
      <c r="DZ179" s="335"/>
      <c r="EA179" s="335"/>
      <c r="EB179" s="335"/>
      <c r="EC179" s="335"/>
      <c r="ED179" s="335"/>
      <c r="EE179" s="335"/>
      <c r="EF179" s="335"/>
      <c r="EG179" s="335"/>
      <c r="EH179" s="335"/>
      <c r="EI179" s="335"/>
      <c r="EJ179" s="335"/>
      <c r="EK179" s="335"/>
      <c r="EL179" s="335"/>
      <c r="EM179" s="335"/>
    </row>
    <row r="180" spans="72:143">
      <c r="BT180" s="187"/>
      <c r="BU180" s="187" t="s">
        <v>87</v>
      </c>
      <c r="BV180" s="196">
        <v>124054</v>
      </c>
      <c r="BW180" s="197" t="e">
        <f t="shared" si="133"/>
        <v>#REF!</v>
      </c>
      <c r="BX180" s="198" t="e">
        <f>IF(AND(State_LOB_Code=18,LEFT(BW180,4)&lt;"2009"),81,State_LOB_Code)&amp;"|377"</f>
        <v>#REF!</v>
      </c>
      <c r="BY180" s="174"/>
      <c r="BZ180" s="175"/>
      <c r="CD180" s="163"/>
      <c r="CE180" s="363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</row>
    <row r="181" spans="72:143">
      <c r="BT181" s="187"/>
      <c r="BU181" s="187" t="s">
        <v>88</v>
      </c>
      <c r="BV181" s="196">
        <v>124054</v>
      </c>
      <c r="BW181" s="197" t="e">
        <f t="shared" si="133"/>
        <v>#REF!</v>
      </c>
      <c r="BX181" s="198" t="e">
        <f>IF(AND(State_LOB_Code=18,LEFT(BW181,4)&lt;"2009"),81,State_LOB_Code)&amp;"|378"</f>
        <v>#REF!</v>
      </c>
      <c r="BY181" s="174"/>
      <c r="BZ181" s="175"/>
      <c r="CD181" s="163"/>
      <c r="CE181" s="363"/>
      <c r="CF181" s="335"/>
      <c r="CG181" s="335"/>
      <c r="CH181" s="335"/>
      <c r="CI181" s="335"/>
      <c r="CJ181" s="335"/>
      <c r="CK181" s="335"/>
      <c r="CL181" s="335"/>
      <c r="CM181" s="335"/>
      <c r="CN181" s="335"/>
      <c r="CO181" s="335"/>
      <c r="CP181" s="335"/>
      <c r="CQ181" s="335"/>
      <c r="CR181" s="335"/>
      <c r="CS181" s="335"/>
      <c r="CT181" s="335"/>
      <c r="CU181" s="335"/>
      <c r="CV181" s="335"/>
      <c r="CW181" s="335"/>
      <c r="CX181" s="335"/>
      <c r="CY181" s="335"/>
      <c r="CZ181" s="335"/>
      <c r="DA181" s="335"/>
      <c r="DB181" s="335"/>
      <c r="DC181" s="335"/>
      <c r="DD181" s="335"/>
      <c r="DE181" s="335"/>
      <c r="DF181" s="335"/>
      <c r="DG181" s="335"/>
      <c r="DH181" s="335"/>
      <c r="DI181" s="335"/>
      <c r="DJ181" s="335"/>
      <c r="DK181" s="335"/>
      <c r="DL181" s="335"/>
      <c r="DM181" s="335"/>
      <c r="DN181" s="335"/>
      <c r="DO181" s="335"/>
      <c r="DP181" s="335"/>
      <c r="DQ181" s="335"/>
      <c r="DR181" s="335"/>
      <c r="DS181" s="335"/>
      <c r="DT181" s="335"/>
      <c r="DU181" s="335"/>
      <c r="DV181" s="335"/>
      <c r="DW181" s="335"/>
      <c r="DX181" s="335"/>
      <c r="DY181" s="335"/>
      <c r="DZ181" s="335"/>
      <c r="EA181" s="335"/>
      <c r="EB181" s="335"/>
      <c r="EC181" s="335"/>
      <c r="ED181" s="335"/>
      <c r="EE181" s="335"/>
      <c r="EF181" s="335"/>
      <c r="EG181" s="335"/>
      <c r="EH181" s="335"/>
      <c r="EI181" s="335"/>
      <c r="EJ181" s="335"/>
      <c r="EK181" s="335"/>
      <c r="EL181" s="335"/>
      <c r="EM181" s="335"/>
    </row>
    <row r="182" spans="72:143">
      <c r="BT182" s="187"/>
      <c r="BU182" s="187" t="s">
        <v>89</v>
      </c>
      <c r="BV182" s="196">
        <v>124054</v>
      </c>
      <c r="BW182" s="197" t="e">
        <f t="shared" si="133"/>
        <v>#REF!</v>
      </c>
      <c r="BX182" s="198" t="e">
        <f>IF(AND(State_LOB_Code=18,LEFT(BW182,4)&lt;"2009"),81,State_LOB_Code)&amp;"|379"</f>
        <v>#REF!</v>
      </c>
      <c r="BY182" s="174"/>
      <c r="BZ182" s="175"/>
      <c r="CD182" s="163"/>
      <c r="CE182" s="363"/>
      <c r="CF182" s="335"/>
      <c r="CG182" s="335"/>
      <c r="CH182" s="335"/>
      <c r="CI182" s="335"/>
      <c r="CJ182" s="335"/>
      <c r="CK182" s="335"/>
      <c r="CL182" s="335"/>
      <c r="CM182" s="335"/>
      <c r="CN182" s="335"/>
      <c r="CO182" s="335"/>
      <c r="CP182" s="335"/>
      <c r="CQ182" s="335"/>
      <c r="CR182" s="335"/>
      <c r="CS182" s="335"/>
      <c r="CT182" s="335"/>
      <c r="CU182" s="335"/>
      <c r="CV182" s="335"/>
      <c r="CW182" s="335"/>
      <c r="CX182" s="335"/>
      <c r="CY182" s="335"/>
      <c r="CZ182" s="335"/>
      <c r="DA182" s="335"/>
      <c r="DB182" s="335"/>
      <c r="DC182" s="335"/>
      <c r="DD182" s="335"/>
      <c r="DE182" s="335"/>
      <c r="DF182" s="335"/>
      <c r="DG182" s="335"/>
      <c r="DH182" s="335"/>
      <c r="DI182" s="335"/>
      <c r="DJ182" s="335"/>
      <c r="DK182" s="335"/>
      <c r="DL182" s="335"/>
      <c r="DM182" s="335"/>
      <c r="DN182" s="335"/>
      <c r="DO182" s="335"/>
      <c r="DP182" s="335"/>
      <c r="DQ182" s="335"/>
      <c r="DR182" s="335"/>
      <c r="DS182" s="335"/>
      <c r="DT182" s="335"/>
      <c r="DU182" s="335"/>
      <c r="DV182" s="335"/>
      <c r="DW182" s="335"/>
      <c r="DX182" s="335"/>
      <c r="DY182" s="335"/>
      <c r="DZ182" s="335"/>
      <c r="EA182" s="335"/>
      <c r="EB182" s="335"/>
      <c r="EC182" s="335"/>
      <c r="ED182" s="335"/>
      <c r="EE182" s="335"/>
      <c r="EF182" s="335"/>
      <c r="EG182" s="335"/>
      <c r="EH182" s="335"/>
      <c r="EI182" s="335"/>
      <c r="EJ182" s="335"/>
      <c r="EK182" s="335"/>
      <c r="EL182" s="335"/>
      <c r="EM182" s="335"/>
    </row>
    <row r="183" spans="72:143">
      <c r="BT183" s="187"/>
      <c r="BU183" s="187" t="s">
        <v>90</v>
      </c>
      <c r="BV183" s="196">
        <v>124054</v>
      </c>
      <c r="BW183" s="197" t="e">
        <f t="shared" si="133"/>
        <v>#REF!</v>
      </c>
      <c r="BX183" s="198" t="e">
        <f>IF(AND(State_LOB_Code=18,LEFT(BW183,4)&lt;"2009"),81,State_LOB_Code)&amp;"|380"</f>
        <v>#REF!</v>
      </c>
      <c r="BY183" s="174"/>
      <c r="BZ183" s="175"/>
      <c r="CD183" s="163"/>
      <c r="CE183" s="363"/>
      <c r="CF183" s="335"/>
      <c r="CG183" s="335"/>
      <c r="CH183" s="335"/>
      <c r="CI183" s="335"/>
      <c r="CJ183" s="335"/>
      <c r="CK183" s="335"/>
      <c r="CL183" s="335"/>
      <c r="CM183" s="335"/>
      <c r="CN183" s="335"/>
      <c r="CO183" s="335"/>
      <c r="CP183" s="335"/>
      <c r="CQ183" s="335"/>
      <c r="CR183" s="335"/>
      <c r="CS183" s="335"/>
      <c r="CT183" s="335"/>
      <c r="CU183" s="335"/>
      <c r="CV183" s="335"/>
      <c r="CW183" s="335"/>
      <c r="CX183" s="335"/>
      <c r="CY183" s="335"/>
      <c r="CZ183" s="335"/>
      <c r="DA183" s="335"/>
      <c r="DB183" s="335"/>
      <c r="DC183" s="335"/>
      <c r="DD183" s="335"/>
      <c r="DE183" s="335"/>
      <c r="DF183" s="335"/>
      <c r="DG183" s="335"/>
      <c r="DH183" s="335"/>
      <c r="DI183" s="335"/>
      <c r="DJ183" s="335"/>
      <c r="DK183" s="335"/>
      <c r="DL183" s="335"/>
      <c r="DM183" s="335"/>
      <c r="DN183" s="335"/>
      <c r="DO183" s="335"/>
      <c r="DP183" s="335"/>
      <c r="DQ183" s="335"/>
      <c r="DR183" s="335"/>
      <c r="DS183" s="335"/>
      <c r="DT183" s="335"/>
      <c r="DU183" s="335"/>
      <c r="DV183" s="335"/>
      <c r="DW183" s="335"/>
      <c r="DX183" s="335"/>
      <c r="DY183" s="335"/>
      <c r="DZ183" s="335"/>
      <c r="EA183" s="335"/>
      <c r="EB183" s="335"/>
      <c r="EC183" s="335"/>
      <c r="ED183" s="335"/>
      <c r="EE183" s="335"/>
      <c r="EF183" s="335"/>
      <c r="EG183" s="335"/>
      <c r="EH183" s="335"/>
      <c r="EI183" s="335"/>
      <c r="EJ183" s="335"/>
      <c r="EK183" s="335"/>
      <c r="EL183" s="335"/>
      <c r="EM183" s="335"/>
    </row>
    <row r="184" spans="72:143">
      <c r="BT184" s="187"/>
      <c r="BU184" s="187" t="s">
        <v>91</v>
      </c>
      <c r="BV184" s="196">
        <v>124054</v>
      </c>
      <c r="BW184" s="197" t="e">
        <f t="shared" si="133"/>
        <v>#REF!</v>
      </c>
      <c r="BX184" s="198" t="e">
        <f>IF(AND(State_LOB_Code=18,LEFT(BW184,4)&lt;"2009"),81,State_LOB_Code)&amp;"|381"</f>
        <v>#REF!</v>
      </c>
      <c r="BY184" s="174"/>
      <c r="BZ184" s="175"/>
      <c r="CD184" s="163"/>
      <c r="CE184" s="363"/>
      <c r="CF184" s="335"/>
      <c r="CG184" s="335"/>
      <c r="CH184" s="335"/>
      <c r="CI184" s="335"/>
      <c r="CJ184" s="335"/>
      <c r="CK184" s="335"/>
      <c r="CL184" s="335"/>
      <c r="CM184" s="335"/>
      <c r="CN184" s="335"/>
      <c r="CO184" s="335"/>
      <c r="CP184" s="335"/>
      <c r="CQ184" s="335"/>
      <c r="CR184" s="335"/>
      <c r="CS184" s="335"/>
      <c r="CT184" s="335"/>
      <c r="CU184" s="335"/>
      <c r="CV184" s="335"/>
      <c r="CW184" s="335"/>
      <c r="CX184" s="335"/>
      <c r="CY184" s="335"/>
      <c r="CZ184" s="335"/>
      <c r="DA184" s="335"/>
      <c r="DB184" s="335"/>
      <c r="DC184" s="335"/>
      <c r="DD184" s="335"/>
      <c r="DE184" s="335"/>
      <c r="DF184" s="335"/>
      <c r="DG184" s="335"/>
      <c r="DH184" s="335"/>
      <c r="DI184" s="335"/>
      <c r="DJ184" s="335"/>
      <c r="DK184" s="335"/>
      <c r="DL184" s="335"/>
      <c r="DM184" s="335"/>
      <c r="DN184" s="335"/>
      <c r="DO184" s="335"/>
      <c r="DP184" s="335"/>
      <c r="DQ184" s="335"/>
      <c r="DR184" s="335"/>
      <c r="DS184" s="335"/>
      <c r="DT184" s="335"/>
      <c r="DU184" s="335"/>
      <c r="DV184" s="335"/>
      <c r="DW184" s="335"/>
      <c r="DX184" s="335"/>
      <c r="DY184" s="335"/>
      <c r="DZ184" s="335"/>
      <c r="EA184" s="335"/>
      <c r="EB184" s="335"/>
      <c r="EC184" s="335"/>
      <c r="ED184" s="335"/>
      <c r="EE184" s="335"/>
      <c r="EF184" s="335"/>
      <c r="EG184" s="335"/>
      <c r="EH184" s="335"/>
      <c r="EI184" s="335"/>
      <c r="EJ184" s="335"/>
      <c r="EK184" s="335"/>
      <c r="EL184" s="335"/>
      <c r="EM184" s="335"/>
    </row>
    <row r="185" spans="72:143">
      <c r="BT185" s="187"/>
      <c r="BU185" s="187" t="s">
        <v>92</v>
      </c>
      <c r="BV185" s="196">
        <v>124054</v>
      </c>
      <c r="BW185" s="197" t="e">
        <f t="shared" si="133"/>
        <v>#REF!</v>
      </c>
      <c r="BX185" s="198" t="e">
        <f>IF(AND(State_LOB_Code=18,LEFT(BW185,4)&lt;"2009"),81,State_LOB_Code)&amp;"|382"</f>
        <v>#REF!</v>
      </c>
      <c r="BY185" s="174"/>
      <c r="BZ185" s="175"/>
      <c r="CD185" s="163"/>
      <c r="CE185" s="363"/>
      <c r="CF185" s="335"/>
      <c r="CG185" s="335"/>
      <c r="CH185" s="335"/>
      <c r="CI185" s="335"/>
      <c r="CJ185" s="335"/>
      <c r="CK185" s="335"/>
      <c r="CL185" s="335"/>
      <c r="CM185" s="335"/>
      <c r="CN185" s="335"/>
      <c r="CO185" s="335"/>
      <c r="CP185" s="335"/>
      <c r="CQ185" s="335"/>
      <c r="CR185" s="335"/>
      <c r="CS185" s="335"/>
      <c r="CT185" s="335"/>
      <c r="CU185" s="335"/>
      <c r="CV185" s="335"/>
      <c r="CW185" s="335"/>
      <c r="CX185" s="335"/>
      <c r="CY185" s="335"/>
      <c r="CZ185" s="335"/>
      <c r="DA185" s="335"/>
      <c r="DB185" s="335"/>
      <c r="DC185" s="335"/>
      <c r="DD185" s="335"/>
      <c r="DE185" s="335"/>
      <c r="DF185" s="335"/>
      <c r="DG185" s="335"/>
      <c r="DH185" s="335"/>
      <c r="DI185" s="335"/>
      <c r="DJ185" s="335"/>
      <c r="DK185" s="335"/>
      <c r="DL185" s="335"/>
      <c r="DM185" s="335"/>
      <c r="DN185" s="335"/>
      <c r="DO185" s="335"/>
      <c r="DP185" s="335"/>
      <c r="DQ185" s="335"/>
      <c r="DR185" s="335"/>
      <c r="DS185" s="335"/>
      <c r="DT185" s="335"/>
      <c r="DU185" s="335"/>
      <c r="DV185" s="335"/>
      <c r="DW185" s="335"/>
      <c r="DX185" s="335"/>
      <c r="DY185" s="335"/>
      <c r="DZ185" s="335"/>
      <c r="EA185" s="335"/>
      <c r="EB185" s="335"/>
      <c r="EC185" s="335"/>
      <c r="ED185" s="335"/>
      <c r="EE185" s="335"/>
      <c r="EF185" s="335"/>
      <c r="EG185" s="335"/>
      <c r="EH185" s="335"/>
      <c r="EI185" s="335"/>
      <c r="EJ185" s="335"/>
      <c r="EK185" s="335"/>
      <c r="EL185" s="335"/>
      <c r="EM185" s="335"/>
    </row>
    <row r="186" spans="72:143">
      <c r="BT186" s="187"/>
      <c r="BU186" s="187" t="s">
        <v>93</v>
      </c>
      <c r="BV186" s="196">
        <v>124054</v>
      </c>
      <c r="BW186" s="197" t="e">
        <f t="shared" si="133"/>
        <v>#REF!</v>
      </c>
      <c r="BX186" s="198" t="e">
        <f>IF(AND(State_LOB_Code=18,LEFT(BW186,4)&lt;"2009"),81,State_LOB_Code)&amp;"|384"</f>
        <v>#REF!</v>
      </c>
      <c r="BY186" s="174"/>
      <c r="BZ186" s="175"/>
      <c r="CD186" s="163"/>
      <c r="CE186" s="363"/>
      <c r="CF186" s="335"/>
      <c r="CG186" s="335"/>
      <c r="CH186" s="335"/>
      <c r="CI186" s="335"/>
      <c r="CJ186" s="335"/>
      <c r="CK186" s="335"/>
      <c r="CL186" s="335"/>
      <c r="CM186" s="335"/>
      <c r="CN186" s="335"/>
      <c r="CO186" s="335"/>
      <c r="CP186" s="335"/>
      <c r="CQ186" s="335"/>
      <c r="CR186" s="335"/>
      <c r="CS186" s="335"/>
      <c r="CT186" s="335"/>
      <c r="CU186" s="335"/>
      <c r="CV186" s="335"/>
      <c r="CW186" s="335"/>
      <c r="CX186" s="335"/>
      <c r="CY186" s="335"/>
      <c r="CZ186" s="335"/>
      <c r="DA186" s="335"/>
      <c r="DB186" s="335"/>
      <c r="DC186" s="335"/>
      <c r="DD186" s="335"/>
      <c r="DE186" s="335"/>
      <c r="DF186" s="335"/>
      <c r="DG186" s="335"/>
      <c r="DH186" s="335"/>
      <c r="DI186" s="335"/>
      <c r="DJ186" s="335"/>
      <c r="DK186" s="335"/>
      <c r="DL186" s="335"/>
      <c r="DM186" s="335"/>
      <c r="DN186" s="335"/>
      <c r="DO186" s="335"/>
      <c r="DP186" s="335"/>
      <c r="DQ186" s="335"/>
      <c r="DR186" s="335"/>
      <c r="DS186" s="335"/>
      <c r="DT186" s="335"/>
      <c r="DU186" s="335"/>
      <c r="DV186" s="335"/>
      <c r="DW186" s="335"/>
      <c r="DX186" s="335"/>
      <c r="DY186" s="335"/>
      <c r="DZ186" s="335"/>
      <c r="EA186" s="335"/>
      <c r="EB186" s="335"/>
      <c r="EC186" s="335"/>
      <c r="ED186" s="335"/>
      <c r="EE186" s="335"/>
      <c r="EF186" s="335"/>
      <c r="EG186" s="335"/>
      <c r="EH186" s="335"/>
      <c r="EI186" s="335"/>
      <c r="EJ186" s="335"/>
      <c r="EK186" s="335"/>
      <c r="EL186" s="335"/>
      <c r="EM186" s="335"/>
    </row>
    <row r="187" spans="72:143">
      <c r="BT187" s="187"/>
      <c r="BU187" s="187" t="s">
        <v>94</v>
      </c>
      <c r="BV187" s="196">
        <v>124054</v>
      </c>
      <c r="BW187" s="197" t="e">
        <f t="shared" si="133"/>
        <v>#REF!</v>
      </c>
      <c r="BX187" s="198" t="e">
        <f>IF(AND(State_LOB_Code=18,LEFT(BW187,4)&lt;"2009"),81,State_LOB_Code)&amp;"|385"</f>
        <v>#REF!</v>
      </c>
      <c r="BY187" s="174"/>
      <c r="BZ187" s="175"/>
      <c r="CD187" s="163"/>
      <c r="CE187" s="363"/>
      <c r="CF187" s="335"/>
      <c r="CG187" s="335"/>
      <c r="CH187" s="335"/>
      <c r="CI187" s="335"/>
      <c r="CJ187" s="335"/>
      <c r="CK187" s="335"/>
      <c r="CL187" s="335"/>
      <c r="CM187" s="335"/>
      <c r="CN187" s="335"/>
      <c r="CO187" s="335"/>
      <c r="CP187" s="335"/>
      <c r="CQ187" s="335"/>
      <c r="CR187" s="335"/>
      <c r="CS187" s="335"/>
      <c r="CT187" s="335"/>
      <c r="CU187" s="335"/>
      <c r="CV187" s="335"/>
      <c r="CW187" s="335"/>
      <c r="CX187" s="335"/>
      <c r="CY187" s="335"/>
      <c r="CZ187" s="335"/>
      <c r="DA187" s="335"/>
      <c r="DB187" s="335"/>
      <c r="DC187" s="335"/>
      <c r="DD187" s="335"/>
      <c r="DE187" s="335"/>
      <c r="DF187" s="335"/>
      <c r="DG187" s="335"/>
      <c r="DH187" s="335"/>
      <c r="DI187" s="335"/>
      <c r="DJ187" s="335"/>
      <c r="DK187" s="335"/>
      <c r="DL187" s="335"/>
      <c r="DM187" s="335"/>
      <c r="DN187" s="335"/>
      <c r="DO187" s="335"/>
      <c r="DP187" s="335"/>
      <c r="DQ187" s="335"/>
      <c r="DR187" s="335"/>
      <c r="DS187" s="335"/>
      <c r="DT187" s="335"/>
      <c r="DU187" s="335"/>
      <c r="DV187" s="335"/>
      <c r="DW187" s="335"/>
      <c r="DX187" s="335"/>
      <c r="DY187" s="335"/>
      <c r="DZ187" s="335"/>
      <c r="EA187" s="335"/>
      <c r="EB187" s="335"/>
      <c r="EC187" s="335"/>
      <c r="ED187" s="335"/>
      <c r="EE187" s="335"/>
      <c r="EF187" s="335"/>
      <c r="EG187" s="335"/>
      <c r="EH187" s="335"/>
      <c r="EI187" s="335"/>
      <c r="EJ187" s="335"/>
      <c r="EK187" s="335"/>
      <c r="EL187" s="335"/>
      <c r="EM187" s="335"/>
    </row>
    <row r="188" spans="72:143">
      <c r="BT188" s="187"/>
      <c r="BU188" s="187" t="s">
        <v>95</v>
      </c>
      <c r="BV188" s="196">
        <v>124054</v>
      </c>
      <c r="BW188" s="197" t="e">
        <f t="shared" si="133"/>
        <v>#REF!</v>
      </c>
      <c r="BX188" s="198" t="e">
        <f>IF(AND(State_LOB_Code=18,LEFT(BW188,4)&lt;"2009"),81,State_LOB_Code)&amp;"|386"</f>
        <v>#REF!</v>
      </c>
      <c r="BY188" s="174"/>
      <c r="BZ188" s="175"/>
      <c r="CD188" s="163"/>
      <c r="CE188" s="363"/>
      <c r="CF188" s="335"/>
      <c r="CG188" s="335"/>
      <c r="CH188" s="335"/>
      <c r="CI188" s="335"/>
      <c r="CJ188" s="335"/>
      <c r="CK188" s="335"/>
      <c r="CL188" s="335"/>
      <c r="CM188" s="335"/>
      <c r="CN188" s="335"/>
      <c r="CO188" s="335"/>
      <c r="CP188" s="335"/>
      <c r="CQ188" s="335"/>
      <c r="CR188" s="335"/>
      <c r="CS188" s="335"/>
      <c r="CT188" s="335"/>
      <c r="CU188" s="335"/>
      <c r="CV188" s="335"/>
      <c r="CW188" s="335"/>
      <c r="CX188" s="335"/>
      <c r="CY188" s="335"/>
      <c r="CZ188" s="335"/>
      <c r="DA188" s="335"/>
      <c r="DB188" s="335"/>
      <c r="DC188" s="335"/>
      <c r="DD188" s="335"/>
      <c r="DE188" s="335"/>
      <c r="DF188" s="335"/>
      <c r="DG188" s="335"/>
      <c r="DH188" s="335"/>
      <c r="DI188" s="335"/>
      <c r="DJ188" s="335"/>
      <c r="DK188" s="335"/>
      <c r="DL188" s="335"/>
      <c r="DM188" s="335"/>
      <c r="DN188" s="335"/>
      <c r="DO188" s="335"/>
      <c r="DP188" s="335"/>
      <c r="DQ188" s="335"/>
      <c r="DR188" s="335"/>
      <c r="DS188" s="335"/>
      <c r="DT188" s="335"/>
      <c r="DU188" s="335"/>
      <c r="DV188" s="335"/>
      <c r="DW188" s="335"/>
      <c r="DX188" s="335"/>
      <c r="DY188" s="335"/>
      <c r="DZ188" s="335"/>
      <c r="EA188" s="335"/>
      <c r="EB188" s="335"/>
      <c r="EC188" s="335"/>
      <c r="ED188" s="335"/>
      <c r="EE188" s="335"/>
      <c r="EF188" s="335"/>
      <c r="EG188" s="335"/>
      <c r="EH188" s="335"/>
      <c r="EI188" s="335"/>
      <c r="EJ188" s="335"/>
      <c r="EK188" s="335"/>
      <c r="EL188" s="335"/>
      <c r="EM188" s="335"/>
    </row>
    <row r="189" spans="72:143">
      <c r="BT189" s="187"/>
      <c r="BU189" s="187" t="s">
        <v>96</v>
      </c>
      <c r="BV189" s="196">
        <v>124054</v>
      </c>
      <c r="BW189" s="197" t="e">
        <f t="shared" si="133"/>
        <v>#REF!</v>
      </c>
      <c r="BX189" s="198" t="e">
        <f>IF(AND(State_LOB_Code=18,LEFT(BW189,4)&lt;"2009"),81,State_LOB_Code)&amp;"|387"</f>
        <v>#REF!</v>
      </c>
      <c r="BY189" s="174"/>
      <c r="BZ189" s="175"/>
      <c r="CD189" s="163"/>
      <c r="CE189" s="363"/>
      <c r="CF189" s="335"/>
      <c r="CG189" s="335"/>
      <c r="CH189" s="335"/>
      <c r="CI189" s="335"/>
      <c r="CJ189" s="335"/>
      <c r="CK189" s="335"/>
      <c r="CL189" s="335"/>
      <c r="CM189" s="335"/>
      <c r="CN189" s="335"/>
      <c r="CO189" s="335"/>
      <c r="CP189" s="335"/>
      <c r="CQ189" s="335"/>
      <c r="CR189" s="335"/>
      <c r="CS189" s="335"/>
      <c r="CT189" s="335"/>
      <c r="CU189" s="335"/>
      <c r="CV189" s="335"/>
      <c r="CW189" s="335"/>
      <c r="CX189" s="335"/>
      <c r="CY189" s="335"/>
      <c r="CZ189" s="335"/>
      <c r="DA189" s="335"/>
      <c r="DB189" s="335"/>
      <c r="DC189" s="335"/>
      <c r="DD189" s="335"/>
      <c r="DE189" s="335"/>
      <c r="DF189" s="335"/>
      <c r="DG189" s="335"/>
      <c r="DH189" s="335"/>
      <c r="DI189" s="335"/>
      <c r="DJ189" s="335"/>
      <c r="DK189" s="335"/>
      <c r="DL189" s="335"/>
      <c r="DM189" s="335"/>
      <c r="DN189" s="335"/>
      <c r="DO189" s="335"/>
      <c r="DP189" s="335"/>
      <c r="DQ189" s="335"/>
      <c r="DR189" s="335"/>
      <c r="DS189" s="335"/>
      <c r="DT189" s="335"/>
      <c r="DU189" s="335"/>
      <c r="DV189" s="335"/>
      <c r="DW189" s="335"/>
      <c r="DX189" s="335"/>
      <c r="DY189" s="335"/>
      <c r="DZ189" s="335"/>
      <c r="EA189" s="335"/>
      <c r="EB189" s="335"/>
      <c r="EC189" s="335"/>
      <c r="ED189" s="335"/>
      <c r="EE189" s="335"/>
      <c r="EF189" s="335"/>
      <c r="EG189" s="335"/>
      <c r="EH189" s="335"/>
      <c r="EI189" s="335"/>
      <c r="EJ189" s="335"/>
      <c r="EK189" s="335"/>
      <c r="EL189" s="335"/>
      <c r="EM189" s="335"/>
    </row>
    <row r="190" spans="72:143">
      <c r="BT190" s="187"/>
      <c r="BU190" s="187" t="s">
        <v>97</v>
      </c>
      <c r="BV190" s="196">
        <v>124054</v>
      </c>
      <c r="BW190" s="197" t="e">
        <f t="shared" si="133"/>
        <v>#REF!</v>
      </c>
      <c r="BX190" s="198" t="e">
        <f>IF(AND(State_LOB_Code=18,LEFT(BW190,4)&lt;"2009"),81,State_LOB_Code)&amp;"|388"</f>
        <v>#REF!</v>
      </c>
      <c r="BY190" s="174"/>
      <c r="BZ190" s="175"/>
      <c r="CD190" s="163"/>
      <c r="CE190" s="363"/>
      <c r="CF190" s="335"/>
      <c r="CG190" s="335"/>
      <c r="CH190" s="335"/>
      <c r="CI190" s="335"/>
      <c r="CJ190" s="335"/>
      <c r="CK190" s="335"/>
      <c r="CL190" s="335"/>
      <c r="CM190" s="335"/>
      <c r="CN190" s="335"/>
      <c r="CO190" s="335"/>
      <c r="CP190" s="335"/>
      <c r="CQ190" s="335"/>
      <c r="CR190" s="335"/>
      <c r="CS190" s="335"/>
      <c r="CT190" s="335"/>
      <c r="CU190" s="335"/>
      <c r="CV190" s="335"/>
      <c r="CW190" s="335"/>
      <c r="CX190" s="335"/>
      <c r="CY190" s="335"/>
      <c r="CZ190" s="335"/>
      <c r="DA190" s="335"/>
      <c r="DB190" s="335"/>
      <c r="DC190" s="335"/>
      <c r="DD190" s="335"/>
      <c r="DE190" s="335"/>
      <c r="DF190" s="335"/>
      <c r="DG190" s="335"/>
      <c r="DH190" s="335"/>
      <c r="DI190" s="335"/>
      <c r="DJ190" s="335"/>
      <c r="DK190" s="335"/>
      <c r="DL190" s="335"/>
      <c r="DM190" s="335"/>
      <c r="DN190" s="335"/>
      <c r="DO190" s="335"/>
      <c r="DP190" s="335"/>
      <c r="DQ190" s="335"/>
      <c r="DR190" s="335"/>
      <c r="DS190" s="335"/>
      <c r="DT190" s="335"/>
      <c r="DU190" s="335"/>
      <c r="DV190" s="335"/>
      <c r="DW190" s="335"/>
      <c r="DX190" s="335"/>
      <c r="DY190" s="335"/>
      <c r="DZ190" s="335"/>
      <c r="EA190" s="335"/>
      <c r="EB190" s="335"/>
      <c r="EC190" s="335"/>
      <c r="ED190" s="335"/>
      <c r="EE190" s="335"/>
      <c r="EF190" s="335"/>
      <c r="EG190" s="335"/>
      <c r="EH190" s="335"/>
      <c r="EI190" s="335"/>
      <c r="EJ190" s="335"/>
      <c r="EK190" s="335"/>
      <c r="EL190" s="335"/>
      <c r="EM190" s="335"/>
    </row>
    <row r="191" spans="72:143">
      <c r="BT191" s="187"/>
      <c r="BU191" s="189" t="s">
        <v>137</v>
      </c>
      <c r="BV191" s="199">
        <v>124054</v>
      </c>
      <c r="BW191" s="200" t="e">
        <f t="shared" si="133"/>
        <v>#REF!</v>
      </c>
      <c r="BX191" s="201" t="e">
        <f>IF(AND(State_LOB_Code=18,LEFT(BW191,4)&lt;"2009"),81,State_LOB_Code)&amp;"|600"</f>
        <v>#REF!</v>
      </c>
      <c r="BY191" s="176"/>
      <c r="BZ191" s="177"/>
      <c r="CD191" s="163"/>
      <c r="CE191" s="363"/>
      <c r="CF191" s="335"/>
      <c r="CG191" s="335"/>
      <c r="CH191" s="335"/>
      <c r="CI191" s="335"/>
      <c r="CJ191" s="335"/>
      <c r="CK191" s="335"/>
      <c r="CL191" s="335"/>
      <c r="CM191" s="335"/>
      <c r="CN191" s="335"/>
      <c r="CO191" s="335"/>
      <c r="CP191" s="335"/>
      <c r="CQ191" s="335"/>
      <c r="CR191" s="335"/>
      <c r="CS191" s="335"/>
      <c r="CT191" s="335"/>
      <c r="CU191" s="335"/>
      <c r="CV191" s="335"/>
      <c r="CW191" s="335"/>
      <c r="CX191" s="335"/>
      <c r="CY191" s="335"/>
      <c r="CZ191" s="335"/>
      <c r="DA191" s="335"/>
      <c r="DB191" s="335"/>
      <c r="DC191" s="335"/>
      <c r="DD191" s="335"/>
      <c r="DE191" s="335"/>
      <c r="DF191" s="335"/>
      <c r="DG191" s="335"/>
      <c r="DH191" s="335"/>
      <c r="DI191" s="335"/>
      <c r="DJ191" s="335"/>
      <c r="DK191" s="335"/>
      <c r="DL191" s="335"/>
      <c r="DM191" s="335"/>
      <c r="DN191" s="335"/>
      <c r="DO191" s="335"/>
      <c r="DP191" s="335"/>
      <c r="DQ191" s="335"/>
      <c r="DR191" s="335"/>
      <c r="DS191" s="335"/>
      <c r="DT191" s="335"/>
      <c r="DU191" s="335"/>
      <c r="DV191" s="335"/>
      <c r="DW191" s="335"/>
      <c r="DX191" s="335"/>
      <c r="DY191" s="335"/>
      <c r="DZ191" s="335"/>
      <c r="EA191" s="335"/>
      <c r="EB191" s="335"/>
      <c r="EC191" s="335"/>
      <c r="ED191" s="335"/>
      <c r="EE191" s="335"/>
      <c r="EF191" s="335"/>
      <c r="EG191" s="335"/>
      <c r="EH191" s="335"/>
      <c r="EI191" s="335"/>
      <c r="EJ191" s="335"/>
      <c r="EK191" s="335"/>
      <c r="EL191" s="335"/>
      <c r="EM191" s="335"/>
    </row>
    <row r="192" spans="72:143">
      <c r="BT192" s="187"/>
      <c r="BU192" s="187" t="s">
        <v>98</v>
      </c>
      <c r="BV192" s="196">
        <v>124054</v>
      </c>
      <c r="BW192" s="197" t="e">
        <f t="shared" si="133"/>
        <v>#REF!</v>
      </c>
      <c r="BX192" s="198" t="e">
        <f>IF(AND(State_LOB_Code=18,LEFT(BW192,4)&lt;"2009"),81,State_LOB_Code)&amp;"|336"</f>
        <v>#REF!</v>
      </c>
      <c r="BY192" s="174"/>
      <c r="BZ192" s="175"/>
      <c r="CD192" s="163"/>
      <c r="CE192" s="363"/>
      <c r="CF192" s="335"/>
      <c r="CG192" s="335"/>
      <c r="CH192" s="335"/>
      <c r="CI192" s="335"/>
      <c r="CJ192" s="335"/>
      <c r="CK192" s="335"/>
      <c r="CL192" s="335"/>
      <c r="CM192" s="335"/>
      <c r="CN192" s="335"/>
      <c r="CO192" s="335"/>
      <c r="CP192" s="335"/>
      <c r="CQ192" s="335"/>
      <c r="CR192" s="335"/>
      <c r="CS192" s="335"/>
      <c r="CT192" s="335"/>
      <c r="CU192" s="335"/>
      <c r="CV192" s="335"/>
      <c r="CW192" s="335"/>
      <c r="CX192" s="335"/>
      <c r="CY192" s="335"/>
      <c r="CZ192" s="335"/>
      <c r="DA192" s="335"/>
      <c r="DB192" s="335"/>
      <c r="DC192" s="335"/>
      <c r="DD192" s="335"/>
      <c r="DE192" s="335"/>
      <c r="DF192" s="335"/>
      <c r="DG192" s="335"/>
      <c r="DH192" s="335"/>
      <c r="DI192" s="335"/>
      <c r="DJ192" s="335"/>
      <c r="DK192" s="335"/>
      <c r="DL192" s="335"/>
      <c r="DM192" s="335"/>
      <c r="DN192" s="335"/>
      <c r="DO192" s="335"/>
      <c r="DP192" s="335"/>
      <c r="DQ192" s="335"/>
      <c r="DR192" s="335"/>
      <c r="DS192" s="335"/>
      <c r="DT192" s="335"/>
      <c r="DU192" s="335"/>
      <c r="DV192" s="335"/>
      <c r="DW192" s="335"/>
      <c r="DX192" s="335"/>
      <c r="DY192" s="335"/>
      <c r="DZ192" s="335"/>
      <c r="EA192" s="335"/>
      <c r="EB192" s="335"/>
      <c r="EC192" s="335"/>
      <c r="ED192" s="335"/>
      <c r="EE192" s="335"/>
      <c r="EF192" s="335"/>
      <c r="EG192" s="335"/>
      <c r="EH192" s="335"/>
      <c r="EI192" s="335"/>
      <c r="EJ192" s="335"/>
      <c r="EK192" s="335"/>
      <c r="EL192" s="335"/>
      <c r="EM192" s="335"/>
    </row>
    <row r="193" spans="72:143">
      <c r="BT193" s="187"/>
      <c r="BU193" s="187" t="s">
        <v>99</v>
      </c>
      <c r="BV193" s="196">
        <v>124054</v>
      </c>
      <c r="BW193" s="197" t="e">
        <f t="shared" si="133"/>
        <v>#REF!</v>
      </c>
      <c r="BX193" s="198" t="e">
        <f>IF(AND(State_LOB_Code=18,LEFT(BW193,4)&lt;"2009"),81,State_LOB_Code)&amp;"|345"</f>
        <v>#REF!</v>
      </c>
      <c r="BY193" s="174"/>
      <c r="BZ193" s="175"/>
      <c r="CD193" s="163"/>
      <c r="CE193" s="363"/>
      <c r="CF193" s="335"/>
      <c r="CG193" s="335"/>
      <c r="CH193" s="335"/>
      <c r="CI193" s="335"/>
      <c r="CJ193" s="335"/>
      <c r="CK193" s="335"/>
      <c r="CL193" s="335"/>
      <c r="CM193" s="335"/>
      <c r="CN193" s="335"/>
      <c r="CO193" s="335"/>
      <c r="CP193" s="335"/>
      <c r="CQ193" s="335"/>
      <c r="CR193" s="335"/>
      <c r="CS193" s="335"/>
      <c r="CT193" s="335"/>
      <c r="CU193" s="335"/>
      <c r="CV193" s="335"/>
      <c r="CW193" s="335"/>
      <c r="CX193" s="335"/>
      <c r="CY193" s="335"/>
      <c r="CZ193" s="335"/>
      <c r="DA193" s="335"/>
      <c r="DB193" s="335"/>
      <c r="DC193" s="335"/>
      <c r="DD193" s="335"/>
      <c r="DE193" s="335"/>
      <c r="DF193" s="335"/>
      <c r="DG193" s="335"/>
      <c r="DH193" s="335"/>
      <c r="DI193" s="335"/>
      <c r="DJ193" s="335"/>
      <c r="DK193" s="335"/>
      <c r="DL193" s="335"/>
      <c r="DM193" s="335"/>
      <c r="DN193" s="335"/>
      <c r="DO193" s="335"/>
      <c r="DP193" s="335"/>
      <c r="DQ193" s="335"/>
      <c r="DR193" s="335"/>
      <c r="DS193" s="335"/>
      <c r="DT193" s="335"/>
      <c r="DU193" s="335"/>
      <c r="DV193" s="335"/>
      <c r="DW193" s="335"/>
      <c r="DX193" s="335"/>
      <c r="DY193" s="335"/>
      <c r="DZ193" s="335"/>
      <c r="EA193" s="335"/>
      <c r="EB193" s="335"/>
      <c r="EC193" s="335"/>
      <c r="ED193" s="335"/>
      <c r="EE193" s="335"/>
      <c r="EF193" s="335"/>
      <c r="EG193" s="335"/>
      <c r="EH193" s="335"/>
      <c r="EI193" s="335"/>
      <c r="EJ193" s="335"/>
      <c r="EK193" s="335"/>
      <c r="EL193" s="335"/>
      <c r="EM193" s="335"/>
    </row>
    <row r="194" spans="72:143">
      <c r="BT194" s="187"/>
      <c r="BU194" s="187" t="s">
        <v>100</v>
      </c>
      <c r="BV194" s="196">
        <v>124054</v>
      </c>
      <c r="BW194" s="197" t="e">
        <f t="shared" si="133"/>
        <v>#REF!</v>
      </c>
      <c r="BX194" s="198" t="e">
        <f>IF(AND(State_LOB_Code=18,LEFT(BW194,4)&lt;"2009"),81,State_LOB_Code)&amp;"|360"</f>
        <v>#REF!</v>
      </c>
      <c r="BY194" s="174"/>
      <c r="BZ194" s="175"/>
      <c r="CD194" s="163"/>
      <c r="CE194" s="363"/>
      <c r="CF194" s="335"/>
      <c r="CG194" s="335"/>
      <c r="CH194" s="335"/>
      <c r="CI194" s="335"/>
      <c r="CJ194" s="335"/>
      <c r="CK194" s="335"/>
      <c r="CL194" s="335"/>
      <c r="CM194" s="335"/>
      <c r="CN194" s="335"/>
      <c r="CO194" s="335"/>
      <c r="CP194" s="335"/>
      <c r="CQ194" s="335"/>
      <c r="CR194" s="335"/>
      <c r="CS194" s="335"/>
      <c r="CT194" s="335"/>
      <c r="CU194" s="335"/>
      <c r="CV194" s="335"/>
      <c r="CW194" s="335"/>
      <c r="CX194" s="335"/>
      <c r="CY194" s="335"/>
      <c r="CZ194" s="335"/>
      <c r="DA194" s="335"/>
      <c r="DB194" s="335"/>
      <c r="DC194" s="335"/>
      <c r="DD194" s="335"/>
      <c r="DE194" s="335"/>
      <c r="DF194" s="335"/>
      <c r="DG194" s="335"/>
      <c r="DH194" s="335"/>
      <c r="DI194" s="335"/>
      <c r="DJ194" s="335"/>
      <c r="DK194" s="335"/>
      <c r="DL194" s="335"/>
      <c r="DM194" s="335"/>
      <c r="DN194" s="335"/>
      <c r="DO194" s="335"/>
      <c r="DP194" s="335"/>
      <c r="DQ194" s="335"/>
      <c r="DR194" s="335"/>
      <c r="DS194" s="335"/>
      <c r="DT194" s="335"/>
      <c r="DU194" s="335"/>
      <c r="DV194" s="335"/>
      <c r="DW194" s="335"/>
      <c r="DX194" s="335"/>
      <c r="DY194" s="335"/>
      <c r="DZ194" s="335"/>
      <c r="EA194" s="335"/>
      <c r="EB194" s="335"/>
      <c r="EC194" s="335"/>
      <c r="ED194" s="335"/>
      <c r="EE194" s="335"/>
      <c r="EF194" s="335"/>
      <c r="EG194" s="335"/>
      <c r="EH194" s="335"/>
      <c r="EI194" s="335"/>
      <c r="EJ194" s="335"/>
      <c r="EK194" s="335"/>
      <c r="EL194" s="335"/>
      <c r="EM194" s="335"/>
    </row>
    <row r="195" spans="72:143">
      <c r="BT195" s="187"/>
      <c r="BU195" s="187" t="s">
        <v>101</v>
      </c>
      <c r="BV195" s="196">
        <v>124054</v>
      </c>
      <c r="BW195" s="197" t="e">
        <f t="shared" si="133"/>
        <v>#REF!</v>
      </c>
      <c r="BX195" s="198" t="e">
        <f>IF(AND(State_LOB_Code=18,LEFT(BW195,4)&lt;"2009"),81,State_LOB_Code)&amp;"|375"</f>
        <v>#REF!</v>
      </c>
      <c r="BY195" s="174"/>
      <c r="BZ195" s="175"/>
      <c r="CD195" s="163"/>
      <c r="CE195" s="363"/>
      <c r="CF195" s="335"/>
      <c r="CG195" s="335"/>
      <c r="CH195" s="335"/>
      <c r="CI195" s="335"/>
      <c r="CJ195" s="335"/>
      <c r="CK195" s="335"/>
      <c r="CL195" s="335"/>
      <c r="CM195" s="335"/>
      <c r="CN195" s="335"/>
      <c r="CO195" s="335"/>
      <c r="CP195" s="335"/>
      <c r="CQ195" s="335"/>
      <c r="CR195" s="335"/>
      <c r="CS195" s="335"/>
      <c r="CT195" s="335"/>
      <c r="CU195" s="335"/>
      <c r="CV195" s="335"/>
      <c r="CW195" s="335"/>
      <c r="CX195" s="335"/>
      <c r="CY195" s="335"/>
      <c r="CZ195" s="335"/>
      <c r="DA195" s="335"/>
      <c r="DB195" s="335"/>
      <c r="DC195" s="335"/>
      <c r="DD195" s="335"/>
      <c r="DE195" s="335"/>
      <c r="DF195" s="335"/>
      <c r="DG195" s="335"/>
      <c r="DH195" s="335"/>
      <c r="DI195" s="335"/>
      <c r="DJ195" s="335"/>
      <c r="DK195" s="335"/>
      <c r="DL195" s="335"/>
      <c r="DM195" s="335"/>
      <c r="DN195" s="335"/>
      <c r="DO195" s="335"/>
      <c r="DP195" s="335"/>
      <c r="DQ195" s="335"/>
      <c r="DR195" s="335"/>
      <c r="DS195" s="335"/>
      <c r="DT195" s="335"/>
      <c r="DU195" s="335"/>
      <c r="DV195" s="335"/>
      <c r="DW195" s="335"/>
      <c r="DX195" s="335"/>
      <c r="DY195" s="335"/>
      <c r="DZ195" s="335"/>
      <c r="EA195" s="335"/>
      <c r="EB195" s="335"/>
      <c r="EC195" s="335"/>
      <c r="ED195" s="335"/>
      <c r="EE195" s="335"/>
      <c r="EF195" s="335"/>
      <c r="EG195" s="335"/>
      <c r="EH195" s="335"/>
      <c r="EI195" s="335"/>
      <c r="EJ195" s="335"/>
      <c r="EK195" s="335"/>
      <c r="EL195" s="335"/>
      <c r="EM195" s="335"/>
    </row>
    <row r="196" spans="72:143">
      <c r="BT196" s="187"/>
      <c r="BU196" s="187" t="s">
        <v>102</v>
      </c>
      <c r="BV196" s="196">
        <v>124054</v>
      </c>
      <c r="BW196" s="197" t="e">
        <f t="shared" si="133"/>
        <v>#REF!</v>
      </c>
      <c r="BX196" s="198" t="e">
        <f>IF(AND(State_LOB_Code=18,LEFT(BW196,4)&lt;"2009"),81,State_LOB_Code)&amp;"|383"</f>
        <v>#REF!</v>
      </c>
      <c r="BY196" s="174"/>
      <c r="BZ196" s="175"/>
      <c r="CD196" s="163"/>
      <c r="CE196" s="363"/>
      <c r="CF196" s="335"/>
      <c r="CG196" s="335"/>
      <c r="CH196" s="335"/>
      <c r="CI196" s="335"/>
      <c r="CJ196" s="335"/>
      <c r="CK196" s="335"/>
      <c r="CL196" s="335"/>
      <c r="CM196" s="335"/>
      <c r="CN196" s="335"/>
      <c r="CO196" s="335"/>
      <c r="CP196" s="335"/>
      <c r="CQ196" s="335"/>
      <c r="CR196" s="335"/>
      <c r="CS196" s="335"/>
      <c r="CT196" s="335"/>
      <c r="CU196" s="335"/>
      <c r="CV196" s="335"/>
      <c r="CW196" s="335"/>
      <c r="CX196" s="335"/>
      <c r="CY196" s="335"/>
      <c r="CZ196" s="335"/>
      <c r="DA196" s="335"/>
      <c r="DB196" s="335"/>
      <c r="DC196" s="335"/>
      <c r="DD196" s="335"/>
      <c r="DE196" s="335"/>
      <c r="DF196" s="335"/>
      <c r="DG196" s="335"/>
      <c r="DH196" s="335"/>
      <c r="DI196" s="335"/>
      <c r="DJ196" s="335"/>
      <c r="DK196" s="335"/>
      <c r="DL196" s="335"/>
      <c r="DM196" s="335"/>
      <c r="DN196" s="335"/>
      <c r="DO196" s="335"/>
      <c r="DP196" s="335"/>
      <c r="DQ196" s="335"/>
      <c r="DR196" s="335"/>
      <c r="DS196" s="335"/>
      <c r="DT196" s="335"/>
      <c r="DU196" s="335"/>
      <c r="DV196" s="335"/>
      <c r="DW196" s="335"/>
      <c r="DX196" s="335"/>
      <c r="DY196" s="335"/>
      <c r="DZ196" s="335"/>
      <c r="EA196" s="335"/>
      <c r="EB196" s="335"/>
      <c r="EC196" s="335"/>
      <c r="ED196" s="335"/>
      <c r="EE196" s="335"/>
      <c r="EF196" s="335"/>
      <c r="EG196" s="335"/>
      <c r="EH196" s="335"/>
      <c r="EI196" s="335"/>
      <c r="EJ196" s="335"/>
      <c r="EK196" s="335"/>
      <c r="EL196" s="335"/>
      <c r="EM196" s="335"/>
    </row>
    <row r="197" spans="72:143">
      <c r="BT197" s="187"/>
      <c r="BU197" s="187" t="s">
        <v>103</v>
      </c>
      <c r="BV197" s="196">
        <v>124054</v>
      </c>
      <c r="BW197" s="197" t="e">
        <f t="shared" si="133"/>
        <v>#REF!</v>
      </c>
      <c r="BX197" s="198" t="e">
        <f>IF(AND(State_LOB_Code=18,LEFT(BW197,4)&lt;"2009"),81,State_LOB_Code)&amp;"|332"</f>
        <v>#REF!</v>
      </c>
      <c r="BY197" s="174"/>
      <c r="BZ197" s="175"/>
      <c r="CD197" s="163"/>
      <c r="CE197" s="363"/>
      <c r="CF197" s="335"/>
      <c r="CG197" s="335"/>
      <c r="CH197" s="335"/>
      <c r="CI197" s="335"/>
      <c r="CJ197" s="335"/>
      <c r="CK197" s="335"/>
      <c r="CL197" s="335"/>
      <c r="CM197" s="335"/>
      <c r="CN197" s="335"/>
      <c r="CO197" s="335"/>
      <c r="CP197" s="335"/>
      <c r="CQ197" s="335"/>
      <c r="CR197" s="335"/>
      <c r="CS197" s="335"/>
      <c r="CT197" s="335"/>
      <c r="CU197" s="335"/>
      <c r="CV197" s="335"/>
      <c r="CW197" s="335"/>
      <c r="CX197" s="335"/>
      <c r="CY197" s="335"/>
      <c r="CZ197" s="335"/>
      <c r="DA197" s="335"/>
      <c r="DB197" s="335"/>
      <c r="DC197" s="335"/>
      <c r="DD197" s="335"/>
      <c r="DE197" s="335"/>
      <c r="DF197" s="335"/>
      <c r="DG197" s="335"/>
      <c r="DH197" s="335"/>
      <c r="DI197" s="335"/>
      <c r="DJ197" s="335"/>
      <c r="DK197" s="335"/>
      <c r="DL197" s="335"/>
      <c r="DM197" s="335"/>
      <c r="DN197" s="335"/>
      <c r="DO197" s="335"/>
      <c r="DP197" s="335"/>
      <c r="DQ197" s="335"/>
      <c r="DR197" s="335"/>
      <c r="DS197" s="335"/>
      <c r="DT197" s="335"/>
      <c r="DU197" s="335"/>
      <c r="DV197" s="335"/>
      <c r="DW197" s="335"/>
      <c r="DX197" s="335"/>
      <c r="DY197" s="335"/>
      <c r="DZ197" s="335"/>
      <c r="EA197" s="335"/>
      <c r="EB197" s="335"/>
      <c r="EC197" s="335"/>
      <c r="ED197" s="335"/>
      <c r="EE197" s="335"/>
      <c r="EF197" s="335"/>
      <c r="EG197" s="335"/>
      <c r="EH197" s="335"/>
      <c r="EI197" s="335"/>
      <c r="EJ197" s="335"/>
      <c r="EK197" s="335"/>
      <c r="EL197" s="335"/>
      <c r="EM197" s="335"/>
    </row>
    <row r="198" spans="72:143">
      <c r="BT198" s="187"/>
      <c r="BU198" s="187" t="s">
        <v>104</v>
      </c>
      <c r="BV198" s="196">
        <v>124054</v>
      </c>
      <c r="BW198" s="197" t="e">
        <f t="shared" si="133"/>
        <v>#REF!</v>
      </c>
      <c r="BX198" s="198" t="e">
        <f>IF(AND(State_LOB_Code=18,LEFT(BW198,4)&lt;"2009"),81,State_LOB_Code)&amp;"|330"</f>
        <v>#REF!</v>
      </c>
      <c r="BY198" s="174"/>
      <c r="BZ198" s="175"/>
      <c r="CD198" s="163"/>
      <c r="CE198" s="363"/>
      <c r="CF198" s="335"/>
      <c r="CG198" s="335"/>
      <c r="CH198" s="335"/>
      <c r="CI198" s="335"/>
      <c r="CJ198" s="335"/>
      <c r="CK198" s="335"/>
      <c r="CL198" s="335"/>
      <c r="CM198" s="335"/>
      <c r="CN198" s="335"/>
      <c r="CO198" s="335"/>
      <c r="CP198" s="335"/>
      <c r="CQ198" s="335"/>
      <c r="CR198" s="335"/>
      <c r="CS198" s="335"/>
      <c r="CT198" s="335"/>
      <c r="CU198" s="335"/>
      <c r="CV198" s="335"/>
      <c r="CW198" s="335"/>
      <c r="CX198" s="335"/>
      <c r="CY198" s="335"/>
      <c r="CZ198" s="335"/>
      <c r="DA198" s="335"/>
      <c r="DB198" s="335"/>
      <c r="DC198" s="335"/>
      <c r="DD198" s="335"/>
      <c r="DE198" s="335"/>
      <c r="DF198" s="335"/>
      <c r="DG198" s="335"/>
      <c r="DH198" s="335"/>
      <c r="DI198" s="335"/>
      <c r="DJ198" s="335"/>
      <c r="DK198" s="335"/>
      <c r="DL198" s="335"/>
      <c r="DM198" s="335"/>
      <c r="DN198" s="335"/>
      <c r="DO198" s="335"/>
      <c r="DP198" s="335"/>
      <c r="DQ198" s="335"/>
      <c r="DR198" s="335"/>
      <c r="DS198" s="335"/>
      <c r="DT198" s="335"/>
      <c r="DU198" s="335"/>
      <c r="DV198" s="335"/>
      <c r="DW198" s="335"/>
      <c r="DX198" s="335"/>
      <c r="DY198" s="335"/>
      <c r="DZ198" s="335"/>
      <c r="EA198" s="335"/>
      <c r="EB198" s="335"/>
      <c r="EC198" s="335"/>
      <c r="ED198" s="335"/>
      <c r="EE198" s="335"/>
      <c r="EF198" s="335"/>
      <c r="EG198" s="335"/>
      <c r="EH198" s="335"/>
      <c r="EI198" s="335"/>
      <c r="EJ198" s="335"/>
      <c r="EK198" s="335"/>
      <c r="EL198" s="335"/>
      <c r="EM198" s="335"/>
    </row>
    <row r="199" spans="72:143">
      <c r="BT199" s="187"/>
      <c r="BU199" s="190" t="s">
        <v>46</v>
      </c>
      <c r="BV199" s="202">
        <v>124056</v>
      </c>
      <c r="BW199" s="203" t="e">
        <f t="shared" si="133"/>
        <v>#REF!</v>
      </c>
      <c r="BX199" s="204" t="e">
        <f>IF(AND(State_LOB_Code=18,LEFT(BW199,4)&lt;"2009"),81,State_LOB_Code)</f>
        <v>#REF!</v>
      </c>
      <c r="BY199" s="191"/>
      <c r="BZ199" s="192"/>
      <c r="CD199" s="163"/>
      <c r="CE199" s="363"/>
      <c r="CF199" s="335"/>
      <c r="CG199" s="335"/>
      <c r="CH199" s="335"/>
      <c r="CI199" s="335"/>
      <c r="CJ199" s="335"/>
      <c r="CK199" s="335"/>
      <c r="CL199" s="335"/>
      <c r="CM199" s="335"/>
      <c r="CN199" s="335"/>
      <c r="CO199" s="335"/>
      <c r="CP199" s="335"/>
      <c r="CQ199" s="335"/>
      <c r="CR199" s="335"/>
      <c r="CS199" s="335"/>
      <c r="CT199" s="335"/>
      <c r="CU199" s="335"/>
      <c r="CV199" s="335"/>
      <c r="CW199" s="335"/>
      <c r="CX199" s="335"/>
      <c r="CY199" s="335"/>
      <c r="CZ199" s="335"/>
      <c r="DA199" s="335"/>
      <c r="DB199" s="335"/>
      <c r="DC199" s="335"/>
      <c r="DD199" s="335"/>
      <c r="DE199" s="335"/>
      <c r="DF199" s="335"/>
      <c r="DG199" s="335"/>
      <c r="DH199" s="335"/>
      <c r="DI199" s="335"/>
      <c r="DJ199" s="335"/>
      <c r="DK199" s="335"/>
      <c r="DL199" s="335"/>
      <c r="DM199" s="335"/>
      <c r="DN199" s="335"/>
      <c r="DO199" s="335"/>
      <c r="DP199" s="335"/>
      <c r="DQ199" s="335"/>
      <c r="DR199" s="335"/>
      <c r="DS199" s="335"/>
      <c r="DT199" s="335"/>
      <c r="DU199" s="335"/>
      <c r="DV199" s="335"/>
      <c r="DW199" s="335"/>
      <c r="DX199" s="335"/>
      <c r="DY199" s="335"/>
      <c r="DZ199" s="335"/>
      <c r="EA199" s="335"/>
      <c r="EB199" s="335"/>
      <c r="EC199" s="335"/>
      <c r="ED199" s="335"/>
      <c r="EE199" s="335"/>
      <c r="EF199" s="335"/>
      <c r="EG199" s="335"/>
      <c r="EH199" s="335"/>
      <c r="EI199" s="335"/>
      <c r="EJ199" s="335"/>
      <c r="EK199" s="335"/>
      <c r="EL199" s="335"/>
      <c r="EM199" s="335"/>
    </row>
    <row r="200" spans="72:143">
      <c r="BT200" s="187"/>
      <c r="BU200" s="187"/>
      <c r="BV200" s="188"/>
      <c r="BW200" s="188"/>
      <c r="BX200" s="188"/>
      <c r="BY200" s="178"/>
      <c r="BZ200" s="179"/>
      <c r="CD200" s="163"/>
      <c r="CE200" s="363"/>
      <c r="CF200" s="335"/>
      <c r="CG200" s="335"/>
      <c r="CH200" s="335"/>
      <c r="CI200" s="335"/>
      <c r="CJ200" s="335"/>
      <c r="CK200" s="335"/>
      <c r="CL200" s="335"/>
      <c r="CM200" s="335"/>
      <c r="CN200" s="335"/>
      <c r="CO200" s="335"/>
      <c r="CP200" s="335"/>
      <c r="CQ200" s="335"/>
      <c r="CR200" s="335"/>
      <c r="CS200" s="335"/>
      <c r="CT200" s="335"/>
      <c r="CU200" s="335"/>
      <c r="CV200" s="335"/>
      <c r="CW200" s="335"/>
      <c r="CX200" s="335"/>
      <c r="CY200" s="335"/>
      <c r="CZ200" s="335"/>
      <c r="DA200" s="335"/>
      <c r="DB200" s="335"/>
      <c r="DC200" s="335"/>
      <c r="DD200" s="335"/>
      <c r="DE200" s="335"/>
      <c r="DF200" s="335"/>
      <c r="DG200" s="335"/>
      <c r="DH200" s="335"/>
      <c r="DI200" s="335"/>
      <c r="DJ200" s="335"/>
      <c r="DK200" s="335"/>
      <c r="DL200" s="335"/>
      <c r="DM200" s="335"/>
      <c r="DN200" s="335"/>
      <c r="DO200" s="335"/>
      <c r="DP200" s="335"/>
      <c r="DQ200" s="335"/>
      <c r="DR200" s="335"/>
      <c r="DS200" s="335"/>
      <c r="DT200" s="335"/>
      <c r="DU200" s="335"/>
      <c r="DV200" s="335"/>
      <c r="DW200" s="335"/>
      <c r="DX200" s="335"/>
      <c r="DY200" s="335"/>
      <c r="DZ200" s="335"/>
      <c r="EA200" s="335"/>
      <c r="EB200" s="335"/>
      <c r="EC200" s="335"/>
      <c r="ED200" s="335"/>
      <c r="EE200" s="335"/>
      <c r="EF200" s="335"/>
      <c r="EG200" s="335"/>
      <c r="EH200" s="335"/>
      <c r="EI200" s="335"/>
      <c r="EJ200" s="335"/>
      <c r="EK200" s="335"/>
      <c r="EL200" s="335"/>
      <c r="EM200" s="335"/>
    </row>
    <row r="201" spans="72:143">
      <c r="BT201" s="187"/>
      <c r="BU201" s="184" t="s">
        <v>47</v>
      </c>
      <c r="BV201" s="193">
        <v>124054</v>
      </c>
      <c r="BW201" s="194" t="e">
        <f t="shared" ref="BW201:BW232" si="134">LEFT(BW140,4)-1&amp;"Y"</f>
        <v>#REF!</v>
      </c>
      <c r="BX201" s="195" t="e">
        <f>IF(AND(State_LOB_Code=18,LEFT(BW201,4)&lt;"2009"),81,State_LOB_Code)&amp;"|333"</f>
        <v>#REF!</v>
      </c>
      <c r="BY201" s="185"/>
      <c r="BZ201" s="186"/>
      <c r="CD201" s="163"/>
      <c r="CE201" s="363"/>
      <c r="CF201" s="335"/>
      <c r="CG201" s="335"/>
      <c r="CH201" s="335"/>
      <c r="CI201" s="335"/>
      <c r="CJ201" s="335"/>
      <c r="CK201" s="335"/>
      <c r="CL201" s="335"/>
      <c r="CM201" s="335"/>
      <c r="CN201" s="335"/>
      <c r="CO201" s="335"/>
      <c r="CP201" s="335"/>
      <c r="CQ201" s="335"/>
      <c r="CR201" s="335"/>
      <c r="CS201" s="335"/>
      <c r="CT201" s="335"/>
      <c r="CU201" s="335"/>
      <c r="CV201" s="335"/>
      <c r="CW201" s="335"/>
      <c r="CX201" s="335"/>
      <c r="CY201" s="335"/>
      <c r="CZ201" s="335"/>
      <c r="DA201" s="335"/>
      <c r="DB201" s="335"/>
      <c r="DC201" s="335"/>
      <c r="DD201" s="335"/>
      <c r="DE201" s="335"/>
      <c r="DF201" s="335"/>
      <c r="DG201" s="335"/>
      <c r="DH201" s="335"/>
      <c r="DI201" s="335"/>
      <c r="DJ201" s="335"/>
      <c r="DK201" s="335"/>
      <c r="DL201" s="335"/>
      <c r="DM201" s="335"/>
      <c r="DN201" s="335"/>
      <c r="DO201" s="335"/>
      <c r="DP201" s="335"/>
      <c r="DQ201" s="335"/>
      <c r="DR201" s="335"/>
      <c r="DS201" s="335"/>
      <c r="DT201" s="335"/>
      <c r="DU201" s="335"/>
      <c r="DV201" s="335"/>
      <c r="DW201" s="335"/>
      <c r="DX201" s="335"/>
      <c r="DY201" s="335"/>
      <c r="DZ201" s="335"/>
      <c r="EA201" s="335"/>
      <c r="EB201" s="335"/>
      <c r="EC201" s="335"/>
      <c r="ED201" s="335"/>
      <c r="EE201" s="335"/>
      <c r="EF201" s="335"/>
      <c r="EG201" s="335"/>
      <c r="EH201" s="335"/>
      <c r="EI201" s="335"/>
      <c r="EJ201" s="335"/>
      <c r="EK201" s="335"/>
      <c r="EL201" s="335"/>
      <c r="EM201" s="335"/>
    </row>
    <row r="202" spans="72:143">
      <c r="BT202" s="187"/>
      <c r="BU202" s="187" t="s">
        <v>48</v>
      </c>
      <c r="BV202" s="196">
        <v>124054</v>
      </c>
      <c r="BW202" s="197" t="e">
        <f t="shared" si="134"/>
        <v>#REF!</v>
      </c>
      <c r="BX202" s="198" t="e">
        <f>IF(AND(State_LOB_Code=18,LEFT(BW202,4)&lt;"2009"),81,State_LOB_Code)&amp;"|334"</f>
        <v>#REF!</v>
      </c>
      <c r="BY202" s="174"/>
      <c r="BZ202" s="175"/>
      <c r="CD202" s="163"/>
      <c r="CE202" s="363"/>
      <c r="CF202" s="335"/>
      <c r="CG202" s="335"/>
      <c r="CH202" s="335"/>
      <c r="CI202" s="335"/>
      <c r="CJ202" s="335"/>
      <c r="CK202" s="335"/>
      <c r="CL202" s="335"/>
      <c r="CM202" s="335"/>
      <c r="CN202" s="335"/>
      <c r="CO202" s="335"/>
      <c r="CP202" s="335"/>
      <c r="CQ202" s="335"/>
      <c r="CR202" s="335"/>
      <c r="CS202" s="335"/>
      <c r="CT202" s="335"/>
      <c r="CU202" s="335"/>
      <c r="CV202" s="335"/>
      <c r="CW202" s="335"/>
      <c r="CX202" s="335"/>
      <c r="CY202" s="335"/>
      <c r="CZ202" s="335"/>
      <c r="DA202" s="335"/>
      <c r="DB202" s="335"/>
      <c r="DC202" s="335"/>
      <c r="DD202" s="335"/>
      <c r="DE202" s="335"/>
      <c r="DF202" s="335"/>
      <c r="DG202" s="335"/>
      <c r="DH202" s="335"/>
      <c r="DI202" s="335"/>
      <c r="DJ202" s="335"/>
      <c r="DK202" s="335"/>
      <c r="DL202" s="335"/>
      <c r="DM202" s="335"/>
      <c r="DN202" s="335"/>
      <c r="DO202" s="335"/>
      <c r="DP202" s="335"/>
      <c r="DQ202" s="335"/>
      <c r="DR202" s="335"/>
      <c r="DS202" s="335"/>
      <c r="DT202" s="335"/>
      <c r="DU202" s="335"/>
      <c r="DV202" s="335"/>
      <c r="DW202" s="335"/>
      <c r="DX202" s="335"/>
      <c r="DY202" s="335"/>
      <c r="DZ202" s="335"/>
      <c r="EA202" s="335"/>
      <c r="EB202" s="335"/>
      <c r="EC202" s="335"/>
      <c r="ED202" s="335"/>
      <c r="EE202" s="335"/>
      <c r="EF202" s="335"/>
      <c r="EG202" s="335"/>
      <c r="EH202" s="335"/>
      <c r="EI202" s="335"/>
      <c r="EJ202" s="335"/>
      <c r="EK202" s="335"/>
      <c r="EL202" s="335"/>
      <c r="EM202" s="335"/>
    </row>
    <row r="203" spans="72:143">
      <c r="BT203" s="187"/>
      <c r="BU203" s="187" t="s">
        <v>49</v>
      </c>
      <c r="BV203" s="196">
        <v>124054</v>
      </c>
      <c r="BW203" s="197" t="e">
        <f t="shared" si="134"/>
        <v>#REF!</v>
      </c>
      <c r="BX203" s="198" t="e">
        <f>IF(AND(State_LOB_Code=18,LEFT(BW203,4)&lt;"2009"),81,State_LOB_Code)&amp;"|335"</f>
        <v>#REF!</v>
      </c>
      <c r="BY203" s="174"/>
      <c r="BZ203" s="175"/>
      <c r="CD203" s="163"/>
      <c r="CE203" s="363"/>
      <c r="CF203" s="335"/>
      <c r="CG203" s="335"/>
      <c r="CH203" s="335"/>
      <c r="CI203" s="335"/>
      <c r="CJ203" s="335"/>
      <c r="CK203" s="335"/>
      <c r="CL203" s="335"/>
      <c r="CM203" s="335"/>
      <c r="CN203" s="335"/>
      <c r="CO203" s="335"/>
      <c r="CP203" s="335"/>
      <c r="CQ203" s="335"/>
      <c r="CR203" s="335"/>
      <c r="CS203" s="335"/>
      <c r="CT203" s="335"/>
      <c r="CU203" s="335"/>
      <c r="CV203" s="335"/>
      <c r="CW203" s="335"/>
      <c r="CX203" s="335"/>
      <c r="CY203" s="335"/>
      <c r="CZ203" s="335"/>
      <c r="DA203" s="335"/>
      <c r="DB203" s="335"/>
      <c r="DC203" s="335"/>
      <c r="DD203" s="335"/>
      <c r="DE203" s="335"/>
      <c r="DF203" s="335"/>
      <c r="DG203" s="335"/>
      <c r="DH203" s="335"/>
      <c r="DI203" s="335"/>
      <c r="DJ203" s="335"/>
      <c r="DK203" s="335"/>
      <c r="DL203" s="335"/>
      <c r="DM203" s="335"/>
      <c r="DN203" s="335"/>
      <c r="DO203" s="335"/>
      <c r="DP203" s="335"/>
      <c r="DQ203" s="335"/>
      <c r="DR203" s="335"/>
      <c r="DS203" s="335"/>
      <c r="DT203" s="335"/>
      <c r="DU203" s="335"/>
      <c r="DV203" s="335"/>
      <c r="DW203" s="335"/>
      <c r="DX203" s="335"/>
      <c r="DY203" s="335"/>
      <c r="DZ203" s="335"/>
      <c r="EA203" s="335"/>
      <c r="EB203" s="335"/>
      <c r="EC203" s="335"/>
      <c r="ED203" s="335"/>
      <c r="EE203" s="335"/>
      <c r="EF203" s="335"/>
      <c r="EG203" s="335"/>
      <c r="EH203" s="335"/>
      <c r="EI203" s="335"/>
      <c r="EJ203" s="335"/>
      <c r="EK203" s="335"/>
      <c r="EL203" s="335"/>
      <c r="EM203" s="335"/>
    </row>
    <row r="204" spans="72:143">
      <c r="BT204" s="187"/>
      <c r="BU204" s="187" t="s">
        <v>50</v>
      </c>
      <c r="BV204" s="196">
        <v>124054</v>
      </c>
      <c r="BW204" s="197" t="e">
        <f t="shared" si="134"/>
        <v>#REF!</v>
      </c>
      <c r="BX204" s="198" t="e">
        <f>IF(AND(State_LOB_Code=18,LEFT(BW204,4)&lt;"2009"),81,State_LOB_Code)&amp;"|337"</f>
        <v>#REF!</v>
      </c>
      <c r="BY204" s="174"/>
      <c r="BZ204" s="175"/>
      <c r="CD204" s="163"/>
      <c r="CE204" s="363"/>
      <c r="CF204" s="335"/>
      <c r="CG204" s="335"/>
      <c r="CH204" s="335"/>
      <c r="CI204" s="335"/>
      <c r="CJ204" s="335"/>
      <c r="CK204" s="335"/>
      <c r="CL204" s="335"/>
      <c r="CM204" s="335"/>
      <c r="CN204" s="335"/>
      <c r="CO204" s="335"/>
      <c r="CP204" s="335"/>
      <c r="CQ204" s="335"/>
      <c r="CR204" s="335"/>
      <c r="CS204" s="335"/>
      <c r="CT204" s="335"/>
      <c r="CU204" s="335"/>
      <c r="CV204" s="335"/>
      <c r="CW204" s="335"/>
      <c r="CX204" s="335"/>
      <c r="CY204" s="335"/>
      <c r="CZ204" s="335"/>
      <c r="DA204" s="335"/>
      <c r="DB204" s="335"/>
      <c r="DC204" s="335"/>
      <c r="DD204" s="335"/>
      <c r="DE204" s="335"/>
      <c r="DF204" s="335"/>
      <c r="DG204" s="335"/>
      <c r="DH204" s="335"/>
      <c r="DI204" s="335"/>
      <c r="DJ204" s="335"/>
      <c r="DK204" s="335"/>
      <c r="DL204" s="335"/>
      <c r="DM204" s="335"/>
      <c r="DN204" s="335"/>
      <c r="DO204" s="335"/>
      <c r="DP204" s="335"/>
      <c r="DQ204" s="335"/>
      <c r="DR204" s="335"/>
      <c r="DS204" s="335"/>
      <c r="DT204" s="335"/>
      <c r="DU204" s="335"/>
      <c r="DV204" s="335"/>
      <c r="DW204" s="335"/>
      <c r="DX204" s="335"/>
      <c r="DY204" s="335"/>
      <c r="DZ204" s="335"/>
      <c r="EA204" s="335"/>
      <c r="EB204" s="335"/>
      <c r="EC204" s="335"/>
      <c r="ED204" s="335"/>
      <c r="EE204" s="335"/>
      <c r="EF204" s="335"/>
      <c r="EG204" s="335"/>
      <c r="EH204" s="335"/>
      <c r="EI204" s="335"/>
      <c r="EJ204" s="335"/>
      <c r="EK204" s="335"/>
      <c r="EL204" s="335"/>
      <c r="EM204" s="335"/>
    </row>
    <row r="205" spans="72:143">
      <c r="BT205" s="187"/>
      <c r="BU205" s="187" t="s">
        <v>51</v>
      </c>
      <c r="BV205" s="196">
        <v>124054</v>
      </c>
      <c r="BW205" s="197" t="e">
        <f t="shared" si="134"/>
        <v>#REF!</v>
      </c>
      <c r="BX205" s="198" t="e">
        <f>IF(AND(State_LOB_Code=18,LEFT(BW205,4)&lt;"2009"),81,State_LOB_Code)&amp;"|338"</f>
        <v>#REF!</v>
      </c>
      <c r="BY205" s="174"/>
      <c r="BZ205" s="175"/>
      <c r="CD205" s="163"/>
      <c r="CE205" s="363"/>
      <c r="CF205" s="335"/>
      <c r="CG205" s="335"/>
      <c r="CH205" s="335"/>
      <c r="CI205" s="335"/>
      <c r="CJ205" s="335"/>
      <c r="CK205" s="335"/>
      <c r="CL205" s="335"/>
      <c r="CM205" s="335"/>
      <c r="CN205" s="335"/>
      <c r="CO205" s="335"/>
      <c r="CP205" s="335"/>
      <c r="CQ205" s="335"/>
      <c r="CR205" s="335"/>
      <c r="CS205" s="335"/>
      <c r="CT205" s="335"/>
      <c r="CU205" s="335"/>
      <c r="CV205" s="335"/>
      <c r="CW205" s="335"/>
      <c r="CX205" s="335"/>
      <c r="CY205" s="335"/>
      <c r="CZ205" s="335"/>
      <c r="DA205" s="335"/>
      <c r="DB205" s="335"/>
      <c r="DC205" s="335"/>
      <c r="DD205" s="335"/>
      <c r="DE205" s="335"/>
      <c r="DF205" s="335"/>
      <c r="DG205" s="335"/>
      <c r="DH205" s="335"/>
      <c r="DI205" s="335"/>
      <c r="DJ205" s="335"/>
      <c r="DK205" s="335"/>
      <c r="DL205" s="335"/>
      <c r="DM205" s="335"/>
      <c r="DN205" s="335"/>
      <c r="DO205" s="335"/>
      <c r="DP205" s="335"/>
      <c r="DQ205" s="335"/>
      <c r="DR205" s="335"/>
      <c r="DS205" s="335"/>
      <c r="DT205" s="335"/>
      <c r="DU205" s="335"/>
      <c r="DV205" s="335"/>
      <c r="DW205" s="335"/>
      <c r="DX205" s="335"/>
      <c r="DY205" s="335"/>
      <c r="DZ205" s="335"/>
      <c r="EA205" s="335"/>
      <c r="EB205" s="335"/>
      <c r="EC205" s="335"/>
      <c r="ED205" s="335"/>
      <c r="EE205" s="335"/>
      <c r="EF205" s="335"/>
      <c r="EG205" s="335"/>
      <c r="EH205" s="335"/>
      <c r="EI205" s="335"/>
      <c r="EJ205" s="335"/>
      <c r="EK205" s="335"/>
      <c r="EL205" s="335"/>
      <c r="EM205" s="335"/>
    </row>
    <row r="206" spans="72:143">
      <c r="BT206" s="187"/>
      <c r="BU206" s="187" t="s">
        <v>52</v>
      </c>
      <c r="BV206" s="196">
        <v>124054</v>
      </c>
      <c r="BW206" s="197" t="e">
        <f t="shared" si="134"/>
        <v>#REF!</v>
      </c>
      <c r="BX206" s="198" t="e">
        <f>IF(AND(State_LOB_Code=18,LEFT(BW206,4)&lt;"2009"),81,State_LOB_Code)&amp;"|339"</f>
        <v>#REF!</v>
      </c>
      <c r="BY206" s="174"/>
      <c r="BZ206" s="175"/>
      <c r="CD206" s="163"/>
      <c r="CE206" s="363"/>
      <c r="CF206" s="335"/>
      <c r="CG206" s="335"/>
      <c r="CH206" s="335"/>
      <c r="CI206" s="335"/>
      <c r="CJ206" s="335"/>
      <c r="CK206" s="335"/>
      <c r="CL206" s="335"/>
      <c r="CM206" s="335"/>
      <c r="CN206" s="335"/>
      <c r="CO206" s="335"/>
      <c r="CP206" s="335"/>
      <c r="CQ206" s="335"/>
      <c r="CR206" s="335"/>
      <c r="CS206" s="335"/>
      <c r="CT206" s="335"/>
      <c r="CU206" s="335"/>
      <c r="CV206" s="335"/>
      <c r="CW206" s="335"/>
      <c r="CX206" s="335"/>
      <c r="CY206" s="335"/>
      <c r="CZ206" s="335"/>
      <c r="DA206" s="335"/>
      <c r="DB206" s="335"/>
      <c r="DC206" s="335"/>
      <c r="DD206" s="335"/>
      <c r="DE206" s="335"/>
      <c r="DF206" s="335"/>
      <c r="DG206" s="335"/>
      <c r="DH206" s="335"/>
      <c r="DI206" s="335"/>
      <c r="DJ206" s="335"/>
      <c r="DK206" s="335"/>
      <c r="DL206" s="335"/>
      <c r="DM206" s="335"/>
      <c r="DN206" s="335"/>
      <c r="DO206" s="335"/>
      <c r="DP206" s="335"/>
      <c r="DQ206" s="335"/>
      <c r="DR206" s="335"/>
      <c r="DS206" s="335"/>
      <c r="DT206" s="335"/>
      <c r="DU206" s="335"/>
      <c r="DV206" s="335"/>
      <c r="DW206" s="335"/>
      <c r="DX206" s="335"/>
      <c r="DY206" s="335"/>
      <c r="DZ206" s="335"/>
      <c r="EA206" s="335"/>
      <c r="EB206" s="335"/>
      <c r="EC206" s="335"/>
      <c r="ED206" s="335"/>
      <c r="EE206" s="335"/>
      <c r="EF206" s="335"/>
      <c r="EG206" s="335"/>
      <c r="EH206" s="335"/>
      <c r="EI206" s="335"/>
      <c r="EJ206" s="335"/>
      <c r="EK206" s="335"/>
      <c r="EL206" s="335"/>
      <c r="EM206" s="335"/>
    </row>
    <row r="207" spans="72:143">
      <c r="BT207" s="187"/>
      <c r="BU207" s="187" t="s">
        <v>53</v>
      </c>
      <c r="BV207" s="196">
        <v>124054</v>
      </c>
      <c r="BW207" s="197" t="e">
        <f t="shared" si="134"/>
        <v>#REF!</v>
      </c>
      <c r="BX207" s="198" t="e">
        <f>IF(AND(State_LOB_Code=18,LEFT(BW207,4)&lt;"2009"),81,State_LOB_Code)&amp;"|340"</f>
        <v>#REF!</v>
      </c>
      <c r="BY207" s="174"/>
      <c r="BZ207" s="175"/>
      <c r="CD207" s="163"/>
      <c r="CE207" s="363"/>
      <c r="CF207" s="335"/>
      <c r="CG207" s="335"/>
      <c r="CH207" s="335"/>
      <c r="CI207" s="335"/>
      <c r="CJ207" s="335"/>
      <c r="CK207" s="335"/>
      <c r="CL207" s="335"/>
      <c r="CM207" s="335"/>
      <c r="CN207" s="335"/>
      <c r="CO207" s="335"/>
      <c r="CP207" s="335"/>
      <c r="CQ207" s="335"/>
      <c r="CR207" s="335"/>
      <c r="CS207" s="335"/>
      <c r="CT207" s="335"/>
      <c r="CU207" s="335"/>
      <c r="CV207" s="335"/>
      <c r="CW207" s="335"/>
      <c r="CX207" s="335"/>
      <c r="CY207" s="335"/>
      <c r="CZ207" s="335"/>
      <c r="DA207" s="335"/>
      <c r="DB207" s="335"/>
      <c r="DC207" s="335"/>
      <c r="DD207" s="335"/>
      <c r="DE207" s="335"/>
      <c r="DF207" s="335"/>
      <c r="DG207" s="335"/>
      <c r="DH207" s="335"/>
      <c r="DI207" s="335"/>
      <c r="DJ207" s="335"/>
      <c r="DK207" s="335"/>
      <c r="DL207" s="335"/>
      <c r="DM207" s="335"/>
      <c r="DN207" s="335"/>
      <c r="DO207" s="335"/>
      <c r="DP207" s="335"/>
      <c r="DQ207" s="335"/>
      <c r="DR207" s="335"/>
      <c r="DS207" s="335"/>
      <c r="DT207" s="335"/>
      <c r="DU207" s="335"/>
      <c r="DV207" s="335"/>
      <c r="DW207" s="335"/>
      <c r="DX207" s="335"/>
      <c r="DY207" s="335"/>
      <c r="DZ207" s="335"/>
      <c r="EA207" s="335"/>
      <c r="EB207" s="335"/>
      <c r="EC207" s="335"/>
      <c r="ED207" s="335"/>
      <c r="EE207" s="335"/>
      <c r="EF207" s="335"/>
      <c r="EG207" s="335"/>
      <c r="EH207" s="335"/>
      <c r="EI207" s="335"/>
      <c r="EJ207" s="335"/>
      <c r="EK207" s="335"/>
      <c r="EL207" s="335"/>
      <c r="EM207" s="335"/>
    </row>
    <row r="208" spans="72:143">
      <c r="BT208" s="187"/>
      <c r="BU208" s="187" t="s">
        <v>54</v>
      </c>
      <c r="BV208" s="196">
        <v>124054</v>
      </c>
      <c r="BW208" s="197" t="e">
        <f t="shared" si="134"/>
        <v>#REF!</v>
      </c>
      <c r="BX208" s="198" t="e">
        <f>IF(AND(State_LOB_Code=18,LEFT(BW208,4)&lt;"2009"),81,State_LOB_Code)&amp;"|341"</f>
        <v>#REF!</v>
      </c>
      <c r="BY208" s="174"/>
      <c r="BZ208" s="175"/>
      <c r="CD208" s="163"/>
      <c r="CE208" s="363"/>
      <c r="CF208" s="335"/>
      <c r="CG208" s="335"/>
      <c r="CH208" s="335"/>
      <c r="CI208" s="335"/>
      <c r="CJ208" s="335"/>
      <c r="CK208" s="335"/>
      <c r="CL208" s="335"/>
      <c r="CM208" s="335"/>
      <c r="CN208" s="335"/>
      <c r="CO208" s="335"/>
      <c r="CP208" s="335"/>
      <c r="CQ208" s="335"/>
      <c r="CR208" s="335"/>
      <c r="CS208" s="335"/>
      <c r="CT208" s="335"/>
      <c r="CU208" s="335"/>
      <c r="CV208" s="335"/>
      <c r="CW208" s="335"/>
      <c r="CX208" s="335"/>
      <c r="CY208" s="335"/>
      <c r="CZ208" s="335"/>
      <c r="DA208" s="335"/>
      <c r="DB208" s="335"/>
      <c r="DC208" s="335"/>
      <c r="DD208" s="335"/>
      <c r="DE208" s="335"/>
      <c r="DF208" s="335"/>
      <c r="DG208" s="335"/>
      <c r="DH208" s="335"/>
      <c r="DI208" s="335"/>
      <c r="DJ208" s="335"/>
      <c r="DK208" s="335"/>
      <c r="DL208" s="335"/>
      <c r="DM208" s="335"/>
      <c r="DN208" s="335"/>
      <c r="DO208" s="335"/>
      <c r="DP208" s="335"/>
      <c r="DQ208" s="335"/>
      <c r="DR208" s="335"/>
      <c r="DS208" s="335"/>
      <c r="DT208" s="335"/>
      <c r="DU208" s="335"/>
      <c r="DV208" s="335"/>
      <c r="DW208" s="335"/>
      <c r="DX208" s="335"/>
      <c r="DY208" s="335"/>
      <c r="DZ208" s="335"/>
      <c r="EA208" s="335"/>
      <c r="EB208" s="335"/>
      <c r="EC208" s="335"/>
      <c r="ED208" s="335"/>
      <c r="EE208" s="335"/>
      <c r="EF208" s="335"/>
      <c r="EG208" s="335"/>
      <c r="EH208" s="335"/>
      <c r="EI208" s="335"/>
      <c r="EJ208" s="335"/>
      <c r="EK208" s="335"/>
      <c r="EL208" s="335"/>
      <c r="EM208" s="335"/>
    </row>
    <row r="209" spans="72:143">
      <c r="BT209" s="187"/>
      <c r="BU209" s="187" t="s">
        <v>55</v>
      </c>
      <c r="BV209" s="196">
        <v>124054</v>
      </c>
      <c r="BW209" s="197" t="e">
        <f t="shared" si="134"/>
        <v>#REF!</v>
      </c>
      <c r="BX209" s="198" t="e">
        <f>IF(AND(State_LOB_Code=18,LEFT(BW209,4)&lt;"2009"),81,State_LOB_Code)&amp;"|342"</f>
        <v>#REF!</v>
      </c>
      <c r="BY209" s="174"/>
      <c r="BZ209" s="175"/>
      <c r="CD209" s="163"/>
      <c r="CE209" s="363"/>
      <c r="CF209" s="335"/>
      <c r="CG209" s="335"/>
      <c r="CH209" s="335"/>
      <c r="CI209" s="335"/>
      <c r="CJ209" s="335"/>
      <c r="CK209" s="335"/>
      <c r="CL209" s="335"/>
      <c r="CM209" s="335"/>
      <c r="CN209" s="335"/>
      <c r="CO209" s="335"/>
      <c r="CP209" s="335"/>
      <c r="CQ209" s="335"/>
      <c r="CR209" s="335"/>
      <c r="CS209" s="335"/>
      <c r="CT209" s="335"/>
      <c r="CU209" s="335"/>
      <c r="CV209" s="335"/>
      <c r="CW209" s="335"/>
      <c r="CX209" s="335"/>
      <c r="CY209" s="335"/>
      <c r="CZ209" s="335"/>
      <c r="DA209" s="335"/>
      <c r="DB209" s="335"/>
      <c r="DC209" s="335"/>
      <c r="DD209" s="335"/>
      <c r="DE209" s="335"/>
      <c r="DF209" s="335"/>
      <c r="DG209" s="335"/>
      <c r="DH209" s="335"/>
      <c r="DI209" s="335"/>
      <c r="DJ209" s="335"/>
      <c r="DK209" s="335"/>
      <c r="DL209" s="335"/>
      <c r="DM209" s="335"/>
      <c r="DN209" s="335"/>
      <c r="DO209" s="335"/>
      <c r="DP209" s="335"/>
      <c r="DQ209" s="335"/>
      <c r="DR209" s="335"/>
      <c r="DS209" s="335"/>
      <c r="DT209" s="335"/>
      <c r="DU209" s="335"/>
      <c r="DV209" s="335"/>
      <c r="DW209" s="335"/>
      <c r="DX209" s="335"/>
      <c r="DY209" s="335"/>
      <c r="DZ209" s="335"/>
      <c r="EA209" s="335"/>
      <c r="EB209" s="335"/>
      <c r="EC209" s="335"/>
      <c r="ED209" s="335"/>
      <c r="EE209" s="335"/>
      <c r="EF209" s="335"/>
      <c r="EG209" s="335"/>
      <c r="EH209" s="335"/>
      <c r="EI209" s="335"/>
      <c r="EJ209" s="335"/>
      <c r="EK209" s="335"/>
      <c r="EL209" s="335"/>
      <c r="EM209" s="335"/>
    </row>
    <row r="210" spans="72:143">
      <c r="BT210" s="187"/>
      <c r="BU210" s="187" t="s">
        <v>56</v>
      </c>
      <c r="BV210" s="196">
        <v>124054</v>
      </c>
      <c r="BW210" s="197" t="e">
        <f t="shared" si="134"/>
        <v>#REF!</v>
      </c>
      <c r="BX210" s="198" t="e">
        <f>IF(AND(State_LOB_Code=18,LEFT(BW210,4)&lt;"2009"),81,State_LOB_Code)&amp;"|343"</f>
        <v>#REF!</v>
      </c>
      <c r="BY210" s="174"/>
      <c r="BZ210" s="175"/>
      <c r="CD210" s="163"/>
      <c r="CE210" s="363"/>
      <c r="CF210" s="335"/>
      <c r="CG210" s="335"/>
      <c r="CH210" s="335"/>
      <c r="CI210" s="335"/>
      <c r="CJ210" s="335"/>
      <c r="CK210" s="335"/>
      <c r="CL210" s="335"/>
      <c r="CM210" s="335"/>
      <c r="CN210" s="335"/>
      <c r="CO210" s="335"/>
      <c r="CP210" s="335"/>
      <c r="CQ210" s="335"/>
      <c r="CR210" s="335"/>
      <c r="CS210" s="335"/>
      <c r="CT210" s="335"/>
      <c r="CU210" s="335"/>
      <c r="CV210" s="335"/>
      <c r="CW210" s="335"/>
      <c r="CX210" s="335"/>
      <c r="CY210" s="335"/>
      <c r="CZ210" s="335"/>
      <c r="DA210" s="335"/>
      <c r="DB210" s="335"/>
      <c r="DC210" s="335"/>
      <c r="DD210" s="335"/>
      <c r="DE210" s="335"/>
      <c r="DF210" s="335"/>
      <c r="DG210" s="335"/>
      <c r="DH210" s="335"/>
      <c r="DI210" s="335"/>
      <c r="DJ210" s="335"/>
      <c r="DK210" s="335"/>
      <c r="DL210" s="335"/>
      <c r="DM210" s="335"/>
      <c r="DN210" s="335"/>
      <c r="DO210" s="335"/>
      <c r="DP210" s="335"/>
      <c r="DQ210" s="335"/>
      <c r="DR210" s="335"/>
      <c r="DS210" s="335"/>
      <c r="DT210" s="335"/>
      <c r="DU210" s="335"/>
      <c r="DV210" s="335"/>
      <c r="DW210" s="335"/>
      <c r="DX210" s="335"/>
      <c r="DY210" s="335"/>
      <c r="DZ210" s="335"/>
      <c r="EA210" s="335"/>
      <c r="EB210" s="335"/>
      <c r="EC210" s="335"/>
      <c r="ED210" s="335"/>
      <c r="EE210" s="335"/>
      <c r="EF210" s="335"/>
      <c r="EG210" s="335"/>
      <c r="EH210" s="335"/>
      <c r="EI210" s="335"/>
      <c r="EJ210" s="335"/>
      <c r="EK210" s="335"/>
      <c r="EL210" s="335"/>
      <c r="EM210" s="335"/>
    </row>
    <row r="211" spans="72:143">
      <c r="BT211" s="187"/>
      <c r="BU211" s="187" t="s">
        <v>57</v>
      </c>
      <c r="BV211" s="196">
        <v>124054</v>
      </c>
      <c r="BW211" s="197" t="e">
        <f t="shared" si="134"/>
        <v>#REF!</v>
      </c>
      <c r="BX211" s="198" t="e">
        <f>IF(AND(State_LOB_Code=18,LEFT(BW211,4)&lt;"2009"),81,State_LOB_Code)&amp;"|344"</f>
        <v>#REF!</v>
      </c>
      <c r="BY211" s="174"/>
      <c r="BZ211" s="175"/>
      <c r="CD211" s="163"/>
      <c r="CE211" s="363"/>
      <c r="CF211" s="335"/>
      <c r="CG211" s="335"/>
      <c r="CH211" s="335"/>
      <c r="CI211" s="335"/>
      <c r="CJ211" s="335"/>
      <c r="CK211" s="335"/>
      <c r="CL211" s="335"/>
      <c r="CM211" s="335"/>
      <c r="CN211" s="335"/>
      <c r="CO211" s="335"/>
      <c r="CP211" s="335"/>
      <c r="CQ211" s="335"/>
      <c r="CR211" s="335"/>
      <c r="CS211" s="335"/>
      <c r="CT211" s="335"/>
      <c r="CU211" s="335"/>
      <c r="CV211" s="335"/>
      <c r="CW211" s="335"/>
      <c r="CX211" s="335"/>
      <c r="CY211" s="335"/>
      <c r="CZ211" s="335"/>
      <c r="DA211" s="335"/>
      <c r="DB211" s="335"/>
      <c r="DC211" s="335"/>
      <c r="DD211" s="335"/>
      <c r="DE211" s="335"/>
      <c r="DF211" s="335"/>
      <c r="DG211" s="335"/>
      <c r="DH211" s="335"/>
      <c r="DI211" s="335"/>
      <c r="DJ211" s="335"/>
      <c r="DK211" s="335"/>
      <c r="DL211" s="335"/>
      <c r="DM211" s="335"/>
      <c r="DN211" s="335"/>
      <c r="DO211" s="335"/>
      <c r="DP211" s="335"/>
      <c r="DQ211" s="335"/>
      <c r="DR211" s="335"/>
      <c r="DS211" s="335"/>
      <c r="DT211" s="335"/>
      <c r="DU211" s="335"/>
      <c r="DV211" s="335"/>
      <c r="DW211" s="335"/>
      <c r="DX211" s="335"/>
      <c r="DY211" s="335"/>
      <c r="DZ211" s="335"/>
      <c r="EA211" s="335"/>
      <c r="EB211" s="335"/>
      <c r="EC211" s="335"/>
      <c r="ED211" s="335"/>
      <c r="EE211" s="335"/>
      <c r="EF211" s="335"/>
      <c r="EG211" s="335"/>
      <c r="EH211" s="335"/>
      <c r="EI211" s="335"/>
      <c r="EJ211" s="335"/>
      <c r="EK211" s="335"/>
      <c r="EL211" s="335"/>
      <c r="EM211" s="335"/>
    </row>
    <row r="212" spans="72:143">
      <c r="BT212" s="187"/>
      <c r="BU212" s="187" t="s">
        <v>58</v>
      </c>
      <c r="BV212" s="196">
        <v>124054</v>
      </c>
      <c r="BW212" s="197" t="e">
        <f t="shared" si="134"/>
        <v>#REF!</v>
      </c>
      <c r="BX212" s="198" t="e">
        <f>IF(AND(State_LOB_Code=18,LEFT(BW212,4)&lt;"2009"),81,State_LOB_Code)&amp;"|346"</f>
        <v>#REF!</v>
      </c>
      <c r="BY212" s="174"/>
      <c r="BZ212" s="175"/>
      <c r="CD212" s="163"/>
      <c r="CE212" s="363"/>
      <c r="CF212" s="335"/>
      <c r="CG212" s="335"/>
      <c r="CH212" s="335"/>
      <c r="CI212" s="335"/>
      <c r="CJ212" s="335"/>
      <c r="CK212" s="335"/>
      <c r="CL212" s="335"/>
      <c r="CM212" s="335"/>
      <c r="CN212" s="335"/>
      <c r="CO212" s="335"/>
      <c r="CP212" s="335"/>
      <c r="CQ212" s="335"/>
      <c r="CR212" s="335"/>
      <c r="CS212" s="335"/>
      <c r="CT212" s="335"/>
      <c r="CU212" s="335"/>
      <c r="CV212" s="335"/>
      <c r="CW212" s="335"/>
      <c r="CX212" s="335"/>
      <c r="CY212" s="335"/>
      <c r="CZ212" s="335"/>
      <c r="DA212" s="335"/>
      <c r="DB212" s="335"/>
      <c r="DC212" s="335"/>
      <c r="DD212" s="335"/>
      <c r="DE212" s="335"/>
      <c r="DF212" s="335"/>
      <c r="DG212" s="335"/>
      <c r="DH212" s="335"/>
      <c r="DI212" s="335"/>
      <c r="DJ212" s="335"/>
      <c r="DK212" s="335"/>
      <c r="DL212" s="335"/>
      <c r="DM212" s="335"/>
      <c r="DN212" s="335"/>
      <c r="DO212" s="335"/>
      <c r="DP212" s="335"/>
      <c r="DQ212" s="335"/>
      <c r="DR212" s="335"/>
      <c r="DS212" s="335"/>
      <c r="DT212" s="335"/>
      <c r="DU212" s="335"/>
      <c r="DV212" s="335"/>
      <c r="DW212" s="335"/>
      <c r="DX212" s="335"/>
      <c r="DY212" s="335"/>
      <c r="DZ212" s="335"/>
      <c r="EA212" s="335"/>
      <c r="EB212" s="335"/>
      <c r="EC212" s="335"/>
      <c r="ED212" s="335"/>
      <c r="EE212" s="335"/>
      <c r="EF212" s="335"/>
      <c r="EG212" s="335"/>
      <c r="EH212" s="335"/>
      <c r="EI212" s="335"/>
      <c r="EJ212" s="335"/>
      <c r="EK212" s="335"/>
      <c r="EL212" s="335"/>
      <c r="EM212" s="335"/>
    </row>
    <row r="213" spans="72:143">
      <c r="BT213" s="187"/>
      <c r="BU213" s="187" t="s">
        <v>59</v>
      </c>
      <c r="BV213" s="196">
        <v>124054</v>
      </c>
      <c r="BW213" s="197" t="e">
        <f t="shared" si="134"/>
        <v>#REF!</v>
      </c>
      <c r="BX213" s="198" t="e">
        <f>IF(AND(State_LOB_Code=18,LEFT(BW213,4)&lt;"2009"),81,State_LOB_Code)&amp;"|347"</f>
        <v>#REF!</v>
      </c>
      <c r="BY213" s="174"/>
      <c r="BZ213" s="175"/>
      <c r="CD213" s="163"/>
      <c r="CE213" s="363"/>
      <c r="CF213" s="335"/>
      <c r="CG213" s="335"/>
      <c r="CH213" s="335"/>
      <c r="CI213" s="335"/>
      <c r="CJ213" s="335"/>
      <c r="CK213" s="335"/>
      <c r="CL213" s="335"/>
      <c r="CM213" s="335"/>
      <c r="CN213" s="335"/>
      <c r="CO213" s="335"/>
      <c r="CP213" s="335"/>
      <c r="CQ213" s="335"/>
      <c r="CR213" s="335"/>
      <c r="CS213" s="335"/>
      <c r="CT213" s="335"/>
      <c r="CU213" s="335"/>
      <c r="CV213" s="335"/>
      <c r="CW213" s="335"/>
      <c r="CX213" s="335"/>
      <c r="CY213" s="335"/>
      <c r="CZ213" s="335"/>
      <c r="DA213" s="335"/>
      <c r="DB213" s="335"/>
      <c r="DC213" s="335"/>
      <c r="DD213" s="335"/>
      <c r="DE213" s="335"/>
      <c r="DF213" s="335"/>
      <c r="DG213" s="335"/>
      <c r="DH213" s="335"/>
      <c r="DI213" s="335"/>
      <c r="DJ213" s="335"/>
      <c r="DK213" s="335"/>
      <c r="DL213" s="335"/>
      <c r="DM213" s="335"/>
      <c r="DN213" s="335"/>
      <c r="DO213" s="335"/>
      <c r="DP213" s="335"/>
      <c r="DQ213" s="335"/>
      <c r="DR213" s="335"/>
      <c r="DS213" s="335"/>
      <c r="DT213" s="335"/>
      <c r="DU213" s="335"/>
      <c r="DV213" s="335"/>
      <c r="DW213" s="335"/>
      <c r="DX213" s="335"/>
      <c r="DY213" s="335"/>
      <c r="DZ213" s="335"/>
      <c r="EA213" s="335"/>
      <c r="EB213" s="335"/>
      <c r="EC213" s="335"/>
      <c r="ED213" s="335"/>
      <c r="EE213" s="335"/>
      <c r="EF213" s="335"/>
      <c r="EG213" s="335"/>
      <c r="EH213" s="335"/>
      <c r="EI213" s="335"/>
      <c r="EJ213" s="335"/>
      <c r="EK213" s="335"/>
      <c r="EL213" s="335"/>
      <c r="EM213" s="335"/>
    </row>
    <row r="214" spans="72:143">
      <c r="BT214" s="187"/>
      <c r="BU214" s="187" t="s">
        <v>60</v>
      </c>
      <c r="BV214" s="196">
        <v>124054</v>
      </c>
      <c r="BW214" s="197" t="e">
        <f t="shared" si="134"/>
        <v>#REF!</v>
      </c>
      <c r="BX214" s="198" t="e">
        <f>IF(AND(State_LOB_Code=18,LEFT(BW214,4)&lt;"2009"),81,State_LOB_Code)&amp;"|348"</f>
        <v>#REF!</v>
      </c>
      <c r="BY214" s="174"/>
      <c r="BZ214" s="175"/>
      <c r="CD214" s="163"/>
      <c r="CE214" s="363"/>
      <c r="CF214" s="335"/>
      <c r="CG214" s="335"/>
      <c r="CH214" s="335"/>
      <c r="CI214" s="335"/>
      <c r="CJ214" s="335"/>
      <c r="CK214" s="335"/>
      <c r="CL214" s="335"/>
      <c r="CM214" s="335"/>
      <c r="CN214" s="335"/>
      <c r="CO214" s="335"/>
      <c r="CP214" s="335"/>
      <c r="CQ214" s="335"/>
      <c r="CR214" s="335"/>
      <c r="CS214" s="335"/>
      <c r="CT214" s="335"/>
      <c r="CU214" s="335"/>
      <c r="CV214" s="335"/>
      <c r="CW214" s="335"/>
      <c r="CX214" s="335"/>
      <c r="CY214" s="335"/>
      <c r="CZ214" s="335"/>
      <c r="DA214" s="335"/>
      <c r="DB214" s="335"/>
      <c r="DC214" s="335"/>
      <c r="DD214" s="335"/>
      <c r="DE214" s="335"/>
      <c r="DF214" s="335"/>
      <c r="DG214" s="335"/>
      <c r="DH214" s="335"/>
      <c r="DI214" s="335"/>
      <c r="DJ214" s="335"/>
      <c r="DK214" s="335"/>
      <c r="DL214" s="335"/>
      <c r="DM214" s="335"/>
      <c r="DN214" s="335"/>
      <c r="DO214" s="335"/>
      <c r="DP214" s="335"/>
      <c r="DQ214" s="335"/>
      <c r="DR214" s="335"/>
      <c r="DS214" s="335"/>
      <c r="DT214" s="335"/>
      <c r="DU214" s="335"/>
      <c r="DV214" s="335"/>
      <c r="DW214" s="335"/>
      <c r="DX214" s="335"/>
      <c r="DY214" s="335"/>
      <c r="DZ214" s="335"/>
      <c r="EA214" s="335"/>
      <c r="EB214" s="335"/>
      <c r="EC214" s="335"/>
      <c r="ED214" s="335"/>
      <c r="EE214" s="335"/>
      <c r="EF214" s="335"/>
      <c r="EG214" s="335"/>
      <c r="EH214" s="335"/>
      <c r="EI214" s="335"/>
      <c r="EJ214" s="335"/>
      <c r="EK214" s="335"/>
      <c r="EL214" s="335"/>
      <c r="EM214" s="335"/>
    </row>
    <row r="215" spans="72:143">
      <c r="BT215" s="187"/>
      <c r="BU215" s="187" t="s">
        <v>61</v>
      </c>
      <c r="BV215" s="196">
        <v>124054</v>
      </c>
      <c r="BW215" s="197" t="e">
        <f t="shared" si="134"/>
        <v>#REF!</v>
      </c>
      <c r="BX215" s="198" t="e">
        <f>IF(AND(State_LOB_Code=18,LEFT(BW215,4)&lt;"2009"),81,State_LOB_Code)&amp;"|349"</f>
        <v>#REF!</v>
      </c>
      <c r="BY215" s="174"/>
      <c r="BZ215" s="175"/>
      <c r="CD215" s="163"/>
      <c r="CE215" s="363"/>
      <c r="CF215" s="335"/>
      <c r="CG215" s="335"/>
      <c r="CH215" s="335"/>
      <c r="CI215" s="335"/>
      <c r="CJ215" s="335"/>
      <c r="CK215" s="335"/>
      <c r="CL215" s="335"/>
      <c r="CM215" s="335"/>
      <c r="CN215" s="335"/>
      <c r="CO215" s="335"/>
      <c r="CP215" s="335"/>
      <c r="CQ215" s="335"/>
      <c r="CR215" s="335"/>
      <c r="CS215" s="335"/>
      <c r="CT215" s="335"/>
      <c r="CU215" s="335"/>
      <c r="CV215" s="335"/>
      <c r="CW215" s="335"/>
      <c r="CX215" s="335"/>
      <c r="CY215" s="335"/>
      <c r="CZ215" s="335"/>
      <c r="DA215" s="335"/>
      <c r="DB215" s="335"/>
      <c r="DC215" s="335"/>
      <c r="DD215" s="335"/>
      <c r="DE215" s="335"/>
      <c r="DF215" s="335"/>
      <c r="DG215" s="335"/>
      <c r="DH215" s="335"/>
      <c r="DI215" s="335"/>
      <c r="DJ215" s="335"/>
      <c r="DK215" s="335"/>
      <c r="DL215" s="335"/>
      <c r="DM215" s="335"/>
      <c r="DN215" s="335"/>
      <c r="DO215" s="335"/>
      <c r="DP215" s="335"/>
      <c r="DQ215" s="335"/>
      <c r="DR215" s="335"/>
      <c r="DS215" s="335"/>
      <c r="DT215" s="335"/>
      <c r="DU215" s="335"/>
      <c r="DV215" s="335"/>
      <c r="DW215" s="335"/>
      <c r="DX215" s="335"/>
      <c r="DY215" s="335"/>
      <c r="DZ215" s="335"/>
      <c r="EA215" s="335"/>
      <c r="EB215" s="335"/>
      <c r="EC215" s="335"/>
      <c r="ED215" s="335"/>
      <c r="EE215" s="335"/>
      <c r="EF215" s="335"/>
      <c r="EG215" s="335"/>
      <c r="EH215" s="335"/>
      <c r="EI215" s="335"/>
      <c r="EJ215" s="335"/>
      <c r="EK215" s="335"/>
      <c r="EL215" s="335"/>
      <c r="EM215" s="335"/>
    </row>
    <row r="216" spans="72:143">
      <c r="BT216" s="187"/>
      <c r="BU216" s="187" t="s">
        <v>62</v>
      </c>
      <c r="BV216" s="196">
        <v>124054</v>
      </c>
      <c r="BW216" s="197" t="e">
        <f t="shared" si="134"/>
        <v>#REF!</v>
      </c>
      <c r="BX216" s="198" t="e">
        <f>IF(AND(State_LOB_Code=18,LEFT(BW216,4)&lt;"2009"),81,State_LOB_Code)&amp;"|350"</f>
        <v>#REF!</v>
      </c>
      <c r="BY216" s="174"/>
      <c r="BZ216" s="175"/>
      <c r="CD216" s="163"/>
      <c r="CE216" s="363"/>
      <c r="CF216" s="335"/>
      <c r="CG216" s="335"/>
      <c r="CH216" s="335"/>
      <c r="CI216" s="335"/>
      <c r="CJ216" s="335"/>
      <c r="CK216" s="335"/>
      <c r="CL216" s="335"/>
      <c r="CM216" s="335"/>
      <c r="CN216" s="335"/>
      <c r="CO216" s="335"/>
      <c r="CP216" s="335"/>
      <c r="CQ216" s="335"/>
      <c r="CR216" s="335"/>
      <c r="CS216" s="335"/>
      <c r="CT216" s="335"/>
      <c r="CU216" s="335"/>
      <c r="CV216" s="335"/>
      <c r="CW216" s="335"/>
      <c r="CX216" s="335"/>
      <c r="CY216" s="335"/>
      <c r="CZ216" s="335"/>
      <c r="DA216" s="335"/>
      <c r="DB216" s="335"/>
      <c r="DC216" s="335"/>
      <c r="DD216" s="335"/>
      <c r="DE216" s="335"/>
      <c r="DF216" s="335"/>
      <c r="DG216" s="335"/>
      <c r="DH216" s="335"/>
      <c r="DI216" s="335"/>
      <c r="DJ216" s="335"/>
      <c r="DK216" s="335"/>
      <c r="DL216" s="335"/>
      <c r="DM216" s="335"/>
      <c r="DN216" s="335"/>
      <c r="DO216" s="335"/>
      <c r="DP216" s="335"/>
      <c r="DQ216" s="335"/>
      <c r="DR216" s="335"/>
      <c r="DS216" s="335"/>
      <c r="DT216" s="335"/>
      <c r="DU216" s="335"/>
      <c r="DV216" s="335"/>
      <c r="DW216" s="335"/>
      <c r="DX216" s="335"/>
      <c r="DY216" s="335"/>
      <c r="DZ216" s="335"/>
      <c r="EA216" s="335"/>
      <c r="EB216" s="335"/>
      <c r="EC216" s="335"/>
      <c r="ED216" s="335"/>
      <c r="EE216" s="335"/>
      <c r="EF216" s="335"/>
      <c r="EG216" s="335"/>
      <c r="EH216" s="335"/>
      <c r="EI216" s="335"/>
      <c r="EJ216" s="335"/>
      <c r="EK216" s="335"/>
      <c r="EL216" s="335"/>
      <c r="EM216" s="335"/>
    </row>
    <row r="217" spans="72:143">
      <c r="BT217" s="187"/>
      <c r="BU217" s="187" t="s">
        <v>63</v>
      </c>
      <c r="BV217" s="196">
        <v>124054</v>
      </c>
      <c r="BW217" s="197" t="e">
        <f t="shared" si="134"/>
        <v>#REF!</v>
      </c>
      <c r="BX217" s="198" t="e">
        <f>IF(AND(State_LOB_Code=18,LEFT(BW217,4)&lt;"2009"),81,State_LOB_Code)&amp;"|351"</f>
        <v>#REF!</v>
      </c>
      <c r="BY217" s="174"/>
      <c r="BZ217" s="175"/>
      <c r="CD217" s="163"/>
      <c r="CE217" s="363"/>
      <c r="CF217" s="335"/>
      <c r="CG217" s="335"/>
      <c r="CH217" s="335"/>
      <c r="CI217" s="335"/>
      <c r="CJ217" s="335"/>
      <c r="CK217" s="335"/>
      <c r="CL217" s="335"/>
      <c r="CM217" s="335"/>
      <c r="CN217" s="335"/>
      <c r="CO217" s="335"/>
      <c r="CP217" s="335"/>
      <c r="CQ217" s="335"/>
      <c r="CR217" s="335"/>
      <c r="CS217" s="335"/>
      <c r="CT217" s="335"/>
      <c r="CU217" s="335"/>
      <c r="CV217" s="335"/>
      <c r="CW217" s="335"/>
      <c r="CX217" s="335"/>
      <c r="CY217" s="335"/>
      <c r="CZ217" s="335"/>
      <c r="DA217" s="335"/>
      <c r="DB217" s="335"/>
      <c r="DC217" s="335"/>
      <c r="DD217" s="335"/>
      <c r="DE217" s="335"/>
      <c r="DF217" s="335"/>
      <c r="DG217" s="335"/>
      <c r="DH217" s="335"/>
      <c r="DI217" s="335"/>
      <c r="DJ217" s="335"/>
      <c r="DK217" s="335"/>
      <c r="DL217" s="335"/>
      <c r="DM217" s="335"/>
      <c r="DN217" s="335"/>
      <c r="DO217" s="335"/>
      <c r="DP217" s="335"/>
      <c r="DQ217" s="335"/>
      <c r="DR217" s="335"/>
      <c r="DS217" s="335"/>
      <c r="DT217" s="335"/>
      <c r="DU217" s="335"/>
      <c r="DV217" s="335"/>
      <c r="DW217" s="335"/>
      <c r="DX217" s="335"/>
      <c r="DY217" s="335"/>
      <c r="DZ217" s="335"/>
      <c r="EA217" s="335"/>
      <c r="EB217" s="335"/>
      <c r="EC217" s="335"/>
      <c r="ED217" s="335"/>
      <c r="EE217" s="335"/>
      <c r="EF217" s="335"/>
      <c r="EG217" s="335"/>
      <c r="EH217" s="335"/>
      <c r="EI217" s="335"/>
      <c r="EJ217" s="335"/>
      <c r="EK217" s="335"/>
      <c r="EL217" s="335"/>
      <c r="EM217" s="335"/>
    </row>
    <row r="218" spans="72:143">
      <c r="BT218" s="187"/>
      <c r="BU218" s="187" t="s">
        <v>64</v>
      </c>
      <c r="BV218" s="196">
        <v>124054</v>
      </c>
      <c r="BW218" s="197" t="e">
        <f t="shared" si="134"/>
        <v>#REF!</v>
      </c>
      <c r="BX218" s="198" t="e">
        <f>IF(AND(State_LOB_Code=18,LEFT(BW218,4)&lt;"2009"),81,State_LOB_Code)&amp;"|352"</f>
        <v>#REF!</v>
      </c>
      <c r="BY218" s="174"/>
      <c r="BZ218" s="175"/>
      <c r="CD218" s="163"/>
      <c r="CE218" s="363"/>
      <c r="CF218" s="335"/>
      <c r="CG218" s="335"/>
      <c r="CH218" s="335"/>
      <c r="CI218" s="335"/>
      <c r="CJ218" s="335"/>
      <c r="CK218" s="335"/>
      <c r="CL218" s="335"/>
      <c r="CM218" s="335"/>
      <c r="CN218" s="335"/>
      <c r="CO218" s="335"/>
      <c r="CP218" s="335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  <c r="DF218" s="335"/>
      <c r="DG218" s="335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35"/>
      <c r="DS218" s="335"/>
      <c r="DT218" s="335"/>
      <c r="DU218" s="335"/>
      <c r="DV218" s="335"/>
      <c r="DW218" s="335"/>
      <c r="DX218" s="335"/>
      <c r="DY218" s="335"/>
      <c r="DZ218" s="335"/>
      <c r="EA218" s="335"/>
      <c r="EB218" s="335"/>
      <c r="EC218" s="335"/>
      <c r="ED218" s="335"/>
      <c r="EE218" s="335"/>
      <c r="EF218" s="335"/>
      <c r="EG218" s="335"/>
      <c r="EH218" s="335"/>
      <c r="EI218" s="335"/>
      <c r="EJ218" s="335"/>
      <c r="EK218" s="335"/>
      <c r="EL218" s="335"/>
      <c r="EM218" s="335"/>
    </row>
    <row r="219" spans="72:143">
      <c r="BT219" s="187"/>
      <c r="BU219" s="187" t="s">
        <v>65</v>
      </c>
      <c r="BV219" s="196">
        <v>124054</v>
      </c>
      <c r="BW219" s="197" t="e">
        <f t="shared" si="134"/>
        <v>#REF!</v>
      </c>
      <c r="BX219" s="198" t="e">
        <f>IF(AND(State_LOB_Code=18,LEFT(BW219,4)&lt;"2009"),81,State_LOB_Code)&amp;"|353"</f>
        <v>#REF!</v>
      </c>
      <c r="BY219" s="174"/>
      <c r="BZ219" s="175"/>
      <c r="CD219" s="163"/>
      <c r="CE219" s="363"/>
      <c r="CF219" s="335"/>
      <c r="CG219" s="335"/>
      <c r="CH219" s="335"/>
      <c r="CI219" s="335"/>
      <c r="CJ219" s="335"/>
      <c r="CK219" s="335"/>
      <c r="CL219" s="335"/>
      <c r="CM219" s="335"/>
      <c r="CN219" s="335"/>
      <c r="CO219" s="335"/>
      <c r="CP219" s="335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  <c r="DF219" s="335"/>
      <c r="DG219" s="335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35"/>
      <c r="DS219" s="335"/>
      <c r="DT219" s="335"/>
      <c r="DU219" s="335"/>
      <c r="DV219" s="335"/>
      <c r="DW219" s="335"/>
      <c r="DX219" s="335"/>
      <c r="DY219" s="335"/>
      <c r="DZ219" s="335"/>
      <c r="EA219" s="335"/>
      <c r="EB219" s="335"/>
      <c r="EC219" s="335"/>
      <c r="ED219" s="335"/>
      <c r="EE219" s="335"/>
      <c r="EF219" s="335"/>
      <c r="EG219" s="335"/>
      <c r="EH219" s="335"/>
      <c r="EI219" s="335"/>
      <c r="EJ219" s="335"/>
      <c r="EK219" s="335"/>
      <c r="EL219" s="335"/>
      <c r="EM219" s="335"/>
    </row>
    <row r="220" spans="72:143">
      <c r="BT220" s="187"/>
      <c r="BU220" s="187" t="s">
        <v>66</v>
      </c>
      <c r="BV220" s="196">
        <v>124054</v>
      </c>
      <c r="BW220" s="197" t="e">
        <f t="shared" si="134"/>
        <v>#REF!</v>
      </c>
      <c r="BX220" s="198" t="e">
        <f>IF(AND(State_LOB_Code=18,LEFT(BW220,4)&lt;"2009"),81,State_LOB_Code)&amp;"|354"</f>
        <v>#REF!</v>
      </c>
      <c r="BY220" s="174"/>
      <c r="BZ220" s="175"/>
      <c r="CD220" s="163"/>
      <c r="CE220" s="363"/>
      <c r="CF220" s="335"/>
      <c r="CG220" s="335"/>
      <c r="CH220" s="335"/>
      <c r="CI220" s="335"/>
      <c r="CJ220" s="335"/>
      <c r="CK220" s="335"/>
      <c r="CL220" s="335"/>
      <c r="CM220" s="335"/>
      <c r="CN220" s="335"/>
      <c r="CO220" s="335"/>
      <c r="CP220" s="335"/>
      <c r="CQ220" s="335"/>
      <c r="CR220" s="335"/>
      <c r="CS220" s="335"/>
      <c r="CT220" s="335"/>
      <c r="CU220" s="335"/>
      <c r="CV220" s="335"/>
      <c r="CW220" s="335"/>
      <c r="CX220" s="335"/>
      <c r="CY220" s="335"/>
      <c r="CZ220" s="335"/>
      <c r="DA220" s="335"/>
      <c r="DB220" s="335"/>
      <c r="DC220" s="335"/>
      <c r="DD220" s="335"/>
      <c r="DE220" s="335"/>
      <c r="DF220" s="335"/>
      <c r="DG220" s="335"/>
      <c r="DH220" s="335"/>
      <c r="DI220" s="335"/>
      <c r="DJ220" s="335"/>
      <c r="DK220" s="335"/>
      <c r="DL220" s="335"/>
      <c r="DM220" s="335"/>
      <c r="DN220" s="335"/>
      <c r="DO220" s="335"/>
      <c r="DP220" s="335"/>
      <c r="DQ220" s="335"/>
      <c r="DR220" s="335"/>
      <c r="DS220" s="335"/>
      <c r="DT220" s="335"/>
      <c r="DU220" s="335"/>
      <c r="DV220" s="335"/>
      <c r="DW220" s="335"/>
      <c r="DX220" s="335"/>
      <c r="DY220" s="335"/>
      <c r="DZ220" s="335"/>
      <c r="EA220" s="335"/>
      <c r="EB220" s="335"/>
      <c r="EC220" s="335"/>
      <c r="ED220" s="335"/>
      <c r="EE220" s="335"/>
      <c r="EF220" s="335"/>
      <c r="EG220" s="335"/>
      <c r="EH220" s="335"/>
      <c r="EI220" s="335"/>
      <c r="EJ220" s="335"/>
      <c r="EK220" s="335"/>
      <c r="EL220" s="335"/>
      <c r="EM220" s="335"/>
    </row>
    <row r="221" spans="72:143">
      <c r="BT221" s="187"/>
      <c r="BU221" s="187" t="s">
        <v>67</v>
      </c>
      <c r="BV221" s="196">
        <v>124054</v>
      </c>
      <c r="BW221" s="197" t="e">
        <f t="shared" si="134"/>
        <v>#REF!</v>
      </c>
      <c r="BX221" s="198" t="e">
        <f>IF(AND(State_LOB_Code=18,LEFT(BW221,4)&lt;"2009"),81,State_LOB_Code)&amp;"|355"</f>
        <v>#REF!</v>
      </c>
      <c r="BY221" s="174"/>
      <c r="BZ221" s="175"/>
      <c r="CD221" s="163"/>
      <c r="CE221" s="363"/>
      <c r="CF221" s="335"/>
      <c r="CG221" s="335"/>
      <c r="CH221" s="335"/>
      <c r="CI221" s="335"/>
      <c r="CJ221" s="335"/>
      <c r="CK221" s="335"/>
      <c r="CL221" s="335"/>
      <c r="CM221" s="335"/>
      <c r="CN221" s="335"/>
      <c r="CO221" s="335"/>
      <c r="CP221" s="335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  <c r="DF221" s="335"/>
      <c r="DG221" s="335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35"/>
      <c r="DS221" s="335"/>
      <c r="DT221" s="335"/>
      <c r="DU221" s="335"/>
      <c r="DV221" s="335"/>
      <c r="DW221" s="335"/>
      <c r="DX221" s="335"/>
      <c r="DY221" s="335"/>
      <c r="DZ221" s="335"/>
      <c r="EA221" s="335"/>
      <c r="EB221" s="335"/>
      <c r="EC221" s="335"/>
      <c r="ED221" s="335"/>
      <c r="EE221" s="335"/>
      <c r="EF221" s="335"/>
      <c r="EG221" s="335"/>
      <c r="EH221" s="335"/>
      <c r="EI221" s="335"/>
      <c r="EJ221" s="335"/>
      <c r="EK221" s="335"/>
      <c r="EL221" s="335"/>
      <c r="EM221" s="335"/>
    </row>
    <row r="222" spans="72:143">
      <c r="BT222" s="187"/>
      <c r="BU222" s="187" t="s">
        <v>68</v>
      </c>
      <c r="BV222" s="196">
        <v>124054</v>
      </c>
      <c r="BW222" s="197" t="e">
        <f t="shared" si="134"/>
        <v>#REF!</v>
      </c>
      <c r="BX222" s="198" t="e">
        <f>IF(AND(State_LOB_Code=18,LEFT(BW222,4)&lt;"2009"),81,State_LOB_Code)&amp;"|356"</f>
        <v>#REF!</v>
      </c>
      <c r="BY222" s="174"/>
      <c r="BZ222" s="175"/>
      <c r="CD222" s="163"/>
      <c r="CE222" s="363"/>
      <c r="CF222" s="335"/>
      <c r="CG222" s="335"/>
      <c r="CH222" s="335"/>
      <c r="CI222" s="335"/>
      <c r="CJ222" s="335"/>
      <c r="CK222" s="335"/>
      <c r="CL222" s="335"/>
      <c r="CM222" s="335"/>
      <c r="CN222" s="335"/>
      <c r="CO222" s="335"/>
      <c r="CP222" s="335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335"/>
      <c r="DG222" s="335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335"/>
      <c r="DY222" s="335"/>
      <c r="DZ222" s="335"/>
      <c r="EA222" s="335"/>
      <c r="EB222" s="335"/>
      <c r="EC222" s="335"/>
      <c r="ED222" s="335"/>
      <c r="EE222" s="335"/>
      <c r="EF222" s="335"/>
      <c r="EG222" s="335"/>
      <c r="EH222" s="335"/>
      <c r="EI222" s="335"/>
      <c r="EJ222" s="335"/>
      <c r="EK222" s="335"/>
      <c r="EL222" s="335"/>
      <c r="EM222" s="335"/>
    </row>
    <row r="223" spans="72:143">
      <c r="BT223" s="187"/>
      <c r="BU223" s="187" t="s">
        <v>69</v>
      </c>
      <c r="BV223" s="196">
        <v>124054</v>
      </c>
      <c r="BW223" s="197" t="e">
        <f t="shared" si="134"/>
        <v>#REF!</v>
      </c>
      <c r="BX223" s="198" t="e">
        <f>IF(AND(State_LOB_Code=18,LEFT(BW223,4)&lt;"2009"),81,State_LOB_Code)&amp;"|357"</f>
        <v>#REF!</v>
      </c>
      <c r="BY223" s="174"/>
      <c r="BZ223" s="175"/>
      <c r="CD223" s="163"/>
      <c r="CE223" s="363"/>
      <c r="CF223" s="335"/>
      <c r="CG223" s="335"/>
      <c r="CH223" s="335"/>
      <c r="CI223" s="335"/>
      <c r="CJ223" s="335"/>
      <c r="CK223" s="335"/>
      <c r="CL223" s="335"/>
      <c r="CM223" s="335"/>
      <c r="CN223" s="335"/>
      <c r="CO223" s="335"/>
      <c r="CP223" s="335"/>
      <c r="CQ223" s="335"/>
      <c r="CR223" s="335"/>
      <c r="CS223" s="335"/>
      <c r="CT223" s="335"/>
      <c r="CU223" s="335"/>
      <c r="CV223" s="335"/>
      <c r="CW223" s="335"/>
      <c r="CX223" s="335"/>
      <c r="CY223" s="335"/>
      <c r="CZ223" s="335"/>
      <c r="DA223" s="335"/>
      <c r="DB223" s="335"/>
      <c r="DC223" s="335"/>
      <c r="DD223" s="335"/>
      <c r="DE223" s="335"/>
      <c r="DF223" s="335"/>
      <c r="DG223" s="335"/>
      <c r="DH223" s="335"/>
      <c r="DI223" s="335"/>
      <c r="DJ223" s="335"/>
      <c r="DK223" s="335"/>
      <c r="DL223" s="335"/>
      <c r="DM223" s="335"/>
      <c r="DN223" s="335"/>
      <c r="DO223" s="335"/>
      <c r="DP223" s="335"/>
      <c r="DQ223" s="335"/>
      <c r="DR223" s="335"/>
      <c r="DS223" s="335"/>
      <c r="DT223" s="335"/>
      <c r="DU223" s="335"/>
      <c r="DV223" s="335"/>
      <c r="DW223" s="335"/>
      <c r="DX223" s="335"/>
      <c r="DY223" s="335"/>
      <c r="DZ223" s="335"/>
      <c r="EA223" s="335"/>
      <c r="EB223" s="335"/>
      <c r="EC223" s="335"/>
      <c r="ED223" s="335"/>
      <c r="EE223" s="335"/>
      <c r="EF223" s="335"/>
      <c r="EG223" s="335"/>
      <c r="EH223" s="335"/>
      <c r="EI223" s="335"/>
      <c r="EJ223" s="335"/>
      <c r="EK223" s="335"/>
      <c r="EL223" s="335"/>
      <c r="EM223" s="335"/>
    </row>
    <row r="224" spans="72:143">
      <c r="BT224" s="187"/>
      <c r="BU224" s="187" t="s">
        <v>70</v>
      </c>
      <c r="BV224" s="196">
        <v>124054</v>
      </c>
      <c r="BW224" s="197" t="e">
        <f t="shared" si="134"/>
        <v>#REF!</v>
      </c>
      <c r="BX224" s="198" t="e">
        <f>IF(AND(State_LOB_Code=18,LEFT(BW224,4)&lt;"2009"),81,State_LOB_Code)&amp;"|358"</f>
        <v>#REF!</v>
      </c>
      <c r="BY224" s="174"/>
      <c r="BZ224" s="175"/>
      <c r="CD224" s="163"/>
      <c r="CE224" s="363"/>
      <c r="CF224" s="335"/>
      <c r="CG224" s="335"/>
      <c r="CH224" s="335"/>
      <c r="CI224" s="335"/>
      <c r="CJ224" s="335"/>
      <c r="CK224" s="335"/>
      <c r="CL224" s="335"/>
      <c r="CM224" s="335"/>
      <c r="CN224" s="335"/>
      <c r="CO224" s="335"/>
      <c r="CP224" s="335"/>
      <c r="CQ224" s="335"/>
      <c r="CR224" s="335"/>
      <c r="CS224" s="335"/>
      <c r="CT224" s="335"/>
      <c r="CU224" s="335"/>
      <c r="CV224" s="335"/>
      <c r="CW224" s="335"/>
      <c r="CX224" s="335"/>
      <c r="CY224" s="335"/>
      <c r="CZ224" s="335"/>
      <c r="DA224" s="335"/>
      <c r="DB224" s="335"/>
      <c r="DC224" s="335"/>
      <c r="DD224" s="335"/>
      <c r="DE224" s="335"/>
      <c r="DF224" s="335"/>
      <c r="DG224" s="335"/>
      <c r="DH224" s="335"/>
      <c r="DI224" s="335"/>
      <c r="DJ224" s="335"/>
      <c r="DK224" s="335"/>
      <c r="DL224" s="335"/>
      <c r="DM224" s="335"/>
      <c r="DN224" s="335"/>
      <c r="DO224" s="335"/>
      <c r="DP224" s="335"/>
      <c r="DQ224" s="335"/>
      <c r="DR224" s="335"/>
      <c r="DS224" s="335"/>
      <c r="DT224" s="335"/>
      <c r="DU224" s="335"/>
      <c r="DV224" s="335"/>
      <c r="DW224" s="335"/>
      <c r="DX224" s="335"/>
      <c r="DY224" s="335"/>
      <c r="DZ224" s="335"/>
      <c r="EA224" s="335"/>
      <c r="EB224" s="335"/>
      <c r="EC224" s="335"/>
      <c r="ED224" s="335"/>
      <c r="EE224" s="335"/>
      <c r="EF224" s="335"/>
      <c r="EG224" s="335"/>
      <c r="EH224" s="335"/>
      <c r="EI224" s="335"/>
      <c r="EJ224" s="335"/>
      <c r="EK224" s="335"/>
      <c r="EL224" s="335"/>
      <c r="EM224" s="335"/>
    </row>
    <row r="225" spans="72:143">
      <c r="BT225" s="187"/>
      <c r="BU225" s="187" t="s">
        <v>71</v>
      </c>
      <c r="BV225" s="196">
        <v>124054</v>
      </c>
      <c r="BW225" s="197" t="e">
        <f t="shared" si="134"/>
        <v>#REF!</v>
      </c>
      <c r="BX225" s="198" t="e">
        <f>IF(AND(State_LOB_Code=18,LEFT(BW225,4)&lt;"2009"),81,State_LOB_Code)&amp;"|359"</f>
        <v>#REF!</v>
      </c>
      <c r="BY225" s="174"/>
      <c r="BZ225" s="175"/>
      <c r="CD225" s="163"/>
      <c r="CE225" s="363"/>
      <c r="CF225" s="335"/>
      <c r="CG225" s="335"/>
      <c r="CH225" s="335"/>
      <c r="CI225" s="335"/>
      <c r="CJ225" s="335"/>
      <c r="CK225" s="335"/>
      <c r="CL225" s="335"/>
      <c r="CM225" s="335"/>
      <c r="CN225" s="335"/>
      <c r="CO225" s="335"/>
      <c r="CP225" s="335"/>
      <c r="CQ225" s="335"/>
      <c r="CR225" s="335"/>
      <c r="CS225" s="335"/>
      <c r="CT225" s="335"/>
      <c r="CU225" s="335"/>
      <c r="CV225" s="335"/>
      <c r="CW225" s="335"/>
      <c r="CX225" s="335"/>
      <c r="CY225" s="335"/>
      <c r="CZ225" s="335"/>
      <c r="DA225" s="335"/>
      <c r="DB225" s="335"/>
      <c r="DC225" s="335"/>
      <c r="DD225" s="335"/>
      <c r="DE225" s="335"/>
      <c r="DF225" s="335"/>
      <c r="DG225" s="335"/>
      <c r="DH225" s="335"/>
      <c r="DI225" s="335"/>
      <c r="DJ225" s="335"/>
      <c r="DK225" s="335"/>
      <c r="DL225" s="335"/>
      <c r="DM225" s="335"/>
      <c r="DN225" s="335"/>
      <c r="DO225" s="335"/>
      <c r="DP225" s="335"/>
      <c r="DQ225" s="335"/>
      <c r="DR225" s="335"/>
      <c r="DS225" s="335"/>
      <c r="DT225" s="335"/>
      <c r="DU225" s="335"/>
      <c r="DV225" s="335"/>
      <c r="DW225" s="335"/>
      <c r="DX225" s="335"/>
      <c r="DY225" s="335"/>
      <c r="DZ225" s="335"/>
      <c r="EA225" s="335"/>
      <c r="EB225" s="335"/>
      <c r="EC225" s="335"/>
      <c r="ED225" s="335"/>
      <c r="EE225" s="335"/>
      <c r="EF225" s="335"/>
      <c r="EG225" s="335"/>
      <c r="EH225" s="335"/>
      <c r="EI225" s="335"/>
      <c r="EJ225" s="335"/>
      <c r="EK225" s="335"/>
      <c r="EL225" s="335"/>
      <c r="EM225" s="335"/>
    </row>
    <row r="226" spans="72:143">
      <c r="BT226" s="187"/>
      <c r="BU226" s="187" t="s">
        <v>72</v>
      </c>
      <c r="BV226" s="196">
        <v>124054</v>
      </c>
      <c r="BW226" s="197" t="e">
        <f t="shared" si="134"/>
        <v>#REF!</v>
      </c>
      <c r="BX226" s="198" t="e">
        <f>IF(AND(State_LOB_Code=18,LEFT(BW226,4)&lt;"2009"),81,State_LOB_Code)&amp;"|361"</f>
        <v>#REF!</v>
      </c>
      <c r="BY226" s="174"/>
      <c r="BZ226" s="175"/>
      <c r="CD226" s="163"/>
      <c r="CE226" s="363"/>
      <c r="CF226" s="335"/>
      <c r="CG226" s="335"/>
      <c r="CH226" s="335"/>
      <c r="CI226" s="335"/>
      <c r="CJ226" s="335"/>
      <c r="CK226" s="335"/>
      <c r="CL226" s="335"/>
      <c r="CM226" s="335"/>
      <c r="CN226" s="335"/>
      <c r="CO226" s="335"/>
      <c r="CP226" s="335"/>
      <c r="CQ226" s="335"/>
      <c r="CR226" s="335"/>
      <c r="CS226" s="335"/>
      <c r="CT226" s="335"/>
      <c r="CU226" s="335"/>
      <c r="CV226" s="335"/>
      <c r="CW226" s="335"/>
      <c r="CX226" s="335"/>
      <c r="CY226" s="335"/>
      <c r="CZ226" s="335"/>
      <c r="DA226" s="335"/>
      <c r="DB226" s="335"/>
      <c r="DC226" s="335"/>
      <c r="DD226" s="335"/>
      <c r="DE226" s="335"/>
      <c r="DF226" s="335"/>
      <c r="DG226" s="335"/>
      <c r="DH226" s="335"/>
      <c r="DI226" s="335"/>
      <c r="DJ226" s="335"/>
      <c r="DK226" s="335"/>
      <c r="DL226" s="335"/>
      <c r="DM226" s="335"/>
      <c r="DN226" s="335"/>
      <c r="DO226" s="335"/>
      <c r="DP226" s="335"/>
      <c r="DQ226" s="335"/>
      <c r="DR226" s="335"/>
      <c r="DS226" s="335"/>
      <c r="DT226" s="335"/>
      <c r="DU226" s="335"/>
      <c r="DV226" s="335"/>
      <c r="DW226" s="335"/>
      <c r="DX226" s="335"/>
      <c r="DY226" s="335"/>
      <c r="DZ226" s="335"/>
      <c r="EA226" s="335"/>
      <c r="EB226" s="335"/>
      <c r="EC226" s="335"/>
      <c r="ED226" s="335"/>
      <c r="EE226" s="335"/>
      <c r="EF226" s="335"/>
      <c r="EG226" s="335"/>
      <c r="EH226" s="335"/>
      <c r="EI226" s="335"/>
      <c r="EJ226" s="335"/>
      <c r="EK226" s="335"/>
      <c r="EL226" s="335"/>
      <c r="EM226" s="335"/>
    </row>
    <row r="227" spans="72:143">
      <c r="BT227" s="187"/>
      <c r="BU227" s="187" t="s">
        <v>73</v>
      </c>
      <c r="BV227" s="196">
        <v>124054</v>
      </c>
      <c r="BW227" s="197" t="e">
        <f t="shared" si="134"/>
        <v>#REF!</v>
      </c>
      <c r="BX227" s="198" t="e">
        <f>IF(AND(State_LOB_Code=18,LEFT(BW227,4)&lt;"2009"),81,State_LOB_Code)&amp;"|362"</f>
        <v>#REF!</v>
      </c>
      <c r="BY227" s="174"/>
      <c r="BZ227" s="175"/>
      <c r="CD227" s="163"/>
      <c r="CE227" s="363"/>
      <c r="CF227" s="335"/>
      <c r="CG227" s="335"/>
      <c r="CH227" s="335"/>
      <c r="CI227" s="335"/>
      <c r="CJ227" s="335"/>
      <c r="CK227" s="335"/>
      <c r="CL227" s="335"/>
      <c r="CM227" s="335"/>
      <c r="CN227" s="335"/>
      <c r="CO227" s="335"/>
      <c r="CP227" s="335"/>
      <c r="CQ227" s="335"/>
      <c r="CR227" s="335"/>
      <c r="CS227" s="335"/>
      <c r="CT227" s="335"/>
      <c r="CU227" s="335"/>
      <c r="CV227" s="335"/>
      <c r="CW227" s="335"/>
      <c r="CX227" s="335"/>
      <c r="CY227" s="335"/>
      <c r="CZ227" s="335"/>
      <c r="DA227" s="335"/>
      <c r="DB227" s="335"/>
      <c r="DC227" s="335"/>
      <c r="DD227" s="335"/>
      <c r="DE227" s="335"/>
      <c r="DF227" s="335"/>
      <c r="DG227" s="335"/>
      <c r="DH227" s="335"/>
      <c r="DI227" s="335"/>
      <c r="DJ227" s="335"/>
      <c r="DK227" s="335"/>
      <c r="DL227" s="335"/>
      <c r="DM227" s="335"/>
      <c r="DN227" s="335"/>
      <c r="DO227" s="335"/>
      <c r="DP227" s="335"/>
      <c r="DQ227" s="335"/>
      <c r="DR227" s="335"/>
      <c r="DS227" s="335"/>
      <c r="DT227" s="335"/>
      <c r="DU227" s="335"/>
      <c r="DV227" s="335"/>
      <c r="DW227" s="335"/>
      <c r="DX227" s="335"/>
      <c r="DY227" s="335"/>
      <c r="DZ227" s="335"/>
      <c r="EA227" s="335"/>
      <c r="EB227" s="335"/>
      <c r="EC227" s="335"/>
      <c r="ED227" s="335"/>
      <c r="EE227" s="335"/>
      <c r="EF227" s="335"/>
      <c r="EG227" s="335"/>
      <c r="EH227" s="335"/>
      <c r="EI227" s="335"/>
      <c r="EJ227" s="335"/>
      <c r="EK227" s="335"/>
      <c r="EL227" s="335"/>
      <c r="EM227" s="335"/>
    </row>
    <row r="228" spans="72:143">
      <c r="BT228" s="187"/>
      <c r="BU228" s="187" t="s">
        <v>74</v>
      </c>
      <c r="BV228" s="196">
        <v>124054</v>
      </c>
      <c r="BW228" s="197" t="e">
        <f t="shared" si="134"/>
        <v>#REF!</v>
      </c>
      <c r="BX228" s="198" t="e">
        <f>IF(AND(State_LOB_Code=18,LEFT(BW228,4)&lt;"2009"),81,State_LOB_Code)&amp;"|363"</f>
        <v>#REF!</v>
      </c>
      <c r="BY228" s="174"/>
      <c r="BZ228" s="175"/>
      <c r="CD228" s="163"/>
      <c r="CE228" s="363"/>
      <c r="CF228" s="335"/>
      <c r="CG228" s="335"/>
      <c r="CH228" s="335"/>
      <c r="CI228" s="335"/>
      <c r="CJ228" s="335"/>
      <c r="CK228" s="335"/>
      <c r="CL228" s="335"/>
      <c r="CM228" s="335"/>
      <c r="CN228" s="335"/>
      <c r="CO228" s="335"/>
      <c r="CP228" s="335"/>
      <c r="CQ228" s="335"/>
      <c r="CR228" s="335"/>
      <c r="CS228" s="335"/>
      <c r="CT228" s="335"/>
      <c r="CU228" s="335"/>
      <c r="CV228" s="335"/>
      <c r="CW228" s="335"/>
      <c r="CX228" s="335"/>
      <c r="CY228" s="335"/>
      <c r="CZ228" s="335"/>
      <c r="DA228" s="335"/>
      <c r="DB228" s="335"/>
      <c r="DC228" s="335"/>
      <c r="DD228" s="335"/>
      <c r="DE228" s="335"/>
      <c r="DF228" s="335"/>
      <c r="DG228" s="335"/>
      <c r="DH228" s="335"/>
      <c r="DI228" s="335"/>
      <c r="DJ228" s="335"/>
      <c r="DK228" s="335"/>
      <c r="DL228" s="335"/>
      <c r="DM228" s="335"/>
      <c r="DN228" s="335"/>
      <c r="DO228" s="335"/>
      <c r="DP228" s="335"/>
      <c r="DQ228" s="335"/>
      <c r="DR228" s="335"/>
      <c r="DS228" s="335"/>
      <c r="DT228" s="335"/>
      <c r="DU228" s="335"/>
      <c r="DV228" s="335"/>
      <c r="DW228" s="335"/>
      <c r="DX228" s="335"/>
      <c r="DY228" s="335"/>
      <c r="DZ228" s="335"/>
      <c r="EA228" s="335"/>
      <c r="EB228" s="335"/>
      <c r="EC228" s="335"/>
      <c r="ED228" s="335"/>
      <c r="EE228" s="335"/>
      <c r="EF228" s="335"/>
      <c r="EG228" s="335"/>
      <c r="EH228" s="335"/>
      <c r="EI228" s="335"/>
      <c r="EJ228" s="335"/>
      <c r="EK228" s="335"/>
      <c r="EL228" s="335"/>
      <c r="EM228" s="335"/>
    </row>
    <row r="229" spans="72:143">
      <c r="BT229" s="187"/>
      <c r="BU229" s="187" t="s">
        <v>75</v>
      </c>
      <c r="BV229" s="196">
        <v>124054</v>
      </c>
      <c r="BW229" s="197" t="e">
        <f t="shared" si="134"/>
        <v>#REF!</v>
      </c>
      <c r="BX229" s="198" t="e">
        <f>IF(AND(State_LOB_Code=18,LEFT(BW229,4)&lt;"2009"),81,State_LOB_Code)&amp;"|364"</f>
        <v>#REF!</v>
      </c>
      <c r="BY229" s="174"/>
      <c r="BZ229" s="175"/>
      <c r="CD229" s="163"/>
      <c r="CE229" s="363"/>
      <c r="CF229" s="335"/>
      <c r="CG229" s="335"/>
      <c r="CH229" s="335"/>
      <c r="CI229" s="335"/>
      <c r="CJ229" s="335"/>
      <c r="CK229" s="335"/>
      <c r="CL229" s="335"/>
      <c r="CM229" s="335"/>
      <c r="CN229" s="335"/>
      <c r="CO229" s="335"/>
      <c r="CP229" s="335"/>
      <c r="CQ229" s="335"/>
      <c r="CR229" s="335"/>
      <c r="CS229" s="335"/>
      <c r="CT229" s="335"/>
      <c r="CU229" s="335"/>
      <c r="CV229" s="335"/>
      <c r="CW229" s="335"/>
      <c r="CX229" s="335"/>
      <c r="CY229" s="335"/>
      <c r="CZ229" s="335"/>
      <c r="DA229" s="335"/>
      <c r="DB229" s="335"/>
      <c r="DC229" s="335"/>
      <c r="DD229" s="335"/>
      <c r="DE229" s="335"/>
      <c r="DF229" s="335"/>
      <c r="DG229" s="335"/>
      <c r="DH229" s="335"/>
      <c r="DI229" s="335"/>
      <c r="DJ229" s="335"/>
      <c r="DK229" s="335"/>
      <c r="DL229" s="335"/>
      <c r="DM229" s="335"/>
      <c r="DN229" s="335"/>
      <c r="DO229" s="335"/>
      <c r="DP229" s="335"/>
      <c r="DQ229" s="335"/>
      <c r="DR229" s="335"/>
      <c r="DS229" s="335"/>
      <c r="DT229" s="335"/>
      <c r="DU229" s="335"/>
      <c r="DV229" s="335"/>
      <c r="DW229" s="335"/>
      <c r="DX229" s="335"/>
      <c r="DY229" s="335"/>
      <c r="DZ229" s="335"/>
      <c r="EA229" s="335"/>
      <c r="EB229" s="335"/>
      <c r="EC229" s="335"/>
      <c r="ED229" s="335"/>
      <c r="EE229" s="335"/>
      <c r="EF229" s="335"/>
      <c r="EG229" s="335"/>
      <c r="EH229" s="335"/>
      <c r="EI229" s="335"/>
      <c r="EJ229" s="335"/>
      <c r="EK229" s="335"/>
      <c r="EL229" s="335"/>
      <c r="EM229" s="335"/>
    </row>
    <row r="230" spans="72:143">
      <c r="BT230" s="187"/>
      <c r="BU230" s="187" t="s">
        <v>76</v>
      </c>
      <c r="BV230" s="196">
        <v>124054</v>
      </c>
      <c r="BW230" s="197" t="e">
        <f t="shared" si="134"/>
        <v>#REF!</v>
      </c>
      <c r="BX230" s="198" t="e">
        <f>IF(AND(State_LOB_Code=18,LEFT(BW230,4)&lt;"2009"),81,State_LOB_Code)&amp;"|365"</f>
        <v>#REF!</v>
      </c>
      <c r="BY230" s="174"/>
      <c r="BZ230" s="175"/>
      <c r="CD230" s="163"/>
      <c r="CE230" s="363"/>
      <c r="CF230" s="335"/>
      <c r="CG230" s="335"/>
      <c r="CH230" s="335"/>
      <c r="CI230" s="335"/>
      <c r="CJ230" s="335"/>
      <c r="CK230" s="335"/>
      <c r="CL230" s="335"/>
      <c r="CM230" s="335"/>
      <c r="CN230" s="335"/>
      <c r="CO230" s="335"/>
      <c r="CP230" s="335"/>
      <c r="CQ230" s="335"/>
      <c r="CR230" s="335"/>
      <c r="CS230" s="335"/>
      <c r="CT230" s="335"/>
      <c r="CU230" s="335"/>
      <c r="CV230" s="335"/>
      <c r="CW230" s="335"/>
      <c r="CX230" s="335"/>
      <c r="CY230" s="335"/>
      <c r="CZ230" s="335"/>
      <c r="DA230" s="335"/>
      <c r="DB230" s="335"/>
      <c r="DC230" s="335"/>
      <c r="DD230" s="335"/>
      <c r="DE230" s="335"/>
      <c r="DF230" s="335"/>
      <c r="DG230" s="335"/>
      <c r="DH230" s="335"/>
      <c r="DI230" s="335"/>
      <c r="DJ230" s="335"/>
      <c r="DK230" s="335"/>
      <c r="DL230" s="335"/>
      <c r="DM230" s="335"/>
      <c r="DN230" s="335"/>
      <c r="DO230" s="335"/>
      <c r="DP230" s="335"/>
      <c r="DQ230" s="335"/>
      <c r="DR230" s="335"/>
      <c r="DS230" s="335"/>
      <c r="DT230" s="335"/>
      <c r="DU230" s="335"/>
      <c r="DV230" s="335"/>
      <c r="DW230" s="335"/>
      <c r="DX230" s="335"/>
      <c r="DY230" s="335"/>
      <c r="DZ230" s="335"/>
      <c r="EA230" s="335"/>
      <c r="EB230" s="335"/>
      <c r="EC230" s="335"/>
      <c r="ED230" s="335"/>
      <c r="EE230" s="335"/>
      <c r="EF230" s="335"/>
      <c r="EG230" s="335"/>
      <c r="EH230" s="335"/>
      <c r="EI230" s="335"/>
      <c r="EJ230" s="335"/>
      <c r="EK230" s="335"/>
      <c r="EL230" s="335"/>
      <c r="EM230" s="335"/>
    </row>
    <row r="231" spans="72:143">
      <c r="BT231" s="187"/>
      <c r="BU231" s="187" t="s">
        <v>77</v>
      </c>
      <c r="BV231" s="196">
        <v>124054</v>
      </c>
      <c r="BW231" s="197" t="e">
        <f t="shared" si="134"/>
        <v>#REF!</v>
      </c>
      <c r="BX231" s="198" t="e">
        <f>IF(AND(State_LOB_Code=18,LEFT(BW231,4)&lt;"2009"),81,State_LOB_Code)&amp;"|366"</f>
        <v>#REF!</v>
      </c>
      <c r="BY231" s="174"/>
      <c r="BZ231" s="175"/>
      <c r="CD231" s="163"/>
      <c r="CE231" s="363"/>
      <c r="CF231" s="335"/>
      <c r="CG231" s="335"/>
      <c r="CH231" s="335"/>
      <c r="CI231" s="335"/>
      <c r="CJ231" s="335"/>
      <c r="CK231" s="335"/>
      <c r="CL231" s="335"/>
      <c r="CM231" s="335"/>
      <c r="CN231" s="335"/>
      <c r="CO231" s="335"/>
      <c r="CP231" s="335"/>
      <c r="CQ231" s="335"/>
      <c r="CR231" s="335"/>
      <c r="CS231" s="335"/>
      <c r="CT231" s="335"/>
      <c r="CU231" s="335"/>
      <c r="CV231" s="335"/>
      <c r="CW231" s="335"/>
      <c r="CX231" s="335"/>
      <c r="CY231" s="335"/>
      <c r="CZ231" s="335"/>
      <c r="DA231" s="335"/>
      <c r="DB231" s="335"/>
      <c r="DC231" s="335"/>
      <c r="DD231" s="335"/>
      <c r="DE231" s="335"/>
      <c r="DF231" s="335"/>
      <c r="DG231" s="335"/>
      <c r="DH231" s="335"/>
      <c r="DI231" s="335"/>
      <c r="DJ231" s="335"/>
      <c r="DK231" s="335"/>
      <c r="DL231" s="335"/>
      <c r="DM231" s="335"/>
      <c r="DN231" s="335"/>
      <c r="DO231" s="335"/>
      <c r="DP231" s="335"/>
      <c r="DQ231" s="335"/>
      <c r="DR231" s="335"/>
      <c r="DS231" s="335"/>
      <c r="DT231" s="335"/>
      <c r="DU231" s="335"/>
      <c r="DV231" s="335"/>
      <c r="DW231" s="335"/>
      <c r="DX231" s="335"/>
      <c r="DY231" s="335"/>
      <c r="DZ231" s="335"/>
      <c r="EA231" s="335"/>
      <c r="EB231" s="335"/>
      <c r="EC231" s="335"/>
      <c r="ED231" s="335"/>
      <c r="EE231" s="335"/>
      <c r="EF231" s="335"/>
      <c r="EG231" s="335"/>
      <c r="EH231" s="335"/>
      <c r="EI231" s="335"/>
      <c r="EJ231" s="335"/>
      <c r="EK231" s="335"/>
      <c r="EL231" s="335"/>
      <c r="EM231" s="335"/>
    </row>
    <row r="232" spans="72:143">
      <c r="BT232" s="187"/>
      <c r="BU232" s="187" t="s">
        <v>78</v>
      </c>
      <c r="BV232" s="196">
        <v>124054</v>
      </c>
      <c r="BW232" s="197" t="e">
        <f t="shared" si="134"/>
        <v>#REF!</v>
      </c>
      <c r="BX232" s="198" t="e">
        <f>IF(AND(State_LOB_Code=18,LEFT(BW232,4)&lt;"2009"),81,State_LOB_Code)&amp;"|367"</f>
        <v>#REF!</v>
      </c>
      <c r="BY232" s="174"/>
      <c r="BZ232" s="175"/>
      <c r="CD232" s="163"/>
      <c r="CE232" s="363"/>
      <c r="CF232" s="335"/>
      <c r="CG232" s="335"/>
      <c r="CH232" s="335"/>
      <c r="CI232" s="335"/>
      <c r="CJ232" s="335"/>
      <c r="CK232" s="335"/>
      <c r="CL232" s="335"/>
      <c r="CM232" s="335"/>
      <c r="CN232" s="335"/>
      <c r="CO232" s="335"/>
      <c r="CP232" s="335"/>
      <c r="CQ232" s="335"/>
      <c r="CR232" s="335"/>
      <c r="CS232" s="335"/>
      <c r="CT232" s="335"/>
      <c r="CU232" s="335"/>
      <c r="CV232" s="335"/>
      <c r="CW232" s="335"/>
      <c r="CX232" s="335"/>
      <c r="CY232" s="335"/>
      <c r="CZ232" s="335"/>
      <c r="DA232" s="335"/>
      <c r="DB232" s="335"/>
      <c r="DC232" s="335"/>
      <c r="DD232" s="335"/>
      <c r="DE232" s="335"/>
      <c r="DF232" s="335"/>
      <c r="DG232" s="335"/>
      <c r="DH232" s="335"/>
      <c r="DI232" s="335"/>
      <c r="DJ232" s="335"/>
      <c r="DK232" s="335"/>
      <c r="DL232" s="335"/>
      <c r="DM232" s="335"/>
      <c r="DN232" s="335"/>
      <c r="DO232" s="335"/>
      <c r="DP232" s="335"/>
      <c r="DQ232" s="335"/>
      <c r="DR232" s="335"/>
      <c r="DS232" s="335"/>
      <c r="DT232" s="335"/>
      <c r="DU232" s="335"/>
      <c r="DV232" s="335"/>
      <c r="DW232" s="335"/>
      <c r="DX232" s="335"/>
      <c r="DY232" s="335"/>
      <c r="DZ232" s="335"/>
      <c r="EA232" s="335"/>
      <c r="EB232" s="335"/>
      <c r="EC232" s="335"/>
      <c r="ED232" s="335"/>
      <c r="EE232" s="335"/>
      <c r="EF232" s="335"/>
      <c r="EG232" s="335"/>
      <c r="EH232" s="335"/>
      <c r="EI232" s="335"/>
      <c r="EJ232" s="335"/>
      <c r="EK232" s="335"/>
      <c r="EL232" s="335"/>
      <c r="EM232" s="335"/>
    </row>
    <row r="233" spans="72:143">
      <c r="BT233" s="187"/>
      <c r="BU233" s="187" t="s">
        <v>79</v>
      </c>
      <c r="BV233" s="196">
        <v>124054</v>
      </c>
      <c r="BW233" s="197" t="e">
        <f t="shared" ref="BW233:BW260" si="135">LEFT(BW172,4)-1&amp;"Y"</f>
        <v>#REF!</v>
      </c>
      <c r="BX233" s="198" t="e">
        <f>IF(AND(State_LOB_Code=18,LEFT(BW233,4)&lt;"2009"),81,State_LOB_Code)&amp;"|368"</f>
        <v>#REF!</v>
      </c>
      <c r="BY233" s="174"/>
      <c r="BZ233" s="175"/>
      <c r="CD233" s="163"/>
      <c r="CE233" s="363"/>
      <c r="CF233" s="335"/>
      <c r="CG233" s="335"/>
      <c r="CH233" s="335"/>
      <c r="CI233" s="335"/>
      <c r="CJ233" s="335"/>
      <c r="CK233" s="335"/>
      <c r="CL233" s="335"/>
      <c r="CM233" s="335"/>
      <c r="CN233" s="335"/>
      <c r="CO233" s="335"/>
      <c r="CP233" s="335"/>
      <c r="CQ233" s="335"/>
      <c r="CR233" s="335"/>
      <c r="CS233" s="335"/>
      <c r="CT233" s="335"/>
      <c r="CU233" s="335"/>
      <c r="CV233" s="335"/>
      <c r="CW233" s="335"/>
      <c r="CX233" s="335"/>
      <c r="CY233" s="335"/>
      <c r="CZ233" s="335"/>
      <c r="DA233" s="335"/>
      <c r="DB233" s="335"/>
      <c r="DC233" s="335"/>
      <c r="DD233" s="335"/>
      <c r="DE233" s="335"/>
      <c r="DF233" s="335"/>
      <c r="DG233" s="335"/>
      <c r="DH233" s="335"/>
      <c r="DI233" s="335"/>
      <c r="DJ233" s="335"/>
      <c r="DK233" s="335"/>
      <c r="DL233" s="335"/>
      <c r="DM233" s="335"/>
      <c r="DN233" s="335"/>
      <c r="DO233" s="335"/>
      <c r="DP233" s="335"/>
      <c r="DQ233" s="335"/>
      <c r="DR233" s="335"/>
      <c r="DS233" s="335"/>
      <c r="DT233" s="335"/>
      <c r="DU233" s="335"/>
      <c r="DV233" s="335"/>
      <c r="DW233" s="335"/>
      <c r="DX233" s="335"/>
      <c r="DY233" s="335"/>
      <c r="DZ233" s="335"/>
      <c r="EA233" s="335"/>
      <c r="EB233" s="335"/>
      <c r="EC233" s="335"/>
      <c r="ED233" s="335"/>
      <c r="EE233" s="335"/>
      <c r="EF233" s="335"/>
      <c r="EG233" s="335"/>
      <c r="EH233" s="335"/>
      <c r="EI233" s="335"/>
      <c r="EJ233" s="335"/>
      <c r="EK233" s="335"/>
      <c r="EL233" s="335"/>
      <c r="EM233" s="335"/>
    </row>
    <row r="234" spans="72:143">
      <c r="BT234" s="187"/>
      <c r="BU234" s="187" t="s">
        <v>80</v>
      </c>
      <c r="BV234" s="196">
        <v>124054</v>
      </c>
      <c r="BW234" s="197" t="e">
        <f t="shared" si="135"/>
        <v>#REF!</v>
      </c>
      <c r="BX234" s="198" t="e">
        <f>IF(AND(State_LOB_Code=18,LEFT(BW234,4)&lt;"2009"),81,State_LOB_Code)&amp;"|369"</f>
        <v>#REF!</v>
      </c>
      <c r="BY234" s="174"/>
      <c r="BZ234" s="175"/>
      <c r="CD234" s="163"/>
      <c r="CE234" s="363"/>
      <c r="CF234" s="335"/>
      <c r="CG234" s="335"/>
      <c r="CH234" s="335"/>
      <c r="CI234" s="335"/>
      <c r="CJ234" s="335"/>
      <c r="CK234" s="335"/>
      <c r="CL234" s="335"/>
      <c r="CM234" s="335"/>
      <c r="CN234" s="335"/>
      <c r="CO234" s="335"/>
      <c r="CP234" s="335"/>
      <c r="CQ234" s="335"/>
      <c r="CR234" s="335"/>
      <c r="CS234" s="335"/>
      <c r="CT234" s="335"/>
      <c r="CU234" s="335"/>
      <c r="CV234" s="335"/>
      <c r="CW234" s="335"/>
      <c r="CX234" s="335"/>
      <c r="CY234" s="335"/>
      <c r="CZ234" s="335"/>
      <c r="DA234" s="335"/>
      <c r="DB234" s="335"/>
      <c r="DC234" s="335"/>
      <c r="DD234" s="335"/>
      <c r="DE234" s="335"/>
      <c r="DF234" s="335"/>
      <c r="DG234" s="335"/>
      <c r="DH234" s="335"/>
      <c r="DI234" s="335"/>
      <c r="DJ234" s="335"/>
      <c r="DK234" s="335"/>
      <c r="DL234" s="335"/>
      <c r="DM234" s="335"/>
      <c r="DN234" s="335"/>
      <c r="DO234" s="335"/>
      <c r="DP234" s="335"/>
      <c r="DQ234" s="335"/>
      <c r="DR234" s="335"/>
      <c r="DS234" s="335"/>
      <c r="DT234" s="335"/>
      <c r="DU234" s="335"/>
      <c r="DV234" s="335"/>
      <c r="DW234" s="335"/>
      <c r="DX234" s="335"/>
      <c r="DY234" s="335"/>
      <c r="DZ234" s="335"/>
      <c r="EA234" s="335"/>
      <c r="EB234" s="335"/>
      <c r="EC234" s="335"/>
      <c r="ED234" s="335"/>
      <c r="EE234" s="335"/>
      <c r="EF234" s="335"/>
      <c r="EG234" s="335"/>
      <c r="EH234" s="335"/>
      <c r="EI234" s="335"/>
      <c r="EJ234" s="335"/>
      <c r="EK234" s="335"/>
      <c r="EL234" s="335"/>
      <c r="EM234" s="335"/>
    </row>
    <row r="235" spans="72:143">
      <c r="BT235" s="187"/>
      <c r="BU235" s="187" t="s">
        <v>81</v>
      </c>
      <c r="BV235" s="196">
        <v>124054</v>
      </c>
      <c r="BW235" s="197" t="e">
        <f t="shared" si="135"/>
        <v>#REF!</v>
      </c>
      <c r="BX235" s="198" t="e">
        <f>IF(AND(State_LOB_Code=18,LEFT(BW235,4)&lt;"2009"),81,State_LOB_Code)&amp;"|370"</f>
        <v>#REF!</v>
      </c>
      <c r="BY235" s="174"/>
      <c r="BZ235" s="175"/>
      <c r="CD235" s="163"/>
      <c r="CE235" s="363"/>
      <c r="CF235" s="335"/>
      <c r="CG235" s="335"/>
      <c r="CH235" s="335"/>
      <c r="CI235" s="335"/>
      <c r="CJ235" s="335"/>
      <c r="CK235" s="335"/>
      <c r="CL235" s="335"/>
      <c r="CM235" s="335"/>
      <c r="CN235" s="335"/>
      <c r="CO235" s="335"/>
      <c r="CP235" s="335"/>
      <c r="CQ235" s="335"/>
      <c r="CR235" s="335"/>
      <c r="CS235" s="335"/>
      <c r="CT235" s="335"/>
      <c r="CU235" s="335"/>
      <c r="CV235" s="335"/>
      <c r="CW235" s="335"/>
      <c r="CX235" s="335"/>
      <c r="CY235" s="335"/>
      <c r="CZ235" s="335"/>
      <c r="DA235" s="335"/>
      <c r="DB235" s="335"/>
      <c r="DC235" s="335"/>
      <c r="DD235" s="335"/>
      <c r="DE235" s="335"/>
      <c r="DF235" s="335"/>
      <c r="DG235" s="335"/>
      <c r="DH235" s="335"/>
      <c r="DI235" s="335"/>
      <c r="DJ235" s="335"/>
      <c r="DK235" s="335"/>
      <c r="DL235" s="335"/>
      <c r="DM235" s="335"/>
      <c r="DN235" s="335"/>
      <c r="DO235" s="335"/>
      <c r="DP235" s="335"/>
      <c r="DQ235" s="335"/>
      <c r="DR235" s="335"/>
      <c r="DS235" s="335"/>
      <c r="DT235" s="335"/>
      <c r="DU235" s="335"/>
      <c r="DV235" s="335"/>
      <c r="DW235" s="335"/>
      <c r="DX235" s="335"/>
      <c r="DY235" s="335"/>
      <c r="DZ235" s="335"/>
      <c r="EA235" s="335"/>
      <c r="EB235" s="335"/>
      <c r="EC235" s="335"/>
      <c r="ED235" s="335"/>
      <c r="EE235" s="335"/>
      <c r="EF235" s="335"/>
      <c r="EG235" s="335"/>
      <c r="EH235" s="335"/>
      <c r="EI235" s="335"/>
      <c r="EJ235" s="335"/>
      <c r="EK235" s="335"/>
      <c r="EL235" s="335"/>
      <c r="EM235" s="335"/>
    </row>
    <row r="236" spans="72:143">
      <c r="BT236" s="187"/>
      <c r="BU236" s="187" t="s">
        <v>82</v>
      </c>
      <c r="BV236" s="196">
        <v>124054</v>
      </c>
      <c r="BW236" s="197" t="e">
        <f t="shared" si="135"/>
        <v>#REF!</v>
      </c>
      <c r="BX236" s="198" t="e">
        <f>IF(AND(State_LOB_Code=18,LEFT(BW236,4)&lt;"2009"),81,State_LOB_Code)&amp;"|371"</f>
        <v>#REF!</v>
      </c>
      <c r="BY236" s="174"/>
      <c r="BZ236" s="175"/>
      <c r="CD236" s="163"/>
      <c r="CE236" s="363"/>
      <c r="CF236" s="335"/>
      <c r="CG236" s="335"/>
      <c r="CH236" s="335"/>
      <c r="CI236" s="335"/>
      <c r="CJ236" s="335"/>
      <c r="CK236" s="335"/>
      <c r="CL236" s="335"/>
      <c r="CM236" s="335"/>
      <c r="CN236" s="335"/>
      <c r="CO236" s="335"/>
      <c r="CP236" s="335"/>
      <c r="CQ236" s="335"/>
      <c r="CR236" s="335"/>
      <c r="CS236" s="335"/>
      <c r="CT236" s="335"/>
      <c r="CU236" s="335"/>
      <c r="CV236" s="335"/>
      <c r="CW236" s="335"/>
      <c r="CX236" s="335"/>
      <c r="CY236" s="335"/>
      <c r="CZ236" s="335"/>
      <c r="DA236" s="335"/>
      <c r="DB236" s="335"/>
      <c r="DC236" s="335"/>
      <c r="DD236" s="335"/>
      <c r="DE236" s="335"/>
      <c r="DF236" s="335"/>
      <c r="DG236" s="335"/>
      <c r="DH236" s="335"/>
      <c r="DI236" s="335"/>
      <c r="DJ236" s="335"/>
      <c r="DK236" s="335"/>
      <c r="DL236" s="335"/>
      <c r="DM236" s="335"/>
      <c r="DN236" s="335"/>
      <c r="DO236" s="335"/>
      <c r="DP236" s="335"/>
      <c r="DQ236" s="335"/>
      <c r="DR236" s="335"/>
      <c r="DS236" s="335"/>
      <c r="DT236" s="335"/>
      <c r="DU236" s="335"/>
      <c r="DV236" s="335"/>
      <c r="DW236" s="335"/>
      <c r="DX236" s="335"/>
      <c r="DY236" s="335"/>
      <c r="DZ236" s="335"/>
      <c r="EA236" s="335"/>
      <c r="EB236" s="335"/>
      <c r="EC236" s="335"/>
      <c r="ED236" s="335"/>
      <c r="EE236" s="335"/>
      <c r="EF236" s="335"/>
      <c r="EG236" s="335"/>
      <c r="EH236" s="335"/>
      <c r="EI236" s="335"/>
      <c r="EJ236" s="335"/>
      <c r="EK236" s="335"/>
      <c r="EL236" s="335"/>
      <c r="EM236" s="335"/>
    </row>
    <row r="237" spans="72:143">
      <c r="BT237" s="187"/>
      <c r="BU237" s="187" t="s">
        <v>83</v>
      </c>
      <c r="BV237" s="196">
        <v>124054</v>
      </c>
      <c r="BW237" s="197" t="e">
        <f t="shared" si="135"/>
        <v>#REF!</v>
      </c>
      <c r="BX237" s="198" t="e">
        <f>IF(AND(State_LOB_Code=18,LEFT(BW237,4)&lt;"2009"),81,State_LOB_Code)&amp;"|372"</f>
        <v>#REF!</v>
      </c>
      <c r="BY237" s="174"/>
      <c r="BZ237" s="175"/>
      <c r="CD237" s="163"/>
      <c r="CE237" s="363"/>
      <c r="CF237" s="335"/>
      <c r="CG237" s="335"/>
      <c r="CH237" s="335"/>
      <c r="CI237" s="335"/>
      <c r="CJ237" s="335"/>
      <c r="CK237" s="335"/>
      <c r="CL237" s="335"/>
      <c r="CM237" s="335"/>
      <c r="CN237" s="335"/>
      <c r="CO237" s="335"/>
      <c r="CP237" s="335"/>
      <c r="CQ237" s="335"/>
      <c r="CR237" s="335"/>
      <c r="CS237" s="335"/>
      <c r="CT237" s="335"/>
      <c r="CU237" s="335"/>
      <c r="CV237" s="335"/>
      <c r="CW237" s="335"/>
      <c r="CX237" s="335"/>
      <c r="CY237" s="335"/>
      <c r="CZ237" s="335"/>
      <c r="DA237" s="335"/>
      <c r="DB237" s="335"/>
      <c r="DC237" s="335"/>
      <c r="DD237" s="335"/>
      <c r="DE237" s="335"/>
      <c r="DF237" s="335"/>
      <c r="DG237" s="335"/>
      <c r="DH237" s="335"/>
      <c r="DI237" s="335"/>
      <c r="DJ237" s="335"/>
      <c r="DK237" s="335"/>
      <c r="DL237" s="335"/>
      <c r="DM237" s="335"/>
      <c r="DN237" s="335"/>
      <c r="DO237" s="335"/>
      <c r="DP237" s="335"/>
      <c r="DQ237" s="335"/>
      <c r="DR237" s="335"/>
      <c r="DS237" s="335"/>
      <c r="DT237" s="335"/>
      <c r="DU237" s="335"/>
      <c r="DV237" s="335"/>
      <c r="DW237" s="335"/>
      <c r="DX237" s="335"/>
      <c r="DY237" s="335"/>
      <c r="DZ237" s="335"/>
      <c r="EA237" s="335"/>
      <c r="EB237" s="335"/>
      <c r="EC237" s="335"/>
      <c r="ED237" s="335"/>
      <c r="EE237" s="335"/>
      <c r="EF237" s="335"/>
      <c r="EG237" s="335"/>
      <c r="EH237" s="335"/>
      <c r="EI237" s="335"/>
      <c r="EJ237" s="335"/>
      <c r="EK237" s="335"/>
      <c r="EL237" s="335"/>
      <c r="EM237" s="335"/>
    </row>
    <row r="238" spans="72:143">
      <c r="BT238" s="187"/>
      <c r="BU238" s="187" t="s">
        <v>84</v>
      </c>
      <c r="BV238" s="196">
        <v>124054</v>
      </c>
      <c r="BW238" s="197" t="e">
        <f t="shared" si="135"/>
        <v>#REF!</v>
      </c>
      <c r="BX238" s="198" t="e">
        <f>IF(AND(State_LOB_Code=18,LEFT(BW238,4)&lt;"2009"),81,State_LOB_Code)&amp;"|373"</f>
        <v>#REF!</v>
      </c>
      <c r="BY238" s="174"/>
      <c r="BZ238" s="175"/>
      <c r="CD238" s="163"/>
      <c r="CE238" s="363"/>
      <c r="CF238" s="335"/>
      <c r="CG238" s="335"/>
      <c r="CH238" s="335"/>
      <c r="CI238" s="335"/>
      <c r="CJ238" s="335"/>
      <c r="CK238" s="335"/>
      <c r="CL238" s="335"/>
      <c r="CM238" s="335"/>
      <c r="CN238" s="335"/>
      <c r="CO238" s="335"/>
      <c r="CP238" s="335"/>
      <c r="CQ238" s="335"/>
      <c r="CR238" s="335"/>
      <c r="CS238" s="335"/>
      <c r="CT238" s="335"/>
      <c r="CU238" s="335"/>
      <c r="CV238" s="335"/>
      <c r="CW238" s="335"/>
      <c r="CX238" s="335"/>
      <c r="CY238" s="335"/>
      <c r="CZ238" s="335"/>
      <c r="DA238" s="335"/>
      <c r="DB238" s="335"/>
      <c r="DC238" s="335"/>
      <c r="DD238" s="335"/>
      <c r="DE238" s="335"/>
      <c r="DF238" s="335"/>
      <c r="DG238" s="335"/>
      <c r="DH238" s="335"/>
      <c r="DI238" s="335"/>
      <c r="DJ238" s="335"/>
      <c r="DK238" s="335"/>
      <c r="DL238" s="335"/>
      <c r="DM238" s="335"/>
      <c r="DN238" s="335"/>
      <c r="DO238" s="335"/>
      <c r="DP238" s="335"/>
      <c r="DQ238" s="335"/>
      <c r="DR238" s="335"/>
      <c r="DS238" s="335"/>
      <c r="DT238" s="335"/>
      <c r="DU238" s="335"/>
      <c r="DV238" s="335"/>
      <c r="DW238" s="335"/>
      <c r="DX238" s="335"/>
      <c r="DY238" s="335"/>
      <c r="DZ238" s="335"/>
      <c r="EA238" s="335"/>
      <c r="EB238" s="335"/>
      <c r="EC238" s="335"/>
      <c r="ED238" s="335"/>
      <c r="EE238" s="335"/>
      <c r="EF238" s="335"/>
      <c r="EG238" s="335"/>
      <c r="EH238" s="335"/>
      <c r="EI238" s="335"/>
      <c r="EJ238" s="335"/>
      <c r="EK238" s="335"/>
      <c r="EL238" s="335"/>
      <c r="EM238" s="335"/>
    </row>
    <row r="239" spans="72:143">
      <c r="BT239" s="187"/>
      <c r="BU239" s="187" t="s">
        <v>85</v>
      </c>
      <c r="BV239" s="196">
        <v>124054</v>
      </c>
      <c r="BW239" s="197" t="e">
        <f t="shared" si="135"/>
        <v>#REF!</v>
      </c>
      <c r="BX239" s="198" t="e">
        <f>IF(AND(State_LOB_Code=18,LEFT(BW239,4)&lt;"2009"),81,State_LOB_Code)&amp;"|374"</f>
        <v>#REF!</v>
      </c>
      <c r="BY239" s="174"/>
      <c r="BZ239" s="175"/>
      <c r="CD239" s="163"/>
      <c r="CE239" s="363"/>
      <c r="CF239" s="335"/>
      <c r="CG239" s="335"/>
      <c r="CH239" s="335"/>
      <c r="CI239" s="335"/>
      <c r="CJ239" s="335"/>
      <c r="CK239" s="335"/>
      <c r="CL239" s="335"/>
      <c r="CM239" s="335"/>
      <c r="CN239" s="335"/>
      <c r="CO239" s="335"/>
      <c r="CP239" s="335"/>
      <c r="CQ239" s="335"/>
      <c r="CR239" s="335"/>
      <c r="CS239" s="335"/>
      <c r="CT239" s="335"/>
      <c r="CU239" s="335"/>
      <c r="CV239" s="335"/>
      <c r="CW239" s="335"/>
      <c r="CX239" s="335"/>
      <c r="CY239" s="335"/>
      <c r="CZ239" s="335"/>
      <c r="DA239" s="335"/>
      <c r="DB239" s="335"/>
      <c r="DC239" s="335"/>
      <c r="DD239" s="335"/>
      <c r="DE239" s="335"/>
      <c r="DF239" s="335"/>
      <c r="DG239" s="335"/>
      <c r="DH239" s="335"/>
      <c r="DI239" s="335"/>
      <c r="DJ239" s="335"/>
      <c r="DK239" s="335"/>
      <c r="DL239" s="335"/>
      <c r="DM239" s="335"/>
      <c r="DN239" s="335"/>
      <c r="DO239" s="335"/>
      <c r="DP239" s="335"/>
      <c r="DQ239" s="335"/>
      <c r="DR239" s="335"/>
      <c r="DS239" s="335"/>
      <c r="DT239" s="335"/>
      <c r="DU239" s="335"/>
      <c r="DV239" s="335"/>
      <c r="DW239" s="335"/>
      <c r="DX239" s="335"/>
      <c r="DY239" s="335"/>
      <c r="DZ239" s="335"/>
      <c r="EA239" s="335"/>
      <c r="EB239" s="335"/>
      <c r="EC239" s="335"/>
      <c r="ED239" s="335"/>
      <c r="EE239" s="335"/>
      <c r="EF239" s="335"/>
      <c r="EG239" s="335"/>
      <c r="EH239" s="335"/>
      <c r="EI239" s="335"/>
      <c r="EJ239" s="335"/>
      <c r="EK239" s="335"/>
      <c r="EL239" s="335"/>
      <c r="EM239" s="335"/>
    </row>
    <row r="240" spans="72:143">
      <c r="BT240" s="187"/>
      <c r="BU240" s="187" t="s">
        <v>86</v>
      </c>
      <c r="BV240" s="196">
        <v>124054</v>
      </c>
      <c r="BW240" s="197" t="e">
        <f t="shared" si="135"/>
        <v>#REF!</v>
      </c>
      <c r="BX240" s="198" t="e">
        <f>IF(AND(State_LOB_Code=18,LEFT(BW240,4)&lt;"2009"),81,State_LOB_Code)&amp;"|376"</f>
        <v>#REF!</v>
      </c>
      <c r="BY240" s="174"/>
      <c r="BZ240" s="175"/>
      <c r="CD240" s="163"/>
      <c r="CE240" s="363"/>
      <c r="CF240" s="335"/>
      <c r="CG240" s="335"/>
      <c r="CH240" s="335"/>
      <c r="CI240" s="335"/>
      <c r="CJ240" s="335"/>
      <c r="CK240" s="335"/>
      <c r="CL240" s="335"/>
      <c r="CM240" s="335"/>
      <c r="CN240" s="335"/>
      <c r="CO240" s="335"/>
      <c r="CP240" s="335"/>
      <c r="CQ240" s="335"/>
      <c r="CR240" s="335"/>
      <c r="CS240" s="335"/>
      <c r="CT240" s="335"/>
      <c r="CU240" s="335"/>
      <c r="CV240" s="335"/>
      <c r="CW240" s="335"/>
      <c r="CX240" s="335"/>
      <c r="CY240" s="335"/>
      <c r="CZ240" s="335"/>
      <c r="DA240" s="335"/>
      <c r="DB240" s="335"/>
      <c r="DC240" s="335"/>
      <c r="DD240" s="335"/>
      <c r="DE240" s="335"/>
      <c r="DF240" s="335"/>
      <c r="DG240" s="335"/>
      <c r="DH240" s="335"/>
      <c r="DI240" s="335"/>
      <c r="DJ240" s="335"/>
      <c r="DK240" s="335"/>
      <c r="DL240" s="335"/>
      <c r="DM240" s="335"/>
      <c r="DN240" s="335"/>
      <c r="DO240" s="335"/>
      <c r="DP240" s="335"/>
      <c r="DQ240" s="335"/>
      <c r="DR240" s="335"/>
      <c r="DS240" s="335"/>
      <c r="DT240" s="335"/>
      <c r="DU240" s="335"/>
      <c r="DV240" s="335"/>
      <c r="DW240" s="335"/>
      <c r="DX240" s="335"/>
      <c r="DY240" s="335"/>
      <c r="DZ240" s="335"/>
      <c r="EA240" s="335"/>
      <c r="EB240" s="335"/>
      <c r="EC240" s="335"/>
      <c r="ED240" s="335"/>
      <c r="EE240" s="335"/>
      <c r="EF240" s="335"/>
      <c r="EG240" s="335"/>
      <c r="EH240" s="335"/>
      <c r="EI240" s="335"/>
      <c r="EJ240" s="335"/>
      <c r="EK240" s="335"/>
      <c r="EL240" s="335"/>
      <c r="EM240" s="335"/>
    </row>
    <row r="241" spans="72:143">
      <c r="BT241" s="187"/>
      <c r="BU241" s="187" t="s">
        <v>87</v>
      </c>
      <c r="BV241" s="196">
        <v>124054</v>
      </c>
      <c r="BW241" s="197" t="e">
        <f t="shared" si="135"/>
        <v>#REF!</v>
      </c>
      <c r="BX241" s="198" t="e">
        <f>IF(AND(State_LOB_Code=18,LEFT(BW241,4)&lt;"2009"),81,State_LOB_Code)&amp;"|377"</f>
        <v>#REF!</v>
      </c>
      <c r="BY241" s="174"/>
      <c r="BZ241" s="175"/>
      <c r="CD241" s="163"/>
      <c r="CE241" s="363"/>
      <c r="CF241" s="335"/>
      <c r="CG241" s="335"/>
      <c r="CH241" s="335"/>
      <c r="CI241" s="335"/>
      <c r="CJ241" s="335"/>
      <c r="CK241" s="335"/>
      <c r="CL241" s="335"/>
      <c r="CM241" s="335"/>
      <c r="CN241" s="335"/>
      <c r="CO241" s="335"/>
      <c r="CP241" s="335"/>
      <c r="CQ241" s="335"/>
      <c r="CR241" s="335"/>
      <c r="CS241" s="335"/>
      <c r="CT241" s="335"/>
      <c r="CU241" s="335"/>
      <c r="CV241" s="335"/>
      <c r="CW241" s="335"/>
      <c r="CX241" s="335"/>
      <c r="CY241" s="335"/>
      <c r="CZ241" s="335"/>
      <c r="DA241" s="335"/>
      <c r="DB241" s="335"/>
      <c r="DC241" s="335"/>
      <c r="DD241" s="335"/>
      <c r="DE241" s="335"/>
      <c r="DF241" s="335"/>
      <c r="DG241" s="335"/>
      <c r="DH241" s="335"/>
      <c r="DI241" s="335"/>
      <c r="DJ241" s="335"/>
      <c r="DK241" s="335"/>
      <c r="DL241" s="335"/>
      <c r="DM241" s="335"/>
      <c r="DN241" s="335"/>
      <c r="DO241" s="335"/>
      <c r="DP241" s="335"/>
      <c r="DQ241" s="335"/>
      <c r="DR241" s="335"/>
      <c r="DS241" s="335"/>
      <c r="DT241" s="335"/>
      <c r="DU241" s="335"/>
      <c r="DV241" s="335"/>
      <c r="DW241" s="335"/>
      <c r="DX241" s="335"/>
      <c r="DY241" s="335"/>
      <c r="DZ241" s="335"/>
      <c r="EA241" s="335"/>
      <c r="EB241" s="335"/>
      <c r="EC241" s="335"/>
      <c r="ED241" s="335"/>
      <c r="EE241" s="335"/>
      <c r="EF241" s="335"/>
      <c r="EG241" s="335"/>
      <c r="EH241" s="335"/>
      <c r="EI241" s="335"/>
      <c r="EJ241" s="335"/>
      <c r="EK241" s="335"/>
      <c r="EL241" s="335"/>
      <c r="EM241" s="335"/>
    </row>
    <row r="242" spans="72:143">
      <c r="BT242" s="187"/>
      <c r="BU242" s="187" t="s">
        <v>88</v>
      </c>
      <c r="BV242" s="196">
        <v>124054</v>
      </c>
      <c r="BW242" s="197" t="e">
        <f t="shared" si="135"/>
        <v>#REF!</v>
      </c>
      <c r="BX242" s="198" t="e">
        <f>IF(AND(State_LOB_Code=18,LEFT(BW242,4)&lt;"2009"),81,State_LOB_Code)&amp;"|378"</f>
        <v>#REF!</v>
      </c>
      <c r="BY242" s="174"/>
      <c r="BZ242" s="175"/>
      <c r="CD242" s="163"/>
      <c r="CE242" s="363"/>
      <c r="CF242" s="335"/>
      <c r="CG242" s="335"/>
      <c r="CH242" s="335"/>
      <c r="CI242" s="335"/>
      <c r="CJ242" s="335"/>
      <c r="CK242" s="335"/>
      <c r="CL242" s="335"/>
      <c r="CM242" s="335"/>
      <c r="CN242" s="335"/>
      <c r="CO242" s="335"/>
      <c r="CP242" s="335"/>
      <c r="CQ242" s="335"/>
      <c r="CR242" s="335"/>
      <c r="CS242" s="335"/>
      <c r="CT242" s="335"/>
      <c r="CU242" s="335"/>
      <c r="CV242" s="335"/>
      <c r="CW242" s="335"/>
      <c r="CX242" s="335"/>
      <c r="CY242" s="335"/>
      <c r="CZ242" s="335"/>
      <c r="DA242" s="335"/>
      <c r="DB242" s="335"/>
      <c r="DC242" s="335"/>
      <c r="DD242" s="335"/>
      <c r="DE242" s="335"/>
      <c r="DF242" s="335"/>
      <c r="DG242" s="335"/>
      <c r="DH242" s="335"/>
      <c r="DI242" s="335"/>
      <c r="DJ242" s="335"/>
      <c r="DK242" s="335"/>
      <c r="DL242" s="335"/>
      <c r="DM242" s="335"/>
      <c r="DN242" s="335"/>
      <c r="DO242" s="335"/>
      <c r="DP242" s="335"/>
      <c r="DQ242" s="335"/>
      <c r="DR242" s="335"/>
      <c r="DS242" s="335"/>
      <c r="DT242" s="335"/>
      <c r="DU242" s="335"/>
      <c r="DV242" s="335"/>
      <c r="DW242" s="335"/>
      <c r="DX242" s="335"/>
      <c r="DY242" s="335"/>
      <c r="DZ242" s="335"/>
      <c r="EA242" s="335"/>
      <c r="EB242" s="335"/>
      <c r="EC242" s="335"/>
      <c r="ED242" s="335"/>
      <c r="EE242" s="335"/>
      <c r="EF242" s="335"/>
      <c r="EG242" s="335"/>
      <c r="EH242" s="335"/>
      <c r="EI242" s="335"/>
      <c r="EJ242" s="335"/>
      <c r="EK242" s="335"/>
      <c r="EL242" s="335"/>
      <c r="EM242" s="335"/>
    </row>
    <row r="243" spans="72:143">
      <c r="BT243" s="187"/>
      <c r="BU243" s="187" t="s">
        <v>89</v>
      </c>
      <c r="BV243" s="196">
        <v>124054</v>
      </c>
      <c r="BW243" s="197" t="e">
        <f t="shared" si="135"/>
        <v>#REF!</v>
      </c>
      <c r="BX243" s="198" t="e">
        <f>IF(AND(State_LOB_Code=18,LEFT(BW243,4)&lt;"2009"),81,State_LOB_Code)&amp;"|379"</f>
        <v>#REF!</v>
      </c>
      <c r="BY243" s="174"/>
      <c r="BZ243" s="175"/>
      <c r="CD243" s="163"/>
      <c r="CE243" s="363"/>
      <c r="CF243" s="335"/>
      <c r="CG243" s="335"/>
      <c r="CH243" s="335"/>
      <c r="CI243" s="335"/>
      <c r="CJ243" s="335"/>
      <c r="CK243" s="335"/>
      <c r="CL243" s="335"/>
      <c r="CM243" s="335"/>
      <c r="CN243" s="335"/>
      <c r="CO243" s="335"/>
      <c r="CP243" s="335"/>
      <c r="CQ243" s="335"/>
      <c r="CR243" s="335"/>
      <c r="CS243" s="335"/>
      <c r="CT243" s="335"/>
      <c r="CU243" s="335"/>
      <c r="CV243" s="335"/>
      <c r="CW243" s="335"/>
      <c r="CX243" s="335"/>
      <c r="CY243" s="335"/>
      <c r="CZ243" s="335"/>
      <c r="DA243" s="335"/>
      <c r="DB243" s="335"/>
      <c r="DC243" s="335"/>
      <c r="DD243" s="335"/>
      <c r="DE243" s="335"/>
      <c r="DF243" s="335"/>
      <c r="DG243" s="335"/>
      <c r="DH243" s="335"/>
      <c r="DI243" s="335"/>
      <c r="DJ243" s="335"/>
      <c r="DK243" s="335"/>
      <c r="DL243" s="335"/>
      <c r="DM243" s="335"/>
      <c r="DN243" s="335"/>
      <c r="DO243" s="335"/>
      <c r="DP243" s="335"/>
      <c r="DQ243" s="335"/>
      <c r="DR243" s="335"/>
      <c r="DS243" s="335"/>
      <c r="DT243" s="335"/>
      <c r="DU243" s="335"/>
      <c r="DV243" s="335"/>
      <c r="DW243" s="335"/>
      <c r="DX243" s="335"/>
      <c r="DY243" s="335"/>
      <c r="DZ243" s="335"/>
      <c r="EA243" s="335"/>
      <c r="EB243" s="335"/>
      <c r="EC243" s="335"/>
      <c r="ED243" s="335"/>
      <c r="EE243" s="335"/>
      <c r="EF243" s="335"/>
      <c r="EG243" s="335"/>
      <c r="EH243" s="335"/>
      <c r="EI243" s="335"/>
      <c r="EJ243" s="335"/>
      <c r="EK243" s="335"/>
      <c r="EL243" s="335"/>
      <c r="EM243" s="335"/>
    </row>
    <row r="244" spans="72:143">
      <c r="BT244" s="187"/>
      <c r="BU244" s="187" t="s">
        <v>90</v>
      </c>
      <c r="BV244" s="196">
        <v>124054</v>
      </c>
      <c r="BW244" s="197" t="e">
        <f t="shared" si="135"/>
        <v>#REF!</v>
      </c>
      <c r="BX244" s="198" t="e">
        <f>IF(AND(State_LOB_Code=18,LEFT(BW244,4)&lt;"2009"),81,State_LOB_Code)&amp;"|380"</f>
        <v>#REF!</v>
      </c>
      <c r="BY244" s="174"/>
      <c r="BZ244" s="175"/>
      <c r="CD244" s="163"/>
      <c r="CE244" s="363"/>
      <c r="CF244" s="335"/>
      <c r="CG244" s="335"/>
      <c r="CH244" s="335"/>
      <c r="CI244" s="335"/>
      <c r="CJ244" s="335"/>
      <c r="CK244" s="335"/>
      <c r="CL244" s="335"/>
      <c r="CM244" s="335"/>
      <c r="CN244" s="335"/>
      <c r="CO244" s="335"/>
      <c r="CP244" s="335"/>
      <c r="CQ244" s="335"/>
      <c r="CR244" s="335"/>
      <c r="CS244" s="335"/>
      <c r="CT244" s="335"/>
      <c r="CU244" s="335"/>
      <c r="CV244" s="335"/>
      <c r="CW244" s="335"/>
      <c r="CX244" s="335"/>
      <c r="CY244" s="335"/>
      <c r="CZ244" s="335"/>
      <c r="DA244" s="335"/>
      <c r="DB244" s="335"/>
      <c r="DC244" s="335"/>
      <c r="DD244" s="335"/>
      <c r="DE244" s="335"/>
      <c r="DF244" s="335"/>
      <c r="DG244" s="335"/>
      <c r="DH244" s="335"/>
      <c r="DI244" s="335"/>
      <c r="DJ244" s="335"/>
      <c r="DK244" s="335"/>
      <c r="DL244" s="335"/>
      <c r="DM244" s="335"/>
      <c r="DN244" s="335"/>
      <c r="DO244" s="335"/>
      <c r="DP244" s="335"/>
      <c r="DQ244" s="335"/>
      <c r="DR244" s="335"/>
      <c r="DS244" s="335"/>
      <c r="DT244" s="335"/>
      <c r="DU244" s="335"/>
      <c r="DV244" s="335"/>
      <c r="DW244" s="335"/>
      <c r="DX244" s="335"/>
      <c r="DY244" s="335"/>
      <c r="DZ244" s="335"/>
      <c r="EA244" s="335"/>
      <c r="EB244" s="335"/>
      <c r="EC244" s="335"/>
      <c r="ED244" s="335"/>
      <c r="EE244" s="335"/>
      <c r="EF244" s="335"/>
      <c r="EG244" s="335"/>
      <c r="EH244" s="335"/>
      <c r="EI244" s="335"/>
      <c r="EJ244" s="335"/>
      <c r="EK244" s="335"/>
      <c r="EL244" s="335"/>
      <c r="EM244" s="335"/>
    </row>
    <row r="245" spans="72:143">
      <c r="BT245" s="187"/>
      <c r="BU245" s="187" t="s">
        <v>91</v>
      </c>
      <c r="BV245" s="196">
        <v>124054</v>
      </c>
      <c r="BW245" s="197" t="e">
        <f t="shared" si="135"/>
        <v>#REF!</v>
      </c>
      <c r="BX245" s="198" t="e">
        <f>IF(AND(State_LOB_Code=18,LEFT(BW245,4)&lt;"2009"),81,State_LOB_Code)&amp;"|381"</f>
        <v>#REF!</v>
      </c>
      <c r="BY245" s="174"/>
      <c r="BZ245" s="175"/>
      <c r="CD245" s="163"/>
      <c r="CE245" s="363"/>
      <c r="CF245" s="335"/>
      <c r="CG245" s="335"/>
      <c r="CH245" s="335"/>
      <c r="CI245" s="335"/>
      <c r="CJ245" s="335"/>
      <c r="CK245" s="335"/>
      <c r="CL245" s="335"/>
      <c r="CM245" s="335"/>
      <c r="CN245" s="335"/>
      <c r="CO245" s="335"/>
      <c r="CP245" s="335"/>
      <c r="CQ245" s="335"/>
      <c r="CR245" s="335"/>
      <c r="CS245" s="335"/>
      <c r="CT245" s="335"/>
      <c r="CU245" s="335"/>
      <c r="CV245" s="335"/>
      <c r="CW245" s="335"/>
      <c r="CX245" s="335"/>
      <c r="CY245" s="335"/>
      <c r="CZ245" s="335"/>
      <c r="DA245" s="335"/>
      <c r="DB245" s="335"/>
      <c r="DC245" s="335"/>
      <c r="DD245" s="335"/>
      <c r="DE245" s="335"/>
      <c r="DF245" s="335"/>
      <c r="DG245" s="335"/>
      <c r="DH245" s="335"/>
      <c r="DI245" s="335"/>
      <c r="DJ245" s="335"/>
      <c r="DK245" s="335"/>
      <c r="DL245" s="335"/>
      <c r="DM245" s="335"/>
      <c r="DN245" s="335"/>
      <c r="DO245" s="335"/>
      <c r="DP245" s="335"/>
      <c r="DQ245" s="335"/>
      <c r="DR245" s="335"/>
      <c r="DS245" s="335"/>
      <c r="DT245" s="335"/>
      <c r="DU245" s="335"/>
      <c r="DV245" s="335"/>
      <c r="DW245" s="335"/>
      <c r="DX245" s="335"/>
      <c r="DY245" s="335"/>
      <c r="DZ245" s="335"/>
      <c r="EA245" s="335"/>
      <c r="EB245" s="335"/>
      <c r="EC245" s="335"/>
      <c r="ED245" s="335"/>
      <c r="EE245" s="335"/>
      <c r="EF245" s="335"/>
      <c r="EG245" s="335"/>
      <c r="EH245" s="335"/>
      <c r="EI245" s="335"/>
      <c r="EJ245" s="335"/>
      <c r="EK245" s="335"/>
      <c r="EL245" s="335"/>
      <c r="EM245" s="335"/>
    </row>
    <row r="246" spans="72:143">
      <c r="BT246" s="187"/>
      <c r="BU246" s="187" t="s">
        <v>92</v>
      </c>
      <c r="BV246" s="196">
        <v>124054</v>
      </c>
      <c r="BW246" s="197" t="e">
        <f t="shared" si="135"/>
        <v>#REF!</v>
      </c>
      <c r="BX246" s="198" t="e">
        <f>IF(AND(State_LOB_Code=18,LEFT(BW246,4)&lt;"2009"),81,State_LOB_Code)&amp;"|382"</f>
        <v>#REF!</v>
      </c>
      <c r="BY246" s="174"/>
      <c r="BZ246" s="175"/>
      <c r="CD246" s="163"/>
      <c r="CE246" s="363"/>
      <c r="CF246" s="335"/>
      <c r="CG246" s="335"/>
      <c r="CH246" s="335"/>
      <c r="CI246" s="335"/>
      <c r="CJ246" s="335"/>
      <c r="CK246" s="335"/>
      <c r="CL246" s="335"/>
      <c r="CM246" s="335"/>
      <c r="CN246" s="335"/>
      <c r="CO246" s="335"/>
      <c r="CP246" s="335"/>
      <c r="CQ246" s="335"/>
      <c r="CR246" s="335"/>
      <c r="CS246" s="335"/>
      <c r="CT246" s="335"/>
      <c r="CU246" s="335"/>
      <c r="CV246" s="335"/>
      <c r="CW246" s="335"/>
      <c r="CX246" s="335"/>
      <c r="CY246" s="335"/>
      <c r="CZ246" s="335"/>
      <c r="DA246" s="335"/>
      <c r="DB246" s="335"/>
      <c r="DC246" s="335"/>
      <c r="DD246" s="335"/>
      <c r="DE246" s="335"/>
      <c r="DF246" s="335"/>
      <c r="DG246" s="335"/>
      <c r="DH246" s="335"/>
      <c r="DI246" s="335"/>
      <c r="DJ246" s="335"/>
      <c r="DK246" s="335"/>
      <c r="DL246" s="335"/>
      <c r="DM246" s="335"/>
      <c r="DN246" s="335"/>
      <c r="DO246" s="335"/>
      <c r="DP246" s="335"/>
      <c r="DQ246" s="335"/>
      <c r="DR246" s="335"/>
      <c r="DS246" s="335"/>
      <c r="DT246" s="335"/>
      <c r="DU246" s="335"/>
      <c r="DV246" s="335"/>
      <c r="DW246" s="335"/>
      <c r="DX246" s="335"/>
      <c r="DY246" s="335"/>
      <c r="DZ246" s="335"/>
      <c r="EA246" s="335"/>
      <c r="EB246" s="335"/>
      <c r="EC246" s="335"/>
      <c r="ED246" s="335"/>
      <c r="EE246" s="335"/>
      <c r="EF246" s="335"/>
      <c r="EG246" s="335"/>
      <c r="EH246" s="335"/>
      <c r="EI246" s="335"/>
      <c r="EJ246" s="335"/>
      <c r="EK246" s="335"/>
      <c r="EL246" s="335"/>
      <c r="EM246" s="335"/>
    </row>
    <row r="247" spans="72:143">
      <c r="BT247" s="187"/>
      <c r="BU247" s="187" t="s">
        <v>93</v>
      </c>
      <c r="BV247" s="196">
        <v>124054</v>
      </c>
      <c r="BW247" s="197" t="e">
        <f t="shared" si="135"/>
        <v>#REF!</v>
      </c>
      <c r="BX247" s="198" t="e">
        <f>IF(AND(State_LOB_Code=18,LEFT(BW247,4)&lt;"2009"),81,State_LOB_Code)&amp;"|384"</f>
        <v>#REF!</v>
      </c>
      <c r="BY247" s="174"/>
      <c r="BZ247" s="175"/>
      <c r="CD247" s="163"/>
      <c r="CE247" s="363"/>
      <c r="CF247" s="335"/>
      <c r="CG247" s="335"/>
      <c r="CH247" s="335"/>
      <c r="CI247" s="335"/>
      <c r="CJ247" s="335"/>
      <c r="CK247" s="335"/>
      <c r="CL247" s="335"/>
      <c r="CM247" s="335"/>
      <c r="CN247" s="335"/>
      <c r="CO247" s="335"/>
      <c r="CP247" s="335"/>
      <c r="CQ247" s="335"/>
      <c r="CR247" s="335"/>
      <c r="CS247" s="335"/>
      <c r="CT247" s="335"/>
      <c r="CU247" s="335"/>
      <c r="CV247" s="335"/>
      <c r="CW247" s="335"/>
      <c r="CX247" s="335"/>
      <c r="CY247" s="335"/>
      <c r="CZ247" s="335"/>
      <c r="DA247" s="335"/>
      <c r="DB247" s="335"/>
      <c r="DC247" s="335"/>
      <c r="DD247" s="335"/>
      <c r="DE247" s="335"/>
      <c r="DF247" s="335"/>
      <c r="DG247" s="335"/>
      <c r="DH247" s="335"/>
      <c r="DI247" s="335"/>
      <c r="DJ247" s="335"/>
      <c r="DK247" s="335"/>
      <c r="DL247" s="335"/>
      <c r="DM247" s="335"/>
      <c r="DN247" s="335"/>
      <c r="DO247" s="335"/>
      <c r="DP247" s="335"/>
      <c r="DQ247" s="335"/>
      <c r="DR247" s="335"/>
      <c r="DS247" s="335"/>
      <c r="DT247" s="335"/>
      <c r="DU247" s="335"/>
      <c r="DV247" s="335"/>
      <c r="DW247" s="335"/>
      <c r="DX247" s="335"/>
      <c r="DY247" s="335"/>
      <c r="DZ247" s="335"/>
      <c r="EA247" s="335"/>
      <c r="EB247" s="335"/>
      <c r="EC247" s="335"/>
      <c r="ED247" s="335"/>
      <c r="EE247" s="335"/>
      <c r="EF247" s="335"/>
      <c r="EG247" s="335"/>
      <c r="EH247" s="335"/>
      <c r="EI247" s="335"/>
      <c r="EJ247" s="335"/>
      <c r="EK247" s="335"/>
      <c r="EL247" s="335"/>
      <c r="EM247" s="335"/>
    </row>
    <row r="248" spans="72:143">
      <c r="BT248" s="187"/>
      <c r="BU248" s="187" t="s">
        <v>94</v>
      </c>
      <c r="BV248" s="196">
        <v>124054</v>
      </c>
      <c r="BW248" s="197" t="e">
        <f t="shared" si="135"/>
        <v>#REF!</v>
      </c>
      <c r="BX248" s="198" t="e">
        <f>IF(AND(State_LOB_Code=18,LEFT(BW248,4)&lt;"2009"),81,State_LOB_Code)&amp;"|385"</f>
        <v>#REF!</v>
      </c>
      <c r="BY248" s="174"/>
      <c r="BZ248" s="175"/>
      <c r="CD248" s="163"/>
      <c r="CE248" s="363"/>
      <c r="CF248" s="335"/>
      <c r="CG248" s="335"/>
      <c r="CH248" s="335"/>
      <c r="CI248" s="335"/>
      <c r="CJ248" s="335"/>
      <c r="CK248" s="335"/>
      <c r="CL248" s="335"/>
      <c r="CM248" s="335"/>
      <c r="CN248" s="335"/>
      <c r="CO248" s="335"/>
      <c r="CP248" s="335"/>
      <c r="CQ248" s="335"/>
      <c r="CR248" s="335"/>
      <c r="CS248" s="335"/>
      <c r="CT248" s="335"/>
      <c r="CU248" s="335"/>
      <c r="CV248" s="335"/>
      <c r="CW248" s="335"/>
      <c r="CX248" s="335"/>
      <c r="CY248" s="335"/>
      <c r="CZ248" s="335"/>
      <c r="DA248" s="335"/>
      <c r="DB248" s="335"/>
      <c r="DC248" s="335"/>
      <c r="DD248" s="335"/>
      <c r="DE248" s="335"/>
      <c r="DF248" s="335"/>
      <c r="DG248" s="335"/>
      <c r="DH248" s="335"/>
      <c r="DI248" s="335"/>
      <c r="DJ248" s="335"/>
      <c r="DK248" s="335"/>
      <c r="DL248" s="335"/>
      <c r="DM248" s="335"/>
      <c r="DN248" s="335"/>
      <c r="DO248" s="335"/>
      <c r="DP248" s="335"/>
      <c r="DQ248" s="335"/>
      <c r="DR248" s="335"/>
      <c r="DS248" s="335"/>
      <c r="DT248" s="335"/>
      <c r="DU248" s="335"/>
      <c r="DV248" s="335"/>
      <c r="DW248" s="335"/>
      <c r="DX248" s="335"/>
      <c r="DY248" s="335"/>
      <c r="DZ248" s="335"/>
      <c r="EA248" s="335"/>
      <c r="EB248" s="335"/>
      <c r="EC248" s="335"/>
      <c r="ED248" s="335"/>
      <c r="EE248" s="335"/>
      <c r="EF248" s="335"/>
      <c r="EG248" s="335"/>
      <c r="EH248" s="335"/>
      <c r="EI248" s="335"/>
      <c r="EJ248" s="335"/>
      <c r="EK248" s="335"/>
      <c r="EL248" s="335"/>
      <c r="EM248" s="335"/>
    </row>
    <row r="249" spans="72:143">
      <c r="BT249" s="187"/>
      <c r="BU249" s="187" t="s">
        <v>95</v>
      </c>
      <c r="BV249" s="196">
        <v>124054</v>
      </c>
      <c r="BW249" s="197" t="e">
        <f t="shared" si="135"/>
        <v>#REF!</v>
      </c>
      <c r="BX249" s="198" t="e">
        <f>IF(AND(State_LOB_Code=18,LEFT(BW249,4)&lt;"2009"),81,State_LOB_Code)&amp;"|386"</f>
        <v>#REF!</v>
      </c>
      <c r="BY249" s="174"/>
      <c r="BZ249" s="175"/>
      <c r="CD249" s="163"/>
      <c r="CE249" s="363"/>
      <c r="CF249" s="335"/>
      <c r="CG249" s="335"/>
      <c r="CH249" s="335"/>
      <c r="CI249" s="335"/>
      <c r="CJ249" s="335"/>
      <c r="CK249" s="335"/>
      <c r="CL249" s="335"/>
      <c r="CM249" s="335"/>
      <c r="CN249" s="335"/>
      <c r="CO249" s="335"/>
      <c r="CP249" s="335"/>
      <c r="CQ249" s="335"/>
      <c r="CR249" s="335"/>
      <c r="CS249" s="335"/>
      <c r="CT249" s="335"/>
      <c r="CU249" s="335"/>
      <c r="CV249" s="335"/>
      <c r="CW249" s="335"/>
      <c r="CX249" s="335"/>
      <c r="CY249" s="335"/>
      <c r="CZ249" s="335"/>
      <c r="DA249" s="335"/>
      <c r="DB249" s="335"/>
      <c r="DC249" s="335"/>
      <c r="DD249" s="335"/>
      <c r="DE249" s="335"/>
      <c r="DF249" s="335"/>
      <c r="DG249" s="335"/>
      <c r="DH249" s="335"/>
      <c r="DI249" s="335"/>
      <c r="DJ249" s="335"/>
      <c r="DK249" s="335"/>
      <c r="DL249" s="335"/>
      <c r="DM249" s="335"/>
      <c r="DN249" s="335"/>
      <c r="DO249" s="335"/>
      <c r="DP249" s="335"/>
      <c r="DQ249" s="335"/>
      <c r="DR249" s="335"/>
      <c r="DS249" s="335"/>
      <c r="DT249" s="335"/>
      <c r="DU249" s="335"/>
      <c r="DV249" s="335"/>
      <c r="DW249" s="335"/>
      <c r="DX249" s="335"/>
      <c r="DY249" s="335"/>
      <c r="DZ249" s="335"/>
      <c r="EA249" s="335"/>
      <c r="EB249" s="335"/>
      <c r="EC249" s="335"/>
      <c r="ED249" s="335"/>
      <c r="EE249" s="335"/>
      <c r="EF249" s="335"/>
      <c r="EG249" s="335"/>
      <c r="EH249" s="335"/>
      <c r="EI249" s="335"/>
      <c r="EJ249" s="335"/>
      <c r="EK249" s="335"/>
      <c r="EL249" s="335"/>
      <c r="EM249" s="335"/>
    </row>
    <row r="250" spans="72:143">
      <c r="BT250" s="187"/>
      <c r="BU250" s="187" t="s">
        <v>96</v>
      </c>
      <c r="BV250" s="196">
        <v>124054</v>
      </c>
      <c r="BW250" s="197" t="e">
        <f t="shared" si="135"/>
        <v>#REF!</v>
      </c>
      <c r="BX250" s="198" t="e">
        <f>IF(AND(State_LOB_Code=18,LEFT(BW250,4)&lt;"2009"),81,State_LOB_Code)&amp;"|387"</f>
        <v>#REF!</v>
      </c>
      <c r="BY250" s="174"/>
      <c r="BZ250" s="175"/>
      <c r="CD250" s="163"/>
      <c r="CE250" s="363"/>
      <c r="CF250" s="335"/>
      <c r="CG250" s="335"/>
      <c r="CH250" s="335"/>
      <c r="CI250" s="335"/>
      <c r="CJ250" s="335"/>
      <c r="CK250" s="335"/>
      <c r="CL250" s="335"/>
      <c r="CM250" s="335"/>
      <c r="CN250" s="335"/>
      <c r="CO250" s="335"/>
      <c r="CP250" s="335"/>
      <c r="CQ250" s="335"/>
      <c r="CR250" s="335"/>
      <c r="CS250" s="335"/>
      <c r="CT250" s="335"/>
      <c r="CU250" s="335"/>
      <c r="CV250" s="335"/>
      <c r="CW250" s="335"/>
      <c r="CX250" s="335"/>
      <c r="CY250" s="335"/>
      <c r="CZ250" s="335"/>
      <c r="DA250" s="335"/>
      <c r="DB250" s="335"/>
      <c r="DC250" s="335"/>
      <c r="DD250" s="335"/>
      <c r="DE250" s="335"/>
      <c r="DF250" s="335"/>
      <c r="DG250" s="335"/>
      <c r="DH250" s="335"/>
      <c r="DI250" s="335"/>
      <c r="DJ250" s="335"/>
      <c r="DK250" s="335"/>
      <c r="DL250" s="335"/>
      <c r="DM250" s="335"/>
      <c r="DN250" s="335"/>
      <c r="DO250" s="335"/>
      <c r="DP250" s="335"/>
      <c r="DQ250" s="335"/>
      <c r="DR250" s="335"/>
      <c r="DS250" s="335"/>
      <c r="DT250" s="335"/>
      <c r="DU250" s="335"/>
      <c r="DV250" s="335"/>
      <c r="DW250" s="335"/>
      <c r="DX250" s="335"/>
      <c r="DY250" s="335"/>
      <c r="DZ250" s="335"/>
      <c r="EA250" s="335"/>
      <c r="EB250" s="335"/>
      <c r="EC250" s="335"/>
      <c r="ED250" s="335"/>
      <c r="EE250" s="335"/>
      <c r="EF250" s="335"/>
      <c r="EG250" s="335"/>
      <c r="EH250" s="335"/>
      <c r="EI250" s="335"/>
      <c r="EJ250" s="335"/>
      <c r="EK250" s="335"/>
      <c r="EL250" s="335"/>
      <c r="EM250" s="335"/>
    </row>
    <row r="251" spans="72:143">
      <c r="BT251" s="187"/>
      <c r="BU251" s="187" t="s">
        <v>97</v>
      </c>
      <c r="BV251" s="196">
        <v>124054</v>
      </c>
      <c r="BW251" s="197" t="e">
        <f t="shared" si="135"/>
        <v>#REF!</v>
      </c>
      <c r="BX251" s="198" t="e">
        <f>IF(AND(State_LOB_Code=18,LEFT(BW251,4)&lt;"2009"),81,State_LOB_Code)&amp;"|388"</f>
        <v>#REF!</v>
      </c>
      <c r="BY251" s="174"/>
      <c r="BZ251" s="175"/>
      <c r="CD251" s="163"/>
      <c r="CE251" s="363"/>
      <c r="CF251" s="335"/>
      <c r="CG251" s="335"/>
      <c r="CH251" s="335"/>
      <c r="CI251" s="335"/>
      <c r="CJ251" s="335"/>
      <c r="CK251" s="335"/>
      <c r="CL251" s="335"/>
      <c r="CM251" s="335"/>
      <c r="CN251" s="335"/>
      <c r="CO251" s="335"/>
      <c r="CP251" s="335"/>
      <c r="CQ251" s="335"/>
      <c r="CR251" s="335"/>
      <c r="CS251" s="335"/>
      <c r="CT251" s="335"/>
      <c r="CU251" s="335"/>
      <c r="CV251" s="335"/>
      <c r="CW251" s="335"/>
      <c r="CX251" s="335"/>
      <c r="CY251" s="335"/>
      <c r="CZ251" s="335"/>
      <c r="DA251" s="335"/>
      <c r="DB251" s="335"/>
      <c r="DC251" s="335"/>
      <c r="DD251" s="335"/>
      <c r="DE251" s="335"/>
      <c r="DF251" s="335"/>
      <c r="DG251" s="335"/>
      <c r="DH251" s="335"/>
      <c r="DI251" s="335"/>
      <c r="DJ251" s="335"/>
      <c r="DK251" s="335"/>
      <c r="DL251" s="335"/>
      <c r="DM251" s="335"/>
      <c r="DN251" s="335"/>
      <c r="DO251" s="335"/>
      <c r="DP251" s="335"/>
      <c r="DQ251" s="335"/>
      <c r="DR251" s="335"/>
      <c r="DS251" s="335"/>
      <c r="DT251" s="335"/>
      <c r="DU251" s="335"/>
      <c r="DV251" s="335"/>
      <c r="DW251" s="335"/>
      <c r="DX251" s="335"/>
      <c r="DY251" s="335"/>
      <c r="DZ251" s="335"/>
      <c r="EA251" s="335"/>
      <c r="EB251" s="335"/>
      <c r="EC251" s="335"/>
      <c r="ED251" s="335"/>
      <c r="EE251" s="335"/>
      <c r="EF251" s="335"/>
      <c r="EG251" s="335"/>
      <c r="EH251" s="335"/>
      <c r="EI251" s="335"/>
      <c r="EJ251" s="335"/>
      <c r="EK251" s="335"/>
      <c r="EL251" s="335"/>
      <c r="EM251" s="335"/>
    </row>
    <row r="252" spans="72:143">
      <c r="BT252" s="187"/>
      <c r="BU252" s="189" t="s">
        <v>137</v>
      </c>
      <c r="BV252" s="199">
        <v>124054</v>
      </c>
      <c r="BW252" s="200" t="e">
        <f t="shared" si="135"/>
        <v>#REF!</v>
      </c>
      <c r="BX252" s="201" t="e">
        <f>IF(AND(State_LOB_Code=18,LEFT(BW252,4)&lt;"2009"),81,State_LOB_Code)&amp;"|600"</f>
        <v>#REF!</v>
      </c>
      <c r="BY252" s="176"/>
      <c r="BZ252" s="177"/>
      <c r="CD252" s="163"/>
      <c r="CE252" s="363"/>
      <c r="CF252" s="335"/>
      <c r="CG252" s="335"/>
      <c r="CH252" s="335"/>
      <c r="CI252" s="335"/>
      <c r="CJ252" s="335"/>
      <c r="CK252" s="335"/>
      <c r="CL252" s="335"/>
      <c r="CM252" s="335"/>
      <c r="CN252" s="335"/>
      <c r="CO252" s="335"/>
      <c r="CP252" s="335"/>
      <c r="CQ252" s="335"/>
      <c r="CR252" s="335"/>
      <c r="CS252" s="335"/>
      <c r="CT252" s="335"/>
      <c r="CU252" s="335"/>
      <c r="CV252" s="335"/>
      <c r="CW252" s="335"/>
      <c r="CX252" s="335"/>
      <c r="CY252" s="335"/>
      <c r="CZ252" s="335"/>
      <c r="DA252" s="335"/>
      <c r="DB252" s="335"/>
      <c r="DC252" s="335"/>
      <c r="DD252" s="335"/>
      <c r="DE252" s="335"/>
      <c r="DF252" s="335"/>
      <c r="DG252" s="335"/>
      <c r="DH252" s="335"/>
      <c r="DI252" s="335"/>
      <c r="DJ252" s="335"/>
      <c r="DK252" s="335"/>
      <c r="DL252" s="335"/>
      <c r="DM252" s="335"/>
      <c r="DN252" s="335"/>
      <c r="DO252" s="335"/>
      <c r="DP252" s="335"/>
      <c r="DQ252" s="335"/>
      <c r="DR252" s="335"/>
      <c r="DS252" s="335"/>
      <c r="DT252" s="335"/>
      <c r="DU252" s="335"/>
      <c r="DV252" s="335"/>
      <c r="DW252" s="335"/>
      <c r="DX252" s="335"/>
      <c r="DY252" s="335"/>
      <c r="DZ252" s="335"/>
      <c r="EA252" s="335"/>
      <c r="EB252" s="335"/>
      <c r="EC252" s="335"/>
      <c r="ED252" s="335"/>
      <c r="EE252" s="335"/>
      <c r="EF252" s="335"/>
      <c r="EG252" s="335"/>
      <c r="EH252" s="335"/>
      <c r="EI252" s="335"/>
      <c r="EJ252" s="335"/>
      <c r="EK252" s="335"/>
      <c r="EL252" s="335"/>
      <c r="EM252" s="335"/>
    </row>
    <row r="253" spans="72:143">
      <c r="BT253" s="187"/>
      <c r="BU253" s="187" t="s">
        <v>98</v>
      </c>
      <c r="BV253" s="196">
        <v>124054</v>
      </c>
      <c r="BW253" s="197" t="e">
        <f t="shared" si="135"/>
        <v>#REF!</v>
      </c>
      <c r="BX253" s="198" t="e">
        <f>IF(AND(State_LOB_Code=18,LEFT(BW253,4)&lt;"2009"),81,State_LOB_Code)&amp;"|336"</f>
        <v>#REF!</v>
      </c>
      <c r="BY253" s="174"/>
      <c r="BZ253" s="175"/>
      <c r="CD253" s="163"/>
      <c r="CE253" s="363"/>
      <c r="CF253" s="335"/>
      <c r="CG253" s="335"/>
      <c r="CH253" s="335"/>
      <c r="CI253" s="335"/>
      <c r="CJ253" s="335"/>
      <c r="CK253" s="335"/>
      <c r="CL253" s="335"/>
      <c r="CM253" s="335"/>
      <c r="CN253" s="335"/>
      <c r="CO253" s="335"/>
      <c r="CP253" s="335"/>
      <c r="CQ253" s="335"/>
      <c r="CR253" s="335"/>
      <c r="CS253" s="335"/>
      <c r="CT253" s="335"/>
      <c r="CU253" s="335"/>
      <c r="CV253" s="335"/>
      <c r="CW253" s="335"/>
      <c r="CX253" s="335"/>
      <c r="CY253" s="335"/>
      <c r="CZ253" s="335"/>
      <c r="DA253" s="335"/>
      <c r="DB253" s="335"/>
      <c r="DC253" s="335"/>
      <c r="DD253" s="335"/>
      <c r="DE253" s="335"/>
      <c r="DF253" s="335"/>
      <c r="DG253" s="335"/>
      <c r="DH253" s="335"/>
      <c r="DI253" s="335"/>
      <c r="DJ253" s="335"/>
      <c r="DK253" s="335"/>
      <c r="DL253" s="335"/>
      <c r="DM253" s="335"/>
      <c r="DN253" s="335"/>
      <c r="DO253" s="335"/>
      <c r="DP253" s="335"/>
      <c r="DQ253" s="335"/>
      <c r="DR253" s="335"/>
      <c r="DS253" s="335"/>
      <c r="DT253" s="335"/>
      <c r="DU253" s="335"/>
      <c r="DV253" s="335"/>
      <c r="DW253" s="335"/>
      <c r="DX253" s="335"/>
      <c r="DY253" s="335"/>
      <c r="DZ253" s="335"/>
      <c r="EA253" s="335"/>
      <c r="EB253" s="335"/>
      <c r="EC253" s="335"/>
      <c r="ED253" s="335"/>
      <c r="EE253" s="335"/>
      <c r="EF253" s="335"/>
      <c r="EG253" s="335"/>
      <c r="EH253" s="335"/>
      <c r="EI253" s="335"/>
      <c r="EJ253" s="335"/>
      <c r="EK253" s="335"/>
      <c r="EL253" s="335"/>
      <c r="EM253" s="335"/>
    </row>
    <row r="254" spans="72:143">
      <c r="BT254" s="187"/>
      <c r="BU254" s="187" t="s">
        <v>99</v>
      </c>
      <c r="BV254" s="196">
        <v>124054</v>
      </c>
      <c r="BW254" s="197" t="e">
        <f t="shared" si="135"/>
        <v>#REF!</v>
      </c>
      <c r="BX254" s="198" t="e">
        <f>IF(AND(State_LOB_Code=18,LEFT(BW254,4)&lt;"2009"),81,State_LOB_Code)&amp;"|345"</f>
        <v>#REF!</v>
      </c>
      <c r="BY254" s="174"/>
      <c r="BZ254" s="175"/>
      <c r="CD254" s="163"/>
      <c r="CE254" s="363"/>
      <c r="CF254" s="335"/>
      <c r="CG254" s="335"/>
      <c r="CH254" s="335"/>
      <c r="CI254" s="335"/>
      <c r="CJ254" s="335"/>
      <c r="CK254" s="335"/>
      <c r="CL254" s="335"/>
      <c r="CM254" s="335"/>
      <c r="CN254" s="335"/>
      <c r="CO254" s="335"/>
      <c r="CP254" s="335"/>
      <c r="CQ254" s="335"/>
      <c r="CR254" s="335"/>
      <c r="CS254" s="335"/>
      <c r="CT254" s="335"/>
      <c r="CU254" s="335"/>
      <c r="CV254" s="335"/>
      <c r="CW254" s="335"/>
      <c r="CX254" s="335"/>
      <c r="CY254" s="335"/>
      <c r="CZ254" s="335"/>
      <c r="DA254" s="335"/>
      <c r="DB254" s="335"/>
      <c r="DC254" s="335"/>
      <c r="DD254" s="335"/>
      <c r="DE254" s="335"/>
      <c r="DF254" s="335"/>
      <c r="DG254" s="335"/>
      <c r="DH254" s="335"/>
      <c r="DI254" s="335"/>
      <c r="DJ254" s="335"/>
      <c r="DK254" s="335"/>
      <c r="DL254" s="335"/>
      <c r="DM254" s="335"/>
      <c r="DN254" s="335"/>
      <c r="DO254" s="335"/>
      <c r="DP254" s="335"/>
      <c r="DQ254" s="335"/>
      <c r="DR254" s="335"/>
      <c r="DS254" s="335"/>
      <c r="DT254" s="335"/>
      <c r="DU254" s="335"/>
      <c r="DV254" s="335"/>
      <c r="DW254" s="335"/>
      <c r="DX254" s="335"/>
      <c r="DY254" s="335"/>
      <c r="DZ254" s="335"/>
      <c r="EA254" s="335"/>
      <c r="EB254" s="335"/>
      <c r="EC254" s="335"/>
      <c r="ED254" s="335"/>
      <c r="EE254" s="335"/>
      <c r="EF254" s="335"/>
      <c r="EG254" s="335"/>
      <c r="EH254" s="335"/>
      <c r="EI254" s="335"/>
      <c r="EJ254" s="335"/>
      <c r="EK254" s="335"/>
      <c r="EL254" s="335"/>
      <c r="EM254" s="335"/>
    </row>
    <row r="255" spans="72:143">
      <c r="BT255" s="187"/>
      <c r="BU255" s="187" t="s">
        <v>100</v>
      </c>
      <c r="BV255" s="196">
        <v>124054</v>
      </c>
      <c r="BW255" s="197" t="e">
        <f t="shared" si="135"/>
        <v>#REF!</v>
      </c>
      <c r="BX255" s="198" t="e">
        <f>IF(AND(State_LOB_Code=18,LEFT(BW255,4)&lt;"2009"),81,State_LOB_Code)&amp;"|360"</f>
        <v>#REF!</v>
      </c>
      <c r="BY255" s="174"/>
      <c r="BZ255" s="175"/>
      <c r="CD255" s="163"/>
      <c r="CE255" s="363"/>
      <c r="CF255" s="335"/>
      <c r="CG255" s="335"/>
      <c r="CH255" s="335"/>
      <c r="CI255" s="335"/>
      <c r="CJ255" s="335"/>
      <c r="CK255" s="335"/>
      <c r="CL255" s="335"/>
      <c r="CM255" s="335"/>
      <c r="CN255" s="335"/>
      <c r="CO255" s="335"/>
      <c r="CP255" s="335"/>
      <c r="CQ255" s="335"/>
      <c r="CR255" s="335"/>
      <c r="CS255" s="335"/>
      <c r="CT255" s="335"/>
      <c r="CU255" s="335"/>
      <c r="CV255" s="335"/>
      <c r="CW255" s="335"/>
      <c r="CX255" s="335"/>
      <c r="CY255" s="335"/>
      <c r="CZ255" s="335"/>
      <c r="DA255" s="335"/>
      <c r="DB255" s="335"/>
      <c r="DC255" s="335"/>
      <c r="DD255" s="335"/>
      <c r="DE255" s="335"/>
      <c r="DF255" s="335"/>
      <c r="DG255" s="335"/>
      <c r="DH255" s="335"/>
      <c r="DI255" s="335"/>
      <c r="DJ255" s="335"/>
      <c r="DK255" s="335"/>
      <c r="DL255" s="335"/>
      <c r="DM255" s="335"/>
      <c r="DN255" s="335"/>
      <c r="DO255" s="335"/>
      <c r="DP255" s="335"/>
      <c r="DQ255" s="335"/>
      <c r="DR255" s="335"/>
      <c r="DS255" s="335"/>
      <c r="DT255" s="335"/>
      <c r="DU255" s="335"/>
      <c r="DV255" s="335"/>
      <c r="DW255" s="335"/>
      <c r="DX255" s="335"/>
      <c r="DY255" s="335"/>
      <c r="DZ255" s="335"/>
      <c r="EA255" s="335"/>
      <c r="EB255" s="335"/>
      <c r="EC255" s="335"/>
      <c r="ED255" s="335"/>
      <c r="EE255" s="335"/>
      <c r="EF255" s="335"/>
      <c r="EG255" s="335"/>
      <c r="EH255" s="335"/>
      <c r="EI255" s="335"/>
      <c r="EJ255" s="335"/>
      <c r="EK255" s="335"/>
      <c r="EL255" s="335"/>
      <c r="EM255" s="335"/>
    </row>
    <row r="256" spans="72:143">
      <c r="BT256" s="187"/>
      <c r="BU256" s="187" t="s">
        <v>101</v>
      </c>
      <c r="BV256" s="196">
        <v>124054</v>
      </c>
      <c r="BW256" s="197" t="e">
        <f t="shared" si="135"/>
        <v>#REF!</v>
      </c>
      <c r="BX256" s="198" t="e">
        <f>IF(AND(State_LOB_Code=18,LEFT(BW256,4)&lt;"2009"),81,State_LOB_Code)&amp;"|375"</f>
        <v>#REF!</v>
      </c>
      <c r="BY256" s="174"/>
      <c r="BZ256" s="175"/>
      <c r="CD256" s="163"/>
      <c r="CE256" s="363"/>
      <c r="CF256" s="335"/>
      <c r="CG256" s="335"/>
      <c r="CH256" s="335"/>
      <c r="CI256" s="335"/>
      <c r="CJ256" s="335"/>
      <c r="CK256" s="335"/>
      <c r="CL256" s="335"/>
      <c r="CM256" s="335"/>
      <c r="CN256" s="335"/>
      <c r="CO256" s="335"/>
      <c r="CP256" s="335"/>
      <c r="CQ256" s="335"/>
      <c r="CR256" s="335"/>
      <c r="CS256" s="335"/>
      <c r="CT256" s="335"/>
      <c r="CU256" s="335"/>
      <c r="CV256" s="335"/>
      <c r="CW256" s="335"/>
      <c r="CX256" s="335"/>
      <c r="CY256" s="335"/>
      <c r="CZ256" s="335"/>
      <c r="DA256" s="335"/>
      <c r="DB256" s="335"/>
      <c r="DC256" s="335"/>
      <c r="DD256" s="335"/>
      <c r="DE256" s="335"/>
      <c r="DF256" s="335"/>
      <c r="DG256" s="335"/>
      <c r="DH256" s="335"/>
      <c r="DI256" s="335"/>
      <c r="DJ256" s="335"/>
      <c r="DK256" s="335"/>
      <c r="DL256" s="335"/>
      <c r="DM256" s="335"/>
      <c r="DN256" s="335"/>
      <c r="DO256" s="335"/>
      <c r="DP256" s="335"/>
      <c r="DQ256" s="335"/>
      <c r="DR256" s="335"/>
      <c r="DS256" s="335"/>
      <c r="DT256" s="335"/>
      <c r="DU256" s="335"/>
      <c r="DV256" s="335"/>
      <c r="DW256" s="335"/>
      <c r="DX256" s="335"/>
      <c r="DY256" s="335"/>
      <c r="DZ256" s="335"/>
      <c r="EA256" s="335"/>
      <c r="EB256" s="335"/>
      <c r="EC256" s="335"/>
      <c r="ED256" s="335"/>
      <c r="EE256" s="335"/>
      <c r="EF256" s="335"/>
      <c r="EG256" s="335"/>
      <c r="EH256" s="335"/>
      <c r="EI256" s="335"/>
      <c r="EJ256" s="335"/>
      <c r="EK256" s="335"/>
      <c r="EL256" s="335"/>
      <c r="EM256" s="335"/>
    </row>
    <row r="257" spans="72:143">
      <c r="BT257" s="187"/>
      <c r="BU257" s="187" t="s">
        <v>102</v>
      </c>
      <c r="BV257" s="196">
        <v>124054</v>
      </c>
      <c r="BW257" s="197" t="e">
        <f t="shared" si="135"/>
        <v>#REF!</v>
      </c>
      <c r="BX257" s="198" t="e">
        <f>IF(AND(State_LOB_Code=18,LEFT(BW257,4)&lt;"2009"),81,State_LOB_Code)&amp;"|383"</f>
        <v>#REF!</v>
      </c>
      <c r="BY257" s="174"/>
      <c r="BZ257" s="175"/>
      <c r="CD257" s="163"/>
      <c r="CE257" s="363"/>
      <c r="CF257" s="335"/>
      <c r="CG257" s="335"/>
      <c r="CH257" s="335"/>
      <c r="CI257" s="335"/>
      <c r="CJ257" s="335"/>
      <c r="CK257" s="335"/>
      <c r="CL257" s="335"/>
      <c r="CM257" s="335"/>
      <c r="CN257" s="335"/>
      <c r="CO257" s="335"/>
      <c r="CP257" s="335"/>
      <c r="CQ257" s="335"/>
      <c r="CR257" s="335"/>
      <c r="CS257" s="335"/>
      <c r="CT257" s="335"/>
      <c r="CU257" s="335"/>
      <c r="CV257" s="335"/>
      <c r="CW257" s="335"/>
      <c r="CX257" s="335"/>
      <c r="CY257" s="335"/>
      <c r="CZ257" s="335"/>
      <c r="DA257" s="335"/>
      <c r="DB257" s="335"/>
      <c r="DC257" s="335"/>
      <c r="DD257" s="335"/>
      <c r="DE257" s="335"/>
      <c r="DF257" s="335"/>
      <c r="DG257" s="335"/>
      <c r="DH257" s="335"/>
      <c r="DI257" s="335"/>
      <c r="DJ257" s="335"/>
      <c r="DK257" s="335"/>
      <c r="DL257" s="335"/>
      <c r="DM257" s="335"/>
      <c r="DN257" s="335"/>
      <c r="DO257" s="335"/>
      <c r="DP257" s="335"/>
      <c r="DQ257" s="335"/>
      <c r="DR257" s="335"/>
      <c r="DS257" s="335"/>
      <c r="DT257" s="335"/>
      <c r="DU257" s="335"/>
      <c r="DV257" s="335"/>
      <c r="DW257" s="335"/>
      <c r="DX257" s="335"/>
      <c r="DY257" s="335"/>
      <c r="DZ257" s="335"/>
      <c r="EA257" s="335"/>
      <c r="EB257" s="335"/>
      <c r="EC257" s="335"/>
      <c r="ED257" s="335"/>
      <c r="EE257" s="335"/>
      <c r="EF257" s="335"/>
      <c r="EG257" s="335"/>
      <c r="EH257" s="335"/>
      <c r="EI257" s="335"/>
      <c r="EJ257" s="335"/>
      <c r="EK257" s="335"/>
      <c r="EL257" s="335"/>
      <c r="EM257" s="335"/>
    </row>
    <row r="258" spans="72:143">
      <c r="BT258" s="187"/>
      <c r="BU258" s="187" t="s">
        <v>103</v>
      </c>
      <c r="BV258" s="196">
        <v>124054</v>
      </c>
      <c r="BW258" s="197" t="e">
        <f t="shared" si="135"/>
        <v>#REF!</v>
      </c>
      <c r="BX258" s="198" t="e">
        <f>IF(AND(State_LOB_Code=18,LEFT(BW258,4)&lt;"2009"),81,State_LOB_Code)&amp;"|332"</f>
        <v>#REF!</v>
      </c>
      <c r="BY258" s="174"/>
      <c r="BZ258" s="175"/>
      <c r="CD258" s="163"/>
      <c r="CE258" s="363"/>
      <c r="CF258" s="335"/>
      <c r="CG258" s="335"/>
      <c r="CH258" s="335"/>
      <c r="CI258" s="335"/>
      <c r="CJ258" s="335"/>
      <c r="CK258" s="335"/>
      <c r="CL258" s="335"/>
      <c r="CM258" s="335"/>
      <c r="CN258" s="335"/>
      <c r="CO258" s="335"/>
      <c r="CP258" s="335"/>
      <c r="CQ258" s="335"/>
      <c r="CR258" s="335"/>
      <c r="CS258" s="335"/>
      <c r="CT258" s="335"/>
      <c r="CU258" s="335"/>
      <c r="CV258" s="335"/>
      <c r="CW258" s="335"/>
      <c r="CX258" s="335"/>
      <c r="CY258" s="335"/>
      <c r="CZ258" s="335"/>
      <c r="DA258" s="335"/>
      <c r="DB258" s="335"/>
      <c r="DC258" s="335"/>
      <c r="DD258" s="335"/>
      <c r="DE258" s="335"/>
      <c r="DF258" s="335"/>
      <c r="DG258" s="335"/>
      <c r="DH258" s="335"/>
      <c r="DI258" s="335"/>
      <c r="DJ258" s="335"/>
      <c r="DK258" s="335"/>
      <c r="DL258" s="335"/>
      <c r="DM258" s="335"/>
      <c r="DN258" s="335"/>
      <c r="DO258" s="335"/>
      <c r="DP258" s="335"/>
      <c r="DQ258" s="335"/>
      <c r="DR258" s="335"/>
      <c r="DS258" s="335"/>
      <c r="DT258" s="335"/>
      <c r="DU258" s="335"/>
      <c r="DV258" s="335"/>
      <c r="DW258" s="335"/>
      <c r="DX258" s="335"/>
      <c r="DY258" s="335"/>
      <c r="DZ258" s="335"/>
      <c r="EA258" s="335"/>
      <c r="EB258" s="335"/>
      <c r="EC258" s="335"/>
      <c r="ED258" s="335"/>
      <c r="EE258" s="335"/>
      <c r="EF258" s="335"/>
      <c r="EG258" s="335"/>
      <c r="EH258" s="335"/>
      <c r="EI258" s="335"/>
      <c r="EJ258" s="335"/>
      <c r="EK258" s="335"/>
      <c r="EL258" s="335"/>
      <c r="EM258" s="335"/>
    </row>
    <row r="259" spans="72:143">
      <c r="BT259" s="187"/>
      <c r="BU259" s="187" t="s">
        <v>104</v>
      </c>
      <c r="BV259" s="196">
        <v>124054</v>
      </c>
      <c r="BW259" s="197" t="e">
        <f t="shared" si="135"/>
        <v>#REF!</v>
      </c>
      <c r="BX259" s="198" t="e">
        <f>IF(AND(State_LOB_Code=18,LEFT(BW259,4)&lt;"2009"),81,State_LOB_Code)&amp;"|330"</f>
        <v>#REF!</v>
      </c>
      <c r="BY259" s="174"/>
      <c r="BZ259" s="175"/>
      <c r="CD259" s="163"/>
      <c r="CE259" s="363"/>
      <c r="CF259" s="335"/>
      <c r="CG259" s="335"/>
      <c r="CH259" s="335"/>
      <c r="CI259" s="335"/>
      <c r="CJ259" s="335"/>
      <c r="CK259" s="335"/>
      <c r="CL259" s="335"/>
      <c r="CM259" s="335"/>
      <c r="CN259" s="335"/>
      <c r="CO259" s="335"/>
      <c r="CP259" s="335"/>
      <c r="CQ259" s="335"/>
      <c r="CR259" s="335"/>
      <c r="CS259" s="335"/>
      <c r="CT259" s="335"/>
      <c r="CU259" s="335"/>
      <c r="CV259" s="335"/>
      <c r="CW259" s="335"/>
      <c r="CX259" s="335"/>
      <c r="CY259" s="335"/>
      <c r="CZ259" s="335"/>
      <c r="DA259" s="335"/>
      <c r="DB259" s="335"/>
      <c r="DC259" s="335"/>
      <c r="DD259" s="335"/>
      <c r="DE259" s="335"/>
      <c r="DF259" s="335"/>
      <c r="DG259" s="335"/>
      <c r="DH259" s="335"/>
      <c r="DI259" s="335"/>
      <c r="DJ259" s="335"/>
      <c r="DK259" s="335"/>
      <c r="DL259" s="335"/>
      <c r="DM259" s="335"/>
      <c r="DN259" s="335"/>
      <c r="DO259" s="335"/>
      <c r="DP259" s="335"/>
      <c r="DQ259" s="335"/>
      <c r="DR259" s="335"/>
      <c r="DS259" s="335"/>
      <c r="DT259" s="335"/>
      <c r="DU259" s="335"/>
      <c r="DV259" s="335"/>
      <c r="DW259" s="335"/>
      <c r="DX259" s="335"/>
      <c r="DY259" s="335"/>
      <c r="DZ259" s="335"/>
      <c r="EA259" s="335"/>
      <c r="EB259" s="335"/>
      <c r="EC259" s="335"/>
      <c r="ED259" s="335"/>
      <c r="EE259" s="335"/>
      <c r="EF259" s="335"/>
      <c r="EG259" s="335"/>
      <c r="EH259" s="335"/>
      <c r="EI259" s="335"/>
      <c r="EJ259" s="335"/>
      <c r="EK259" s="335"/>
      <c r="EL259" s="335"/>
      <c r="EM259" s="335"/>
    </row>
    <row r="260" spans="72:143">
      <c r="BT260" s="180" t="s">
        <v>34</v>
      </c>
      <c r="BU260" s="190" t="s">
        <v>46</v>
      </c>
      <c r="BV260" s="202">
        <v>124056</v>
      </c>
      <c r="BW260" s="203" t="e">
        <f t="shared" si="135"/>
        <v>#REF!</v>
      </c>
      <c r="BX260" s="204" t="e">
        <f>IF(AND(State_LOB_Code=18,LEFT(BW260,4)&lt;"2009"),81,State_LOB_Code)</f>
        <v>#REF!</v>
      </c>
      <c r="BY260" s="191"/>
      <c r="BZ260" s="192"/>
      <c r="CD260" s="163"/>
      <c r="CE260" s="363"/>
      <c r="CF260" s="335"/>
      <c r="CG260" s="335"/>
      <c r="CH260" s="335"/>
      <c r="CI260" s="335"/>
      <c r="CJ260" s="335"/>
      <c r="CK260" s="335"/>
      <c r="CL260" s="335"/>
      <c r="CM260" s="335"/>
      <c r="CN260" s="335"/>
      <c r="CO260" s="335"/>
      <c r="CP260" s="335"/>
      <c r="CQ260" s="335"/>
      <c r="CR260" s="335"/>
      <c r="CS260" s="335"/>
      <c r="CT260" s="335"/>
      <c r="CU260" s="335"/>
      <c r="CV260" s="335"/>
      <c r="CW260" s="335"/>
      <c r="CX260" s="335"/>
      <c r="CY260" s="335"/>
      <c r="CZ260" s="335"/>
      <c r="DA260" s="335"/>
      <c r="DB260" s="335"/>
      <c r="DC260" s="335"/>
      <c r="DD260" s="335"/>
      <c r="DE260" s="335"/>
      <c r="DF260" s="335"/>
      <c r="DG260" s="335"/>
      <c r="DH260" s="335"/>
      <c r="DI260" s="335"/>
      <c r="DJ260" s="335"/>
      <c r="DK260" s="335"/>
      <c r="DL260" s="335"/>
      <c r="DM260" s="335"/>
      <c r="DN260" s="335"/>
      <c r="DO260" s="335"/>
      <c r="DP260" s="335"/>
      <c r="DQ260" s="335"/>
      <c r="DR260" s="335"/>
      <c r="DS260" s="335"/>
      <c r="DT260" s="335"/>
      <c r="DU260" s="335"/>
      <c r="DV260" s="335"/>
      <c r="DW260" s="335"/>
      <c r="DX260" s="335"/>
      <c r="DY260" s="335"/>
      <c r="DZ260" s="335"/>
      <c r="EA260" s="335"/>
      <c r="EB260" s="335"/>
      <c r="EC260" s="335"/>
      <c r="ED260" s="335"/>
      <c r="EE260" s="335"/>
      <c r="EF260" s="335"/>
      <c r="EG260" s="335"/>
      <c r="EH260" s="335"/>
      <c r="EI260" s="335"/>
      <c r="EJ260" s="335"/>
      <c r="EK260" s="335"/>
      <c r="EL260" s="335"/>
      <c r="EM260" s="335"/>
    </row>
    <row r="261" spans="72:143">
      <c r="BT261" s="221"/>
      <c r="BU261" s="184"/>
      <c r="BV261" s="211"/>
      <c r="BW261" s="208"/>
      <c r="BX261" s="212"/>
      <c r="BY261" s="210"/>
      <c r="BZ261" s="209"/>
      <c r="CD261" s="163"/>
      <c r="CE261" s="363"/>
      <c r="CF261" s="335"/>
      <c r="CG261" s="335"/>
      <c r="CH261" s="335"/>
      <c r="CI261" s="335"/>
      <c r="CJ261" s="335"/>
      <c r="CK261" s="335"/>
      <c r="CL261" s="335"/>
      <c r="CM261" s="335"/>
      <c r="CN261" s="335"/>
      <c r="CO261" s="335"/>
      <c r="CP261" s="335"/>
      <c r="CQ261" s="335"/>
      <c r="CR261" s="335"/>
      <c r="CS261" s="335"/>
      <c r="CT261" s="335"/>
      <c r="CU261" s="335"/>
      <c r="CV261" s="335"/>
      <c r="CW261" s="335"/>
      <c r="CX261" s="335"/>
      <c r="CY261" s="335"/>
      <c r="CZ261" s="335"/>
      <c r="DA261" s="335"/>
      <c r="DB261" s="335"/>
      <c r="DC261" s="335"/>
      <c r="DD261" s="335"/>
      <c r="DE261" s="335"/>
      <c r="DF261" s="335"/>
      <c r="DG261" s="335"/>
      <c r="DH261" s="335"/>
      <c r="DI261" s="335"/>
      <c r="DJ261" s="335"/>
      <c r="DK261" s="335"/>
      <c r="DL261" s="335"/>
      <c r="DM261" s="335"/>
      <c r="DN261" s="335"/>
      <c r="DO261" s="335"/>
      <c r="DP261" s="335"/>
      <c r="DQ261" s="335"/>
      <c r="DR261" s="335"/>
      <c r="DS261" s="335"/>
      <c r="DT261" s="335"/>
      <c r="DU261" s="335"/>
      <c r="DV261" s="335"/>
      <c r="DW261" s="335"/>
      <c r="DX261" s="335"/>
      <c r="DY261" s="335"/>
      <c r="DZ261" s="335"/>
      <c r="EA261" s="335"/>
      <c r="EB261" s="335"/>
      <c r="EC261" s="335"/>
      <c r="ED261" s="335"/>
      <c r="EE261" s="335"/>
      <c r="EF261" s="335"/>
      <c r="EG261" s="335"/>
      <c r="EH261" s="335"/>
      <c r="EI261" s="335"/>
      <c r="EJ261" s="335"/>
      <c r="EK261" s="335"/>
      <c r="EL261" s="335"/>
      <c r="EM261" s="335"/>
    </row>
    <row r="262" spans="72:143">
      <c r="BT262" s="180" t="s">
        <v>105</v>
      </c>
      <c r="BU262" s="180"/>
      <c r="BV262" s="181"/>
      <c r="BW262" s="182"/>
      <c r="BX262" s="182"/>
      <c r="BY262" s="183"/>
      <c r="BZ262" s="229"/>
      <c r="CD262" s="163"/>
      <c r="CE262" s="363"/>
      <c r="CF262" s="335"/>
      <c r="CG262" s="335"/>
      <c r="CH262" s="335"/>
      <c r="CI262" s="335"/>
      <c r="CJ262" s="335"/>
      <c r="CK262" s="335"/>
      <c r="CL262" s="335"/>
      <c r="CM262" s="335"/>
      <c r="CN262" s="335"/>
      <c r="CO262" s="335"/>
      <c r="CP262" s="335"/>
      <c r="CQ262" s="335"/>
      <c r="CR262" s="335"/>
      <c r="CS262" s="335"/>
      <c r="CT262" s="335"/>
      <c r="CU262" s="335"/>
      <c r="CV262" s="335"/>
      <c r="CW262" s="335"/>
      <c r="CX262" s="335"/>
      <c r="CY262" s="335"/>
      <c r="CZ262" s="335"/>
      <c r="DA262" s="335"/>
      <c r="DB262" s="335"/>
      <c r="DC262" s="335"/>
      <c r="DD262" s="335"/>
      <c r="DE262" s="335"/>
      <c r="DF262" s="335"/>
      <c r="DG262" s="335"/>
      <c r="DH262" s="335"/>
      <c r="DI262" s="335"/>
      <c r="DJ262" s="335"/>
      <c r="DK262" s="335"/>
      <c r="DL262" s="335"/>
      <c r="DM262" s="335"/>
      <c r="DN262" s="335"/>
      <c r="DO262" s="335"/>
      <c r="DP262" s="335"/>
      <c r="DQ262" s="335"/>
      <c r="DR262" s="335"/>
      <c r="DS262" s="335"/>
      <c r="DT262" s="335"/>
      <c r="DU262" s="335"/>
      <c r="DV262" s="335"/>
      <c r="DW262" s="335"/>
      <c r="DX262" s="335"/>
      <c r="DY262" s="335"/>
      <c r="DZ262" s="335"/>
      <c r="EA262" s="335"/>
      <c r="EB262" s="335"/>
      <c r="EC262" s="335"/>
      <c r="ED262" s="335"/>
      <c r="EE262" s="335"/>
      <c r="EF262" s="335"/>
      <c r="EG262" s="335"/>
      <c r="EH262" s="335"/>
      <c r="EI262" s="335"/>
      <c r="EJ262" s="335"/>
      <c r="EK262" s="335"/>
      <c r="EL262" s="335"/>
      <c r="EM262" s="335"/>
    </row>
    <row r="263" spans="72:143">
      <c r="BT263" s="187"/>
      <c r="BU263" s="184" t="s">
        <v>47</v>
      </c>
      <c r="BV263" s="193">
        <v>120034</v>
      </c>
      <c r="BW263" s="194" t="e">
        <f t="shared" ref="BW263:BW294" si="136">Period_Y</f>
        <v>#REF!</v>
      </c>
      <c r="BX263" s="195" t="e">
        <f>IF(AND(State_LOB_Code=18,LEFT(BW263,4)&lt;"2009"),81,State_LOB_Code)&amp;"|333"</f>
        <v>#REF!</v>
      </c>
      <c r="BY263" s="213"/>
      <c r="BZ263" s="214"/>
      <c r="CD263" s="163"/>
      <c r="CE263" s="363"/>
      <c r="CF263" s="335"/>
      <c r="CG263" s="335"/>
      <c r="CH263" s="335"/>
      <c r="CI263" s="335"/>
      <c r="CJ263" s="335"/>
      <c r="CK263" s="335"/>
      <c r="CL263" s="335"/>
      <c r="CM263" s="335"/>
      <c r="CN263" s="335"/>
      <c r="CO263" s="335"/>
      <c r="CP263" s="335"/>
      <c r="CQ263" s="335"/>
      <c r="CR263" s="335"/>
      <c r="CS263" s="335"/>
      <c r="CT263" s="335"/>
      <c r="CU263" s="335"/>
      <c r="CV263" s="335"/>
      <c r="CW263" s="335"/>
      <c r="CX263" s="335"/>
      <c r="CY263" s="335"/>
      <c r="CZ263" s="335"/>
      <c r="DA263" s="335"/>
      <c r="DB263" s="335"/>
      <c r="DC263" s="335"/>
      <c r="DD263" s="335"/>
      <c r="DE263" s="335"/>
      <c r="DF263" s="335"/>
      <c r="DG263" s="335"/>
      <c r="DH263" s="335"/>
      <c r="DI263" s="335"/>
      <c r="DJ263" s="335"/>
      <c r="DK263" s="335"/>
      <c r="DL263" s="335"/>
      <c r="DM263" s="335"/>
      <c r="DN263" s="335"/>
      <c r="DO263" s="335"/>
      <c r="DP263" s="335"/>
      <c r="DQ263" s="335"/>
      <c r="DR263" s="335"/>
      <c r="DS263" s="335"/>
      <c r="DT263" s="335"/>
      <c r="DU263" s="335"/>
      <c r="DV263" s="335"/>
      <c r="DW263" s="335"/>
      <c r="DX263" s="335"/>
      <c r="DY263" s="335"/>
      <c r="DZ263" s="335"/>
      <c r="EA263" s="335"/>
      <c r="EB263" s="335"/>
      <c r="EC263" s="335"/>
      <c r="ED263" s="335"/>
      <c r="EE263" s="335"/>
      <c r="EF263" s="335"/>
      <c r="EG263" s="335"/>
      <c r="EH263" s="335"/>
      <c r="EI263" s="335"/>
      <c r="EJ263" s="335"/>
      <c r="EK263" s="335"/>
      <c r="EL263" s="335"/>
      <c r="EM263" s="335"/>
    </row>
    <row r="264" spans="72:143">
      <c r="BT264" s="187"/>
      <c r="BU264" s="187" t="s">
        <v>48</v>
      </c>
      <c r="BV264" s="196">
        <v>120034</v>
      </c>
      <c r="BW264" s="197" t="e">
        <f t="shared" si="136"/>
        <v>#REF!</v>
      </c>
      <c r="BX264" s="198" t="e">
        <f>IF(AND(State_LOB_Code=18,LEFT(BW264,4)&lt;"2009"),81,State_LOB_Code)&amp;"|334"</f>
        <v>#REF!</v>
      </c>
      <c r="BY264" s="215"/>
      <c r="BZ264" s="216"/>
      <c r="CD264" s="163"/>
      <c r="CE264" s="363"/>
      <c r="CF264" s="335"/>
      <c r="CG264" s="335"/>
      <c r="CH264" s="335"/>
      <c r="CI264" s="335"/>
      <c r="CJ264" s="335"/>
      <c r="CK264" s="335"/>
      <c r="CL264" s="335"/>
      <c r="CM264" s="335"/>
      <c r="CN264" s="335"/>
      <c r="CO264" s="335"/>
      <c r="CP264" s="335"/>
      <c r="CQ264" s="335"/>
      <c r="CR264" s="335"/>
      <c r="CS264" s="335"/>
      <c r="CT264" s="335"/>
      <c r="CU264" s="335"/>
      <c r="CV264" s="335"/>
      <c r="CW264" s="335"/>
      <c r="CX264" s="335"/>
      <c r="CY264" s="335"/>
      <c r="CZ264" s="335"/>
      <c r="DA264" s="335"/>
      <c r="DB264" s="335"/>
      <c r="DC264" s="335"/>
      <c r="DD264" s="335"/>
      <c r="DE264" s="335"/>
      <c r="DF264" s="335"/>
      <c r="DG264" s="335"/>
      <c r="DH264" s="335"/>
      <c r="DI264" s="335"/>
      <c r="DJ264" s="335"/>
      <c r="DK264" s="335"/>
      <c r="DL264" s="335"/>
      <c r="DM264" s="335"/>
      <c r="DN264" s="335"/>
      <c r="DO264" s="335"/>
      <c r="DP264" s="335"/>
      <c r="DQ264" s="335"/>
      <c r="DR264" s="335"/>
      <c r="DS264" s="335"/>
      <c r="DT264" s="335"/>
      <c r="DU264" s="335"/>
      <c r="DV264" s="335"/>
      <c r="DW264" s="335"/>
      <c r="DX264" s="335"/>
      <c r="DY264" s="335"/>
      <c r="DZ264" s="335"/>
      <c r="EA264" s="335"/>
      <c r="EB264" s="335"/>
      <c r="EC264" s="335"/>
      <c r="ED264" s="335"/>
      <c r="EE264" s="335"/>
      <c r="EF264" s="335"/>
      <c r="EG264" s="335"/>
      <c r="EH264" s="335"/>
      <c r="EI264" s="335"/>
      <c r="EJ264" s="335"/>
      <c r="EK264" s="335"/>
      <c r="EL264" s="335"/>
      <c r="EM264" s="335"/>
    </row>
    <row r="265" spans="72:143">
      <c r="BT265" s="187"/>
      <c r="BU265" s="187" t="s">
        <v>49</v>
      </c>
      <c r="BV265" s="196">
        <v>120034</v>
      </c>
      <c r="BW265" s="197" t="e">
        <f t="shared" si="136"/>
        <v>#REF!</v>
      </c>
      <c r="BX265" s="198" t="e">
        <f>IF(AND(State_LOB_Code=18,LEFT(BW265,4)&lt;"2009"),81,State_LOB_Code)&amp;"|335"</f>
        <v>#REF!</v>
      </c>
      <c r="BY265" s="215"/>
      <c r="BZ265" s="216"/>
      <c r="CD265" s="163"/>
      <c r="CE265" s="363"/>
      <c r="CF265" s="335"/>
      <c r="CG265" s="335"/>
      <c r="CH265" s="335"/>
      <c r="CI265" s="335"/>
      <c r="CJ265" s="335"/>
      <c r="CK265" s="335"/>
      <c r="CL265" s="335"/>
      <c r="CM265" s="335"/>
      <c r="CN265" s="335"/>
      <c r="CO265" s="335"/>
      <c r="CP265" s="335"/>
      <c r="CQ265" s="335"/>
      <c r="CR265" s="335"/>
      <c r="CS265" s="335"/>
      <c r="CT265" s="335"/>
      <c r="CU265" s="335"/>
      <c r="CV265" s="335"/>
      <c r="CW265" s="335"/>
      <c r="CX265" s="335"/>
      <c r="CY265" s="335"/>
      <c r="CZ265" s="335"/>
      <c r="DA265" s="335"/>
      <c r="DB265" s="335"/>
      <c r="DC265" s="335"/>
      <c r="DD265" s="335"/>
      <c r="DE265" s="335"/>
      <c r="DF265" s="335"/>
      <c r="DG265" s="335"/>
      <c r="DH265" s="335"/>
      <c r="DI265" s="335"/>
      <c r="DJ265" s="335"/>
      <c r="DK265" s="335"/>
      <c r="DL265" s="335"/>
      <c r="DM265" s="335"/>
      <c r="DN265" s="335"/>
      <c r="DO265" s="335"/>
      <c r="DP265" s="335"/>
      <c r="DQ265" s="335"/>
      <c r="DR265" s="335"/>
      <c r="DS265" s="335"/>
      <c r="DT265" s="335"/>
      <c r="DU265" s="335"/>
      <c r="DV265" s="335"/>
      <c r="DW265" s="335"/>
      <c r="DX265" s="335"/>
      <c r="DY265" s="335"/>
      <c r="DZ265" s="335"/>
      <c r="EA265" s="335"/>
      <c r="EB265" s="335"/>
      <c r="EC265" s="335"/>
      <c r="ED265" s="335"/>
      <c r="EE265" s="335"/>
      <c r="EF265" s="335"/>
      <c r="EG265" s="335"/>
      <c r="EH265" s="335"/>
      <c r="EI265" s="335"/>
      <c r="EJ265" s="335"/>
      <c r="EK265" s="335"/>
      <c r="EL265" s="335"/>
      <c r="EM265" s="335"/>
    </row>
    <row r="266" spans="72:143">
      <c r="BT266" s="187"/>
      <c r="BU266" s="187" t="s">
        <v>50</v>
      </c>
      <c r="BV266" s="196">
        <v>120034</v>
      </c>
      <c r="BW266" s="197" t="e">
        <f t="shared" si="136"/>
        <v>#REF!</v>
      </c>
      <c r="BX266" s="198" t="e">
        <f>IF(AND(State_LOB_Code=18,LEFT(BW266,4)&lt;"2009"),81,State_LOB_Code)&amp;"|337"</f>
        <v>#REF!</v>
      </c>
      <c r="BY266" s="215"/>
      <c r="BZ266" s="216"/>
      <c r="CD266" s="163"/>
      <c r="CE266" s="363"/>
      <c r="CF266" s="335"/>
      <c r="CG266" s="335"/>
      <c r="CH266" s="335"/>
      <c r="CI266" s="335"/>
      <c r="CJ266" s="335"/>
      <c r="CK266" s="335"/>
      <c r="CL266" s="335"/>
      <c r="CM266" s="335"/>
      <c r="CN266" s="335"/>
      <c r="CO266" s="335"/>
      <c r="CP266" s="335"/>
      <c r="CQ266" s="335"/>
      <c r="CR266" s="335"/>
      <c r="CS266" s="335"/>
      <c r="CT266" s="335"/>
      <c r="CU266" s="335"/>
      <c r="CV266" s="335"/>
      <c r="CW266" s="335"/>
      <c r="CX266" s="335"/>
      <c r="CY266" s="335"/>
      <c r="CZ266" s="335"/>
      <c r="DA266" s="335"/>
      <c r="DB266" s="335"/>
      <c r="DC266" s="335"/>
      <c r="DD266" s="335"/>
      <c r="DE266" s="335"/>
      <c r="DF266" s="335"/>
      <c r="DG266" s="335"/>
      <c r="DH266" s="335"/>
      <c r="DI266" s="335"/>
      <c r="DJ266" s="335"/>
      <c r="DK266" s="335"/>
      <c r="DL266" s="335"/>
      <c r="DM266" s="335"/>
      <c r="DN266" s="335"/>
      <c r="DO266" s="335"/>
      <c r="DP266" s="335"/>
      <c r="DQ266" s="335"/>
      <c r="DR266" s="335"/>
      <c r="DS266" s="335"/>
      <c r="DT266" s="335"/>
      <c r="DU266" s="335"/>
      <c r="DV266" s="335"/>
      <c r="DW266" s="335"/>
      <c r="DX266" s="335"/>
      <c r="DY266" s="335"/>
      <c r="DZ266" s="335"/>
      <c r="EA266" s="335"/>
      <c r="EB266" s="335"/>
      <c r="EC266" s="335"/>
      <c r="ED266" s="335"/>
      <c r="EE266" s="335"/>
      <c r="EF266" s="335"/>
      <c r="EG266" s="335"/>
      <c r="EH266" s="335"/>
      <c r="EI266" s="335"/>
      <c r="EJ266" s="335"/>
      <c r="EK266" s="335"/>
      <c r="EL266" s="335"/>
      <c r="EM266" s="335"/>
    </row>
    <row r="267" spans="72:143">
      <c r="BT267" s="187"/>
      <c r="BU267" s="187" t="s">
        <v>51</v>
      </c>
      <c r="BV267" s="196">
        <v>120034</v>
      </c>
      <c r="BW267" s="197" t="e">
        <f t="shared" si="136"/>
        <v>#REF!</v>
      </c>
      <c r="BX267" s="198" t="e">
        <f>IF(AND(State_LOB_Code=18,LEFT(BW267,4)&lt;"2009"),81,State_LOB_Code)&amp;"|338"</f>
        <v>#REF!</v>
      </c>
      <c r="BY267" s="215"/>
      <c r="BZ267" s="216"/>
      <c r="CD267" s="163"/>
      <c r="CE267" s="363"/>
      <c r="CF267" s="335"/>
      <c r="CG267" s="335"/>
      <c r="CH267" s="335"/>
      <c r="CI267" s="335"/>
      <c r="CJ267" s="335"/>
      <c r="CK267" s="335"/>
      <c r="CL267" s="335"/>
      <c r="CM267" s="335"/>
      <c r="CN267" s="335"/>
      <c r="CO267" s="335"/>
      <c r="CP267" s="335"/>
      <c r="CQ267" s="335"/>
      <c r="CR267" s="335"/>
      <c r="CS267" s="335"/>
      <c r="CT267" s="335"/>
      <c r="CU267" s="335"/>
      <c r="CV267" s="335"/>
      <c r="CW267" s="335"/>
      <c r="CX267" s="335"/>
      <c r="CY267" s="335"/>
      <c r="CZ267" s="335"/>
      <c r="DA267" s="335"/>
      <c r="DB267" s="335"/>
      <c r="DC267" s="335"/>
      <c r="DD267" s="335"/>
      <c r="DE267" s="335"/>
      <c r="DF267" s="335"/>
      <c r="DG267" s="335"/>
      <c r="DH267" s="335"/>
      <c r="DI267" s="335"/>
      <c r="DJ267" s="335"/>
      <c r="DK267" s="335"/>
      <c r="DL267" s="335"/>
      <c r="DM267" s="335"/>
      <c r="DN267" s="335"/>
      <c r="DO267" s="335"/>
      <c r="DP267" s="335"/>
      <c r="DQ267" s="335"/>
      <c r="DR267" s="335"/>
      <c r="DS267" s="335"/>
      <c r="DT267" s="335"/>
      <c r="DU267" s="335"/>
      <c r="DV267" s="335"/>
      <c r="DW267" s="335"/>
      <c r="DX267" s="335"/>
      <c r="DY267" s="335"/>
      <c r="DZ267" s="335"/>
      <c r="EA267" s="335"/>
      <c r="EB267" s="335"/>
      <c r="EC267" s="335"/>
      <c r="ED267" s="335"/>
      <c r="EE267" s="335"/>
      <c r="EF267" s="335"/>
      <c r="EG267" s="335"/>
      <c r="EH267" s="335"/>
      <c r="EI267" s="335"/>
      <c r="EJ267" s="335"/>
      <c r="EK267" s="335"/>
      <c r="EL267" s="335"/>
      <c r="EM267" s="335"/>
    </row>
    <row r="268" spans="72:143">
      <c r="BT268" s="187"/>
      <c r="BU268" s="187" t="s">
        <v>52</v>
      </c>
      <c r="BV268" s="196">
        <v>120034</v>
      </c>
      <c r="BW268" s="197" t="e">
        <f t="shared" si="136"/>
        <v>#REF!</v>
      </c>
      <c r="BX268" s="198" t="e">
        <f>IF(AND(State_LOB_Code=18,LEFT(BW268,4)&lt;"2009"),81,State_LOB_Code)&amp;"|339"</f>
        <v>#REF!</v>
      </c>
      <c r="BY268" s="215"/>
      <c r="BZ268" s="216"/>
      <c r="CD268" s="163"/>
      <c r="CE268" s="363"/>
      <c r="CF268" s="335"/>
      <c r="CG268" s="335"/>
      <c r="CH268" s="335"/>
      <c r="CI268" s="335"/>
      <c r="CJ268" s="335"/>
      <c r="CK268" s="335"/>
      <c r="CL268" s="335"/>
      <c r="CM268" s="335"/>
      <c r="CN268" s="335"/>
      <c r="CO268" s="335"/>
      <c r="CP268" s="335"/>
      <c r="CQ268" s="335"/>
      <c r="CR268" s="335"/>
      <c r="CS268" s="335"/>
      <c r="CT268" s="335"/>
      <c r="CU268" s="335"/>
      <c r="CV268" s="335"/>
      <c r="CW268" s="335"/>
      <c r="CX268" s="335"/>
      <c r="CY268" s="335"/>
      <c r="CZ268" s="335"/>
      <c r="DA268" s="335"/>
      <c r="DB268" s="335"/>
      <c r="DC268" s="335"/>
      <c r="DD268" s="335"/>
      <c r="DE268" s="335"/>
      <c r="DF268" s="335"/>
      <c r="DG268" s="335"/>
      <c r="DH268" s="335"/>
      <c r="DI268" s="335"/>
      <c r="DJ268" s="335"/>
      <c r="DK268" s="335"/>
      <c r="DL268" s="335"/>
      <c r="DM268" s="335"/>
      <c r="DN268" s="335"/>
      <c r="DO268" s="335"/>
      <c r="DP268" s="335"/>
      <c r="DQ268" s="335"/>
      <c r="DR268" s="335"/>
      <c r="DS268" s="335"/>
      <c r="DT268" s="335"/>
      <c r="DU268" s="335"/>
      <c r="DV268" s="335"/>
      <c r="DW268" s="335"/>
      <c r="DX268" s="335"/>
      <c r="DY268" s="335"/>
      <c r="DZ268" s="335"/>
      <c r="EA268" s="335"/>
      <c r="EB268" s="335"/>
      <c r="EC268" s="335"/>
      <c r="ED268" s="335"/>
      <c r="EE268" s="335"/>
      <c r="EF268" s="335"/>
      <c r="EG268" s="335"/>
      <c r="EH268" s="335"/>
      <c r="EI268" s="335"/>
      <c r="EJ268" s="335"/>
      <c r="EK268" s="335"/>
      <c r="EL268" s="335"/>
      <c r="EM268" s="335"/>
    </row>
    <row r="269" spans="72:143">
      <c r="BT269" s="187"/>
      <c r="BU269" s="187" t="s">
        <v>53</v>
      </c>
      <c r="BV269" s="196">
        <v>120034</v>
      </c>
      <c r="BW269" s="197" t="e">
        <f t="shared" si="136"/>
        <v>#REF!</v>
      </c>
      <c r="BX269" s="198" t="e">
        <f>IF(AND(State_LOB_Code=18,LEFT(BW269,4)&lt;"2009"),81,State_LOB_Code)&amp;"|340"</f>
        <v>#REF!</v>
      </c>
      <c r="BY269" s="215"/>
      <c r="BZ269" s="216"/>
      <c r="CD269" s="163"/>
      <c r="CE269" s="363"/>
      <c r="CF269" s="335"/>
      <c r="CG269" s="335"/>
      <c r="CH269" s="335"/>
      <c r="CI269" s="335"/>
      <c r="CJ269" s="335"/>
      <c r="CK269" s="335"/>
      <c r="CL269" s="335"/>
      <c r="CM269" s="335"/>
      <c r="CN269" s="335"/>
      <c r="CO269" s="335"/>
      <c r="CP269" s="335"/>
      <c r="CQ269" s="335"/>
      <c r="CR269" s="335"/>
      <c r="CS269" s="335"/>
      <c r="CT269" s="335"/>
      <c r="CU269" s="335"/>
      <c r="CV269" s="335"/>
      <c r="CW269" s="335"/>
      <c r="CX269" s="335"/>
      <c r="CY269" s="335"/>
      <c r="CZ269" s="335"/>
      <c r="DA269" s="335"/>
      <c r="DB269" s="335"/>
      <c r="DC269" s="335"/>
      <c r="DD269" s="335"/>
      <c r="DE269" s="335"/>
      <c r="DF269" s="335"/>
      <c r="DG269" s="335"/>
      <c r="DH269" s="335"/>
      <c r="DI269" s="335"/>
      <c r="DJ269" s="335"/>
      <c r="DK269" s="335"/>
      <c r="DL269" s="335"/>
      <c r="DM269" s="335"/>
      <c r="DN269" s="335"/>
      <c r="DO269" s="335"/>
      <c r="DP269" s="335"/>
      <c r="DQ269" s="335"/>
      <c r="DR269" s="335"/>
      <c r="DS269" s="335"/>
      <c r="DT269" s="335"/>
      <c r="DU269" s="335"/>
      <c r="DV269" s="335"/>
      <c r="DW269" s="335"/>
      <c r="DX269" s="335"/>
      <c r="DY269" s="335"/>
      <c r="DZ269" s="335"/>
      <c r="EA269" s="335"/>
      <c r="EB269" s="335"/>
      <c r="EC269" s="335"/>
      <c r="ED269" s="335"/>
      <c r="EE269" s="335"/>
      <c r="EF269" s="335"/>
      <c r="EG269" s="335"/>
      <c r="EH269" s="335"/>
      <c r="EI269" s="335"/>
      <c r="EJ269" s="335"/>
      <c r="EK269" s="335"/>
      <c r="EL269" s="335"/>
      <c r="EM269" s="335"/>
    </row>
    <row r="270" spans="72:143">
      <c r="BT270" s="187"/>
      <c r="BU270" s="187" t="s">
        <v>54</v>
      </c>
      <c r="BV270" s="196">
        <v>120034</v>
      </c>
      <c r="BW270" s="197" t="e">
        <f t="shared" si="136"/>
        <v>#REF!</v>
      </c>
      <c r="BX270" s="198" t="e">
        <f>IF(AND(State_LOB_Code=18,LEFT(BW270,4)&lt;"2009"),81,State_LOB_Code)&amp;"|341"</f>
        <v>#REF!</v>
      </c>
      <c r="BY270" s="215"/>
      <c r="BZ270" s="216"/>
      <c r="CD270" s="163"/>
      <c r="CE270" s="363"/>
      <c r="CF270" s="335"/>
      <c r="CG270" s="335"/>
      <c r="CH270" s="335"/>
      <c r="CI270" s="335"/>
      <c r="CJ270" s="335"/>
      <c r="CK270" s="335"/>
      <c r="CL270" s="335"/>
      <c r="CM270" s="335"/>
      <c r="CN270" s="335"/>
      <c r="CO270" s="335"/>
      <c r="CP270" s="335"/>
      <c r="CQ270" s="335"/>
      <c r="CR270" s="335"/>
      <c r="CS270" s="335"/>
      <c r="CT270" s="335"/>
      <c r="CU270" s="335"/>
      <c r="CV270" s="335"/>
      <c r="CW270" s="335"/>
      <c r="CX270" s="335"/>
      <c r="CY270" s="335"/>
      <c r="CZ270" s="335"/>
      <c r="DA270" s="335"/>
      <c r="DB270" s="335"/>
      <c r="DC270" s="335"/>
      <c r="DD270" s="335"/>
      <c r="DE270" s="335"/>
      <c r="DF270" s="335"/>
      <c r="DG270" s="335"/>
      <c r="DH270" s="335"/>
      <c r="DI270" s="335"/>
      <c r="DJ270" s="335"/>
      <c r="DK270" s="335"/>
      <c r="DL270" s="335"/>
      <c r="DM270" s="335"/>
      <c r="DN270" s="335"/>
      <c r="DO270" s="335"/>
      <c r="DP270" s="335"/>
      <c r="DQ270" s="335"/>
      <c r="DR270" s="335"/>
      <c r="DS270" s="335"/>
      <c r="DT270" s="335"/>
      <c r="DU270" s="335"/>
      <c r="DV270" s="335"/>
      <c r="DW270" s="335"/>
      <c r="DX270" s="335"/>
      <c r="DY270" s="335"/>
      <c r="DZ270" s="335"/>
      <c r="EA270" s="335"/>
      <c r="EB270" s="335"/>
      <c r="EC270" s="335"/>
      <c r="ED270" s="335"/>
      <c r="EE270" s="335"/>
      <c r="EF270" s="335"/>
      <c r="EG270" s="335"/>
      <c r="EH270" s="335"/>
      <c r="EI270" s="335"/>
      <c r="EJ270" s="335"/>
      <c r="EK270" s="335"/>
      <c r="EL270" s="335"/>
      <c r="EM270" s="335"/>
    </row>
    <row r="271" spans="72:143">
      <c r="BT271" s="187"/>
      <c r="BU271" s="187" t="s">
        <v>55</v>
      </c>
      <c r="BV271" s="196">
        <v>120034</v>
      </c>
      <c r="BW271" s="197" t="e">
        <f t="shared" si="136"/>
        <v>#REF!</v>
      </c>
      <c r="BX271" s="198" t="e">
        <f>IF(AND(State_LOB_Code=18,LEFT(BW271,4)&lt;"2009"),81,State_LOB_Code)&amp;"|342"</f>
        <v>#REF!</v>
      </c>
      <c r="BY271" s="215"/>
      <c r="BZ271" s="216"/>
      <c r="CD271" s="163"/>
      <c r="CE271" s="363"/>
      <c r="CF271" s="335"/>
      <c r="CG271" s="335"/>
      <c r="CH271" s="335"/>
      <c r="CI271" s="335"/>
      <c r="CJ271" s="335"/>
      <c r="CK271" s="335"/>
      <c r="CL271" s="335"/>
      <c r="CM271" s="335"/>
      <c r="CN271" s="335"/>
      <c r="CO271" s="335"/>
      <c r="CP271" s="335"/>
      <c r="CQ271" s="335"/>
      <c r="CR271" s="335"/>
      <c r="CS271" s="335"/>
      <c r="CT271" s="335"/>
      <c r="CU271" s="335"/>
      <c r="CV271" s="335"/>
      <c r="CW271" s="335"/>
      <c r="CX271" s="335"/>
      <c r="CY271" s="335"/>
      <c r="CZ271" s="335"/>
      <c r="DA271" s="335"/>
      <c r="DB271" s="335"/>
      <c r="DC271" s="335"/>
      <c r="DD271" s="335"/>
      <c r="DE271" s="335"/>
      <c r="DF271" s="335"/>
      <c r="DG271" s="335"/>
      <c r="DH271" s="335"/>
      <c r="DI271" s="335"/>
      <c r="DJ271" s="335"/>
      <c r="DK271" s="335"/>
      <c r="DL271" s="335"/>
      <c r="DM271" s="335"/>
      <c r="DN271" s="335"/>
      <c r="DO271" s="335"/>
      <c r="DP271" s="335"/>
      <c r="DQ271" s="335"/>
      <c r="DR271" s="335"/>
      <c r="DS271" s="335"/>
      <c r="DT271" s="335"/>
      <c r="DU271" s="335"/>
      <c r="DV271" s="335"/>
      <c r="DW271" s="335"/>
      <c r="DX271" s="335"/>
      <c r="DY271" s="335"/>
      <c r="DZ271" s="335"/>
      <c r="EA271" s="335"/>
      <c r="EB271" s="335"/>
      <c r="EC271" s="335"/>
      <c r="ED271" s="335"/>
      <c r="EE271" s="335"/>
      <c r="EF271" s="335"/>
      <c r="EG271" s="335"/>
      <c r="EH271" s="335"/>
      <c r="EI271" s="335"/>
      <c r="EJ271" s="335"/>
      <c r="EK271" s="335"/>
      <c r="EL271" s="335"/>
      <c r="EM271" s="335"/>
    </row>
    <row r="272" spans="72:143">
      <c r="BT272" s="187"/>
      <c r="BU272" s="187" t="s">
        <v>56</v>
      </c>
      <c r="BV272" s="196">
        <v>120034</v>
      </c>
      <c r="BW272" s="197" t="e">
        <f t="shared" si="136"/>
        <v>#REF!</v>
      </c>
      <c r="BX272" s="198" t="e">
        <f>IF(AND(State_LOB_Code=18,LEFT(BW272,4)&lt;"2009"),81,State_LOB_Code)&amp;"|343"</f>
        <v>#REF!</v>
      </c>
      <c r="BY272" s="215"/>
      <c r="BZ272" s="216"/>
      <c r="CD272" s="163"/>
      <c r="CE272" s="363"/>
      <c r="CF272" s="335"/>
      <c r="CG272" s="335"/>
      <c r="CH272" s="335"/>
      <c r="CI272" s="335"/>
      <c r="CJ272" s="335"/>
      <c r="CK272" s="335"/>
      <c r="CL272" s="335"/>
      <c r="CM272" s="335"/>
      <c r="CN272" s="335"/>
      <c r="CO272" s="335"/>
      <c r="CP272" s="335"/>
      <c r="CQ272" s="335"/>
      <c r="CR272" s="335"/>
      <c r="CS272" s="335"/>
      <c r="CT272" s="335"/>
      <c r="CU272" s="335"/>
      <c r="CV272" s="335"/>
      <c r="CW272" s="335"/>
      <c r="CX272" s="335"/>
      <c r="CY272" s="335"/>
      <c r="CZ272" s="335"/>
      <c r="DA272" s="335"/>
      <c r="DB272" s="335"/>
      <c r="DC272" s="335"/>
      <c r="DD272" s="335"/>
      <c r="DE272" s="335"/>
      <c r="DF272" s="335"/>
      <c r="DG272" s="335"/>
      <c r="DH272" s="335"/>
      <c r="DI272" s="335"/>
      <c r="DJ272" s="335"/>
      <c r="DK272" s="335"/>
      <c r="DL272" s="335"/>
      <c r="DM272" s="335"/>
      <c r="DN272" s="335"/>
      <c r="DO272" s="335"/>
      <c r="DP272" s="335"/>
      <c r="DQ272" s="335"/>
      <c r="DR272" s="335"/>
      <c r="DS272" s="335"/>
      <c r="DT272" s="335"/>
      <c r="DU272" s="335"/>
      <c r="DV272" s="335"/>
      <c r="DW272" s="335"/>
      <c r="DX272" s="335"/>
      <c r="DY272" s="335"/>
      <c r="DZ272" s="335"/>
      <c r="EA272" s="335"/>
      <c r="EB272" s="335"/>
      <c r="EC272" s="335"/>
      <c r="ED272" s="335"/>
      <c r="EE272" s="335"/>
      <c r="EF272" s="335"/>
      <c r="EG272" s="335"/>
      <c r="EH272" s="335"/>
      <c r="EI272" s="335"/>
      <c r="EJ272" s="335"/>
      <c r="EK272" s="335"/>
      <c r="EL272" s="335"/>
      <c r="EM272" s="335"/>
    </row>
    <row r="273" spans="72:143">
      <c r="BT273" s="187"/>
      <c r="BU273" s="187" t="s">
        <v>57</v>
      </c>
      <c r="BV273" s="196">
        <v>120034</v>
      </c>
      <c r="BW273" s="197" t="e">
        <f t="shared" si="136"/>
        <v>#REF!</v>
      </c>
      <c r="BX273" s="198" t="e">
        <f>IF(AND(State_LOB_Code=18,LEFT(BW273,4)&lt;"2009"),81,State_LOB_Code)&amp;"|344"</f>
        <v>#REF!</v>
      </c>
      <c r="BY273" s="215"/>
      <c r="BZ273" s="216"/>
      <c r="CD273" s="163"/>
      <c r="CE273" s="363"/>
      <c r="CF273" s="335"/>
      <c r="CG273" s="335"/>
      <c r="CH273" s="335"/>
      <c r="CI273" s="335"/>
      <c r="CJ273" s="335"/>
      <c r="CK273" s="335"/>
      <c r="CL273" s="335"/>
      <c r="CM273" s="335"/>
      <c r="CN273" s="335"/>
      <c r="CO273" s="335"/>
      <c r="CP273" s="335"/>
      <c r="CQ273" s="335"/>
      <c r="CR273" s="335"/>
      <c r="CS273" s="335"/>
      <c r="CT273" s="335"/>
      <c r="CU273" s="335"/>
      <c r="CV273" s="335"/>
      <c r="CW273" s="335"/>
      <c r="CX273" s="335"/>
      <c r="CY273" s="335"/>
      <c r="CZ273" s="335"/>
      <c r="DA273" s="335"/>
      <c r="DB273" s="335"/>
      <c r="DC273" s="335"/>
      <c r="DD273" s="335"/>
      <c r="DE273" s="335"/>
      <c r="DF273" s="335"/>
      <c r="DG273" s="335"/>
      <c r="DH273" s="335"/>
      <c r="DI273" s="335"/>
      <c r="DJ273" s="335"/>
      <c r="DK273" s="335"/>
      <c r="DL273" s="335"/>
      <c r="DM273" s="335"/>
      <c r="DN273" s="335"/>
      <c r="DO273" s="335"/>
      <c r="DP273" s="335"/>
      <c r="DQ273" s="335"/>
      <c r="DR273" s="335"/>
      <c r="DS273" s="335"/>
      <c r="DT273" s="335"/>
      <c r="DU273" s="335"/>
      <c r="DV273" s="335"/>
      <c r="DW273" s="335"/>
      <c r="DX273" s="335"/>
      <c r="DY273" s="335"/>
      <c r="DZ273" s="335"/>
      <c r="EA273" s="335"/>
      <c r="EB273" s="335"/>
      <c r="EC273" s="335"/>
      <c r="ED273" s="335"/>
      <c r="EE273" s="335"/>
      <c r="EF273" s="335"/>
      <c r="EG273" s="335"/>
      <c r="EH273" s="335"/>
      <c r="EI273" s="335"/>
      <c r="EJ273" s="335"/>
      <c r="EK273" s="335"/>
      <c r="EL273" s="335"/>
      <c r="EM273" s="335"/>
    </row>
    <row r="274" spans="72:143">
      <c r="BT274" s="187"/>
      <c r="BU274" s="187" t="s">
        <v>58</v>
      </c>
      <c r="BV274" s="196">
        <v>120034</v>
      </c>
      <c r="BW274" s="197" t="e">
        <f t="shared" si="136"/>
        <v>#REF!</v>
      </c>
      <c r="BX274" s="198" t="e">
        <f>IF(AND(State_LOB_Code=18,LEFT(BW274,4)&lt;"2009"),81,State_LOB_Code)&amp;"|346"</f>
        <v>#REF!</v>
      </c>
      <c r="BY274" s="215"/>
      <c r="BZ274" s="216"/>
      <c r="CD274" s="163"/>
      <c r="CE274" s="363"/>
      <c r="CF274" s="335"/>
      <c r="CG274" s="335"/>
      <c r="CH274" s="335"/>
      <c r="CI274" s="335"/>
      <c r="CJ274" s="335"/>
      <c r="CK274" s="335"/>
      <c r="CL274" s="335"/>
      <c r="CM274" s="335"/>
      <c r="CN274" s="335"/>
      <c r="CO274" s="335"/>
      <c r="CP274" s="335"/>
      <c r="CQ274" s="335"/>
      <c r="CR274" s="335"/>
      <c r="CS274" s="335"/>
      <c r="CT274" s="335"/>
      <c r="CU274" s="335"/>
      <c r="CV274" s="335"/>
      <c r="CW274" s="335"/>
      <c r="CX274" s="335"/>
      <c r="CY274" s="335"/>
      <c r="CZ274" s="335"/>
      <c r="DA274" s="335"/>
      <c r="DB274" s="335"/>
      <c r="DC274" s="335"/>
      <c r="DD274" s="335"/>
      <c r="DE274" s="335"/>
      <c r="DF274" s="335"/>
      <c r="DG274" s="335"/>
      <c r="DH274" s="335"/>
      <c r="DI274" s="335"/>
      <c r="DJ274" s="335"/>
      <c r="DK274" s="335"/>
      <c r="DL274" s="335"/>
      <c r="DM274" s="335"/>
      <c r="DN274" s="335"/>
      <c r="DO274" s="335"/>
      <c r="DP274" s="335"/>
      <c r="DQ274" s="335"/>
      <c r="DR274" s="335"/>
      <c r="DS274" s="335"/>
      <c r="DT274" s="335"/>
      <c r="DU274" s="335"/>
      <c r="DV274" s="335"/>
      <c r="DW274" s="335"/>
      <c r="DX274" s="335"/>
      <c r="DY274" s="335"/>
      <c r="DZ274" s="335"/>
      <c r="EA274" s="335"/>
      <c r="EB274" s="335"/>
      <c r="EC274" s="335"/>
      <c r="ED274" s="335"/>
      <c r="EE274" s="335"/>
      <c r="EF274" s="335"/>
      <c r="EG274" s="335"/>
      <c r="EH274" s="335"/>
      <c r="EI274" s="335"/>
      <c r="EJ274" s="335"/>
      <c r="EK274" s="335"/>
      <c r="EL274" s="335"/>
      <c r="EM274" s="335"/>
    </row>
    <row r="275" spans="72:143">
      <c r="BT275" s="187"/>
      <c r="BU275" s="187" t="s">
        <v>59</v>
      </c>
      <c r="BV275" s="196">
        <v>120034</v>
      </c>
      <c r="BW275" s="197" t="e">
        <f t="shared" si="136"/>
        <v>#REF!</v>
      </c>
      <c r="BX275" s="198" t="e">
        <f>IF(AND(State_LOB_Code=18,LEFT(BW275,4)&lt;"2009"),81,State_LOB_Code)&amp;"|347"</f>
        <v>#REF!</v>
      </c>
      <c r="BY275" s="215"/>
      <c r="BZ275" s="216"/>
      <c r="CD275" s="163"/>
      <c r="CE275" s="363"/>
      <c r="CF275" s="335"/>
      <c r="CG275" s="335"/>
      <c r="CH275" s="335"/>
      <c r="CI275" s="335"/>
      <c r="CJ275" s="335"/>
      <c r="CK275" s="335"/>
      <c r="CL275" s="335"/>
      <c r="CM275" s="335"/>
      <c r="CN275" s="335"/>
      <c r="CO275" s="335"/>
      <c r="CP275" s="335"/>
      <c r="CQ275" s="335"/>
      <c r="CR275" s="335"/>
      <c r="CS275" s="335"/>
      <c r="CT275" s="335"/>
      <c r="CU275" s="335"/>
      <c r="CV275" s="335"/>
      <c r="CW275" s="335"/>
      <c r="CX275" s="335"/>
      <c r="CY275" s="335"/>
      <c r="CZ275" s="335"/>
      <c r="DA275" s="335"/>
      <c r="DB275" s="335"/>
      <c r="DC275" s="335"/>
      <c r="DD275" s="335"/>
      <c r="DE275" s="335"/>
      <c r="DF275" s="335"/>
      <c r="DG275" s="335"/>
      <c r="DH275" s="335"/>
      <c r="DI275" s="335"/>
      <c r="DJ275" s="335"/>
      <c r="DK275" s="335"/>
      <c r="DL275" s="335"/>
      <c r="DM275" s="335"/>
      <c r="DN275" s="335"/>
      <c r="DO275" s="335"/>
      <c r="DP275" s="335"/>
      <c r="DQ275" s="335"/>
      <c r="DR275" s="335"/>
      <c r="DS275" s="335"/>
      <c r="DT275" s="335"/>
      <c r="DU275" s="335"/>
      <c r="DV275" s="335"/>
      <c r="DW275" s="335"/>
      <c r="DX275" s="335"/>
      <c r="DY275" s="335"/>
      <c r="DZ275" s="335"/>
      <c r="EA275" s="335"/>
      <c r="EB275" s="335"/>
      <c r="EC275" s="335"/>
      <c r="ED275" s="335"/>
      <c r="EE275" s="335"/>
      <c r="EF275" s="335"/>
      <c r="EG275" s="335"/>
      <c r="EH275" s="335"/>
      <c r="EI275" s="335"/>
      <c r="EJ275" s="335"/>
      <c r="EK275" s="335"/>
      <c r="EL275" s="335"/>
      <c r="EM275" s="335"/>
    </row>
    <row r="276" spans="72:143">
      <c r="BT276" s="187"/>
      <c r="BU276" s="187" t="s">
        <v>60</v>
      </c>
      <c r="BV276" s="196">
        <v>120034</v>
      </c>
      <c r="BW276" s="197" t="e">
        <f t="shared" si="136"/>
        <v>#REF!</v>
      </c>
      <c r="BX276" s="198" t="e">
        <f>IF(AND(State_LOB_Code=18,LEFT(BW276,4)&lt;"2009"),81,State_LOB_Code)&amp;"|348"</f>
        <v>#REF!</v>
      </c>
      <c r="BY276" s="215"/>
      <c r="BZ276" s="216"/>
      <c r="CD276" s="163"/>
      <c r="CE276" s="363"/>
      <c r="CF276" s="335"/>
      <c r="CG276" s="335"/>
      <c r="CH276" s="335"/>
      <c r="CI276" s="335"/>
      <c r="CJ276" s="335"/>
      <c r="CK276" s="335"/>
      <c r="CL276" s="335"/>
      <c r="CM276" s="335"/>
      <c r="CN276" s="335"/>
      <c r="CO276" s="335"/>
      <c r="CP276" s="335"/>
      <c r="CQ276" s="335"/>
      <c r="CR276" s="335"/>
      <c r="CS276" s="335"/>
      <c r="CT276" s="335"/>
      <c r="CU276" s="335"/>
      <c r="CV276" s="335"/>
      <c r="CW276" s="335"/>
      <c r="CX276" s="335"/>
      <c r="CY276" s="335"/>
      <c r="CZ276" s="335"/>
      <c r="DA276" s="335"/>
      <c r="DB276" s="335"/>
      <c r="DC276" s="335"/>
      <c r="DD276" s="335"/>
      <c r="DE276" s="335"/>
      <c r="DF276" s="335"/>
      <c r="DG276" s="335"/>
      <c r="DH276" s="335"/>
      <c r="DI276" s="335"/>
      <c r="DJ276" s="335"/>
      <c r="DK276" s="335"/>
      <c r="DL276" s="335"/>
      <c r="DM276" s="335"/>
      <c r="DN276" s="335"/>
      <c r="DO276" s="335"/>
      <c r="DP276" s="335"/>
      <c r="DQ276" s="335"/>
      <c r="DR276" s="335"/>
      <c r="DS276" s="335"/>
      <c r="DT276" s="335"/>
      <c r="DU276" s="335"/>
      <c r="DV276" s="335"/>
      <c r="DW276" s="335"/>
      <c r="DX276" s="335"/>
      <c r="DY276" s="335"/>
      <c r="DZ276" s="335"/>
      <c r="EA276" s="335"/>
      <c r="EB276" s="335"/>
      <c r="EC276" s="335"/>
      <c r="ED276" s="335"/>
      <c r="EE276" s="335"/>
      <c r="EF276" s="335"/>
      <c r="EG276" s="335"/>
      <c r="EH276" s="335"/>
      <c r="EI276" s="335"/>
      <c r="EJ276" s="335"/>
      <c r="EK276" s="335"/>
      <c r="EL276" s="335"/>
      <c r="EM276" s="335"/>
    </row>
    <row r="277" spans="72:143">
      <c r="BT277" s="187"/>
      <c r="BU277" s="187" t="s">
        <v>61</v>
      </c>
      <c r="BV277" s="196">
        <v>120034</v>
      </c>
      <c r="BW277" s="197" t="e">
        <f t="shared" si="136"/>
        <v>#REF!</v>
      </c>
      <c r="BX277" s="198" t="e">
        <f>IF(AND(State_LOB_Code=18,LEFT(BW277,4)&lt;"2009"),81,State_LOB_Code)&amp;"|349"</f>
        <v>#REF!</v>
      </c>
      <c r="BY277" s="215"/>
      <c r="BZ277" s="216"/>
      <c r="CD277" s="163"/>
      <c r="CE277" s="363"/>
      <c r="CF277" s="335"/>
      <c r="CG277" s="335"/>
      <c r="CH277" s="335"/>
      <c r="CI277" s="335"/>
      <c r="CJ277" s="335"/>
      <c r="CK277" s="335"/>
      <c r="CL277" s="335"/>
      <c r="CM277" s="335"/>
      <c r="CN277" s="335"/>
      <c r="CO277" s="335"/>
      <c r="CP277" s="335"/>
      <c r="CQ277" s="335"/>
      <c r="CR277" s="335"/>
      <c r="CS277" s="335"/>
      <c r="CT277" s="335"/>
      <c r="CU277" s="335"/>
      <c r="CV277" s="335"/>
      <c r="CW277" s="335"/>
      <c r="CX277" s="335"/>
      <c r="CY277" s="335"/>
      <c r="CZ277" s="335"/>
      <c r="DA277" s="335"/>
      <c r="DB277" s="335"/>
      <c r="DC277" s="335"/>
      <c r="DD277" s="335"/>
      <c r="DE277" s="335"/>
      <c r="DF277" s="335"/>
      <c r="DG277" s="335"/>
      <c r="DH277" s="335"/>
      <c r="DI277" s="335"/>
      <c r="DJ277" s="335"/>
      <c r="DK277" s="335"/>
      <c r="DL277" s="335"/>
      <c r="DM277" s="335"/>
      <c r="DN277" s="335"/>
      <c r="DO277" s="335"/>
      <c r="DP277" s="335"/>
      <c r="DQ277" s="335"/>
      <c r="DR277" s="335"/>
      <c r="DS277" s="335"/>
      <c r="DT277" s="335"/>
      <c r="DU277" s="335"/>
      <c r="DV277" s="335"/>
      <c r="DW277" s="335"/>
      <c r="DX277" s="335"/>
      <c r="DY277" s="335"/>
      <c r="DZ277" s="335"/>
      <c r="EA277" s="335"/>
      <c r="EB277" s="335"/>
      <c r="EC277" s="335"/>
      <c r="ED277" s="335"/>
      <c r="EE277" s="335"/>
      <c r="EF277" s="335"/>
      <c r="EG277" s="335"/>
      <c r="EH277" s="335"/>
      <c r="EI277" s="335"/>
      <c r="EJ277" s="335"/>
      <c r="EK277" s="335"/>
      <c r="EL277" s="335"/>
      <c r="EM277" s="335"/>
    </row>
    <row r="278" spans="72:143">
      <c r="BT278" s="187"/>
      <c r="BU278" s="187" t="s">
        <v>62</v>
      </c>
      <c r="BV278" s="196">
        <v>120034</v>
      </c>
      <c r="BW278" s="197" t="e">
        <f t="shared" si="136"/>
        <v>#REF!</v>
      </c>
      <c r="BX278" s="198" t="e">
        <f>IF(AND(State_LOB_Code=18,LEFT(BW278,4)&lt;"2009"),81,State_LOB_Code)&amp;"|350"</f>
        <v>#REF!</v>
      </c>
      <c r="BY278" s="215"/>
      <c r="BZ278" s="216"/>
      <c r="CD278" s="163"/>
      <c r="CE278" s="363"/>
      <c r="CF278" s="335"/>
      <c r="CG278" s="335"/>
      <c r="CH278" s="335"/>
      <c r="CI278" s="335"/>
      <c r="CJ278" s="335"/>
      <c r="CK278" s="335"/>
      <c r="CL278" s="335"/>
      <c r="CM278" s="335"/>
      <c r="CN278" s="335"/>
      <c r="CO278" s="335"/>
      <c r="CP278" s="335"/>
      <c r="CQ278" s="335"/>
      <c r="CR278" s="335"/>
      <c r="CS278" s="335"/>
      <c r="CT278" s="335"/>
      <c r="CU278" s="335"/>
      <c r="CV278" s="335"/>
      <c r="CW278" s="335"/>
      <c r="CX278" s="335"/>
      <c r="CY278" s="335"/>
      <c r="CZ278" s="335"/>
      <c r="DA278" s="335"/>
      <c r="DB278" s="335"/>
      <c r="DC278" s="335"/>
      <c r="DD278" s="335"/>
      <c r="DE278" s="335"/>
      <c r="DF278" s="335"/>
      <c r="DG278" s="335"/>
      <c r="DH278" s="335"/>
      <c r="DI278" s="335"/>
      <c r="DJ278" s="335"/>
      <c r="DK278" s="335"/>
      <c r="DL278" s="335"/>
      <c r="DM278" s="335"/>
      <c r="DN278" s="335"/>
      <c r="DO278" s="335"/>
      <c r="DP278" s="335"/>
      <c r="DQ278" s="335"/>
      <c r="DR278" s="335"/>
      <c r="DS278" s="335"/>
      <c r="DT278" s="335"/>
      <c r="DU278" s="335"/>
      <c r="DV278" s="335"/>
      <c r="DW278" s="335"/>
      <c r="DX278" s="335"/>
      <c r="DY278" s="335"/>
      <c r="DZ278" s="335"/>
      <c r="EA278" s="335"/>
      <c r="EB278" s="335"/>
      <c r="EC278" s="335"/>
      <c r="ED278" s="335"/>
      <c r="EE278" s="335"/>
      <c r="EF278" s="335"/>
      <c r="EG278" s="335"/>
      <c r="EH278" s="335"/>
      <c r="EI278" s="335"/>
      <c r="EJ278" s="335"/>
      <c r="EK278" s="335"/>
      <c r="EL278" s="335"/>
      <c r="EM278" s="335"/>
    </row>
    <row r="279" spans="72:143">
      <c r="BT279" s="187"/>
      <c r="BU279" s="187" t="s">
        <v>63</v>
      </c>
      <c r="BV279" s="196">
        <v>120034</v>
      </c>
      <c r="BW279" s="197" t="e">
        <f t="shared" si="136"/>
        <v>#REF!</v>
      </c>
      <c r="BX279" s="198" t="e">
        <f>IF(AND(State_LOB_Code=18,LEFT(BW279,4)&lt;"2009"),81,State_LOB_Code)&amp;"|351"</f>
        <v>#REF!</v>
      </c>
      <c r="BY279" s="215"/>
      <c r="BZ279" s="216"/>
      <c r="CD279" s="163"/>
      <c r="CE279" s="363"/>
      <c r="CF279" s="335"/>
      <c r="CG279" s="335"/>
      <c r="CH279" s="335"/>
      <c r="CI279" s="335"/>
      <c r="CJ279" s="335"/>
      <c r="CK279" s="335"/>
      <c r="CL279" s="335"/>
      <c r="CM279" s="335"/>
      <c r="CN279" s="335"/>
      <c r="CO279" s="335"/>
      <c r="CP279" s="335"/>
      <c r="CQ279" s="335"/>
      <c r="CR279" s="335"/>
      <c r="CS279" s="335"/>
      <c r="CT279" s="335"/>
      <c r="CU279" s="335"/>
      <c r="CV279" s="335"/>
      <c r="CW279" s="335"/>
      <c r="CX279" s="335"/>
      <c r="CY279" s="335"/>
      <c r="CZ279" s="335"/>
      <c r="DA279" s="335"/>
      <c r="DB279" s="335"/>
      <c r="DC279" s="335"/>
      <c r="DD279" s="335"/>
      <c r="DE279" s="335"/>
      <c r="DF279" s="335"/>
      <c r="DG279" s="335"/>
      <c r="DH279" s="335"/>
      <c r="DI279" s="335"/>
      <c r="DJ279" s="335"/>
      <c r="DK279" s="335"/>
      <c r="DL279" s="335"/>
      <c r="DM279" s="335"/>
      <c r="DN279" s="335"/>
      <c r="DO279" s="335"/>
      <c r="DP279" s="335"/>
      <c r="DQ279" s="335"/>
      <c r="DR279" s="335"/>
      <c r="DS279" s="335"/>
      <c r="DT279" s="335"/>
      <c r="DU279" s="335"/>
      <c r="DV279" s="335"/>
      <c r="DW279" s="335"/>
      <c r="DX279" s="335"/>
      <c r="DY279" s="335"/>
      <c r="DZ279" s="335"/>
      <c r="EA279" s="335"/>
      <c r="EB279" s="335"/>
      <c r="EC279" s="335"/>
      <c r="ED279" s="335"/>
      <c r="EE279" s="335"/>
      <c r="EF279" s="335"/>
      <c r="EG279" s="335"/>
      <c r="EH279" s="335"/>
      <c r="EI279" s="335"/>
      <c r="EJ279" s="335"/>
      <c r="EK279" s="335"/>
      <c r="EL279" s="335"/>
      <c r="EM279" s="335"/>
    </row>
    <row r="280" spans="72:143">
      <c r="BT280" s="187"/>
      <c r="BU280" s="187" t="s">
        <v>64</v>
      </c>
      <c r="BV280" s="196">
        <v>120034</v>
      </c>
      <c r="BW280" s="197" t="e">
        <f t="shared" si="136"/>
        <v>#REF!</v>
      </c>
      <c r="BX280" s="198" t="e">
        <f>IF(AND(State_LOB_Code=18,LEFT(BW280,4)&lt;"2009"),81,State_LOB_Code)&amp;"|352"</f>
        <v>#REF!</v>
      </c>
      <c r="BY280" s="215"/>
      <c r="BZ280" s="216"/>
      <c r="CD280" s="163"/>
      <c r="CE280" s="363"/>
      <c r="CF280" s="335"/>
      <c r="CG280" s="335"/>
      <c r="CH280" s="335"/>
      <c r="CI280" s="335"/>
      <c r="CJ280" s="335"/>
      <c r="CK280" s="335"/>
      <c r="CL280" s="335"/>
      <c r="CM280" s="335"/>
      <c r="CN280" s="335"/>
      <c r="CO280" s="335"/>
      <c r="CP280" s="335"/>
      <c r="CQ280" s="335"/>
      <c r="CR280" s="335"/>
      <c r="CS280" s="335"/>
      <c r="CT280" s="335"/>
      <c r="CU280" s="335"/>
      <c r="CV280" s="335"/>
      <c r="CW280" s="335"/>
      <c r="CX280" s="335"/>
      <c r="CY280" s="335"/>
      <c r="CZ280" s="335"/>
      <c r="DA280" s="335"/>
      <c r="DB280" s="335"/>
      <c r="DC280" s="335"/>
      <c r="DD280" s="335"/>
      <c r="DE280" s="335"/>
      <c r="DF280" s="335"/>
      <c r="DG280" s="335"/>
      <c r="DH280" s="335"/>
      <c r="DI280" s="335"/>
      <c r="DJ280" s="335"/>
      <c r="DK280" s="335"/>
      <c r="DL280" s="335"/>
      <c r="DM280" s="335"/>
      <c r="DN280" s="335"/>
      <c r="DO280" s="335"/>
      <c r="DP280" s="335"/>
      <c r="DQ280" s="335"/>
      <c r="DR280" s="335"/>
      <c r="DS280" s="335"/>
      <c r="DT280" s="335"/>
      <c r="DU280" s="335"/>
      <c r="DV280" s="335"/>
      <c r="DW280" s="335"/>
      <c r="DX280" s="335"/>
      <c r="DY280" s="335"/>
      <c r="DZ280" s="335"/>
      <c r="EA280" s="335"/>
      <c r="EB280" s="335"/>
      <c r="EC280" s="335"/>
      <c r="ED280" s="335"/>
      <c r="EE280" s="335"/>
      <c r="EF280" s="335"/>
      <c r="EG280" s="335"/>
      <c r="EH280" s="335"/>
      <c r="EI280" s="335"/>
      <c r="EJ280" s="335"/>
      <c r="EK280" s="335"/>
      <c r="EL280" s="335"/>
      <c r="EM280" s="335"/>
    </row>
    <row r="281" spans="72:143">
      <c r="BT281" s="187"/>
      <c r="BU281" s="187" t="s">
        <v>65</v>
      </c>
      <c r="BV281" s="196">
        <v>120034</v>
      </c>
      <c r="BW281" s="197" t="e">
        <f t="shared" si="136"/>
        <v>#REF!</v>
      </c>
      <c r="BX281" s="198" t="e">
        <f>IF(AND(State_LOB_Code=18,LEFT(BW281,4)&lt;"2009"),81,State_LOB_Code)&amp;"|353"</f>
        <v>#REF!</v>
      </c>
      <c r="BY281" s="215"/>
      <c r="BZ281" s="216"/>
      <c r="CD281" s="163"/>
      <c r="CE281" s="363"/>
      <c r="CF281" s="335"/>
      <c r="CG281" s="335"/>
      <c r="CH281" s="335"/>
      <c r="CI281" s="335"/>
      <c r="CJ281" s="335"/>
      <c r="CK281" s="335"/>
      <c r="CL281" s="335"/>
      <c r="CM281" s="335"/>
      <c r="CN281" s="335"/>
      <c r="CO281" s="335"/>
      <c r="CP281" s="335"/>
      <c r="CQ281" s="335"/>
      <c r="CR281" s="335"/>
      <c r="CS281" s="335"/>
      <c r="CT281" s="335"/>
      <c r="CU281" s="335"/>
      <c r="CV281" s="335"/>
      <c r="CW281" s="335"/>
      <c r="CX281" s="335"/>
      <c r="CY281" s="335"/>
      <c r="CZ281" s="335"/>
      <c r="DA281" s="335"/>
      <c r="DB281" s="335"/>
      <c r="DC281" s="335"/>
      <c r="DD281" s="335"/>
      <c r="DE281" s="335"/>
      <c r="DF281" s="335"/>
      <c r="DG281" s="335"/>
      <c r="DH281" s="335"/>
      <c r="DI281" s="335"/>
      <c r="DJ281" s="335"/>
      <c r="DK281" s="335"/>
      <c r="DL281" s="335"/>
      <c r="DM281" s="335"/>
      <c r="DN281" s="335"/>
      <c r="DO281" s="335"/>
      <c r="DP281" s="335"/>
      <c r="DQ281" s="335"/>
      <c r="DR281" s="335"/>
      <c r="DS281" s="335"/>
      <c r="DT281" s="335"/>
      <c r="DU281" s="335"/>
      <c r="DV281" s="335"/>
      <c r="DW281" s="335"/>
      <c r="DX281" s="335"/>
      <c r="DY281" s="335"/>
      <c r="DZ281" s="335"/>
      <c r="EA281" s="335"/>
      <c r="EB281" s="335"/>
      <c r="EC281" s="335"/>
      <c r="ED281" s="335"/>
      <c r="EE281" s="335"/>
      <c r="EF281" s="335"/>
      <c r="EG281" s="335"/>
      <c r="EH281" s="335"/>
      <c r="EI281" s="335"/>
      <c r="EJ281" s="335"/>
      <c r="EK281" s="335"/>
      <c r="EL281" s="335"/>
      <c r="EM281" s="335"/>
    </row>
    <row r="282" spans="72:143">
      <c r="BT282" s="187"/>
      <c r="BU282" s="187" t="s">
        <v>66</v>
      </c>
      <c r="BV282" s="196">
        <v>120034</v>
      </c>
      <c r="BW282" s="197" t="e">
        <f t="shared" si="136"/>
        <v>#REF!</v>
      </c>
      <c r="BX282" s="198" t="e">
        <f>IF(AND(State_LOB_Code=18,LEFT(BW282,4)&lt;"2009"),81,State_LOB_Code)&amp;"|354"</f>
        <v>#REF!</v>
      </c>
      <c r="BY282" s="215"/>
      <c r="BZ282" s="216"/>
      <c r="CD282" s="163"/>
      <c r="CE282" s="363"/>
      <c r="CF282" s="335"/>
      <c r="CG282" s="335"/>
      <c r="CH282" s="335"/>
      <c r="CI282" s="335"/>
      <c r="CJ282" s="335"/>
      <c r="CK282" s="335"/>
      <c r="CL282" s="335"/>
      <c r="CM282" s="335"/>
      <c r="CN282" s="335"/>
      <c r="CO282" s="335"/>
      <c r="CP282" s="335"/>
      <c r="CQ282" s="335"/>
      <c r="CR282" s="335"/>
      <c r="CS282" s="335"/>
      <c r="CT282" s="335"/>
      <c r="CU282" s="335"/>
      <c r="CV282" s="335"/>
      <c r="CW282" s="335"/>
      <c r="CX282" s="335"/>
      <c r="CY282" s="335"/>
      <c r="CZ282" s="335"/>
      <c r="DA282" s="335"/>
      <c r="DB282" s="335"/>
      <c r="DC282" s="335"/>
      <c r="DD282" s="335"/>
      <c r="DE282" s="335"/>
      <c r="DF282" s="335"/>
      <c r="DG282" s="335"/>
      <c r="DH282" s="335"/>
      <c r="DI282" s="335"/>
      <c r="DJ282" s="335"/>
      <c r="DK282" s="335"/>
      <c r="DL282" s="335"/>
      <c r="DM282" s="335"/>
      <c r="DN282" s="335"/>
      <c r="DO282" s="335"/>
      <c r="DP282" s="335"/>
      <c r="DQ282" s="335"/>
      <c r="DR282" s="335"/>
      <c r="DS282" s="335"/>
      <c r="DT282" s="335"/>
      <c r="DU282" s="335"/>
      <c r="DV282" s="335"/>
      <c r="DW282" s="335"/>
      <c r="DX282" s="335"/>
      <c r="DY282" s="335"/>
      <c r="DZ282" s="335"/>
      <c r="EA282" s="335"/>
      <c r="EB282" s="335"/>
      <c r="EC282" s="335"/>
      <c r="ED282" s="335"/>
      <c r="EE282" s="335"/>
      <c r="EF282" s="335"/>
      <c r="EG282" s="335"/>
      <c r="EH282" s="335"/>
      <c r="EI282" s="335"/>
      <c r="EJ282" s="335"/>
      <c r="EK282" s="335"/>
      <c r="EL282" s="335"/>
      <c r="EM282" s="335"/>
    </row>
    <row r="283" spans="72:143">
      <c r="BT283" s="187"/>
      <c r="BU283" s="187" t="s">
        <v>67</v>
      </c>
      <c r="BV283" s="196">
        <v>120034</v>
      </c>
      <c r="BW283" s="197" t="e">
        <f t="shared" si="136"/>
        <v>#REF!</v>
      </c>
      <c r="BX283" s="198" t="e">
        <f>IF(AND(State_LOB_Code=18,LEFT(BW283,4)&lt;"2009"),81,State_LOB_Code)&amp;"|355"</f>
        <v>#REF!</v>
      </c>
      <c r="BY283" s="215"/>
      <c r="BZ283" s="216"/>
      <c r="CD283" s="163"/>
      <c r="CE283" s="363"/>
      <c r="CF283" s="335"/>
      <c r="CG283" s="335"/>
      <c r="CH283" s="335"/>
      <c r="CI283" s="335"/>
      <c r="CJ283" s="335"/>
      <c r="CK283" s="335"/>
      <c r="CL283" s="335"/>
      <c r="CM283" s="335"/>
      <c r="CN283" s="335"/>
      <c r="CO283" s="335"/>
      <c r="CP283" s="335"/>
      <c r="CQ283" s="335"/>
      <c r="CR283" s="335"/>
      <c r="CS283" s="335"/>
      <c r="CT283" s="335"/>
      <c r="CU283" s="335"/>
      <c r="CV283" s="335"/>
      <c r="CW283" s="335"/>
      <c r="CX283" s="335"/>
      <c r="CY283" s="335"/>
      <c r="CZ283" s="335"/>
      <c r="DA283" s="335"/>
      <c r="DB283" s="335"/>
      <c r="DC283" s="335"/>
      <c r="DD283" s="335"/>
      <c r="DE283" s="335"/>
      <c r="DF283" s="335"/>
      <c r="DG283" s="335"/>
      <c r="DH283" s="335"/>
      <c r="DI283" s="335"/>
      <c r="DJ283" s="335"/>
      <c r="DK283" s="335"/>
      <c r="DL283" s="335"/>
      <c r="DM283" s="335"/>
      <c r="DN283" s="335"/>
      <c r="DO283" s="335"/>
      <c r="DP283" s="335"/>
      <c r="DQ283" s="335"/>
      <c r="DR283" s="335"/>
      <c r="DS283" s="335"/>
      <c r="DT283" s="335"/>
      <c r="DU283" s="335"/>
      <c r="DV283" s="335"/>
      <c r="DW283" s="335"/>
      <c r="DX283" s="335"/>
      <c r="DY283" s="335"/>
      <c r="DZ283" s="335"/>
      <c r="EA283" s="335"/>
      <c r="EB283" s="335"/>
      <c r="EC283" s="335"/>
      <c r="ED283" s="335"/>
      <c r="EE283" s="335"/>
      <c r="EF283" s="335"/>
      <c r="EG283" s="335"/>
      <c r="EH283" s="335"/>
      <c r="EI283" s="335"/>
      <c r="EJ283" s="335"/>
      <c r="EK283" s="335"/>
      <c r="EL283" s="335"/>
      <c r="EM283" s="335"/>
    </row>
    <row r="284" spans="72:143">
      <c r="BT284" s="187"/>
      <c r="BU284" s="187" t="s">
        <v>68</v>
      </c>
      <c r="BV284" s="196">
        <v>120034</v>
      </c>
      <c r="BW284" s="197" t="e">
        <f t="shared" si="136"/>
        <v>#REF!</v>
      </c>
      <c r="BX284" s="198" t="e">
        <f>IF(AND(State_LOB_Code=18,LEFT(BW284,4)&lt;"2009"),81,State_LOB_Code)&amp;"|356"</f>
        <v>#REF!</v>
      </c>
      <c r="BY284" s="215"/>
      <c r="BZ284" s="216"/>
      <c r="CD284" s="163"/>
      <c r="CE284" s="363"/>
      <c r="CF284" s="335"/>
      <c r="CG284" s="335"/>
      <c r="CH284" s="335"/>
      <c r="CI284" s="335"/>
      <c r="CJ284" s="335"/>
      <c r="CK284" s="335"/>
      <c r="CL284" s="335"/>
      <c r="CM284" s="335"/>
      <c r="CN284" s="335"/>
      <c r="CO284" s="335"/>
      <c r="CP284" s="335"/>
      <c r="CQ284" s="335"/>
      <c r="CR284" s="335"/>
      <c r="CS284" s="335"/>
      <c r="CT284" s="335"/>
      <c r="CU284" s="335"/>
      <c r="CV284" s="335"/>
      <c r="CW284" s="335"/>
      <c r="CX284" s="335"/>
      <c r="CY284" s="335"/>
      <c r="CZ284" s="335"/>
      <c r="DA284" s="335"/>
      <c r="DB284" s="335"/>
      <c r="DC284" s="335"/>
      <c r="DD284" s="335"/>
      <c r="DE284" s="335"/>
      <c r="DF284" s="335"/>
      <c r="DG284" s="335"/>
      <c r="DH284" s="335"/>
      <c r="DI284" s="335"/>
      <c r="DJ284" s="335"/>
      <c r="DK284" s="335"/>
      <c r="DL284" s="335"/>
      <c r="DM284" s="335"/>
      <c r="DN284" s="335"/>
      <c r="DO284" s="335"/>
      <c r="DP284" s="335"/>
      <c r="DQ284" s="335"/>
      <c r="DR284" s="335"/>
      <c r="DS284" s="335"/>
      <c r="DT284" s="335"/>
      <c r="DU284" s="335"/>
      <c r="DV284" s="335"/>
      <c r="DW284" s="335"/>
      <c r="DX284" s="335"/>
      <c r="DY284" s="335"/>
      <c r="DZ284" s="335"/>
      <c r="EA284" s="335"/>
      <c r="EB284" s="335"/>
      <c r="EC284" s="335"/>
      <c r="ED284" s="335"/>
      <c r="EE284" s="335"/>
      <c r="EF284" s="335"/>
      <c r="EG284" s="335"/>
      <c r="EH284" s="335"/>
      <c r="EI284" s="335"/>
      <c r="EJ284" s="335"/>
      <c r="EK284" s="335"/>
      <c r="EL284" s="335"/>
      <c r="EM284" s="335"/>
    </row>
    <row r="285" spans="72:143">
      <c r="BT285" s="187"/>
      <c r="BU285" s="187" t="s">
        <v>69</v>
      </c>
      <c r="BV285" s="196">
        <v>120034</v>
      </c>
      <c r="BW285" s="197" t="e">
        <f t="shared" si="136"/>
        <v>#REF!</v>
      </c>
      <c r="BX285" s="198" t="e">
        <f>IF(AND(State_LOB_Code=18,LEFT(BW285,4)&lt;"2009"),81,State_LOB_Code)&amp;"|357"</f>
        <v>#REF!</v>
      </c>
      <c r="BY285" s="215"/>
      <c r="BZ285" s="216"/>
      <c r="CD285" s="163"/>
      <c r="CE285" s="363"/>
      <c r="CF285" s="335"/>
      <c r="CG285" s="335"/>
      <c r="CH285" s="335"/>
      <c r="CI285" s="335"/>
      <c r="CJ285" s="335"/>
      <c r="CK285" s="335"/>
      <c r="CL285" s="335"/>
      <c r="CM285" s="335"/>
      <c r="CN285" s="335"/>
      <c r="CO285" s="335"/>
      <c r="CP285" s="335"/>
      <c r="CQ285" s="335"/>
      <c r="CR285" s="335"/>
      <c r="CS285" s="335"/>
      <c r="CT285" s="335"/>
      <c r="CU285" s="335"/>
      <c r="CV285" s="335"/>
      <c r="CW285" s="335"/>
      <c r="CX285" s="335"/>
      <c r="CY285" s="335"/>
      <c r="CZ285" s="335"/>
      <c r="DA285" s="335"/>
      <c r="DB285" s="335"/>
      <c r="DC285" s="335"/>
      <c r="DD285" s="335"/>
      <c r="DE285" s="335"/>
      <c r="DF285" s="335"/>
      <c r="DG285" s="335"/>
      <c r="DH285" s="335"/>
      <c r="DI285" s="335"/>
      <c r="DJ285" s="335"/>
      <c r="DK285" s="335"/>
      <c r="DL285" s="335"/>
      <c r="DM285" s="335"/>
      <c r="DN285" s="335"/>
      <c r="DO285" s="335"/>
      <c r="DP285" s="335"/>
      <c r="DQ285" s="335"/>
      <c r="DR285" s="335"/>
      <c r="DS285" s="335"/>
      <c r="DT285" s="335"/>
      <c r="DU285" s="335"/>
      <c r="DV285" s="335"/>
      <c r="DW285" s="335"/>
      <c r="DX285" s="335"/>
      <c r="DY285" s="335"/>
      <c r="DZ285" s="335"/>
      <c r="EA285" s="335"/>
      <c r="EB285" s="335"/>
      <c r="EC285" s="335"/>
      <c r="ED285" s="335"/>
      <c r="EE285" s="335"/>
      <c r="EF285" s="335"/>
      <c r="EG285" s="335"/>
      <c r="EH285" s="335"/>
      <c r="EI285" s="335"/>
      <c r="EJ285" s="335"/>
      <c r="EK285" s="335"/>
      <c r="EL285" s="335"/>
      <c r="EM285" s="335"/>
    </row>
    <row r="286" spans="72:143">
      <c r="BT286" s="187"/>
      <c r="BU286" s="187" t="s">
        <v>70</v>
      </c>
      <c r="BV286" s="196">
        <v>120034</v>
      </c>
      <c r="BW286" s="197" t="e">
        <f t="shared" si="136"/>
        <v>#REF!</v>
      </c>
      <c r="BX286" s="198" t="e">
        <f>IF(AND(State_LOB_Code=18,LEFT(BW286,4)&lt;"2009"),81,State_LOB_Code)&amp;"|358"</f>
        <v>#REF!</v>
      </c>
      <c r="BY286" s="215"/>
      <c r="BZ286" s="216"/>
      <c r="CD286" s="163"/>
      <c r="CE286" s="363"/>
      <c r="CF286" s="335"/>
      <c r="CG286" s="335"/>
      <c r="CH286" s="335"/>
      <c r="CI286" s="335"/>
      <c r="CJ286" s="335"/>
      <c r="CK286" s="335"/>
      <c r="CL286" s="335"/>
      <c r="CM286" s="335"/>
      <c r="CN286" s="335"/>
      <c r="CO286" s="335"/>
      <c r="CP286" s="335"/>
      <c r="CQ286" s="335"/>
      <c r="CR286" s="335"/>
      <c r="CS286" s="335"/>
      <c r="CT286" s="335"/>
      <c r="CU286" s="335"/>
      <c r="CV286" s="335"/>
      <c r="CW286" s="335"/>
      <c r="CX286" s="335"/>
      <c r="CY286" s="335"/>
      <c r="CZ286" s="335"/>
      <c r="DA286" s="335"/>
      <c r="DB286" s="335"/>
      <c r="DC286" s="335"/>
      <c r="DD286" s="335"/>
      <c r="DE286" s="335"/>
      <c r="DF286" s="335"/>
      <c r="DG286" s="335"/>
      <c r="DH286" s="335"/>
      <c r="DI286" s="335"/>
      <c r="DJ286" s="335"/>
      <c r="DK286" s="335"/>
      <c r="DL286" s="335"/>
      <c r="DM286" s="335"/>
      <c r="DN286" s="335"/>
      <c r="DO286" s="335"/>
      <c r="DP286" s="335"/>
      <c r="DQ286" s="335"/>
      <c r="DR286" s="335"/>
      <c r="DS286" s="335"/>
      <c r="DT286" s="335"/>
      <c r="DU286" s="335"/>
      <c r="DV286" s="335"/>
      <c r="DW286" s="335"/>
      <c r="DX286" s="335"/>
      <c r="DY286" s="335"/>
      <c r="DZ286" s="335"/>
      <c r="EA286" s="335"/>
      <c r="EB286" s="335"/>
      <c r="EC286" s="335"/>
      <c r="ED286" s="335"/>
      <c r="EE286" s="335"/>
      <c r="EF286" s="335"/>
      <c r="EG286" s="335"/>
      <c r="EH286" s="335"/>
      <c r="EI286" s="335"/>
      <c r="EJ286" s="335"/>
      <c r="EK286" s="335"/>
      <c r="EL286" s="335"/>
      <c r="EM286" s="335"/>
    </row>
    <row r="287" spans="72:143">
      <c r="BT287" s="187"/>
      <c r="BU287" s="187" t="s">
        <v>71</v>
      </c>
      <c r="BV287" s="196">
        <v>120034</v>
      </c>
      <c r="BW287" s="197" t="e">
        <f t="shared" si="136"/>
        <v>#REF!</v>
      </c>
      <c r="BX287" s="198" t="e">
        <f>IF(AND(State_LOB_Code=18,LEFT(BW287,4)&lt;"2009"),81,State_LOB_Code)&amp;"|359"</f>
        <v>#REF!</v>
      </c>
      <c r="BY287" s="215"/>
      <c r="BZ287" s="216"/>
      <c r="CD287" s="163"/>
      <c r="CE287" s="363"/>
      <c r="CF287" s="335"/>
      <c r="CG287" s="335"/>
      <c r="CH287" s="335"/>
      <c r="CI287" s="335"/>
      <c r="CJ287" s="335"/>
      <c r="CK287" s="335"/>
      <c r="CL287" s="335"/>
      <c r="CM287" s="335"/>
      <c r="CN287" s="335"/>
      <c r="CO287" s="335"/>
      <c r="CP287" s="335"/>
      <c r="CQ287" s="335"/>
      <c r="CR287" s="335"/>
      <c r="CS287" s="335"/>
      <c r="CT287" s="335"/>
      <c r="CU287" s="335"/>
      <c r="CV287" s="335"/>
      <c r="CW287" s="335"/>
      <c r="CX287" s="335"/>
      <c r="CY287" s="335"/>
      <c r="CZ287" s="335"/>
      <c r="DA287" s="335"/>
      <c r="DB287" s="335"/>
      <c r="DC287" s="335"/>
      <c r="DD287" s="335"/>
      <c r="DE287" s="335"/>
      <c r="DF287" s="335"/>
      <c r="DG287" s="335"/>
      <c r="DH287" s="335"/>
      <c r="DI287" s="335"/>
      <c r="DJ287" s="335"/>
      <c r="DK287" s="335"/>
      <c r="DL287" s="335"/>
      <c r="DM287" s="335"/>
      <c r="DN287" s="335"/>
      <c r="DO287" s="335"/>
      <c r="DP287" s="335"/>
      <c r="DQ287" s="335"/>
      <c r="DR287" s="335"/>
      <c r="DS287" s="335"/>
      <c r="DT287" s="335"/>
      <c r="DU287" s="335"/>
      <c r="DV287" s="335"/>
      <c r="DW287" s="335"/>
      <c r="DX287" s="335"/>
      <c r="DY287" s="335"/>
      <c r="DZ287" s="335"/>
      <c r="EA287" s="335"/>
      <c r="EB287" s="335"/>
      <c r="EC287" s="335"/>
      <c r="ED287" s="335"/>
      <c r="EE287" s="335"/>
      <c r="EF287" s="335"/>
      <c r="EG287" s="335"/>
      <c r="EH287" s="335"/>
      <c r="EI287" s="335"/>
      <c r="EJ287" s="335"/>
      <c r="EK287" s="335"/>
      <c r="EL287" s="335"/>
      <c r="EM287" s="335"/>
    </row>
    <row r="288" spans="72:143">
      <c r="BT288" s="187"/>
      <c r="BU288" s="187" t="s">
        <v>72</v>
      </c>
      <c r="BV288" s="196">
        <v>120034</v>
      </c>
      <c r="BW288" s="197" t="e">
        <f t="shared" si="136"/>
        <v>#REF!</v>
      </c>
      <c r="BX288" s="198" t="e">
        <f>IF(AND(State_LOB_Code=18,LEFT(BW288,4)&lt;"2009"),81,State_LOB_Code)&amp;"|361"</f>
        <v>#REF!</v>
      </c>
      <c r="BY288" s="215"/>
      <c r="BZ288" s="216"/>
      <c r="CD288" s="163"/>
      <c r="CE288" s="363"/>
      <c r="CF288" s="335"/>
      <c r="CG288" s="335"/>
      <c r="CH288" s="335"/>
      <c r="CI288" s="335"/>
      <c r="CJ288" s="335"/>
      <c r="CK288" s="335"/>
      <c r="CL288" s="335"/>
      <c r="CM288" s="335"/>
      <c r="CN288" s="335"/>
      <c r="CO288" s="335"/>
      <c r="CP288" s="335"/>
      <c r="CQ288" s="335"/>
      <c r="CR288" s="335"/>
      <c r="CS288" s="335"/>
      <c r="CT288" s="335"/>
      <c r="CU288" s="335"/>
      <c r="CV288" s="335"/>
      <c r="CW288" s="335"/>
      <c r="CX288" s="335"/>
      <c r="CY288" s="335"/>
      <c r="CZ288" s="335"/>
      <c r="DA288" s="335"/>
      <c r="DB288" s="335"/>
      <c r="DC288" s="335"/>
      <c r="DD288" s="335"/>
      <c r="DE288" s="335"/>
      <c r="DF288" s="335"/>
      <c r="DG288" s="335"/>
      <c r="DH288" s="335"/>
      <c r="DI288" s="335"/>
      <c r="DJ288" s="335"/>
      <c r="DK288" s="335"/>
      <c r="DL288" s="335"/>
      <c r="DM288" s="335"/>
      <c r="DN288" s="335"/>
      <c r="DO288" s="335"/>
      <c r="DP288" s="335"/>
      <c r="DQ288" s="335"/>
      <c r="DR288" s="335"/>
      <c r="DS288" s="335"/>
      <c r="DT288" s="335"/>
      <c r="DU288" s="335"/>
      <c r="DV288" s="335"/>
      <c r="DW288" s="335"/>
      <c r="DX288" s="335"/>
      <c r="DY288" s="335"/>
      <c r="DZ288" s="335"/>
      <c r="EA288" s="335"/>
      <c r="EB288" s="335"/>
      <c r="EC288" s="335"/>
      <c r="ED288" s="335"/>
      <c r="EE288" s="335"/>
      <c r="EF288" s="335"/>
      <c r="EG288" s="335"/>
      <c r="EH288" s="335"/>
      <c r="EI288" s="335"/>
      <c r="EJ288" s="335"/>
      <c r="EK288" s="335"/>
      <c r="EL288" s="335"/>
      <c r="EM288" s="335"/>
    </row>
    <row r="289" spans="72:143">
      <c r="BT289" s="187"/>
      <c r="BU289" s="187" t="s">
        <v>73</v>
      </c>
      <c r="BV289" s="196">
        <v>120034</v>
      </c>
      <c r="BW289" s="197" t="e">
        <f t="shared" si="136"/>
        <v>#REF!</v>
      </c>
      <c r="BX289" s="198" t="e">
        <f>IF(AND(State_LOB_Code=18,LEFT(BW289,4)&lt;"2009"),81,State_LOB_Code)&amp;"|362"</f>
        <v>#REF!</v>
      </c>
      <c r="BY289" s="215"/>
      <c r="BZ289" s="216"/>
      <c r="CD289" s="163"/>
      <c r="CE289" s="363"/>
      <c r="CF289" s="335"/>
      <c r="CG289" s="335"/>
      <c r="CH289" s="335"/>
      <c r="CI289" s="335"/>
      <c r="CJ289" s="335"/>
      <c r="CK289" s="335"/>
      <c r="CL289" s="335"/>
      <c r="CM289" s="335"/>
      <c r="CN289" s="335"/>
      <c r="CO289" s="335"/>
      <c r="CP289" s="335"/>
      <c r="CQ289" s="335"/>
      <c r="CR289" s="335"/>
      <c r="CS289" s="335"/>
      <c r="CT289" s="335"/>
      <c r="CU289" s="335"/>
      <c r="CV289" s="335"/>
      <c r="CW289" s="335"/>
      <c r="CX289" s="335"/>
      <c r="CY289" s="335"/>
      <c r="CZ289" s="335"/>
      <c r="DA289" s="335"/>
      <c r="DB289" s="335"/>
      <c r="DC289" s="335"/>
      <c r="DD289" s="335"/>
      <c r="DE289" s="335"/>
      <c r="DF289" s="335"/>
      <c r="DG289" s="335"/>
      <c r="DH289" s="335"/>
      <c r="DI289" s="335"/>
      <c r="DJ289" s="335"/>
      <c r="DK289" s="335"/>
      <c r="DL289" s="335"/>
      <c r="DM289" s="335"/>
      <c r="DN289" s="335"/>
      <c r="DO289" s="335"/>
      <c r="DP289" s="335"/>
      <c r="DQ289" s="335"/>
      <c r="DR289" s="335"/>
      <c r="DS289" s="335"/>
      <c r="DT289" s="335"/>
      <c r="DU289" s="335"/>
      <c r="DV289" s="335"/>
      <c r="DW289" s="335"/>
      <c r="DX289" s="335"/>
      <c r="DY289" s="335"/>
      <c r="DZ289" s="335"/>
      <c r="EA289" s="335"/>
      <c r="EB289" s="335"/>
      <c r="EC289" s="335"/>
      <c r="ED289" s="335"/>
      <c r="EE289" s="335"/>
      <c r="EF289" s="335"/>
      <c r="EG289" s="335"/>
      <c r="EH289" s="335"/>
      <c r="EI289" s="335"/>
      <c r="EJ289" s="335"/>
      <c r="EK289" s="335"/>
      <c r="EL289" s="335"/>
      <c r="EM289" s="335"/>
    </row>
    <row r="290" spans="72:143">
      <c r="BT290" s="187"/>
      <c r="BU290" s="187" t="s">
        <v>74</v>
      </c>
      <c r="BV290" s="196">
        <v>120034</v>
      </c>
      <c r="BW290" s="197" t="e">
        <f t="shared" si="136"/>
        <v>#REF!</v>
      </c>
      <c r="BX290" s="198" t="e">
        <f>IF(AND(State_LOB_Code=18,LEFT(BW290,4)&lt;"2009"),81,State_LOB_Code)&amp;"|363"</f>
        <v>#REF!</v>
      </c>
      <c r="BY290" s="215"/>
      <c r="BZ290" s="216"/>
      <c r="CD290" s="163"/>
      <c r="CE290" s="363"/>
      <c r="CF290" s="335"/>
      <c r="CG290" s="335"/>
      <c r="CH290" s="335"/>
      <c r="CI290" s="335"/>
      <c r="CJ290" s="335"/>
      <c r="CK290" s="335"/>
      <c r="CL290" s="335"/>
      <c r="CM290" s="335"/>
      <c r="CN290" s="335"/>
      <c r="CO290" s="335"/>
      <c r="CP290" s="335"/>
      <c r="CQ290" s="335"/>
      <c r="CR290" s="335"/>
      <c r="CS290" s="335"/>
      <c r="CT290" s="335"/>
      <c r="CU290" s="335"/>
      <c r="CV290" s="335"/>
      <c r="CW290" s="335"/>
      <c r="CX290" s="335"/>
      <c r="CY290" s="335"/>
      <c r="CZ290" s="335"/>
      <c r="DA290" s="335"/>
      <c r="DB290" s="335"/>
      <c r="DC290" s="335"/>
      <c r="DD290" s="335"/>
      <c r="DE290" s="335"/>
      <c r="DF290" s="335"/>
      <c r="DG290" s="335"/>
      <c r="DH290" s="335"/>
      <c r="DI290" s="335"/>
      <c r="DJ290" s="335"/>
      <c r="DK290" s="335"/>
      <c r="DL290" s="335"/>
      <c r="DM290" s="335"/>
      <c r="DN290" s="335"/>
      <c r="DO290" s="335"/>
      <c r="DP290" s="335"/>
      <c r="DQ290" s="335"/>
      <c r="DR290" s="335"/>
      <c r="DS290" s="335"/>
      <c r="DT290" s="335"/>
      <c r="DU290" s="335"/>
      <c r="DV290" s="335"/>
      <c r="DW290" s="335"/>
      <c r="DX290" s="335"/>
      <c r="DY290" s="335"/>
      <c r="DZ290" s="335"/>
      <c r="EA290" s="335"/>
      <c r="EB290" s="335"/>
      <c r="EC290" s="335"/>
      <c r="ED290" s="335"/>
      <c r="EE290" s="335"/>
      <c r="EF290" s="335"/>
      <c r="EG290" s="335"/>
      <c r="EH290" s="335"/>
      <c r="EI290" s="335"/>
      <c r="EJ290" s="335"/>
      <c r="EK290" s="335"/>
      <c r="EL290" s="335"/>
      <c r="EM290" s="335"/>
    </row>
    <row r="291" spans="72:143">
      <c r="BT291" s="187"/>
      <c r="BU291" s="187" t="s">
        <v>75</v>
      </c>
      <c r="BV291" s="196">
        <v>120034</v>
      </c>
      <c r="BW291" s="197" t="e">
        <f t="shared" si="136"/>
        <v>#REF!</v>
      </c>
      <c r="BX291" s="198" t="e">
        <f>IF(AND(State_LOB_Code=18,LEFT(BW291,4)&lt;"2009"),81,State_LOB_Code)&amp;"|364"</f>
        <v>#REF!</v>
      </c>
      <c r="BY291" s="215"/>
      <c r="BZ291" s="216"/>
      <c r="CD291" s="163"/>
      <c r="CE291" s="363"/>
      <c r="CF291" s="335"/>
      <c r="CG291" s="335"/>
      <c r="CH291" s="335"/>
      <c r="CI291" s="335"/>
      <c r="CJ291" s="335"/>
      <c r="CK291" s="335"/>
      <c r="CL291" s="335"/>
      <c r="CM291" s="335"/>
      <c r="CN291" s="335"/>
      <c r="CO291" s="335"/>
      <c r="CP291" s="335"/>
      <c r="CQ291" s="335"/>
      <c r="CR291" s="335"/>
      <c r="CS291" s="335"/>
      <c r="CT291" s="335"/>
      <c r="CU291" s="335"/>
      <c r="CV291" s="335"/>
      <c r="CW291" s="335"/>
      <c r="CX291" s="335"/>
      <c r="CY291" s="335"/>
      <c r="CZ291" s="335"/>
      <c r="DA291" s="335"/>
      <c r="DB291" s="335"/>
      <c r="DC291" s="335"/>
      <c r="DD291" s="335"/>
      <c r="DE291" s="335"/>
      <c r="DF291" s="335"/>
      <c r="DG291" s="335"/>
      <c r="DH291" s="335"/>
      <c r="DI291" s="335"/>
      <c r="DJ291" s="335"/>
      <c r="DK291" s="335"/>
      <c r="DL291" s="335"/>
      <c r="DM291" s="335"/>
      <c r="DN291" s="335"/>
      <c r="DO291" s="335"/>
      <c r="DP291" s="335"/>
      <c r="DQ291" s="335"/>
      <c r="DR291" s="335"/>
      <c r="DS291" s="335"/>
      <c r="DT291" s="335"/>
      <c r="DU291" s="335"/>
      <c r="DV291" s="335"/>
      <c r="DW291" s="335"/>
      <c r="DX291" s="335"/>
      <c r="DY291" s="335"/>
      <c r="DZ291" s="335"/>
      <c r="EA291" s="335"/>
      <c r="EB291" s="335"/>
      <c r="EC291" s="335"/>
      <c r="ED291" s="335"/>
      <c r="EE291" s="335"/>
      <c r="EF291" s="335"/>
      <c r="EG291" s="335"/>
      <c r="EH291" s="335"/>
      <c r="EI291" s="335"/>
      <c r="EJ291" s="335"/>
      <c r="EK291" s="335"/>
      <c r="EL291" s="335"/>
      <c r="EM291" s="335"/>
    </row>
    <row r="292" spans="72:143">
      <c r="BT292" s="187"/>
      <c r="BU292" s="187" t="s">
        <v>76</v>
      </c>
      <c r="BV292" s="196">
        <v>120034</v>
      </c>
      <c r="BW292" s="197" t="e">
        <f t="shared" si="136"/>
        <v>#REF!</v>
      </c>
      <c r="BX292" s="198" t="e">
        <f>IF(AND(State_LOB_Code=18,LEFT(BW292,4)&lt;"2009"),81,State_LOB_Code)&amp;"|365"</f>
        <v>#REF!</v>
      </c>
      <c r="BY292" s="215"/>
      <c r="BZ292" s="216"/>
      <c r="CD292" s="163"/>
      <c r="CE292" s="363"/>
      <c r="CF292" s="335"/>
      <c r="CG292" s="335"/>
      <c r="CH292" s="335"/>
      <c r="CI292" s="335"/>
      <c r="CJ292" s="335"/>
      <c r="CK292" s="335"/>
      <c r="CL292" s="335"/>
      <c r="CM292" s="335"/>
      <c r="CN292" s="335"/>
      <c r="CO292" s="335"/>
      <c r="CP292" s="335"/>
      <c r="CQ292" s="335"/>
      <c r="CR292" s="335"/>
      <c r="CS292" s="335"/>
      <c r="CT292" s="335"/>
      <c r="CU292" s="335"/>
      <c r="CV292" s="335"/>
      <c r="CW292" s="335"/>
      <c r="CX292" s="335"/>
      <c r="CY292" s="335"/>
      <c r="CZ292" s="335"/>
      <c r="DA292" s="335"/>
      <c r="DB292" s="335"/>
      <c r="DC292" s="335"/>
      <c r="DD292" s="335"/>
      <c r="DE292" s="335"/>
      <c r="DF292" s="335"/>
      <c r="DG292" s="335"/>
      <c r="DH292" s="335"/>
      <c r="DI292" s="335"/>
      <c r="DJ292" s="335"/>
      <c r="DK292" s="335"/>
      <c r="DL292" s="335"/>
      <c r="DM292" s="335"/>
      <c r="DN292" s="335"/>
      <c r="DO292" s="335"/>
      <c r="DP292" s="335"/>
      <c r="DQ292" s="335"/>
      <c r="DR292" s="335"/>
      <c r="DS292" s="335"/>
      <c r="DT292" s="335"/>
      <c r="DU292" s="335"/>
      <c r="DV292" s="335"/>
      <c r="DW292" s="335"/>
      <c r="DX292" s="335"/>
      <c r="DY292" s="335"/>
      <c r="DZ292" s="335"/>
      <c r="EA292" s="335"/>
      <c r="EB292" s="335"/>
      <c r="EC292" s="335"/>
      <c r="ED292" s="335"/>
      <c r="EE292" s="335"/>
      <c r="EF292" s="335"/>
      <c r="EG292" s="335"/>
      <c r="EH292" s="335"/>
      <c r="EI292" s="335"/>
      <c r="EJ292" s="335"/>
      <c r="EK292" s="335"/>
      <c r="EL292" s="335"/>
      <c r="EM292" s="335"/>
    </row>
    <row r="293" spans="72:143">
      <c r="BT293" s="187"/>
      <c r="BU293" s="187" t="s">
        <v>77</v>
      </c>
      <c r="BV293" s="196">
        <v>120034</v>
      </c>
      <c r="BW293" s="197" t="e">
        <f t="shared" si="136"/>
        <v>#REF!</v>
      </c>
      <c r="BX293" s="198" t="e">
        <f>IF(AND(State_LOB_Code=18,LEFT(BW293,4)&lt;"2009"),81,State_LOB_Code)&amp;"|366"</f>
        <v>#REF!</v>
      </c>
      <c r="BY293" s="215"/>
      <c r="BZ293" s="216"/>
      <c r="CD293" s="163"/>
      <c r="CE293" s="363"/>
      <c r="CF293" s="335"/>
      <c r="CG293" s="335"/>
      <c r="CH293" s="335"/>
      <c r="CI293" s="335"/>
      <c r="CJ293" s="335"/>
      <c r="CK293" s="335"/>
      <c r="CL293" s="335"/>
      <c r="CM293" s="335"/>
      <c r="CN293" s="335"/>
      <c r="CO293" s="335"/>
      <c r="CP293" s="335"/>
      <c r="CQ293" s="335"/>
      <c r="CR293" s="335"/>
      <c r="CS293" s="335"/>
      <c r="CT293" s="335"/>
      <c r="CU293" s="335"/>
      <c r="CV293" s="335"/>
      <c r="CW293" s="335"/>
      <c r="CX293" s="335"/>
      <c r="CY293" s="335"/>
      <c r="CZ293" s="335"/>
      <c r="DA293" s="335"/>
      <c r="DB293" s="335"/>
      <c r="DC293" s="335"/>
      <c r="DD293" s="335"/>
      <c r="DE293" s="335"/>
      <c r="DF293" s="335"/>
      <c r="DG293" s="335"/>
      <c r="DH293" s="335"/>
      <c r="DI293" s="335"/>
      <c r="DJ293" s="335"/>
      <c r="DK293" s="335"/>
      <c r="DL293" s="335"/>
      <c r="DM293" s="335"/>
      <c r="DN293" s="335"/>
      <c r="DO293" s="335"/>
      <c r="DP293" s="335"/>
      <c r="DQ293" s="335"/>
      <c r="DR293" s="335"/>
      <c r="DS293" s="335"/>
      <c r="DT293" s="335"/>
      <c r="DU293" s="335"/>
      <c r="DV293" s="335"/>
      <c r="DW293" s="335"/>
      <c r="DX293" s="335"/>
      <c r="DY293" s="335"/>
      <c r="DZ293" s="335"/>
      <c r="EA293" s="335"/>
      <c r="EB293" s="335"/>
      <c r="EC293" s="335"/>
      <c r="ED293" s="335"/>
      <c r="EE293" s="335"/>
      <c r="EF293" s="335"/>
      <c r="EG293" s="335"/>
      <c r="EH293" s="335"/>
      <c r="EI293" s="335"/>
      <c r="EJ293" s="335"/>
      <c r="EK293" s="335"/>
      <c r="EL293" s="335"/>
      <c r="EM293" s="335"/>
    </row>
    <row r="294" spans="72:143">
      <c r="BT294" s="187"/>
      <c r="BU294" s="187" t="s">
        <v>78</v>
      </c>
      <c r="BV294" s="196">
        <v>120034</v>
      </c>
      <c r="BW294" s="197" t="e">
        <f t="shared" si="136"/>
        <v>#REF!</v>
      </c>
      <c r="BX294" s="198" t="e">
        <f>IF(AND(State_LOB_Code=18,LEFT(BW294,4)&lt;"2009"),81,State_LOB_Code)&amp;"|367"</f>
        <v>#REF!</v>
      </c>
      <c r="BY294" s="215"/>
      <c r="BZ294" s="216"/>
      <c r="CD294" s="163"/>
      <c r="CE294" s="363"/>
      <c r="CF294" s="335"/>
      <c r="CG294" s="335"/>
      <c r="CH294" s="335"/>
      <c r="CI294" s="335"/>
      <c r="CJ294" s="335"/>
      <c r="CK294" s="335"/>
      <c r="CL294" s="335"/>
      <c r="CM294" s="335"/>
      <c r="CN294" s="335"/>
      <c r="CO294" s="335"/>
      <c r="CP294" s="335"/>
      <c r="CQ294" s="335"/>
      <c r="CR294" s="335"/>
      <c r="CS294" s="335"/>
      <c r="CT294" s="335"/>
      <c r="CU294" s="335"/>
      <c r="CV294" s="335"/>
      <c r="CW294" s="335"/>
      <c r="CX294" s="335"/>
      <c r="CY294" s="335"/>
      <c r="CZ294" s="335"/>
      <c r="DA294" s="335"/>
      <c r="DB294" s="335"/>
      <c r="DC294" s="335"/>
      <c r="DD294" s="335"/>
      <c r="DE294" s="335"/>
      <c r="DF294" s="335"/>
      <c r="DG294" s="335"/>
      <c r="DH294" s="335"/>
      <c r="DI294" s="335"/>
      <c r="DJ294" s="335"/>
      <c r="DK294" s="335"/>
      <c r="DL294" s="335"/>
      <c r="DM294" s="335"/>
      <c r="DN294" s="335"/>
      <c r="DO294" s="335"/>
      <c r="DP294" s="335"/>
      <c r="DQ294" s="335"/>
      <c r="DR294" s="335"/>
      <c r="DS294" s="335"/>
      <c r="DT294" s="335"/>
      <c r="DU294" s="335"/>
      <c r="DV294" s="335"/>
      <c r="DW294" s="335"/>
      <c r="DX294" s="335"/>
      <c r="DY294" s="335"/>
      <c r="DZ294" s="335"/>
      <c r="EA294" s="335"/>
      <c r="EB294" s="335"/>
      <c r="EC294" s="335"/>
      <c r="ED294" s="335"/>
      <c r="EE294" s="335"/>
      <c r="EF294" s="335"/>
      <c r="EG294" s="335"/>
      <c r="EH294" s="335"/>
      <c r="EI294" s="335"/>
      <c r="EJ294" s="335"/>
      <c r="EK294" s="335"/>
      <c r="EL294" s="335"/>
      <c r="EM294" s="335"/>
    </row>
    <row r="295" spans="72:143">
      <c r="BT295" s="187"/>
      <c r="BU295" s="187" t="s">
        <v>79</v>
      </c>
      <c r="BV295" s="196">
        <v>120034</v>
      </c>
      <c r="BW295" s="197" t="e">
        <f t="shared" ref="BW295:BW322" si="137">Period_Y</f>
        <v>#REF!</v>
      </c>
      <c r="BX295" s="198" t="e">
        <f>IF(AND(State_LOB_Code=18,LEFT(BW295,4)&lt;"2009"),81,State_LOB_Code)&amp;"|368"</f>
        <v>#REF!</v>
      </c>
      <c r="BY295" s="215"/>
      <c r="BZ295" s="216"/>
      <c r="CD295" s="163"/>
      <c r="CE295" s="363"/>
      <c r="CF295" s="335"/>
      <c r="CG295" s="335"/>
      <c r="CH295" s="335"/>
      <c r="CI295" s="335"/>
      <c r="CJ295" s="335"/>
      <c r="CK295" s="335"/>
      <c r="CL295" s="335"/>
      <c r="CM295" s="335"/>
      <c r="CN295" s="335"/>
      <c r="CO295" s="335"/>
      <c r="CP295" s="335"/>
      <c r="CQ295" s="335"/>
      <c r="CR295" s="335"/>
      <c r="CS295" s="335"/>
      <c r="CT295" s="335"/>
      <c r="CU295" s="335"/>
      <c r="CV295" s="335"/>
      <c r="CW295" s="335"/>
      <c r="CX295" s="335"/>
      <c r="CY295" s="335"/>
      <c r="CZ295" s="335"/>
      <c r="DA295" s="335"/>
      <c r="DB295" s="335"/>
      <c r="DC295" s="335"/>
      <c r="DD295" s="335"/>
      <c r="DE295" s="335"/>
      <c r="DF295" s="335"/>
      <c r="DG295" s="335"/>
      <c r="DH295" s="335"/>
      <c r="DI295" s="335"/>
      <c r="DJ295" s="335"/>
      <c r="DK295" s="335"/>
      <c r="DL295" s="335"/>
      <c r="DM295" s="335"/>
      <c r="DN295" s="335"/>
      <c r="DO295" s="335"/>
      <c r="DP295" s="335"/>
      <c r="DQ295" s="335"/>
      <c r="DR295" s="335"/>
      <c r="DS295" s="335"/>
      <c r="DT295" s="335"/>
      <c r="DU295" s="335"/>
      <c r="DV295" s="335"/>
      <c r="DW295" s="335"/>
      <c r="DX295" s="335"/>
      <c r="DY295" s="335"/>
      <c r="DZ295" s="335"/>
      <c r="EA295" s="335"/>
      <c r="EB295" s="335"/>
      <c r="EC295" s="335"/>
      <c r="ED295" s="335"/>
      <c r="EE295" s="335"/>
      <c r="EF295" s="335"/>
      <c r="EG295" s="335"/>
      <c r="EH295" s="335"/>
      <c r="EI295" s="335"/>
      <c r="EJ295" s="335"/>
      <c r="EK295" s="335"/>
      <c r="EL295" s="335"/>
      <c r="EM295" s="335"/>
    </row>
    <row r="296" spans="72:143">
      <c r="BT296" s="187"/>
      <c r="BU296" s="187" t="s">
        <v>80</v>
      </c>
      <c r="BV296" s="196">
        <v>120034</v>
      </c>
      <c r="BW296" s="197" t="e">
        <f t="shared" si="137"/>
        <v>#REF!</v>
      </c>
      <c r="BX296" s="198" t="e">
        <f>IF(AND(State_LOB_Code=18,LEFT(BW296,4)&lt;"2009"),81,State_LOB_Code)&amp;"|369"</f>
        <v>#REF!</v>
      </c>
      <c r="BY296" s="215"/>
      <c r="BZ296" s="216"/>
      <c r="CD296" s="163"/>
      <c r="CE296" s="363"/>
      <c r="CF296" s="335"/>
      <c r="CG296" s="335"/>
      <c r="CH296" s="335"/>
      <c r="CI296" s="335"/>
      <c r="CJ296" s="335"/>
      <c r="CK296" s="335"/>
      <c r="CL296" s="335"/>
      <c r="CM296" s="335"/>
      <c r="CN296" s="335"/>
      <c r="CO296" s="335"/>
      <c r="CP296" s="335"/>
      <c r="CQ296" s="335"/>
      <c r="CR296" s="335"/>
      <c r="CS296" s="335"/>
      <c r="CT296" s="335"/>
      <c r="CU296" s="335"/>
      <c r="CV296" s="335"/>
      <c r="CW296" s="335"/>
      <c r="CX296" s="335"/>
      <c r="CY296" s="335"/>
      <c r="CZ296" s="335"/>
      <c r="DA296" s="335"/>
      <c r="DB296" s="335"/>
      <c r="DC296" s="335"/>
      <c r="DD296" s="335"/>
      <c r="DE296" s="335"/>
      <c r="DF296" s="335"/>
      <c r="DG296" s="335"/>
      <c r="DH296" s="335"/>
      <c r="DI296" s="335"/>
      <c r="DJ296" s="335"/>
      <c r="DK296" s="335"/>
      <c r="DL296" s="335"/>
      <c r="DM296" s="335"/>
      <c r="DN296" s="335"/>
      <c r="DO296" s="335"/>
      <c r="DP296" s="335"/>
      <c r="DQ296" s="335"/>
      <c r="DR296" s="335"/>
      <c r="DS296" s="335"/>
      <c r="DT296" s="335"/>
      <c r="DU296" s="335"/>
      <c r="DV296" s="335"/>
      <c r="DW296" s="335"/>
      <c r="DX296" s="335"/>
      <c r="DY296" s="335"/>
      <c r="DZ296" s="335"/>
      <c r="EA296" s="335"/>
      <c r="EB296" s="335"/>
      <c r="EC296" s="335"/>
      <c r="ED296" s="335"/>
      <c r="EE296" s="335"/>
      <c r="EF296" s="335"/>
      <c r="EG296" s="335"/>
      <c r="EH296" s="335"/>
      <c r="EI296" s="335"/>
      <c r="EJ296" s="335"/>
      <c r="EK296" s="335"/>
      <c r="EL296" s="335"/>
      <c r="EM296" s="335"/>
    </row>
    <row r="297" spans="72:143">
      <c r="BT297" s="187"/>
      <c r="BU297" s="187" t="s">
        <v>81</v>
      </c>
      <c r="BV297" s="196">
        <v>120034</v>
      </c>
      <c r="BW297" s="197" t="e">
        <f t="shared" si="137"/>
        <v>#REF!</v>
      </c>
      <c r="BX297" s="198" t="e">
        <f>IF(AND(State_LOB_Code=18,LEFT(BW297,4)&lt;"2009"),81,State_LOB_Code)&amp;"|370"</f>
        <v>#REF!</v>
      </c>
      <c r="BY297" s="215"/>
      <c r="BZ297" s="216"/>
      <c r="CD297" s="163"/>
      <c r="CE297" s="363"/>
      <c r="CF297" s="335"/>
      <c r="CG297" s="335"/>
      <c r="CH297" s="335"/>
      <c r="CI297" s="335"/>
      <c r="CJ297" s="335"/>
      <c r="CK297" s="335"/>
      <c r="CL297" s="335"/>
      <c r="CM297" s="335"/>
      <c r="CN297" s="335"/>
      <c r="CO297" s="335"/>
      <c r="CP297" s="335"/>
      <c r="CQ297" s="335"/>
      <c r="CR297" s="335"/>
      <c r="CS297" s="335"/>
      <c r="CT297" s="335"/>
      <c r="CU297" s="335"/>
      <c r="CV297" s="335"/>
      <c r="CW297" s="335"/>
      <c r="CX297" s="335"/>
      <c r="CY297" s="335"/>
      <c r="CZ297" s="335"/>
      <c r="DA297" s="335"/>
      <c r="DB297" s="335"/>
      <c r="DC297" s="335"/>
      <c r="DD297" s="335"/>
      <c r="DE297" s="335"/>
      <c r="DF297" s="335"/>
      <c r="DG297" s="335"/>
      <c r="DH297" s="335"/>
      <c r="DI297" s="335"/>
      <c r="DJ297" s="335"/>
      <c r="DK297" s="335"/>
      <c r="DL297" s="335"/>
      <c r="DM297" s="335"/>
      <c r="DN297" s="335"/>
      <c r="DO297" s="335"/>
      <c r="DP297" s="335"/>
      <c r="DQ297" s="335"/>
      <c r="DR297" s="335"/>
      <c r="DS297" s="335"/>
      <c r="DT297" s="335"/>
      <c r="DU297" s="335"/>
      <c r="DV297" s="335"/>
      <c r="DW297" s="335"/>
      <c r="DX297" s="335"/>
      <c r="DY297" s="335"/>
      <c r="DZ297" s="335"/>
      <c r="EA297" s="335"/>
      <c r="EB297" s="335"/>
      <c r="EC297" s="335"/>
      <c r="ED297" s="335"/>
      <c r="EE297" s="335"/>
      <c r="EF297" s="335"/>
      <c r="EG297" s="335"/>
      <c r="EH297" s="335"/>
      <c r="EI297" s="335"/>
      <c r="EJ297" s="335"/>
      <c r="EK297" s="335"/>
      <c r="EL297" s="335"/>
      <c r="EM297" s="335"/>
    </row>
    <row r="298" spans="72:143">
      <c r="BT298" s="187"/>
      <c r="BU298" s="187" t="s">
        <v>82</v>
      </c>
      <c r="BV298" s="196">
        <v>120034</v>
      </c>
      <c r="BW298" s="197" t="e">
        <f t="shared" si="137"/>
        <v>#REF!</v>
      </c>
      <c r="BX298" s="198" t="e">
        <f>IF(AND(State_LOB_Code=18,LEFT(BW298,4)&lt;"2009"),81,State_LOB_Code)&amp;"|371"</f>
        <v>#REF!</v>
      </c>
      <c r="BY298" s="215"/>
      <c r="BZ298" s="216"/>
      <c r="CD298" s="163"/>
      <c r="CE298" s="363"/>
      <c r="CF298" s="335"/>
      <c r="CG298" s="335"/>
      <c r="CH298" s="335"/>
      <c r="CI298" s="335"/>
      <c r="CJ298" s="335"/>
      <c r="CK298" s="335"/>
      <c r="CL298" s="335"/>
      <c r="CM298" s="335"/>
      <c r="CN298" s="335"/>
      <c r="CO298" s="335"/>
      <c r="CP298" s="335"/>
      <c r="CQ298" s="335"/>
      <c r="CR298" s="335"/>
      <c r="CS298" s="335"/>
      <c r="CT298" s="335"/>
      <c r="CU298" s="335"/>
      <c r="CV298" s="335"/>
      <c r="CW298" s="335"/>
      <c r="CX298" s="335"/>
      <c r="CY298" s="335"/>
      <c r="CZ298" s="335"/>
      <c r="DA298" s="335"/>
      <c r="DB298" s="335"/>
      <c r="DC298" s="335"/>
      <c r="DD298" s="335"/>
      <c r="DE298" s="335"/>
      <c r="DF298" s="335"/>
      <c r="DG298" s="335"/>
      <c r="DH298" s="335"/>
      <c r="DI298" s="335"/>
      <c r="DJ298" s="335"/>
      <c r="DK298" s="335"/>
      <c r="DL298" s="335"/>
      <c r="DM298" s="335"/>
      <c r="DN298" s="335"/>
      <c r="DO298" s="335"/>
      <c r="DP298" s="335"/>
      <c r="DQ298" s="335"/>
      <c r="DR298" s="335"/>
      <c r="DS298" s="335"/>
      <c r="DT298" s="335"/>
      <c r="DU298" s="335"/>
      <c r="DV298" s="335"/>
      <c r="DW298" s="335"/>
      <c r="DX298" s="335"/>
      <c r="DY298" s="335"/>
      <c r="DZ298" s="335"/>
      <c r="EA298" s="335"/>
      <c r="EB298" s="335"/>
      <c r="EC298" s="335"/>
      <c r="ED298" s="335"/>
      <c r="EE298" s="335"/>
      <c r="EF298" s="335"/>
      <c r="EG298" s="335"/>
      <c r="EH298" s="335"/>
      <c r="EI298" s="335"/>
      <c r="EJ298" s="335"/>
      <c r="EK298" s="335"/>
      <c r="EL298" s="335"/>
      <c r="EM298" s="335"/>
    </row>
    <row r="299" spans="72:143">
      <c r="BT299" s="187"/>
      <c r="BU299" s="187" t="s">
        <v>83</v>
      </c>
      <c r="BV299" s="196">
        <v>120034</v>
      </c>
      <c r="BW299" s="197" t="e">
        <f t="shared" si="137"/>
        <v>#REF!</v>
      </c>
      <c r="BX299" s="198" t="e">
        <f>IF(AND(State_LOB_Code=18,LEFT(BW299,4)&lt;"2009"),81,State_LOB_Code)&amp;"|372"</f>
        <v>#REF!</v>
      </c>
      <c r="BY299" s="215"/>
      <c r="BZ299" s="216"/>
      <c r="CD299" s="163"/>
      <c r="CE299" s="363"/>
      <c r="CF299" s="335"/>
      <c r="CG299" s="335"/>
      <c r="CH299" s="335"/>
      <c r="CI299" s="335"/>
      <c r="CJ299" s="335"/>
      <c r="CK299" s="335"/>
      <c r="CL299" s="335"/>
      <c r="CM299" s="335"/>
      <c r="CN299" s="335"/>
      <c r="CO299" s="335"/>
      <c r="CP299" s="335"/>
      <c r="CQ299" s="335"/>
      <c r="CR299" s="335"/>
      <c r="CS299" s="335"/>
      <c r="CT299" s="335"/>
      <c r="CU299" s="335"/>
      <c r="CV299" s="335"/>
      <c r="CW299" s="335"/>
      <c r="CX299" s="335"/>
      <c r="CY299" s="335"/>
      <c r="CZ299" s="335"/>
      <c r="DA299" s="335"/>
      <c r="DB299" s="335"/>
      <c r="DC299" s="335"/>
      <c r="DD299" s="335"/>
      <c r="DE299" s="335"/>
      <c r="DF299" s="335"/>
      <c r="DG299" s="335"/>
      <c r="DH299" s="335"/>
      <c r="DI299" s="335"/>
      <c r="DJ299" s="335"/>
      <c r="DK299" s="335"/>
      <c r="DL299" s="335"/>
      <c r="DM299" s="335"/>
      <c r="DN299" s="335"/>
      <c r="DO299" s="335"/>
      <c r="DP299" s="335"/>
      <c r="DQ299" s="335"/>
      <c r="DR299" s="335"/>
      <c r="DS299" s="335"/>
      <c r="DT299" s="335"/>
      <c r="DU299" s="335"/>
      <c r="DV299" s="335"/>
      <c r="DW299" s="335"/>
      <c r="DX299" s="335"/>
      <c r="DY299" s="335"/>
      <c r="DZ299" s="335"/>
      <c r="EA299" s="335"/>
      <c r="EB299" s="335"/>
      <c r="EC299" s="335"/>
      <c r="ED299" s="335"/>
      <c r="EE299" s="335"/>
      <c r="EF299" s="335"/>
      <c r="EG299" s="335"/>
      <c r="EH299" s="335"/>
      <c r="EI299" s="335"/>
      <c r="EJ299" s="335"/>
      <c r="EK299" s="335"/>
      <c r="EL299" s="335"/>
      <c r="EM299" s="335"/>
    </row>
    <row r="300" spans="72:143">
      <c r="BT300" s="187"/>
      <c r="BU300" s="187" t="s">
        <v>84</v>
      </c>
      <c r="BV300" s="196">
        <v>120034</v>
      </c>
      <c r="BW300" s="197" t="e">
        <f t="shared" si="137"/>
        <v>#REF!</v>
      </c>
      <c r="BX300" s="198" t="e">
        <f>IF(AND(State_LOB_Code=18,LEFT(BW300,4)&lt;"2009"),81,State_LOB_Code)&amp;"|373"</f>
        <v>#REF!</v>
      </c>
      <c r="BY300" s="215"/>
      <c r="BZ300" s="216"/>
      <c r="CD300" s="163"/>
      <c r="CE300" s="363"/>
      <c r="CF300" s="335"/>
      <c r="CG300" s="335"/>
      <c r="CH300" s="335"/>
      <c r="CI300" s="335"/>
      <c r="CJ300" s="335"/>
      <c r="CK300" s="335"/>
      <c r="CL300" s="335"/>
      <c r="CM300" s="335"/>
      <c r="CN300" s="335"/>
      <c r="CO300" s="335"/>
      <c r="CP300" s="335"/>
      <c r="CQ300" s="335"/>
      <c r="CR300" s="335"/>
      <c r="CS300" s="335"/>
      <c r="CT300" s="335"/>
      <c r="CU300" s="335"/>
      <c r="CV300" s="335"/>
      <c r="CW300" s="335"/>
      <c r="CX300" s="335"/>
      <c r="CY300" s="335"/>
      <c r="CZ300" s="335"/>
      <c r="DA300" s="335"/>
      <c r="DB300" s="335"/>
      <c r="DC300" s="335"/>
      <c r="DD300" s="335"/>
      <c r="DE300" s="335"/>
      <c r="DF300" s="335"/>
      <c r="DG300" s="335"/>
      <c r="DH300" s="335"/>
      <c r="DI300" s="335"/>
      <c r="DJ300" s="335"/>
      <c r="DK300" s="335"/>
      <c r="DL300" s="335"/>
      <c r="DM300" s="335"/>
      <c r="DN300" s="335"/>
      <c r="DO300" s="335"/>
      <c r="DP300" s="335"/>
      <c r="DQ300" s="335"/>
      <c r="DR300" s="335"/>
      <c r="DS300" s="335"/>
      <c r="DT300" s="335"/>
      <c r="DU300" s="335"/>
      <c r="DV300" s="335"/>
      <c r="DW300" s="335"/>
      <c r="DX300" s="335"/>
      <c r="DY300" s="335"/>
      <c r="DZ300" s="335"/>
      <c r="EA300" s="335"/>
      <c r="EB300" s="335"/>
      <c r="EC300" s="335"/>
      <c r="ED300" s="335"/>
      <c r="EE300" s="335"/>
      <c r="EF300" s="335"/>
      <c r="EG300" s="335"/>
      <c r="EH300" s="335"/>
      <c r="EI300" s="335"/>
      <c r="EJ300" s="335"/>
      <c r="EK300" s="335"/>
      <c r="EL300" s="335"/>
      <c r="EM300" s="335"/>
    </row>
    <row r="301" spans="72:143">
      <c r="BT301" s="187"/>
      <c r="BU301" s="187" t="s">
        <v>85</v>
      </c>
      <c r="BV301" s="196">
        <v>120034</v>
      </c>
      <c r="BW301" s="197" t="e">
        <f t="shared" si="137"/>
        <v>#REF!</v>
      </c>
      <c r="BX301" s="198" t="e">
        <f>IF(AND(State_LOB_Code=18,LEFT(BW301,4)&lt;"2009"),81,State_LOB_Code)&amp;"|374"</f>
        <v>#REF!</v>
      </c>
      <c r="BY301" s="215"/>
      <c r="BZ301" s="216"/>
      <c r="CD301" s="163"/>
      <c r="CE301" s="363"/>
      <c r="CF301" s="335"/>
      <c r="CG301" s="335"/>
      <c r="CH301" s="335"/>
      <c r="CI301" s="335"/>
      <c r="CJ301" s="335"/>
      <c r="CK301" s="335"/>
      <c r="CL301" s="335"/>
      <c r="CM301" s="335"/>
      <c r="CN301" s="335"/>
      <c r="CO301" s="335"/>
      <c r="CP301" s="335"/>
      <c r="CQ301" s="335"/>
      <c r="CR301" s="335"/>
      <c r="CS301" s="335"/>
      <c r="CT301" s="335"/>
      <c r="CU301" s="335"/>
      <c r="CV301" s="335"/>
      <c r="CW301" s="335"/>
      <c r="CX301" s="335"/>
      <c r="CY301" s="335"/>
      <c r="CZ301" s="335"/>
      <c r="DA301" s="335"/>
      <c r="DB301" s="335"/>
      <c r="DC301" s="335"/>
      <c r="DD301" s="335"/>
      <c r="DE301" s="335"/>
      <c r="DF301" s="335"/>
      <c r="DG301" s="335"/>
      <c r="DH301" s="335"/>
      <c r="DI301" s="335"/>
      <c r="DJ301" s="335"/>
      <c r="DK301" s="335"/>
      <c r="DL301" s="335"/>
      <c r="DM301" s="335"/>
      <c r="DN301" s="335"/>
      <c r="DO301" s="335"/>
      <c r="DP301" s="335"/>
      <c r="DQ301" s="335"/>
      <c r="DR301" s="335"/>
      <c r="DS301" s="335"/>
      <c r="DT301" s="335"/>
      <c r="DU301" s="335"/>
      <c r="DV301" s="335"/>
      <c r="DW301" s="335"/>
      <c r="DX301" s="335"/>
      <c r="DY301" s="335"/>
      <c r="DZ301" s="335"/>
      <c r="EA301" s="335"/>
      <c r="EB301" s="335"/>
      <c r="EC301" s="335"/>
      <c r="ED301" s="335"/>
      <c r="EE301" s="335"/>
      <c r="EF301" s="335"/>
      <c r="EG301" s="335"/>
      <c r="EH301" s="335"/>
      <c r="EI301" s="335"/>
      <c r="EJ301" s="335"/>
      <c r="EK301" s="335"/>
      <c r="EL301" s="335"/>
      <c r="EM301" s="335"/>
    </row>
    <row r="302" spans="72:143">
      <c r="BT302" s="187"/>
      <c r="BU302" s="187" t="s">
        <v>86</v>
      </c>
      <c r="BV302" s="196">
        <v>120034</v>
      </c>
      <c r="BW302" s="197" t="e">
        <f t="shared" si="137"/>
        <v>#REF!</v>
      </c>
      <c r="BX302" s="198" t="e">
        <f>IF(AND(State_LOB_Code=18,LEFT(BW302,4)&lt;"2009"),81,State_LOB_Code)&amp;"|376"</f>
        <v>#REF!</v>
      </c>
      <c r="BY302" s="215"/>
      <c r="BZ302" s="216"/>
      <c r="CD302" s="163"/>
      <c r="CE302" s="363"/>
      <c r="CF302" s="335"/>
      <c r="CG302" s="335"/>
      <c r="CH302" s="335"/>
      <c r="CI302" s="335"/>
      <c r="CJ302" s="335"/>
      <c r="CK302" s="335"/>
      <c r="CL302" s="335"/>
      <c r="CM302" s="335"/>
      <c r="CN302" s="335"/>
      <c r="CO302" s="335"/>
      <c r="CP302" s="335"/>
      <c r="CQ302" s="335"/>
      <c r="CR302" s="335"/>
      <c r="CS302" s="335"/>
      <c r="CT302" s="335"/>
      <c r="CU302" s="335"/>
      <c r="CV302" s="335"/>
      <c r="CW302" s="335"/>
      <c r="CX302" s="335"/>
      <c r="CY302" s="335"/>
      <c r="CZ302" s="335"/>
      <c r="DA302" s="335"/>
      <c r="DB302" s="335"/>
      <c r="DC302" s="335"/>
      <c r="DD302" s="335"/>
      <c r="DE302" s="335"/>
      <c r="DF302" s="335"/>
      <c r="DG302" s="335"/>
      <c r="DH302" s="335"/>
      <c r="DI302" s="335"/>
      <c r="DJ302" s="335"/>
      <c r="DK302" s="335"/>
      <c r="DL302" s="335"/>
      <c r="DM302" s="335"/>
      <c r="DN302" s="335"/>
      <c r="DO302" s="335"/>
      <c r="DP302" s="335"/>
      <c r="DQ302" s="335"/>
      <c r="DR302" s="335"/>
      <c r="DS302" s="335"/>
      <c r="DT302" s="335"/>
      <c r="DU302" s="335"/>
      <c r="DV302" s="335"/>
      <c r="DW302" s="335"/>
      <c r="DX302" s="335"/>
      <c r="DY302" s="335"/>
      <c r="DZ302" s="335"/>
      <c r="EA302" s="335"/>
      <c r="EB302" s="335"/>
      <c r="EC302" s="335"/>
      <c r="ED302" s="335"/>
      <c r="EE302" s="335"/>
      <c r="EF302" s="335"/>
      <c r="EG302" s="335"/>
      <c r="EH302" s="335"/>
      <c r="EI302" s="335"/>
      <c r="EJ302" s="335"/>
      <c r="EK302" s="335"/>
      <c r="EL302" s="335"/>
      <c r="EM302" s="335"/>
    </row>
    <row r="303" spans="72:143">
      <c r="BT303" s="187"/>
      <c r="BU303" s="187" t="s">
        <v>87</v>
      </c>
      <c r="BV303" s="196">
        <v>120034</v>
      </c>
      <c r="BW303" s="197" t="e">
        <f t="shared" si="137"/>
        <v>#REF!</v>
      </c>
      <c r="BX303" s="198" t="e">
        <f>IF(AND(State_LOB_Code=18,LEFT(BW303,4)&lt;"2009"),81,State_LOB_Code)&amp;"|377"</f>
        <v>#REF!</v>
      </c>
      <c r="BY303" s="215"/>
      <c r="BZ303" s="216"/>
      <c r="CD303" s="163"/>
      <c r="CE303" s="363"/>
      <c r="CF303" s="335"/>
      <c r="CG303" s="335"/>
      <c r="CH303" s="335"/>
      <c r="CI303" s="335"/>
      <c r="CJ303" s="335"/>
      <c r="CK303" s="335"/>
      <c r="CL303" s="335"/>
      <c r="CM303" s="335"/>
      <c r="CN303" s="335"/>
      <c r="CO303" s="335"/>
      <c r="CP303" s="335"/>
      <c r="CQ303" s="335"/>
      <c r="CR303" s="335"/>
      <c r="CS303" s="335"/>
      <c r="CT303" s="335"/>
      <c r="CU303" s="335"/>
      <c r="CV303" s="335"/>
      <c r="CW303" s="335"/>
      <c r="CX303" s="335"/>
      <c r="CY303" s="335"/>
      <c r="CZ303" s="335"/>
      <c r="DA303" s="335"/>
      <c r="DB303" s="335"/>
      <c r="DC303" s="335"/>
      <c r="DD303" s="335"/>
      <c r="DE303" s="335"/>
      <c r="DF303" s="335"/>
      <c r="DG303" s="335"/>
      <c r="DH303" s="335"/>
      <c r="DI303" s="335"/>
      <c r="DJ303" s="335"/>
      <c r="DK303" s="335"/>
      <c r="DL303" s="335"/>
      <c r="DM303" s="335"/>
      <c r="DN303" s="335"/>
      <c r="DO303" s="335"/>
      <c r="DP303" s="335"/>
      <c r="DQ303" s="335"/>
      <c r="DR303" s="335"/>
      <c r="DS303" s="335"/>
      <c r="DT303" s="335"/>
      <c r="DU303" s="335"/>
      <c r="DV303" s="335"/>
      <c r="DW303" s="335"/>
      <c r="DX303" s="335"/>
      <c r="DY303" s="335"/>
      <c r="DZ303" s="335"/>
      <c r="EA303" s="335"/>
      <c r="EB303" s="335"/>
      <c r="EC303" s="335"/>
      <c r="ED303" s="335"/>
      <c r="EE303" s="335"/>
      <c r="EF303" s="335"/>
      <c r="EG303" s="335"/>
      <c r="EH303" s="335"/>
      <c r="EI303" s="335"/>
      <c r="EJ303" s="335"/>
      <c r="EK303" s="335"/>
      <c r="EL303" s="335"/>
      <c r="EM303" s="335"/>
    </row>
    <row r="304" spans="72:143">
      <c r="BT304" s="187"/>
      <c r="BU304" s="187" t="s">
        <v>88</v>
      </c>
      <c r="BV304" s="196">
        <v>120034</v>
      </c>
      <c r="BW304" s="197" t="e">
        <f t="shared" si="137"/>
        <v>#REF!</v>
      </c>
      <c r="BX304" s="198" t="e">
        <f>IF(AND(State_LOB_Code=18,LEFT(BW304,4)&lt;"2009"),81,State_LOB_Code)&amp;"|378"</f>
        <v>#REF!</v>
      </c>
      <c r="BY304" s="215"/>
      <c r="BZ304" s="216"/>
      <c r="CD304" s="163"/>
      <c r="CE304" s="363"/>
      <c r="CF304" s="335"/>
      <c r="CG304" s="335"/>
      <c r="CH304" s="335"/>
      <c r="CI304" s="335"/>
      <c r="CJ304" s="335"/>
      <c r="CK304" s="335"/>
      <c r="CL304" s="335"/>
      <c r="CM304" s="335"/>
      <c r="CN304" s="335"/>
      <c r="CO304" s="335"/>
      <c r="CP304" s="335"/>
      <c r="CQ304" s="335"/>
      <c r="CR304" s="335"/>
      <c r="CS304" s="335"/>
      <c r="CT304" s="335"/>
      <c r="CU304" s="335"/>
      <c r="CV304" s="335"/>
      <c r="CW304" s="335"/>
      <c r="CX304" s="335"/>
      <c r="CY304" s="335"/>
      <c r="CZ304" s="335"/>
      <c r="DA304" s="335"/>
      <c r="DB304" s="335"/>
      <c r="DC304" s="335"/>
      <c r="DD304" s="335"/>
      <c r="DE304" s="335"/>
      <c r="DF304" s="335"/>
      <c r="DG304" s="335"/>
      <c r="DH304" s="335"/>
      <c r="DI304" s="335"/>
      <c r="DJ304" s="335"/>
      <c r="DK304" s="335"/>
      <c r="DL304" s="335"/>
      <c r="DM304" s="335"/>
      <c r="DN304" s="335"/>
      <c r="DO304" s="335"/>
      <c r="DP304" s="335"/>
      <c r="DQ304" s="335"/>
      <c r="DR304" s="335"/>
      <c r="DS304" s="335"/>
      <c r="DT304" s="335"/>
      <c r="DU304" s="335"/>
      <c r="DV304" s="335"/>
      <c r="DW304" s="335"/>
      <c r="DX304" s="335"/>
      <c r="DY304" s="335"/>
      <c r="DZ304" s="335"/>
      <c r="EA304" s="335"/>
      <c r="EB304" s="335"/>
      <c r="EC304" s="335"/>
      <c r="ED304" s="335"/>
      <c r="EE304" s="335"/>
      <c r="EF304" s="335"/>
      <c r="EG304" s="335"/>
      <c r="EH304" s="335"/>
      <c r="EI304" s="335"/>
      <c r="EJ304" s="335"/>
      <c r="EK304" s="335"/>
      <c r="EL304" s="335"/>
      <c r="EM304" s="335"/>
    </row>
    <row r="305" spans="72:143">
      <c r="BT305" s="187"/>
      <c r="BU305" s="187" t="s">
        <v>89</v>
      </c>
      <c r="BV305" s="196">
        <v>120034</v>
      </c>
      <c r="BW305" s="197" t="e">
        <f t="shared" si="137"/>
        <v>#REF!</v>
      </c>
      <c r="BX305" s="198" t="e">
        <f>IF(AND(State_LOB_Code=18,LEFT(BW305,4)&lt;"2009"),81,State_LOB_Code)&amp;"|379"</f>
        <v>#REF!</v>
      </c>
      <c r="BY305" s="215"/>
      <c r="BZ305" s="216"/>
      <c r="CD305" s="163"/>
      <c r="CE305" s="363"/>
      <c r="CF305" s="335"/>
      <c r="CG305" s="335"/>
      <c r="CH305" s="335"/>
      <c r="CI305" s="335"/>
      <c r="CJ305" s="335"/>
      <c r="CK305" s="335"/>
      <c r="CL305" s="335"/>
      <c r="CM305" s="335"/>
      <c r="CN305" s="335"/>
      <c r="CO305" s="335"/>
      <c r="CP305" s="335"/>
      <c r="CQ305" s="335"/>
      <c r="CR305" s="335"/>
      <c r="CS305" s="335"/>
      <c r="CT305" s="335"/>
      <c r="CU305" s="335"/>
      <c r="CV305" s="335"/>
      <c r="CW305" s="335"/>
      <c r="CX305" s="335"/>
      <c r="CY305" s="335"/>
      <c r="CZ305" s="335"/>
      <c r="DA305" s="335"/>
      <c r="DB305" s="335"/>
      <c r="DC305" s="335"/>
      <c r="DD305" s="335"/>
      <c r="DE305" s="335"/>
      <c r="DF305" s="335"/>
      <c r="DG305" s="335"/>
      <c r="DH305" s="335"/>
      <c r="DI305" s="335"/>
      <c r="DJ305" s="335"/>
      <c r="DK305" s="335"/>
      <c r="DL305" s="335"/>
      <c r="DM305" s="335"/>
      <c r="DN305" s="335"/>
      <c r="DO305" s="335"/>
      <c r="DP305" s="335"/>
      <c r="DQ305" s="335"/>
      <c r="DR305" s="335"/>
      <c r="DS305" s="335"/>
      <c r="DT305" s="335"/>
      <c r="DU305" s="335"/>
      <c r="DV305" s="335"/>
      <c r="DW305" s="335"/>
      <c r="DX305" s="335"/>
      <c r="DY305" s="335"/>
      <c r="DZ305" s="335"/>
      <c r="EA305" s="335"/>
      <c r="EB305" s="335"/>
      <c r="EC305" s="335"/>
      <c r="ED305" s="335"/>
      <c r="EE305" s="335"/>
      <c r="EF305" s="335"/>
      <c r="EG305" s="335"/>
      <c r="EH305" s="335"/>
      <c r="EI305" s="335"/>
      <c r="EJ305" s="335"/>
      <c r="EK305" s="335"/>
      <c r="EL305" s="335"/>
      <c r="EM305" s="335"/>
    </row>
    <row r="306" spans="72:143">
      <c r="BT306" s="187"/>
      <c r="BU306" s="187" t="s">
        <v>90</v>
      </c>
      <c r="BV306" s="196">
        <v>120034</v>
      </c>
      <c r="BW306" s="197" t="e">
        <f t="shared" si="137"/>
        <v>#REF!</v>
      </c>
      <c r="BX306" s="198" t="e">
        <f>IF(AND(State_LOB_Code=18,LEFT(BW306,4)&lt;"2009"),81,State_LOB_Code)&amp;"|380"</f>
        <v>#REF!</v>
      </c>
      <c r="BY306" s="215"/>
      <c r="BZ306" s="216"/>
      <c r="CD306" s="163"/>
      <c r="CE306" s="363"/>
      <c r="CF306" s="335"/>
      <c r="CG306" s="335"/>
      <c r="CH306" s="335"/>
      <c r="CI306" s="335"/>
      <c r="CJ306" s="335"/>
      <c r="CK306" s="335"/>
      <c r="CL306" s="335"/>
      <c r="CM306" s="335"/>
      <c r="CN306" s="335"/>
      <c r="CO306" s="335"/>
      <c r="CP306" s="335"/>
      <c r="CQ306" s="335"/>
      <c r="CR306" s="335"/>
      <c r="CS306" s="335"/>
      <c r="CT306" s="335"/>
      <c r="CU306" s="335"/>
      <c r="CV306" s="335"/>
      <c r="CW306" s="335"/>
      <c r="CX306" s="335"/>
      <c r="CY306" s="335"/>
      <c r="CZ306" s="335"/>
      <c r="DA306" s="335"/>
      <c r="DB306" s="335"/>
      <c r="DC306" s="335"/>
      <c r="DD306" s="335"/>
      <c r="DE306" s="335"/>
      <c r="DF306" s="335"/>
      <c r="DG306" s="335"/>
      <c r="DH306" s="335"/>
      <c r="DI306" s="335"/>
      <c r="DJ306" s="335"/>
      <c r="DK306" s="335"/>
      <c r="DL306" s="335"/>
      <c r="DM306" s="335"/>
      <c r="DN306" s="335"/>
      <c r="DO306" s="335"/>
      <c r="DP306" s="335"/>
      <c r="DQ306" s="335"/>
      <c r="DR306" s="335"/>
      <c r="DS306" s="335"/>
      <c r="DT306" s="335"/>
      <c r="DU306" s="335"/>
      <c r="DV306" s="335"/>
      <c r="DW306" s="335"/>
      <c r="DX306" s="335"/>
      <c r="DY306" s="335"/>
      <c r="DZ306" s="335"/>
      <c r="EA306" s="335"/>
      <c r="EB306" s="335"/>
      <c r="EC306" s="335"/>
      <c r="ED306" s="335"/>
      <c r="EE306" s="335"/>
      <c r="EF306" s="335"/>
      <c r="EG306" s="335"/>
      <c r="EH306" s="335"/>
      <c r="EI306" s="335"/>
      <c r="EJ306" s="335"/>
      <c r="EK306" s="335"/>
      <c r="EL306" s="335"/>
      <c r="EM306" s="335"/>
    </row>
    <row r="307" spans="72:143">
      <c r="BT307" s="187"/>
      <c r="BU307" s="187" t="s">
        <v>91</v>
      </c>
      <c r="BV307" s="196">
        <v>120034</v>
      </c>
      <c r="BW307" s="197" t="e">
        <f t="shared" si="137"/>
        <v>#REF!</v>
      </c>
      <c r="BX307" s="198" t="e">
        <f>IF(AND(State_LOB_Code=18,LEFT(BW307,4)&lt;"2009"),81,State_LOB_Code)&amp;"|381"</f>
        <v>#REF!</v>
      </c>
      <c r="BY307" s="215"/>
      <c r="BZ307" s="216"/>
      <c r="CD307" s="163"/>
      <c r="CE307" s="363"/>
      <c r="CF307" s="335"/>
      <c r="CG307" s="335"/>
      <c r="CH307" s="335"/>
      <c r="CI307" s="335"/>
      <c r="CJ307" s="335"/>
      <c r="CK307" s="335"/>
      <c r="CL307" s="335"/>
      <c r="CM307" s="335"/>
      <c r="CN307" s="335"/>
      <c r="CO307" s="335"/>
      <c r="CP307" s="335"/>
      <c r="CQ307" s="335"/>
      <c r="CR307" s="335"/>
      <c r="CS307" s="335"/>
      <c r="CT307" s="335"/>
      <c r="CU307" s="335"/>
      <c r="CV307" s="335"/>
      <c r="CW307" s="335"/>
      <c r="CX307" s="335"/>
      <c r="CY307" s="335"/>
      <c r="CZ307" s="335"/>
      <c r="DA307" s="335"/>
      <c r="DB307" s="335"/>
      <c r="DC307" s="335"/>
      <c r="DD307" s="335"/>
      <c r="DE307" s="335"/>
      <c r="DF307" s="335"/>
      <c r="DG307" s="335"/>
      <c r="DH307" s="335"/>
      <c r="DI307" s="335"/>
      <c r="DJ307" s="335"/>
      <c r="DK307" s="335"/>
      <c r="DL307" s="335"/>
      <c r="DM307" s="335"/>
      <c r="DN307" s="335"/>
      <c r="DO307" s="335"/>
      <c r="DP307" s="335"/>
      <c r="DQ307" s="335"/>
      <c r="DR307" s="335"/>
      <c r="DS307" s="335"/>
      <c r="DT307" s="335"/>
      <c r="DU307" s="335"/>
      <c r="DV307" s="335"/>
      <c r="DW307" s="335"/>
      <c r="DX307" s="335"/>
      <c r="DY307" s="335"/>
      <c r="DZ307" s="335"/>
      <c r="EA307" s="335"/>
      <c r="EB307" s="335"/>
      <c r="EC307" s="335"/>
      <c r="ED307" s="335"/>
      <c r="EE307" s="335"/>
      <c r="EF307" s="335"/>
      <c r="EG307" s="335"/>
      <c r="EH307" s="335"/>
      <c r="EI307" s="335"/>
      <c r="EJ307" s="335"/>
      <c r="EK307" s="335"/>
      <c r="EL307" s="335"/>
      <c r="EM307" s="335"/>
    </row>
    <row r="308" spans="72:143">
      <c r="BT308" s="187"/>
      <c r="BU308" s="187" t="s">
        <v>92</v>
      </c>
      <c r="BV308" s="196">
        <v>120034</v>
      </c>
      <c r="BW308" s="197" t="e">
        <f t="shared" si="137"/>
        <v>#REF!</v>
      </c>
      <c r="BX308" s="198" t="e">
        <f>IF(AND(State_LOB_Code=18,LEFT(BW308,4)&lt;"2009"),81,State_LOB_Code)&amp;"|382"</f>
        <v>#REF!</v>
      </c>
      <c r="BY308" s="215"/>
      <c r="BZ308" s="216"/>
      <c r="CD308" s="163"/>
      <c r="CE308" s="363"/>
      <c r="CF308" s="335"/>
      <c r="CG308" s="335"/>
      <c r="CH308" s="335"/>
      <c r="CI308" s="335"/>
      <c r="CJ308" s="335"/>
      <c r="CK308" s="335"/>
      <c r="CL308" s="335"/>
      <c r="CM308" s="335"/>
      <c r="CN308" s="335"/>
      <c r="CO308" s="335"/>
      <c r="CP308" s="335"/>
      <c r="CQ308" s="335"/>
      <c r="CR308" s="335"/>
      <c r="CS308" s="335"/>
      <c r="CT308" s="335"/>
      <c r="CU308" s="335"/>
      <c r="CV308" s="335"/>
      <c r="CW308" s="335"/>
      <c r="CX308" s="335"/>
      <c r="CY308" s="335"/>
      <c r="CZ308" s="335"/>
      <c r="DA308" s="335"/>
      <c r="DB308" s="335"/>
      <c r="DC308" s="335"/>
      <c r="DD308" s="335"/>
      <c r="DE308" s="335"/>
      <c r="DF308" s="335"/>
      <c r="DG308" s="335"/>
      <c r="DH308" s="335"/>
      <c r="DI308" s="335"/>
      <c r="DJ308" s="335"/>
      <c r="DK308" s="335"/>
      <c r="DL308" s="335"/>
      <c r="DM308" s="335"/>
      <c r="DN308" s="335"/>
      <c r="DO308" s="335"/>
      <c r="DP308" s="335"/>
      <c r="DQ308" s="335"/>
      <c r="DR308" s="335"/>
      <c r="DS308" s="335"/>
      <c r="DT308" s="335"/>
      <c r="DU308" s="335"/>
      <c r="DV308" s="335"/>
      <c r="DW308" s="335"/>
      <c r="DX308" s="335"/>
      <c r="DY308" s="335"/>
      <c r="DZ308" s="335"/>
      <c r="EA308" s="335"/>
      <c r="EB308" s="335"/>
      <c r="EC308" s="335"/>
      <c r="ED308" s="335"/>
      <c r="EE308" s="335"/>
      <c r="EF308" s="335"/>
      <c r="EG308" s="335"/>
      <c r="EH308" s="335"/>
      <c r="EI308" s="335"/>
      <c r="EJ308" s="335"/>
      <c r="EK308" s="335"/>
      <c r="EL308" s="335"/>
      <c r="EM308" s="335"/>
    </row>
    <row r="309" spans="72:143">
      <c r="BT309" s="187"/>
      <c r="BU309" s="187" t="s">
        <v>93</v>
      </c>
      <c r="BV309" s="196">
        <v>120034</v>
      </c>
      <c r="BW309" s="197" t="e">
        <f t="shared" si="137"/>
        <v>#REF!</v>
      </c>
      <c r="BX309" s="198" t="e">
        <f>IF(AND(State_LOB_Code=18,LEFT(BW309,4)&lt;"2009"),81,State_LOB_Code)&amp;"|384"</f>
        <v>#REF!</v>
      </c>
      <c r="BY309" s="215"/>
      <c r="BZ309" s="216"/>
      <c r="CD309" s="163"/>
      <c r="CE309" s="363"/>
      <c r="CF309" s="335"/>
      <c r="CG309" s="335"/>
      <c r="CH309" s="335"/>
      <c r="CI309" s="335"/>
      <c r="CJ309" s="335"/>
      <c r="CK309" s="335"/>
      <c r="CL309" s="335"/>
      <c r="CM309" s="335"/>
      <c r="CN309" s="335"/>
      <c r="CO309" s="335"/>
      <c r="CP309" s="335"/>
      <c r="CQ309" s="335"/>
      <c r="CR309" s="335"/>
      <c r="CS309" s="335"/>
      <c r="CT309" s="335"/>
      <c r="CU309" s="335"/>
      <c r="CV309" s="335"/>
      <c r="CW309" s="335"/>
      <c r="CX309" s="335"/>
      <c r="CY309" s="335"/>
      <c r="CZ309" s="335"/>
      <c r="DA309" s="335"/>
      <c r="DB309" s="335"/>
      <c r="DC309" s="335"/>
      <c r="DD309" s="335"/>
      <c r="DE309" s="335"/>
      <c r="DF309" s="335"/>
      <c r="DG309" s="335"/>
      <c r="DH309" s="335"/>
      <c r="DI309" s="335"/>
      <c r="DJ309" s="335"/>
      <c r="DK309" s="335"/>
      <c r="DL309" s="335"/>
      <c r="DM309" s="335"/>
      <c r="DN309" s="335"/>
      <c r="DO309" s="335"/>
      <c r="DP309" s="335"/>
      <c r="DQ309" s="335"/>
      <c r="DR309" s="335"/>
      <c r="DS309" s="335"/>
      <c r="DT309" s="335"/>
      <c r="DU309" s="335"/>
      <c r="DV309" s="335"/>
      <c r="DW309" s="335"/>
      <c r="DX309" s="335"/>
      <c r="DY309" s="335"/>
      <c r="DZ309" s="335"/>
      <c r="EA309" s="335"/>
      <c r="EB309" s="335"/>
      <c r="EC309" s="335"/>
      <c r="ED309" s="335"/>
      <c r="EE309" s="335"/>
      <c r="EF309" s="335"/>
      <c r="EG309" s="335"/>
      <c r="EH309" s="335"/>
      <c r="EI309" s="335"/>
      <c r="EJ309" s="335"/>
      <c r="EK309" s="335"/>
      <c r="EL309" s="335"/>
      <c r="EM309" s="335"/>
    </row>
    <row r="310" spans="72:143">
      <c r="BT310" s="187"/>
      <c r="BU310" s="187" t="s">
        <v>94</v>
      </c>
      <c r="BV310" s="196">
        <v>120034</v>
      </c>
      <c r="BW310" s="197" t="e">
        <f t="shared" si="137"/>
        <v>#REF!</v>
      </c>
      <c r="BX310" s="198" t="e">
        <f>IF(AND(State_LOB_Code=18,LEFT(BW310,4)&lt;"2009"),81,State_LOB_Code)&amp;"|385"</f>
        <v>#REF!</v>
      </c>
      <c r="BY310" s="215"/>
      <c r="BZ310" s="216"/>
      <c r="CD310" s="163"/>
      <c r="CE310" s="363"/>
      <c r="CF310" s="335"/>
      <c r="CG310" s="335"/>
      <c r="CH310" s="335"/>
      <c r="CI310" s="335"/>
      <c r="CJ310" s="335"/>
      <c r="CK310" s="335"/>
      <c r="CL310" s="335"/>
      <c r="CM310" s="335"/>
      <c r="CN310" s="335"/>
      <c r="CO310" s="335"/>
      <c r="CP310" s="335"/>
      <c r="CQ310" s="335"/>
      <c r="CR310" s="335"/>
      <c r="CS310" s="335"/>
      <c r="CT310" s="335"/>
      <c r="CU310" s="335"/>
      <c r="CV310" s="335"/>
      <c r="CW310" s="335"/>
      <c r="CX310" s="335"/>
      <c r="CY310" s="335"/>
      <c r="CZ310" s="335"/>
      <c r="DA310" s="335"/>
      <c r="DB310" s="335"/>
      <c r="DC310" s="335"/>
      <c r="DD310" s="335"/>
      <c r="DE310" s="335"/>
      <c r="DF310" s="335"/>
      <c r="DG310" s="335"/>
      <c r="DH310" s="335"/>
      <c r="DI310" s="335"/>
      <c r="DJ310" s="335"/>
      <c r="DK310" s="335"/>
      <c r="DL310" s="335"/>
      <c r="DM310" s="335"/>
      <c r="DN310" s="335"/>
      <c r="DO310" s="335"/>
      <c r="DP310" s="335"/>
      <c r="DQ310" s="335"/>
      <c r="DR310" s="335"/>
      <c r="DS310" s="335"/>
      <c r="DT310" s="335"/>
      <c r="DU310" s="335"/>
      <c r="DV310" s="335"/>
      <c r="DW310" s="335"/>
      <c r="DX310" s="335"/>
      <c r="DY310" s="335"/>
      <c r="DZ310" s="335"/>
      <c r="EA310" s="335"/>
      <c r="EB310" s="335"/>
      <c r="EC310" s="335"/>
      <c r="ED310" s="335"/>
      <c r="EE310" s="335"/>
      <c r="EF310" s="335"/>
      <c r="EG310" s="335"/>
      <c r="EH310" s="335"/>
      <c r="EI310" s="335"/>
      <c r="EJ310" s="335"/>
      <c r="EK310" s="335"/>
      <c r="EL310" s="335"/>
      <c r="EM310" s="335"/>
    </row>
    <row r="311" spans="72:143">
      <c r="BT311" s="187"/>
      <c r="BU311" s="187" t="s">
        <v>95</v>
      </c>
      <c r="BV311" s="196">
        <v>120034</v>
      </c>
      <c r="BW311" s="197" t="e">
        <f t="shared" si="137"/>
        <v>#REF!</v>
      </c>
      <c r="BX311" s="198" t="e">
        <f>IF(AND(State_LOB_Code=18,LEFT(BW311,4)&lt;"2009"),81,State_LOB_Code)&amp;"|386"</f>
        <v>#REF!</v>
      </c>
      <c r="BY311" s="215"/>
      <c r="BZ311" s="216"/>
      <c r="CD311" s="163"/>
      <c r="CE311" s="363"/>
      <c r="CF311" s="335"/>
      <c r="CG311" s="335"/>
      <c r="CH311" s="335"/>
      <c r="CI311" s="335"/>
      <c r="CJ311" s="335"/>
      <c r="CK311" s="335"/>
      <c r="CL311" s="335"/>
      <c r="CM311" s="335"/>
      <c r="CN311" s="335"/>
      <c r="CO311" s="335"/>
      <c r="CP311" s="335"/>
      <c r="CQ311" s="335"/>
      <c r="CR311" s="335"/>
      <c r="CS311" s="335"/>
      <c r="CT311" s="335"/>
      <c r="CU311" s="335"/>
      <c r="CV311" s="335"/>
      <c r="CW311" s="335"/>
      <c r="CX311" s="335"/>
      <c r="CY311" s="335"/>
      <c r="CZ311" s="335"/>
      <c r="DA311" s="335"/>
      <c r="DB311" s="335"/>
      <c r="DC311" s="335"/>
      <c r="DD311" s="335"/>
      <c r="DE311" s="335"/>
      <c r="DF311" s="335"/>
      <c r="DG311" s="335"/>
      <c r="DH311" s="335"/>
      <c r="DI311" s="335"/>
      <c r="DJ311" s="335"/>
      <c r="DK311" s="335"/>
      <c r="DL311" s="335"/>
      <c r="DM311" s="335"/>
      <c r="DN311" s="335"/>
      <c r="DO311" s="335"/>
      <c r="DP311" s="335"/>
      <c r="DQ311" s="335"/>
      <c r="DR311" s="335"/>
      <c r="DS311" s="335"/>
      <c r="DT311" s="335"/>
      <c r="DU311" s="335"/>
      <c r="DV311" s="335"/>
      <c r="DW311" s="335"/>
      <c r="DX311" s="335"/>
      <c r="DY311" s="335"/>
      <c r="DZ311" s="335"/>
      <c r="EA311" s="335"/>
      <c r="EB311" s="335"/>
      <c r="EC311" s="335"/>
      <c r="ED311" s="335"/>
      <c r="EE311" s="335"/>
      <c r="EF311" s="335"/>
      <c r="EG311" s="335"/>
      <c r="EH311" s="335"/>
      <c r="EI311" s="335"/>
      <c r="EJ311" s="335"/>
      <c r="EK311" s="335"/>
      <c r="EL311" s="335"/>
      <c r="EM311" s="335"/>
    </row>
    <row r="312" spans="72:143">
      <c r="BT312" s="187"/>
      <c r="BU312" s="187" t="s">
        <v>96</v>
      </c>
      <c r="BV312" s="196">
        <v>120034</v>
      </c>
      <c r="BW312" s="197" t="e">
        <f t="shared" si="137"/>
        <v>#REF!</v>
      </c>
      <c r="BX312" s="198" t="e">
        <f>IF(AND(State_LOB_Code=18,LEFT(BW312,4)&lt;"2009"),81,State_LOB_Code)&amp;"|387"</f>
        <v>#REF!</v>
      </c>
      <c r="BY312" s="215"/>
      <c r="BZ312" s="216"/>
      <c r="CD312" s="163"/>
      <c r="CE312" s="363"/>
      <c r="CF312" s="335"/>
      <c r="CG312" s="335"/>
      <c r="CH312" s="335"/>
      <c r="CI312" s="335"/>
      <c r="CJ312" s="335"/>
      <c r="CK312" s="335"/>
      <c r="CL312" s="335"/>
      <c r="CM312" s="335"/>
      <c r="CN312" s="335"/>
      <c r="CO312" s="335"/>
      <c r="CP312" s="335"/>
      <c r="CQ312" s="335"/>
      <c r="CR312" s="335"/>
      <c r="CS312" s="335"/>
      <c r="CT312" s="335"/>
      <c r="CU312" s="335"/>
      <c r="CV312" s="335"/>
      <c r="CW312" s="335"/>
      <c r="CX312" s="335"/>
      <c r="CY312" s="335"/>
      <c r="CZ312" s="335"/>
      <c r="DA312" s="335"/>
      <c r="DB312" s="335"/>
      <c r="DC312" s="335"/>
      <c r="DD312" s="335"/>
      <c r="DE312" s="335"/>
      <c r="DF312" s="335"/>
      <c r="DG312" s="335"/>
      <c r="DH312" s="335"/>
      <c r="DI312" s="335"/>
      <c r="DJ312" s="335"/>
      <c r="DK312" s="335"/>
      <c r="DL312" s="335"/>
      <c r="DM312" s="335"/>
      <c r="DN312" s="335"/>
      <c r="DO312" s="335"/>
      <c r="DP312" s="335"/>
      <c r="DQ312" s="335"/>
      <c r="DR312" s="335"/>
      <c r="DS312" s="335"/>
      <c r="DT312" s="335"/>
      <c r="DU312" s="335"/>
      <c r="DV312" s="335"/>
      <c r="DW312" s="335"/>
      <c r="DX312" s="335"/>
      <c r="DY312" s="335"/>
      <c r="DZ312" s="335"/>
      <c r="EA312" s="335"/>
      <c r="EB312" s="335"/>
      <c r="EC312" s="335"/>
      <c r="ED312" s="335"/>
      <c r="EE312" s="335"/>
      <c r="EF312" s="335"/>
      <c r="EG312" s="335"/>
      <c r="EH312" s="335"/>
      <c r="EI312" s="335"/>
      <c r="EJ312" s="335"/>
      <c r="EK312" s="335"/>
      <c r="EL312" s="335"/>
      <c r="EM312" s="335"/>
    </row>
    <row r="313" spans="72:143">
      <c r="BT313" s="187"/>
      <c r="BU313" s="187" t="s">
        <v>97</v>
      </c>
      <c r="BV313" s="196">
        <v>120034</v>
      </c>
      <c r="BW313" s="197" t="e">
        <f t="shared" si="137"/>
        <v>#REF!</v>
      </c>
      <c r="BX313" s="198" t="e">
        <f>IF(AND(State_LOB_Code=18,LEFT(BW313,4)&lt;"2009"),81,State_LOB_Code)&amp;"|388"</f>
        <v>#REF!</v>
      </c>
      <c r="BY313" s="215"/>
      <c r="BZ313" s="216"/>
      <c r="CD313" s="163"/>
      <c r="CE313" s="363"/>
      <c r="CF313" s="335"/>
      <c r="CG313" s="335"/>
      <c r="CH313" s="335"/>
      <c r="CI313" s="335"/>
      <c r="CJ313" s="335"/>
      <c r="CK313" s="335"/>
      <c r="CL313" s="335"/>
      <c r="CM313" s="335"/>
      <c r="CN313" s="335"/>
      <c r="CO313" s="335"/>
      <c r="CP313" s="335"/>
      <c r="CQ313" s="335"/>
      <c r="CR313" s="335"/>
      <c r="CS313" s="335"/>
      <c r="CT313" s="335"/>
      <c r="CU313" s="335"/>
      <c r="CV313" s="335"/>
      <c r="CW313" s="335"/>
      <c r="CX313" s="335"/>
      <c r="CY313" s="335"/>
      <c r="CZ313" s="335"/>
      <c r="DA313" s="335"/>
      <c r="DB313" s="335"/>
      <c r="DC313" s="335"/>
      <c r="DD313" s="335"/>
      <c r="DE313" s="335"/>
      <c r="DF313" s="335"/>
      <c r="DG313" s="335"/>
      <c r="DH313" s="335"/>
      <c r="DI313" s="335"/>
      <c r="DJ313" s="335"/>
      <c r="DK313" s="335"/>
      <c r="DL313" s="335"/>
      <c r="DM313" s="335"/>
      <c r="DN313" s="335"/>
      <c r="DO313" s="335"/>
      <c r="DP313" s="335"/>
      <c r="DQ313" s="335"/>
      <c r="DR313" s="335"/>
      <c r="DS313" s="335"/>
      <c r="DT313" s="335"/>
      <c r="DU313" s="335"/>
      <c r="DV313" s="335"/>
      <c r="DW313" s="335"/>
      <c r="DX313" s="335"/>
      <c r="DY313" s="335"/>
      <c r="DZ313" s="335"/>
      <c r="EA313" s="335"/>
      <c r="EB313" s="335"/>
      <c r="EC313" s="335"/>
      <c r="ED313" s="335"/>
      <c r="EE313" s="335"/>
      <c r="EF313" s="335"/>
      <c r="EG313" s="335"/>
      <c r="EH313" s="335"/>
      <c r="EI313" s="335"/>
      <c r="EJ313" s="335"/>
      <c r="EK313" s="335"/>
      <c r="EL313" s="335"/>
      <c r="EM313" s="335"/>
    </row>
    <row r="314" spans="72:143">
      <c r="BT314" s="187"/>
      <c r="BU314" s="189" t="s">
        <v>137</v>
      </c>
      <c r="BV314" s="199">
        <v>120034</v>
      </c>
      <c r="BW314" s="200" t="e">
        <f t="shared" si="137"/>
        <v>#REF!</v>
      </c>
      <c r="BX314" s="201" t="e">
        <f>IF(AND(State_LOB_Code=18,LEFT(BW314,4)&lt;"2009"),81,State_LOB_Code)&amp;"|600"</f>
        <v>#REF!</v>
      </c>
      <c r="BY314" s="217"/>
      <c r="BZ314" s="218"/>
      <c r="CD314" s="163"/>
      <c r="CE314" s="363"/>
      <c r="CF314" s="335"/>
      <c r="CG314" s="335"/>
      <c r="CH314" s="335"/>
      <c r="CI314" s="335"/>
      <c r="CJ314" s="335"/>
      <c r="CK314" s="335"/>
      <c r="CL314" s="335"/>
      <c r="CM314" s="335"/>
      <c r="CN314" s="335"/>
      <c r="CO314" s="335"/>
      <c r="CP314" s="335"/>
      <c r="CQ314" s="335"/>
      <c r="CR314" s="335"/>
      <c r="CS314" s="335"/>
      <c r="CT314" s="335"/>
      <c r="CU314" s="335"/>
      <c r="CV314" s="335"/>
      <c r="CW314" s="335"/>
      <c r="CX314" s="335"/>
      <c r="CY314" s="335"/>
      <c r="CZ314" s="335"/>
      <c r="DA314" s="335"/>
      <c r="DB314" s="335"/>
      <c r="DC314" s="335"/>
      <c r="DD314" s="335"/>
      <c r="DE314" s="335"/>
      <c r="DF314" s="335"/>
      <c r="DG314" s="335"/>
      <c r="DH314" s="335"/>
      <c r="DI314" s="335"/>
      <c r="DJ314" s="335"/>
      <c r="DK314" s="335"/>
      <c r="DL314" s="335"/>
      <c r="DM314" s="335"/>
      <c r="DN314" s="335"/>
      <c r="DO314" s="335"/>
      <c r="DP314" s="335"/>
      <c r="DQ314" s="335"/>
      <c r="DR314" s="335"/>
      <c r="DS314" s="335"/>
      <c r="DT314" s="335"/>
      <c r="DU314" s="335"/>
      <c r="DV314" s="335"/>
      <c r="DW314" s="335"/>
      <c r="DX314" s="335"/>
      <c r="DY314" s="335"/>
      <c r="DZ314" s="335"/>
      <c r="EA314" s="335"/>
      <c r="EB314" s="335"/>
      <c r="EC314" s="335"/>
      <c r="ED314" s="335"/>
      <c r="EE314" s="335"/>
      <c r="EF314" s="335"/>
      <c r="EG314" s="335"/>
      <c r="EH314" s="335"/>
      <c r="EI314" s="335"/>
      <c r="EJ314" s="335"/>
      <c r="EK314" s="335"/>
      <c r="EL314" s="335"/>
      <c r="EM314" s="335"/>
    </row>
    <row r="315" spans="72:143">
      <c r="BT315" s="187"/>
      <c r="BU315" s="187" t="s">
        <v>98</v>
      </c>
      <c r="BV315" s="196">
        <v>120034</v>
      </c>
      <c r="BW315" s="197" t="e">
        <f t="shared" si="137"/>
        <v>#REF!</v>
      </c>
      <c r="BX315" s="198" t="e">
        <f>IF(AND(State_LOB_Code=18,LEFT(BW315,4)&lt;"2009"),81,State_LOB_Code)&amp;"|336"</f>
        <v>#REF!</v>
      </c>
      <c r="BY315" s="215"/>
      <c r="BZ315" s="216"/>
      <c r="CD315" s="163"/>
      <c r="CE315" s="363"/>
      <c r="CF315" s="335"/>
      <c r="CG315" s="335"/>
      <c r="CH315" s="335"/>
      <c r="CI315" s="335"/>
      <c r="CJ315" s="335"/>
      <c r="CK315" s="335"/>
      <c r="CL315" s="335"/>
      <c r="CM315" s="335"/>
      <c r="CN315" s="335"/>
      <c r="CO315" s="335"/>
      <c r="CP315" s="335"/>
      <c r="CQ315" s="335"/>
      <c r="CR315" s="335"/>
      <c r="CS315" s="335"/>
      <c r="CT315" s="335"/>
      <c r="CU315" s="335"/>
      <c r="CV315" s="335"/>
      <c r="CW315" s="335"/>
      <c r="CX315" s="335"/>
      <c r="CY315" s="335"/>
      <c r="CZ315" s="335"/>
      <c r="DA315" s="335"/>
      <c r="DB315" s="335"/>
      <c r="DC315" s="335"/>
      <c r="DD315" s="335"/>
      <c r="DE315" s="335"/>
      <c r="DF315" s="335"/>
      <c r="DG315" s="335"/>
      <c r="DH315" s="335"/>
      <c r="DI315" s="335"/>
      <c r="DJ315" s="335"/>
      <c r="DK315" s="335"/>
      <c r="DL315" s="335"/>
      <c r="DM315" s="335"/>
      <c r="DN315" s="335"/>
      <c r="DO315" s="335"/>
      <c r="DP315" s="335"/>
      <c r="DQ315" s="335"/>
      <c r="DR315" s="335"/>
      <c r="DS315" s="335"/>
      <c r="DT315" s="335"/>
      <c r="DU315" s="335"/>
      <c r="DV315" s="335"/>
      <c r="DW315" s="335"/>
      <c r="DX315" s="335"/>
      <c r="DY315" s="335"/>
      <c r="DZ315" s="335"/>
      <c r="EA315" s="335"/>
      <c r="EB315" s="335"/>
      <c r="EC315" s="335"/>
      <c r="ED315" s="335"/>
      <c r="EE315" s="335"/>
      <c r="EF315" s="335"/>
      <c r="EG315" s="335"/>
      <c r="EH315" s="335"/>
      <c r="EI315" s="335"/>
      <c r="EJ315" s="335"/>
      <c r="EK315" s="335"/>
      <c r="EL315" s="335"/>
      <c r="EM315" s="335"/>
    </row>
    <row r="316" spans="72:143">
      <c r="BT316" s="187"/>
      <c r="BU316" s="187" t="s">
        <v>99</v>
      </c>
      <c r="BV316" s="196">
        <v>120034</v>
      </c>
      <c r="BW316" s="197" t="e">
        <f t="shared" si="137"/>
        <v>#REF!</v>
      </c>
      <c r="BX316" s="198" t="e">
        <f>IF(AND(State_LOB_Code=18,LEFT(BW316,4)&lt;"2009"),81,State_LOB_Code)&amp;"|345"</f>
        <v>#REF!</v>
      </c>
      <c r="BY316" s="215"/>
      <c r="BZ316" s="216"/>
      <c r="CD316" s="163"/>
      <c r="CE316" s="363"/>
      <c r="CF316" s="335"/>
      <c r="CG316" s="335"/>
      <c r="CH316" s="335"/>
      <c r="CI316" s="335"/>
      <c r="CJ316" s="335"/>
      <c r="CK316" s="335"/>
      <c r="CL316" s="335"/>
      <c r="CM316" s="335"/>
      <c r="CN316" s="335"/>
      <c r="CO316" s="335"/>
      <c r="CP316" s="335"/>
      <c r="CQ316" s="335"/>
      <c r="CR316" s="335"/>
      <c r="CS316" s="335"/>
      <c r="CT316" s="335"/>
      <c r="CU316" s="335"/>
      <c r="CV316" s="335"/>
      <c r="CW316" s="335"/>
      <c r="CX316" s="335"/>
      <c r="CY316" s="335"/>
      <c r="CZ316" s="335"/>
      <c r="DA316" s="335"/>
      <c r="DB316" s="335"/>
      <c r="DC316" s="335"/>
      <c r="DD316" s="335"/>
      <c r="DE316" s="335"/>
      <c r="DF316" s="335"/>
      <c r="DG316" s="335"/>
      <c r="DH316" s="335"/>
      <c r="DI316" s="335"/>
      <c r="DJ316" s="335"/>
      <c r="DK316" s="335"/>
      <c r="DL316" s="335"/>
      <c r="DM316" s="335"/>
      <c r="DN316" s="335"/>
      <c r="DO316" s="335"/>
      <c r="DP316" s="335"/>
      <c r="DQ316" s="335"/>
      <c r="DR316" s="335"/>
      <c r="DS316" s="335"/>
      <c r="DT316" s="335"/>
      <c r="DU316" s="335"/>
      <c r="DV316" s="335"/>
      <c r="DW316" s="335"/>
      <c r="DX316" s="335"/>
      <c r="DY316" s="335"/>
      <c r="DZ316" s="335"/>
      <c r="EA316" s="335"/>
      <c r="EB316" s="335"/>
      <c r="EC316" s="335"/>
      <c r="ED316" s="335"/>
      <c r="EE316" s="335"/>
      <c r="EF316" s="335"/>
      <c r="EG316" s="335"/>
      <c r="EH316" s="335"/>
      <c r="EI316" s="335"/>
      <c r="EJ316" s="335"/>
      <c r="EK316" s="335"/>
      <c r="EL316" s="335"/>
      <c r="EM316" s="335"/>
    </row>
    <row r="317" spans="72:143">
      <c r="BT317" s="187"/>
      <c r="BU317" s="187" t="s">
        <v>100</v>
      </c>
      <c r="BV317" s="196">
        <v>120034</v>
      </c>
      <c r="BW317" s="197" t="e">
        <f t="shared" si="137"/>
        <v>#REF!</v>
      </c>
      <c r="BX317" s="198" t="e">
        <f>IF(AND(State_LOB_Code=18,LEFT(BW317,4)&lt;"2009"),81,State_LOB_Code)&amp;"|360"</f>
        <v>#REF!</v>
      </c>
      <c r="BY317" s="215"/>
      <c r="BZ317" s="216"/>
      <c r="CD317" s="163"/>
      <c r="CE317" s="363"/>
      <c r="CF317" s="335"/>
      <c r="CG317" s="335"/>
      <c r="CH317" s="335"/>
      <c r="CI317" s="335"/>
      <c r="CJ317" s="335"/>
      <c r="CK317" s="335"/>
      <c r="CL317" s="335"/>
      <c r="CM317" s="335"/>
      <c r="CN317" s="335"/>
      <c r="CO317" s="335"/>
      <c r="CP317" s="335"/>
      <c r="CQ317" s="335"/>
      <c r="CR317" s="335"/>
      <c r="CS317" s="335"/>
      <c r="CT317" s="335"/>
      <c r="CU317" s="335"/>
      <c r="CV317" s="335"/>
      <c r="CW317" s="335"/>
      <c r="CX317" s="335"/>
      <c r="CY317" s="335"/>
      <c r="CZ317" s="335"/>
      <c r="DA317" s="335"/>
      <c r="DB317" s="335"/>
      <c r="DC317" s="335"/>
      <c r="DD317" s="335"/>
      <c r="DE317" s="335"/>
      <c r="DF317" s="335"/>
      <c r="DG317" s="335"/>
      <c r="DH317" s="335"/>
      <c r="DI317" s="335"/>
      <c r="DJ317" s="335"/>
      <c r="DK317" s="335"/>
      <c r="DL317" s="335"/>
      <c r="DM317" s="335"/>
      <c r="DN317" s="335"/>
      <c r="DO317" s="335"/>
      <c r="DP317" s="335"/>
      <c r="DQ317" s="335"/>
      <c r="DR317" s="335"/>
      <c r="DS317" s="335"/>
      <c r="DT317" s="335"/>
      <c r="DU317" s="335"/>
      <c r="DV317" s="335"/>
      <c r="DW317" s="335"/>
      <c r="DX317" s="335"/>
      <c r="DY317" s="335"/>
      <c r="DZ317" s="335"/>
      <c r="EA317" s="335"/>
      <c r="EB317" s="335"/>
      <c r="EC317" s="335"/>
      <c r="ED317" s="335"/>
      <c r="EE317" s="335"/>
      <c r="EF317" s="335"/>
      <c r="EG317" s="335"/>
      <c r="EH317" s="335"/>
      <c r="EI317" s="335"/>
      <c r="EJ317" s="335"/>
      <c r="EK317" s="335"/>
      <c r="EL317" s="335"/>
      <c r="EM317" s="335"/>
    </row>
    <row r="318" spans="72:143">
      <c r="BT318" s="187"/>
      <c r="BU318" s="187" t="s">
        <v>101</v>
      </c>
      <c r="BV318" s="196">
        <v>120034</v>
      </c>
      <c r="BW318" s="197" t="e">
        <f t="shared" si="137"/>
        <v>#REF!</v>
      </c>
      <c r="BX318" s="198" t="e">
        <f>IF(AND(State_LOB_Code=18,LEFT(BW318,4)&lt;"2009"),81,State_LOB_Code)&amp;"|375"</f>
        <v>#REF!</v>
      </c>
      <c r="BY318" s="215"/>
      <c r="BZ318" s="216"/>
      <c r="CD318" s="163"/>
      <c r="CE318" s="363"/>
      <c r="CF318" s="335"/>
      <c r="CG318" s="335"/>
      <c r="CH318" s="335"/>
      <c r="CI318" s="335"/>
      <c r="CJ318" s="335"/>
      <c r="CK318" s="335"/>
      <c r="CL318" s="335"/>
      <c r="CM318" s="335"/>
      <c r="CN318" s="335"/>
      <c r="CO318" s="335"/>
      <c r="CP318" s="335"/>
      <c r="CQ318" s="335"/>
      <c r="CR318" s="335"/>
      <c r="CS318" s="335"/>
      <c r="CT318" s="335"/>
      <c r="CU318" s="335"/>
      <c r="CV318" s="335"/>
      <c r="CW318" s="335"/>
      <c r="CX318" s="335"/>
      <c r="CY318" s="335"/>
      <c r="CZ318" s="335"/>
      <c r="DA318" s="335"/>
      <c r="DB318" s="335"/>
      <c r="DC318" s="335"/>
      <c r="DD318" s="335"/>
      <c r="DE318" s="335"/>
      <c r="DF318" s="335"/>
      <c r="DG318" s="335"/>
      <c r="DH318" s="335"/>
      <c r="DI318" s="335"/>
      <c r="DJ318" s="335"/>
      <c r="DK318" s="335"/>
      <c r="DL318" s="335"/>
      <c r="DM318" s="335"/>
      <c r="DN318" s="335"/>
      <c r="DO318" s="335"/>
      <c r="DP318" s="335"/>
      <c r="DQ318" s="335"/>
      <c r="DR318" s="335"/>
      <c r="DS318" s="335"/>
      <c r="DT318" s="335"/>
      <c r="DU318" s="335"/>
      <c r="DV318" s="335"/>
      <c r="DW318" s="335"/>
      <c r="DX318" s="335"/>
      <c r="DY318" s="335"/>
      <c r="DZ318" s="335"/>
      <c r="EA318" s="335"/>
      <c r="EB318" s="335"/>
      <c r="EC318" s="335"/>
      <c r="ED318" s="335"/>
      <c r="EE318" s="335"/>
      <c r="EF318" s="335"/>
      <c r="EG318" s="335"/>
      <c r="EH318" s="335"/>
      <c r="EI318" s="335"/>
      <c r="EJ318" s="335"/>
      <c r="EK318" s="335"/>
      <c r="EL318" s="335"/>
      <c r="EM318" s="335"/>
    </row>
    <row r="319" spans="72:143">
      <c r="BT319" s="187"/>
      <c r="BU319" s="187" t="s">
        <v>102</v>
      </c>
      <c r="BV319" s="196">
        <v>120034</v>
      </c>
      <c r="BW319" s="197" t="e">
        <f t="shared" si="137"/>
        <v>#REF!</v>
      </c>
      <c r="BX319" s="198" t="e">
        <f>IF(AND(State_LOB_Code=18,LEFT(BW319,4)&lt;"2009"),81,State_LOB_Code)&amp;"|383"</f>
        <v>#REF!</v>
      </c>
      <c r="BY319" s="215"/>
      <c r="BZ319" s="216"/>
      <c r="CD319" s="163"/>
      <c r="CE319" s="363"/>
      <c r="CF319" s="335"/>
      <c r="CG319" s="335"/>
      <c r="CH319" s="335"/>
      <c r="CI319" s="335"/>
      <c r="CJ319" s="335"/>
      <c r="CK319" s="335"/>
      <c r="CL319" s="335"/>
      <c r="CM319" s="335"/>
      <c r="CN319" s="335"/>
      <c r="CO319" s="335"/>
      <c r="CP319" s="335"/>
      <c r="CQ319" s="335"/>
      <c r="CR319" s="335"/>
      <c r="CS319" s="335"/>
      <c r="CT319" s="335"/>
      <c r="CU319" s="335"/>
      <c r="CV319" s="335"/>
      <c r="CW319" s="335"/>
      <c r="CX319" s="335"/>
      <c r="CY319" s="335"/>
      <c r="CZ319" s="335"/>
      <c r="DA319" s="335"/>
      <c r="DB319" s="335"/>
      <c r="DC319" s="335"/>
      <c r="DD319" s="335"/>
      <c r="DE319" s="335"/>
      <c r="DF319" s="335"/>
      <c r="DG319" s="335"/>
      <c r="DH319" s="335"/>
      <c r="DI319" s="335"/>
      <c r="DJ319" s="335"/>
      <c r="DK319" s="335"/>
      <c r="DL319" s="335"/>
      <c r="DM319" s="335"/>
      <c r="DN319" s="335"/>
      <c r="DO319" s="335"/>
      <c r="DP319" s="335"/>
      <c r="DQ319" s="335"/>
      <c r="DR319" s="335"/>
      <c r="DS319" s="335"/>
      <c r="DT319" s="335"/>
      <c r="DU319" s="335"/>
      <c r="DV319" s="335"/>
      <c r="DW319" s="335"/>
      <c r="DX319" s="335"/>
      <c r="DY319" s="335"/>
      <c r="DZ319" s="335"/>
      <c r="EA319" s="335"/>
      <c r="EB319" s="335"/>
      <c r="EC319" s="335"/>
      <c r="ED319" s="335"/>
      <c r="EE319" s="335"/>
      <c r="EF319" s="335"/>
      <c r="EG319" s="335"/>
      <c r="EH319" s="335"/>
      <c r="EI319" s="335"/>
      <c r="EJ319" s="335"/>
      <c r="EK319" s="335"/>
      <c r="EL319" s="335"/>
      <c r="EM319" s="335"/>
    </row>
    <row r="320" spans="72:143">
      <c r="BT320" s="187"/>
      <c r="BU320" s="187" t="s">
        <v>103</v>
      </c>
      <c r="BV320" s="196">
        <v>120034</v>
      </c>
      <c r="BW320" s="197" t="e">
        <f t="shared" si="137"/>
        <v>#REF!</v>
      </c>
      <c r="BX320" s="198" t="e">
        <f>IF(AND(State_LOB_Code=18,LEFT(BW320,4)&lt;"2009"),81,State_LOB_Code)&amp;"|332"</f>
        <v>#REF!</v>
      </c>
      <c r="BY320" s="215"/>
      <c r="BZ320" s="216"/>
      <c r="CD320" s="163"/>
      <c r="CE320" s="363"/>
      <c r="CF320" s="335"/>
      <c r="CG320" s="335"/>
      <c r="CH320" s="335"/>
      <c r="CI320" s="335"/>
      <c r="CJ320" s="335"/>
      <c r="CK320" s="335"/>
      <c r="CL320" s="335"/>
      <c r="CM320" s="335"/>
      <c r="CN320" s="335"/>
      <c r="CO320" s="335"/>
      <c r="CP320" s="335"/>
      <c r="CQ320" s="335"/>
      <c r="CR320" s="335"/>
      <c r="CS320" s="335"/>
      <c r="CT320" s="335"/>
      <c r="CU320" s="335"/>
      <c r="CV320" s="335"/>
      <c r="CW320" s="335"/>
      <c r="CX320" s="335"/>
      <c r="CY320" s="335"/>
      <c r="CZ320" s="335"/>
      <c r="DA320" s="335"/>
      <c r="DB320" s="335"/>
      <c r="DC320" s="335"/>
      <c r="DD320" s="335"/>
      <c r="DE320" s="335"/>
      <c r="DF320" s="335"/>
      <c r="DG320" s="335"/>
      <c r="DH320" s="335"/>
      <c r="DI320" s="335"/>
      <c r="DJ320" s="335"/>
      <c r="DK320" s="335"/>
      <c r="DL320" s="335"/>
      <c r="DM320" s="335"/>
      <c r="DN320" s="335"/>
      <c r="DO320" s="335"/>
      <c r="DP320" s="335"/>
      <c r="DQ320" s="335"/>
      <c r="DR320" s="335"/>
      <c r="DS320" s="335"/>
      <c r="DT320" s="335"/>
      <c r="DU320" s="335"/>
      <c r="DV320" s="335"/>
      <c r="DW320" s="335"/>
      <c r="DX320" s="335"/>
      <c r="DY320" s="335"/>
      <c r="DZ320" s="335"/>
      <c r="EA320" s="335"/>
      <c r="EB320" s="335"/>
      <c r="EC320" s="335"/>
      <c r="ED320" s="335"/>
      <c r="EE320" s="335"/>
      <c r="EF320" s="335"/>
      <c r="EG320" s="335"/>
      <c r="EH320" s="335"/>
      <c r="EI320" s="335"/>
      <c r="EJ320" s="335"/>
      <c r="EK320" s="335"/>
      <c r="EL320" s="335"/>
      <c r="EM320" s="335"/>
    </row>
    <row r="321" spans="72:143">
      <c r="BT321" s="187"/>
      <c r="BU321" s="187" t="s">
        <v>104</v>
      </c>
      <c r="BV321" s="196">
        <v>120034</v>
      </c>
      <c r="BW321" s="197" t="e">
        <f t="shared" si="137"/>
        <v>#REF!</v>
      </c>
      <c r="BX321" s="198" t="e">
        <f>IF(AND(State_LOB_Code=18,LEFT(BW321,4)&lt;"2009"),81,State_LOB_Code)&amp;"|330"</f>
        <v>#REF!</v>
      </c>
      <c r="BY321" s="215"/>
      <c r="BZ321" s="216"/>
      <c r="CD321" s="163"/>
      <c r="CE321" s="363"/>
      <c r="CF321" s="335"/>
      <c r="CG321" s="335"/>
      <c r="CH321" s="335"/>
      <c r="CI321" s="335"/>
      <c r="CJ321" s="335"/>
      <c r="CK321" s="335"/>
      <c r="CL321" s="335"/>
      <c r="CM321" s="335"/>
      <c r="CN321" s="335"/>
      <c r="CO321" s="335"/>
      <c r="CP321" s="335"/>
      <c r="CQ321" s="335"/>
      <c r="CR321" s="335"/>
      <c r="CS321" s="335"/>
      <c r="CT321" s="335"/>
      <c r="CU321" s="335"/>
      <c r="CV321" s="335"/>
      <c r="CW321" s="335"/>
      <c r="CX321" s="335"/>
      <c r="CY321" s="335"/>
      <c r="CZ321" s="335"/>
      <c r="DA321" s="335"/>
      <c r="DB321" s="335"/>
      <c r="DC321" s="335"/>
      <c r="DD321" s="335"/>
      <c r="DE321" s="335"/>
      <c r="DF321" s="335"/>
      <c r="DG321" s="335"/>
      <c r="DH321" s="335"/>
      <c r="DI321" s="335"/>
      <c r="DJ321" s="335"/>
      <c r="DK321" s="335"/>
      <c r="DL321" s="335"/>
      <c r="DM321" s="335"/>
      <c r="DN321" s="335"/>
      <c r="DO321" s="335"/>
      <c r="DP321" s="335"/>
      <c r="DQ321" s="335"/>
      <c r="DR321" s="335"/>
      <c r="DS321" s="335"/>
      <c r="DT321" s="335"/>
      <c r="DU321" s="335"/>
      <c r="DV321" s="335"/>
      <c r="DW321" s="335"/>
      <c r="DX321" s="335"/>
      <c r="DY321" s="335"/>
      <c r="DZ321" s="335"/>
      <c r="EA321" s="335"/>
      <c r="EB321" s="335"/>
      <c r="EC321" s="335"/>
      <c r="ED321" s="335"/>
      <c r="EE321" s="335"/>
      <c r="EF321" s="335"/>
      <c r="EG321" s="335"/>
      <c r="EH321" s="335"/>
      <c r="EI321" s="335"/>
      <c r="EJ321" s="335"/>
      <c r="EK321" s="335"/>
      <c r="EL321" s="335"/>
      <c r="EM321" s="335"/>
    </row>
    <row r="322" spans="72:143">
      <c r="BT322" s="187"/>
      <c r="BU322" s="190" t="s">
        <v>46</v>
      </c>
      <c r="BV322" s="202">
        <v>124055</v>
      </c>
      <c r="BW322" s="203" t="e">
        <f t="shared" si="137"/>
        <v>#REF!</v>
      </c>
      <c r="BX322" s="204" t="e">
        <f>IF(AND(State_LOB_Code=18,LEFT(BW322,4)&lt;"2009"),81,State_LOB_Code)</f>
        <v>#REF!</v>
      </c>
      <c r="BY322" s="219"/>
      <c r="BZ322" s="220"/>
      <c r="CD322" s="163"/>
      <c r="CE322" s="363"/>
      <c r="CF322" s="335"/>
      <c r="CG322" s="335"/>
      <c r="CH322" s="335"/>
      <c r="CI322" s="335"/>
      <c r="CJ322" s="335"/>
      <c r="CK322" s="335"/>
      <c r="CL322" s="335"/>
      <c r="CM322" s="335"/>
      <c r="CN322" s="335"/>
      <c r="CO322" s="335"/>
      <c r="CP322" s="335"/>
      <c r="CQ322" s="335"/>
      <c r="CR322" s="335"/>
      <c r="CS322" s="335"/>
      <c r="CT322" s="335"/>
      <c r="CU322" s="335"/>
      <c r="CV322" s="335"/>
      <c r="CW322" s="335"/>
      <c r="CX322" s="335"/>
      <c r="CY322" s="335"/>
      <c r="CZ322" s="335"/>
      <c r="DA322" s="335"/>
      <c r="DB322" s="335"/>
      <c r="DC322" s="335"/>
      <c r="DD322" s="335"/>
      <c r="DE322" s="335"/>
      <c r="DF322" s="335"/>
      <c r="DG322" s="335"/>
      <c r="DH322" s="335"/>
      <c r="DI322" s="335"/>
      <c r="DJ322" s="335"/>
      <c r="DK322" s="335"/>
      <c r="DL322" s="335"/>
      <c r="DM322" s="335"/>
      <c r="DN322" s="335"/>
      <c r="DO322" s="335"/>
      <c r="DP322" s="335"/>
      <c r="DQ322" s="335"/>
      <c r="DR322" s="335"/>
      <c r="DS322" s="335"/>
      <c r="DT322" s="335"/>
      <c r="DU322" s="335"/>
      <c r="DV322" s="335"/>
      <c r="DW322" s="335"/>
      <c r="DX322" s="335"/>
      <c r="DY322" s="335"/>
      <c r="DZ322" s="335"/>
      <c r="EA322" s="335"/>
      <c r="EB322" s="335"/>
      <c r="EC322" s="335"/>
      <c r="ED322" s="335"/>
      <c r="EE322" s="335"/>
      <c r="EF322" s="335"/>
      <c r="EG322" s="335"/>
      <c r="EH322" s="335"/>
      <c r="EI322" s="335"/>
      <c r="EJ322" s="335"/>
      <c r="EK322" s="335"/>
      <c r="EL322" s="335"/>
      <c r="EM322" s="335"/>
    </row>
    <row r="323" spans="72:143">
      <c r="BT323" s="187"/>
      <c r="BU323" s="187"/>
      <c r="BV323" s="188"/>
      <c r="BW323" s="188"/>
      <c r="BX323" s="188"/>
      <c r="BY323" s="215"/>
      <c r="BZ323" s="216"/>
      <c r="CD323" s="163"/>
      <c r="CE323" s="363"/>
      <c r="CF323" s="335"/>
      <c r="CG323" s="335"/>
      <c r="CH323" s="335"/>
      <c r="CI323" s="335"/>
      <c r="CJ323" s="335"/>
      <c r="CK323" s="335"/>
      <c r="CL323" s="335"/>
      <c r="CM323" s="335"/>
      <c r="CN323" s="335"/>
      <c r="CO323" s="335"/>
      <c r="CP323" s="335"/>
      <c r="CQ323" s="335"/>
      <c r="CR323" s="335"/>
      <c r="CS323" s="335"/>
      <c r="CT323" s="335"/>
      <c r="CU323" s="335"/>
      <c r="CV323" s="335"/>
      <c r="CW323" s="335"/>
      <c r="CX323" s="335"/>
      <c r="CY323" s="335"/>
      <c r="CZ323" s="335"/>
      <c r="DA323" s="335"/>
      <c r="DB323" s="335"/>
      <c r="DC323" s="335"/>
      <c r="DD323" s="335"/>
      <c r="DE323" s="335"/>
      <c r="DF323" s="335"/>
      <c r="DG323" s="335"/>
      <c r="DH323" s="335"/>
      <c r="DI323" s="335"/>
      <c r="DJ323" s="335"/>
      <c r="DK323" s="335"/>
      <c r="DL323" s="335"/>
      <c r="DM323" s="335"/>
      <c r="DN323" s="335"/>
      <c r="DO323" s="335"/>
      <c r="DP323" s="335"/>
      <c r="DQ323" s="335"/>
      <c r="DR323" s="335"/>
      <c r="DS323" s="335"/>
      <c r="DT323" s="335"/>
      <c r="DU323" s="335"/>
      <c r="DV323" s="335"/>
      <c r="DW323" s="335"/>
      <c r="DX323" s="335"/>
      <c r="DY323" s="335"/>
      <c r="DZ323" s="335"/>
      <c r="EA323" s="335"/>
      <c r="EB323" s="335"/>
      <c r="EC323" s="335"/>
      <c r="ED323" s="335"/>
      <c r="EE323" s="335"/>
      <c r="EF323" s="335"/>
      <c r="EG323" s="335"/>
      <c r="EH323" s="335"/>
      <c r="EI323" s="335"/>
      <c r="EJ323" s="335"/>
      <c r="EK323" s="335"/>
      <c r="EL323" s="335"/>
      <c r="EM323" s="335"/>
    </row>
    <row r="324" spans="72:143">
      <c r="BT324" s="187"/>
      <c r="BU324" s="184" t="s">
        <v>47</v>
      </c>
      <c r="BV324" s="193">
        <v>120034</v>
      </c>
      <c r="BW324" s="194" t="e">
        <f t="shared" ref="BW324:BW355" si="138">LEFT(BW263,4)-1&amp;"Y"</f>
        <v>#REF!</v>
      </c>
      <c r="BX324" s="195" t="e">
        <f>IF(AND(State_LOB_Code=18,LEFT(BW324,4)&lt;"2009"),81,State_LOB_Code)&amp;"|333"</f>
        <v>#REF!</v>
      </c>
      <c r="BY324" s="213"/>
      <c r="BZ324" s="214"/>
      <c r="CD324" s="163"/>
      <c r="CE324" s="363"/>
      <c r="CF324" s="335"/>
      <c r="CG324" s="335"/>
      <c r="CH324" s="335"/>
      <c r="CI324" s="335"/>
      <c r="CJ324" s="335"/>
      <c r="CK324" s="335"/>
      <c r="CL324" s="335"/>
      <c r="CM324" s="335"/>
      <c r="CN324" s="335"/>
      <c r="CO324" s="335"/>
      <c r="CP324" s="335"/>
      <c r="CQ324" s="335"/>
      <c r="CR324" s="335"/>
      <c r="CS324" s="335"/>
      <c r="CT324" s="335"/>
      <c r="CU324" s="335"/>
      <c r="CV324" s="335"/>
      <c r="CW324" s="335"/>
      <c r="CX324" s="335"/>
      <c r="CY324" s="335"/>
      <c r="CZ324" s="335"/>
      <c r="DA324" s="335"/>
      <c r="DB324" s="335"/>
      <c r="DC324" s="335"/>
      <c r="DD324" s="335"/>
      <c r="DE324" s="335"/>
      <c r="DF324" s="335"/>
      <c r="DG324" s="335"/>
      <c r="DH324" s="335"/>
      <c r="DI324" s="335"/>
      <c r="DJ324" s="335"/>
      <c r="DK324" s="335"/>
      <c r="DL324" s="335"/>
      <c r="DM324" s="335"/>
      <c r="DN324" s="335"/>
      <c r="DO324" s="335"/>
      <c r="DP324" s="335"/>
      <c r="DQ324" s="335"/>
      <c r="DR324" s="335"/>
      <c r="DS324" s="335"/>
      <c r="DT324" s="335"/>
      <c r="DU324" s="335"/>
      <c r="DV324" s="335"/>
      <c r="DW324" s="335"/>
      <c r="DX324" s="335"/>
      <c r="DY324" s="335"/>
      <c r="DZ324" s="335"/>
      <c r="EA324" s="335"/>
      <c r="EB324" s="335"/>
      <c r="EC324" s="335"/>
      <c r="ED324" s="335"/>
      <c r="EE324" s="335"/>
      <c r="EF324" s="335"/>
      <c r="EG324" s="335"/>
      <c r="EH324" s="335"/>
      <c r="EI324" s="335"/>
      <c r="EJ324" s="335"/>
      <c r="EK324" s="335"/>
      <c r="EL324" s="335"/>
      <c r="EM324" s="335"/>
    </row>
    <row r="325" spans="72:143">
      <c r="BT325" s="187"/>
      <c r="BU325" s="187" t="s">
        <v>48</v>
      </c>
      <c r="BV325" s="196">
        <v>120034</v>
      </c>
      <c r="BW325" s="197" t="e">
        <f t="shared" si="138"/>
        <v>#REF!</v>
      </c>
      <c r="BX325" s="198" t="e">
        <f>IF(AND(State_LOB_Code=18,LEFT(BW325,4)&lt;"2009"),81,State_LOB_Code)&amp;"|334"</f>
        <v>#REF!</v>
      </c>
      <c r="BY325" s="215"/>
      <c r="BZ325" s="216"/>
      <c r="CD325" s="163"/>
      <c r="CE325" s="363"/>
      <c r="CF325" s="335"/>
      <c r="CG325" s="335"/>
      <c r="CH325" s="335"/>
      <c r="CI325" s="335"/>
      <c r="CJ325" s="335"/>
      <c r="CK325" s="335"/>
      <c r="CL325" s="335"/>
      <c r="CM325" s="335"/>
      <c r="CN325" s="335"/>
      <c r="CO325" s="335"/>
      <c r="CP325" s="335"/>
      <c r="CQ325" s="335"/>
      <c r="CR325" s="335"/>
      <c r="CS325" s="335"/>
      <c r="CT325" s="335"/>
      <c r="CU325" s="335"/>
      <c r="CV325" s="335"/>
      <c r="CW325" s="335"/>
      <c r="CX325" s="335"/>
      <c r="CY325" s="335"/>
      <c r="CZ325" s="335"/>
      <c r="DA325" s="335"/>
      <c r="DB325" s="335"/>
      <c r="DC325" s="335"/>
      <c r="DD325" s="335"/>
      <c r="DE325" s="335"/>
      <c r="DF325" s="335"/>
      <c r="DG325" s="335"/>
      <c r="DH325" s="335"/>
      <c r="DI325" s="335"/>
      <c r="DJ325" s="335"/>
      <c r="DK325" s="335"/>
      <c r="DL325" s="335"/>
      <c r="DM325" s="335"/>
      <c r="DN325" s="335"/>
      <c r="DO325" s="335"/>
      <c r="DP325" s="335"/>
      <c r="DQ325" s="335"/>
      <c r="DR325" s="335"/>
      <c r="DS325" s="335"/>
      <c r="DT325" s="335"/>
      <c r="DU325" s="335"/>
      <c r="DV325" s="335"/>
      <c r="DW325" s="335"/>
      <c r="DX325" s="335"/>
      <c r="DY325" s="335"/>
      <c r="DZ325" s="335"/>
      <c r="EA325" s="335"/>
      <c r="EB325" s="335"/>
      <c r="EC325" s="335"/>
      <c r="ED325" s="335"/>
      <c r="EE325" s="335"/>
      <c r="EF325" s="335"/>
      <c r="EG325" s="335"/>
      <c r="EH325" s="335"/>
      <c r="EI325" s="335"/>
      <c r="EJ325" s="335"/>
      <c r="EK325" s="335"/>
      <c r="EL325" s="335"/>
      <c r="EM325" s="335"/>
    </row>
    <row r="326" spans="72:143">
      <c r="BT326" s="187"/>
      <c r="BU326" s="187" t="s">
        <v>49</v>
      </c>
      <c r="BV326" s="196">
        <v>120034</v>
      </c>
      <c r="BW326" s="197" t="e">
        <f t="shared" si="138"/>
        <v>#REF!</v>
      </c>
      <c r="BX326" s="198" t="e">
        <f>IF(AND(State_LOB_Code=18,LEFT(BW326,4)&lt;"2009"),81,State_LOB_Code)&amp;"|335"</f>
        <v>#REF!</v>
      </c>
      <c r="BY326" s="215"/>
      <c r="BZ326" s="216"/>
      <c r="CD326" s="163"/>
      <c r="CE326" s="363"/>
      <c r="CF326" s="335"/>
      <c r="CG326" s="335"/>
      <c r="CH326" s="335"/>
      <c r="CI326" s="335"/>
      <c r="CJ326" s="335"/>
      <c r="CK326" s="335"/>
      <c r="CL326" s="335"/>
      <c r="CM326" s="335"/>
      <c r="CN326" s="335"/>
      <c r="CO326" s="335"/>
      <c r="CP326" s="335"/>
      <c r="CQ326" s="335"/>
      <c r="CR326" s="335"/>
      <c r="CS326" s="335"/>
      <c r="CT326" s="335"/>
      <c r="CU326" s="335"/>
      <c r="CV326" s="335"/>
      <c r="CW326" s="335"/>
      <c r="CX326" s="335"/>
      <c r="CY326" s="335"/>
      <c r="CZ326" s="335"/>
      <c r="DA326" s="335"/>
      <c r="DB326" s="335"/>
      <c r="DC326" s="335"/>
      <c r="DD326" s="335"/>
      <c r="DE326" s="335"/>
      <c r="DF326" s="335"/>
      <c r="DG326" s="335"/>
      <c r="DH326" s="335"/>
      <c r="DI326" s="335"/>
      <c r="DJ326" s="335"/>
      <c r="DK326" s="335"/>
      <c r="DL326" s="335"/>
      <c r="DM326" s="335"/>
      <c r="DN326" s="335"/>
      <c r="DO326" s="335"/>
      <c r="DP326" s="335"/>
      <c r="DQ326" s="335"/>
      <c r="DR326" s="335"/>
      <c r="DS326" s="335"/>
      <c r="DT326" s="335"/>
      <c r="DU326" s="335"/>
      <c r="DV326" s="335"/>
      <c r="DW326" s="335"/>
      <c r="DX326" s="335"/>
      <c r="DY326" s="335"/>
      <c r="DZ326" s="335"/>
      <c r="EA326" s="335"/>
      <c r="EB326" s="335"/>
      <c r="EC326" s="335"/>
      <c r="ED326" s="335"/>
      <c r="EE326" s="335"/>
      <c r="EF326" s="335"/>
      <c r="EG326" s="335"/>
      <c r="EH326" s="335"/>
      <c r="EI326" s="335"/>
      <c r="EJ326" s="335"/>
      <c r="EK326" s="335"/>
      <c r="EL326" s="335"/>
      <c r="EM326" s="335"/>
    </row>
    <row r="327" spans="72:143">
      <c r="BT327" s="187"/>
      <c r="BU327" s="187" t="s">
        <v>50</v>
      </c>
      <c r="BV327" s="196">
        <v>120034</v>
      </c>
      <c r="BW327" s="197" t="e">
        <f t="shared" si="138"/>
        <v>#REF!</v>
      </c>
      <c r="BX327" s="198" t="e">
        <f>IF(AND(State_LOB_Code=18,LEFT(BW327,4)&lt;"2009"),81,State_LOB_Code)&amp;"|337"</f>
        <v>#REF!</v>
      </c>
      <c r="BY327" s="215"/>
      <c r="BZ327" s="216"/>
      <c r="CD327" s="163"/>
      <c r="CE327" s="363"/>
      <c r="CF327" s="335"/>
      <c r="CG327" s="335"/>
      <c r="CH327" s="335"/>
      <c r="CI327" s="335"/>
      <c r="CJ327" s="335"/>
      <c r="CK327" s="335"/>
      <c r="CL327" s="335"/>
      <c r="CM327" s="335"/>
      <c r="CN327" s="335"/>
      <c r="CO327" s="335"/>
      <c r="CP327" s="335"/>
      <c r="CQ327" s="335"/>
      <c r="CR327" s="335"/>
      <c r="CS327" s="335"/>
      <c r="CT327" s="335"/>
      <c r="CU327" s="335"/>
      <c r="CV327" s="335"/>
      <c r="CW327" s="335"/>
      <c r="CX327" s="335"/>
      <c r="CY327" s="335"/>
      <c r="CZ327" s="335"/>
      <c r="DA327" s="335"/>
      <c r="DB327" s="335"/>
      <c r="DC327" s="335"/>
      <c r="DD327" s="335"/>
      <c r="DE327" s="335"/>
      <c r="DF327" s="335"/>
      <c r="DG327" s="335"/>
      <c r="DH327" s="335"/>
      <c r="DI327" s="335"/>
      <c r="DJ327" s="335"/>
      <c r="DK327" s="335"/>
      <c r="DL327" s="335"/>
      <c r="DM327" s="335"/>
      <c r="DN327" s="335"/>
      <c r="DO327" s="335"/>
      <c r="DP327" s="335"/>
      <c r="DQ327" s="335"/>
      <c r="DR327" s="335"/>
      <c r="DS327" s="335"/>
      <c r="DT327" s="335"/>
      <c r="DU327" s="335"/>
      <c r="DV327" s="335"/>
      <c r="DW327" s="335"/>
      <c r="DX327" s="335"/>
      <c r="DY327" s="335"/>
      <c r="DZ327" s="335"/>
      <c r="EA327" s="335"/>
      <c r="EB327" s="335"/>
      <c r="EC327" s="335"/>
      <c r="ED327" s="335"/>
      <c r="EE327" s="335"/>
      <c r="EF327" s="335"/>
      <c r="EG327" s="335"/>
      <c r="EH327" s="335"/>
      <c r="EI327" s="335"/>
      <c r="EJ327" s="335"/>
      <c r="EK327" s="335"/>
      <c r="EL327" s="335"/>
      <c r="EM327" s="335"/>
    </row>
    <row r="328" spans="72:143">
      <c r="BT328" s="187"/>
      <c r="BU328" s="187" t="s">
        <v>51</v>
      </c>
      <c r="BV328" s="196">
        <v>120034</v>
      </c>
      <c r="BW328" s="197" t="e">
        <f t="shared" si="138"/>
        <v>#REF!</v>
      </c>
      <c r="BX328" s="198" t="e">
        <f>IF(AND(State_LOB_Code=18,LEFT(BW328,4)&lt;"2009"),81,State_LOB_Code)&amp;"|338"</f>
        <v>#REF!</v>
      </c>
      <c r="BY328" s="215"/>
      <c r="BZ328" s="216"/>
      <c r="CD328" s="163"/>
      <c r="CE328" s="363"/>
      <c r="CF328" s="335"/>
      <c r="CG328" s="335"/>
      <c r="CH328" s="335"/>
      <c r="CI328" s="335"/>
      <c r="CJ328" s="335"/>
      <c r="CK328" s="335"/>
      <c r="CL328" s="335"/>
      <c r="CM328" s="335"/>
      <c r="CN328" s="335"/>
      <c r="CO328" s="335"/>
      <c r="CP328" s="335"/>
      <c r="CQ328" s="335"/>
      <c r="CR328" s="335"/>
      <c r="CS328" s="335"/>
      <c r="CT328" s="335"/>
      <c r="CU328" s="335"/>
      <c r="CV328" s="335"/>
      <c r="CW328" s="335"/>
      <c r="CX328" s="335"/>
      <c r="CY328" s="335"/>
      <c r="CZ328" s="335"/>
      <c r="DA328" s="335"/>
      <c r="DB328" s="335"/>
      <c r="DC328" s="335"/>
      <c r="DD328" s="335"/>
      <c r="DE328" s="335"/>
      <c r="DF328" s="335"/>
      <c r="DG328" s="335"/>
      <c r="DH328" s="335"/>
      <c r="DI328" s="335"/>
      <c r="DJ328" s="335"/>
      <c r="DK328" s="335"/>
      <c r="DL328" s="335"/>
      <c r="DM328" s="335"/>
      <c r="DN328" s="335"/>
      <c r="DO328" s="335"/>
      <c r="DP328" s="335"/>
      <c r="DQ328" s="335"/>
      <c r="DR328" s="335"/>
      <c r="DS328" s="335"/>
      <c r="DT328" s="335"/>
      <c r="DU328" s="335"/>
      <c r="DV328" s="335"/>
      <c r="DW328" s="335"/>
      <c r="DX328" s="335"/>
      <c r="DY328" s="335"/>
      <c r="DZ328" s="335"/>
      <c r="EA328" s="335"/>
      <c r="EB328" s="335"/>
      <c r="EC328" s="335"/>
      <c r="ED328" s="335"/>
      <c r="EE328" s="335"/>
      <c r="EF328" s="335"/>
      <c r="EG328" s="335"/>
      <c r="EH328" s="335"/>
      <c r="EI328" s="335"/>
      <c r="EJ328" s="335"/>
      <c r="EK328" s="335"/>
      <c r="EL328" s="335"/>
      <c r="EM328" s="335"/>
    </row>
    <row r="329" spans="72:143">
      <c r="BT329" s="187"/>
      <c r="BU329" s="187" t="s">
        <v>52</v>
      </c>
      <c r="BV329" s="196">
        <v>120034</v>
      </c>
      <c r="BW329" s="197" t="e">
        <f t="shared" si="138"/>
        <v>#REF!</v>
      </c>
      <c r="BX329" s="198" t="e">
        <f>IF(AND(State_LOB_Code=18,LEFT(BW329,4)&lt;"2009"),81,State_LOB_Code)&amp;"|339"</f>
        <v>#REF!</v>
      </c>
      <c r="BY329" s="215"/>
      <c r="BZ329" s="216"/>
      <c r="CD329" s="163"/>
      <c r="CE329" s="363"/>
      <c r="CF329" s="335"/>
      <c r="CG329" s="335"/>
      <c r="CH329" s="335"/>
      <c r="CI329" s="335"/>
      <c r="CJ329" s="335"/>
      <c r="CK329" s="335"/>
      <c r="CL329" s="335"/>
      <c r="CM329" s="335"/>
      <c r="CN329" s="335"/>
      <c r="CO329" s="335"/>
      <c r="CP329" s="335"/>
      <c r="CQ329" s="335"/>
      <c r="CR329" s="335"/>
      <c r="CS329" s="335"/>
      <c r="CT329" s="335"/>
      <c r="CU329" s="335"/>
      <c r="CV329" s="335"/>
      <c r="CW329" s="335"/>
      <c r="CX329" s="335"/>
      <c r="CY329" s="335"/>
      <c r="CZ329" s="335"/>
      <c r="DA329" s="335"/>
      <c r="DB329" s="335"/>
      <c r="DC329" s="335"/>
      <c r="DD329" s="335"/>
      <c r="DE329" s="335"/>
      <c r="DF329" s="335"/>
      <c r="DG329" s="335"/>
      <c r="DH329" s="335"/>
      <c r="DI329" s="335"/>
      <c r="DJ329" s="335"/>
      <c r="DK329" s="335"/>
      <c r="DL329" s="335"/>
      <c r="DM329" s="335"/>
      <c r="DN329" s="335"/>
      <c r="DO329" s="335"/>
      <c r="DP329" s="335"/>
      <c r="DQ329" s="335"/>
      <c r="DR329" s="335"/>
      <c r="DS329" s="335"/>
      <c r="DT329" s="335"/>
      <c r="DU329" s="335"/>
      <c r="DV329" s="335"/>
      <c r="DW329" s="335"/>
      <c r="DX329" s="335"/>
      <c r="DY329" s="335"/>
      <c r="DZ329" s="335"/>
      <c r="EA329" s="335"/>
      <c r="EB329" s="335"/>
      <c r="EC329" s="335"/>
      <c r="ED329" s="335"/>
      <c r="EE329" s="335"/>
      <c r="EF329" s="335"/>
      <c r="EG329" s="335"/>
      <c r="EH329" s="335"/>
      <c r="EI329" s="335"/>
      <c r="EJ329" s="335"/>
      <c r="EK329" s="335"/>
      <c r="EL329" s="335"/>
      <c r="EM329" s="335"/>
    </row>
    <row r="330" spans="72:143">
      <c r="BT330" s="187"/>
      <c r="BU330" s="187" t="s">
        <v>53</v>
      </c>
      <c r="BV330" s="196">
        <v>120034</v>
      </c>
      <c r="BW330" s="197" t="e">
        <f t="shared" si="138"/>
        <v>#REF!</v>
      </c>
      <c r="BX330" s="198" t="e">
        <f>IF(AND(State_LOB_Code=18,LEFT(BW330,4)&lt;"2009"),81,State_LOB_Code)&amp;"|340"</f>
        <v>#REF!</v>
      </c>
      <c r="BY330" s="215"/>
      <c r="BZ330" s="216"/>
      <c r="CD330" s="163"/>
      <c r="CE330" s="363"/>
      <c r="CF330" s="335"/>
      <c r="CG330" s="335"/>
      <c r="CH330" s="335"/>
      <c r="CI330" s="335"/>
      <c r="CJ330" s="335"/>
      <c r="CK330" s="335"/>
      <c r="CL330" s="335"/>
      <c r="CM330" s="335"/>
      <c r="CN330" s="335"/>
      <c r="CO330" s="335"/>
      <c r="CP330" s="335"/>
      <c r="CQ330" s="335"/>
      <c r="CR330" s="335"/>
      <c r="CS330" s="335"/>
      <c r="CT330" s="335"/>
      <c r="CU330" s="335"/>
      <c r="CV330" s="335"/>
      <c r="CW330" s="335"/>
      <c r="CX330" s="335"/>
      <c r="CY330" s="335"/>
      <c r="CZ330" s="335"/>
      <c r="DA330" s="335"/>
      <c r="DB330" s="335"/>
      <c r="DC330" s="335"/>
      <c r="DD330" s="335"/>
      <c r="DE330" s="335"/>
      <c r="DF330" s="335"/>
      <c r="DG330" s="335"/>
      <c r="DH330" s="335"/>
      <c r="DI330" s="335"/>
      <c r="DJ330" s="335"/>
      <c r="DK330" s="335"/>
      <c r="DL330" s="335"/>
      <c r="DM330" s="335"/>
      <c r="DN330" s="335"/>
      <c r="DO330" s="335"/>
      <c r="DP330" s="335"/>
      <c r="DQ330" s="335"/>
      <c r="DR330" s="335"/>
      <c r="DS330" s="335"/>
      <c r="DT330" s="335"/>
      <c r="DU330" s="335"/>
      <c r="DV330" s="335"/>
      <c r="DW330" s="335"/>
      <c r="DX330" s="335"/>
      <c r="DY330" s="335"/>
      <c r="DZ330" s="335"/>
      <c r="EA330" s="335"/>
      <c r="EB330" s="335"/>
      <c r="EC330" s="335"/>
      <c r="ED330" s="335"/>
      <c r="EE330" s="335"/>
      <c r="EF330" s="335"/>
      <c r="EG330" s="335"/>
      <c r="EH330" s="335"/>
      <c r="EI330" s="335"/>
      <c r="EJ330" s="335"/>
      <c r="EK330" s="335"/>
      <c r="EL330" s="335"/>
      <c r="EM330" s="335"/>
    </row>
    <row r="331" spans="72:143">
      <c r="BT331" s="187"/>
      <c r="BU331" s="187" t="s">
        <v>54</v>
      </c>
      <c r="BV331" s="196">
        <v>120034</v>
      </c>
      <c r="BW331" s="197" t="e">
        <f t="shared" si="138"/>
        <v>#REF!</v>
      </c>
      <c r="BX331" s="198" t="e">
        <f>IF(AND(State_LOB_Code=18,LEFT(BW331,4)&lt;"2009"),81,State_LOB_Code)&amp;"|341"</f>
        <v>#REF!</v>
      </c>
      <c r="BY331" s="215"/>
      <c r="BZ331" s="216"/>
      <c r="CD331" s="163"/>
      <c r="CE331" s="363"/>
      <c r="CF331" s="335"/>
      <c r="CG331" s="335"/>
      <c r="CH331" s="335"/>
      <c r="CI331" s="335"/>
      <c r="CJ331" s="335"/>
      <c r="CK331" s="335"/>
      <c r="CL331" s="335"/>
      <c r="CM331" s="335"/>
      <c r="CN331" s="335"/>
      <c r="CO331" s="335"/>
      <c r="CP331" s="335"/>
      <c r="CQ331" s="335"/>
      <c r="CR331" s="335"/>
      <c r="CS331" s="335"/>
      <c r="CT331" s="335"/>
      <c r="CU331" s="335"/>
      <c r="CV331" s="335"/>
      <c r="CW331" s="335"/>
      <c r="CX331" s="335"/>
      <c r="CY331" s="335"/>
      <c r="CZ331" s="335"/>
      <c r="DA331" s="335"/>
      <c r="DB331" s="335"/>
      <c r="DC331" s="335"/>
      <c r="DD331" s="335"/>
      <c r="DE331" s="335"/>
      <c r="DF331" s="335"/>
      <c r="DG331" s="335"/>
      <c r="DH331" s="335"/>
      <c r="DI331" s="335"/>
      <c r="DJ331" s="335"/>
      <c r="DK331" s="335"/>
      <c r="DL331" s="335"/>
      <c r="DM331" s="335"/>
      <c r="DN331" s="335"/>
      <c r="DO331" s="335"/>
      <c r="DP331" s="335"/>
      <c r="DQ331" s="335"/>
      <c r="DR331" s="335"/>
      <c r="DS331" s="335"/>
      <c r="DT331" s="335"/>
      <c r="DU331" s="335"/>
      <c r="DV331" s="335"/>
      <c r="DW331" s="335"/>
      <c r="DX331" s="335"/>
      <c r="DY331" s="335"/>
      <c r="DZ331" s="335"/>
      <c r="EA331" s="335"/>
      <c r="EB331" s="335"/>
      <c r="EC331" s="335"/>
      <c r="ED331" s="335"/>
      <c r="EE331" s="335"/>
      <c r="EF331" s="335"/>
      <c r="EG331" s="335"/>
      <c r="EH331" s="335"/>
      <c r="EI331" s="335"/>
      <c r="EJ331" s="335"/>
      <c r="EK331" s="335"/>
      <c r="EL331" s="335"/>
      <c r="EM331" s="335"/>
    </row>
    <row r="332" spans="72:143">
      <c r="BT332" s="187"/>
      <c r="BU332" s="187" t="s">
        <v>55</v>
      </c>
      <c r="BV332" s="196">
        <v>120034</v>
      </c>
      <c r="BW332" s="197" t="e">
        <f t="shared" si="138"/>
        <v>#REF!</v>
      </c>
      <c r="BX332" s="198" t="e">
        <f>IF(AND(State_LOB_Code=18,LEFT(BW332,4)&lt;"2009"),81,State_LOB_Code)&amp;"|342"</f>
        <v>#REF!</v>
      </c>
      <c r="BY332" s="215"/>
      <c r="BZ332" s="216"/>
      <c r="CD332" s="163"/>
      <c r="CE332" s="363"/>
      <c r="CF332" s="335"/>
      <c r="CG332" s="335"/>
      <c r="CH332" s="335"/>
      <c r="CI332" s="335"/>
      <c r="CJ332" s="335"/>
      <c r="CK332" s="335"/>
      <c r="CL332" s="335"/>
      <c r="CM332" s="335"/>
      <c r="CN332" s="335"/>
      <c r="CO332" s="335"/>
      <c r="CP332" s="335"/>
      <c r="CQ332" s="335"/>
      <c r="CR332" s="335"/>
      <c r="CS332" s="335"/>
      <c r="CT332" s="335"/>
      <c r="CU332" s="335"/>
      <c r="CV332" s="335"/>
      <c r="CW332" s="335"/>
      <c r="CX332" s="335"/>
      <c r="CY332" s="335"/>
      <c r="CZ332" s="335"/>
      <c r="DA332" s="335"/>
      <c r="DB332" s="335"/>
      <c r="DC332" s="335"/>
      <c r="DD332" s="335"/>
      <c r="DE332" s="335"/>
      <c r="DF332" s="335"/>
      <c r="DG332" s="335"/>
      <c r="DH332" s="335"/>
      <c r="DI332" s="335"/>
      <c r="DJ332" s="335"/>
      <c r="DK332" s="335"/>
      <c r="DL332" s="335"/>
      <c r="DM332" s="335"/>
      <c r="DN332" s="335"/>
      <c r="DO332" s="335"/>
      <c r="DP332" s="335"/>
      <c r="DQ332" s="335"/>
      <c r="DR332" s="335"/>
      <c r="DS332" s="335"/>
      <c r="DT332" s="335"/>
      <c r="DU332" s="335"/>
      <c r="DV332" s="335"/>
      <c r="DW332" s="335"/>
      <c r="DX332" s="335"/>
      <c r="DY332" s="335"/>
      <c r="DZ332" s="335"/>
      <c r="EA332" s="335"/>
      <c r="EB332" s="335"/>
      <c r="EC332" s="335"/>
      <c r="ED332" s="335"/>
      <c r="EE332" s="335"/>
      <c r="EF332" s="335"/>
      <c r="EG332" s="335"/>
      <c r="EH332" s="335"/>
      <c r="EI332" s="335"/>
      <c r="EJ332" s="335"/>
      <c r="EK332" s="335"/>
      <c r="EL332" s="335"/>
      <c r="EM332" s="335"/>
    </row>
    <row r="333" spans="72:143">
      <c r="BT333" s="187"/>
      <c r="BU333" s="187" t="s">
        <v>56</v>
      </c>
      <c r="BV333" s="196">
        <v>120034</v>
      </c>
      <c r="BW333" s="197" t="e">
        <f t="shared" si="138"/>
        <v>#REF!</v>
      </c>
      <c r="BX333" s="198" t="e">
        <f>IF(AND(State_LOB_Code=18,LEFT(BW333,4)&lt;"2009"),81,State_LOB_Code)&amp;"|343"</f>
        <v>#REF!</v>
      </c>
      <c r="BY333" s="215"/>
      <c r="BZ333" s="216"/>
      <c r="CD333" s="163"/>
      <c r="CE333" s="363"/>
      <c r="CF333" s="335"/>
      <c r="CG333" s="335"/>
      <c r="CH333" s="335"/>
      <c r="CI333" s="335"/>
      <c r="CJ333" s="335"/>
      <c r="CK333" s="335"/>
      <c r="CL333" s="335"/>
      <c r="CM333" s="335"/>
      <c r="CN333" s="335"/>
      <c r="CO333" s="335"/>
      <c r="CP333" s="335"/>
      <c r="CQ333" s="335"/>
      <c r="CR333" s="335"/>
      <c r="CS333" s="335"/>
      <c r="CT333" s="335"/>
      <c r="CU333" s="335"/>
      <c r="CV333" s="335"/>
      <c r="CW333" s="335"/>
      <c r="CX333" s="335"/>
      <c r="CY333" s="335"/>
      <c r="CZ333" s="335"/>
      <c r="DA333" s="335"/>
      <c r="DB333" s="335"/>
      <c r="DC333" s="335"/>
      <c r="DD333" s="335"/>
      <c r="DE333" s="335"/>
      <c r="DF333" s="335"/>
      <c r="DG333" s="335"/>
      <c r="DH333" s="335"/>
      <c r="DI333" s="335"/>
      <c r="DJ333" s="335"/>
      <c r="DK333" s="335"/>
      <c r="DL333" s="335"/>
      <c r="DM333" s="335"/>
      <c r="DN333" s="335"/>
      <c r="DO333" s="335"/>
      <c r="DP333" s="335"/>
      <c r="DQ333" s="335"/>
      <c r="DR333" s="335"/>
      <c r="DS333" s="335"/>
      <c r="DT333" s="335"/>
      <c r="DU333" s="335"/>
      <c r="DV333" s="335"/>
      <c r="DW333" s="335"/>
      <c r="DX333" s="335"/>
      <c r="DY333" s="335"/>
      <c r="DZ333" s="335"/>
      <c r="EA333" s="335"/>
      <c r="EB333" s="335"/>
      <c r="EC333" s="335"/>
      <c r="ED333" s="335"/>
      <c r="EE333" s="335"/>
      <c r="EF333" s="335"/>
      <c r="EG333" s="335"/>
      <c r="EH333" s="335"/>
      <c r="EI333" s="335"/>
      <c r="EJ333" s="335"/>
      <c r="EK333" s="335"/>
      <c r="EL333" s="335"/>
      <c r="EM333" s="335"/>
    </row>
    <row r="334" spans="72:143">
      <c r="BT334" s="187"/>
      <c r="BU334" s="187" t="s">
        <v>57</v>
      </c>
      <c r="BV334" s="196">
        <v>120034</v>
      </c>
      <c r="BW334" s="197" t="e">
        <f t="shared" si="138"/>
        <v>#REF!</v>
      </c>
      <c r="BX334" s="198" t="e">
        <f>IF(AND(State_LOB_Code=18,LEFT(BW334,4)&lt;"2009"),81,State_LOB_Code)&amp;"|344"</f>
        <v>#REF!</v>
      </c>
      <c r="BY334" s="215"/>
      <c r="BZ334" s="216"/>
      <c r="CD334" s="163"/>
      <c r="CE334" s="363"/>
      <c r="CF334" s="335"/>
      <c r="CG334" s="335"/>
      <c r="CH334" s="335"/>
      <c r="CI334" s="335"/>
      <c r="CJ334" s="335"/>
      <c r="CK334" s="335"/>
      <c r="CL334" s="335"/>
      <c r="CM334" s="335"/>
      <c r="CN334" s="335"/>
      <c r="CO334" s="335"/>
      <c r="CP334" s="335"/>
      <c r="CQ334" s="335"/>
      <c r="CR334" s="335"/>
      <c r="CS334" s="335"/>
      <c r="CT334" s="335"/>
      <c r="CU334" s="335"/>
      <c r="CV334" s="335"/>
      <c r="CW334" s="335"/>
      <c r="CX334" s="335"/>
      <c r="CY334" s="335"/>
      <c r="CZ334" s="335"/>
      <c r="DA334" s="335"/>
      <c r="DB334" s="335"/>
      <c r="DC334" s="335"/>
      <c r="DD334" s="335"/>
      <c r="DE334" s="335"/>
      <c r="DF334" s="335"/>
      <c r="DG334" s="335"/>
      <c r="DH334" s="335"/>
      <c r="DI334" s="335"/>
      <c r="DJ334" s="335"/>
      <c r="DK334" s="335"/>
      <c r="DL334" s="335"/>
      <c r="DM334" s="335"/>
      <c r="DN334" s="335"/>
      <c r="DO334" s="335"/>
      <c r="DP334" s="335"/>
      <c r="DQ334" s="335"/>
      <c r="DR334" s="335"/>
      <c r="DS334" s="335"/>
      <c r="DT334" s="335"/>
      <c r="DU334" s="335"/>
      <c r="DV334" s="335"/>
      <c r="DW334" s="335"/>
      <c r="DX334" s="335"/>
      <c r="DY334" s="335"/>
      <c r="DZ334" s="335"/>
      <c r="EA334" s="335"/>
      <c r="EB334" s="335"/>
      <c r="EC334" s="335"/>
      <c r="ED334" s="335"/>
      <c r="EE334" s="335"/>
      <c r="EF334" s="335"/>
      <c r="EG334" s="335"/>
      <c r="EH334" s="335"/>
      <c r="EI334" s="335"/>
      <c r="EJ334" s="335"/>
      <c r="EK334" s="335"/>
      <c r="EL334" s="335"/>
      <c r="EM334" s="335"/>
    </row>
    <row r="335" spans="72:143">
      <c r="BT335" s="187"/>
      <c r="BU335" s="187" t="s">
        <v>58</v>
      </c>
      <c r="BV335" s="196">
        <v>120034</v>
      </c>
      <c r="BW335" s="197" t="e">
        <f t="shared" si="138"/>
        <v>#REF!</v>
      </c>
      <c r="BX335" s="198" t="e">
        <f>IF(AND(State_LOB_Code=18,LEFT(BW335,4)&lt;"2009"),81,State_LOB_Code)&amp;"|346"</f>
        <v>#REF!</v>
      </c>
      <c r="BY335" s="215"/>
      <c r="BZ335" s="216"/>
      <c r="CD335" s="163"/>
      <c r="CE335" s="363"/>
      <c r="CF335" s="335"/>
      <c r="CG335" s="335"/>
      <c r="CH335" s="335"/>
      <c r="CI335" s="335"/>
      <c r="CJ335" s="335"/>
      <c r="CK335" s="335"/>
      <c r="CL335" s="335"/>
      <c r="CM335" s="335"/>
      <c r="CN335" s="335"/>
      <c r="CO335" s="335"/>
      <c r="CP335" s="335"/>
      <c r="CQ335" s="335"/>
      <c r="CR335" s="335"/>
      <c r="CS335" s="335"/>
      <c r="CT335" s="335"/>
      <c r="CU335" s="335"/>
      <c r="CV335" s="335"/>
      <c r="CW335" s="335"/>
      <c r="CX335" s="335"/>
      <c r="CY335" s="335"/>
      <c r="CZ335" s="335"/>
      <c r="DA335" s="335"/>
      <c r="DB335" s="335"/>
      <c r="DC335" s="335"/>
      <c r="DD335" s="335"/>
      <c r="DE335" s="335"/>
      <c r="DF335" s="335"/>
      <c r="DG335" s="335"/>
      <c r="DH335" s="335"/>
      <c r="DI335" s="335"/>
      <c r="DJ335" s="335"/>
      <c r="DK335" s="335"/>
      <c r="DL335" s="335"/>
      <c r="DM335" s="335"/>
      <c r="DN335" s="335"/>
      <c r="DO335" s="335"/>
      <c r="DP335" s="335"/>
      <c r="DQ335" s="335"/>
      <c r="DR335" s="335"/>
      <c r="DS335" s="335"/>
      <c r="DT335" s="335"/>
      <c r="DU335" s="335"/>
      <c r="DV335" s="335"/>
      <c r="DW335" s="335"/>
      <c r="DX335" s="335"/>
      <c r="DY335" s="335"/>
      <c r="DZ335" s="335"/>
      <c r="EA335" s="335"/>
      <c r="EB335" s="335"/>
      <c r="EC335" s="335"/>
      <c r="ED335" s="335"/>
      <c r="EE335" s="335"/>
      <c r="EF335" s="335"/>
      <c r="EG335" s="335"/>
      <c r="EH335" s="335"/>
      <c r="EI335" s="335"/>
      <c r="EJ335" s="335"/>
      <c r="EK335" s="335"/>
      <c r="EL335" s="335"/>
      <c r="EM335" s="335"/>
    </row>
    <row r="336" spans="72:143">
      <c r="BT336" s="187"/>
      <c r="BU336" s="187" t="s">
        <v>59</v>
      </c>
      <c r="BV336" s="196">
        <v>120034</v>
      </c>
      <c r="BW336" s="197" t="e">
        <f t="shared" si="138"/>
        <v>#REF!</v>
      </c>
      <c r="BX336" s="198" t="e">
        <f>IF(AND(State_LOB_Code=18,LEFT(BW336,4)&lt;"2009"),81,State_LOB_Code)&amp;"|347"</f>
        <v>#REF!</v>
      </c>
      <c r="BY336" s="215"/>
      <c r="BZ336" s="216"/>
      <c r="CD336" s="163"/>
      <c r="CE336" s="363"/>
      <c r="CF336" s="335"/>
      <c r="CG336" s="335"/>
      <c r="CH336" s="335"/>
      <c r="CI336" s="335"/>
      <c r="CJ336" s="335"/>
      <c r="CK336" s="335"/>
      <c r="CL336" s="335"/>
      <c r="CM336" s="335"/>
      <c r="CN336" s="335"/>
      <c r="CO336" s="335"/>
      <c r="CP336" s="335"/>
      <c r="CQ336" s="335"/>
      <c r="CR336" s="335"/>
      <c r="CS336" s="335"/>
      <c r="CT336" s="335"/>
      <c r="CU336" s="335"/>
      <c r="CV336" s="335"/>
      <c r="CW336" s="335"/>
      <c r="CX336" s="335"/>
      <c r="CY336" s="335"/>
      <c r="CZ336" s="335"/>
      <c r="DA336" s="335"/>
      <c r="DB336" s="335"/>
      <c r="DC336" s="335"/>
      <c r="DD336" s="335"/>
      <c r="DE336" s="335"/>
      <c r="DF336" s="335"/>
      <c r="DG336" s="335"/>
      <c r="DH336" s="335"/>
      <c r="DI336" s="335"/>
      <c r="DJ336" s="335"/>
      <c r="DK336" s="335"/>
      <c r="DL336" s="335"/>
      <c r="DM336" s="335"/>
      <c r="DN336" s="335"/>
      <c r="DO336" s="335"/>
      <c r="DP336" s="335"/>
      <c r="DQ336" s="335"/>
      <c r="DR336" s="335"/>
      <c r="DS336" s="335"/>
      <c r="DT336" s="335"/>
      <c r="DU336" s="335"/>
      <c r="DV336" s="335"/>
      <c r="DW336" s="335"/>
      <c r="DX336" s="335"/>
      <c r="DY336" s="335"/>
      <c r="DZ336" s="335"/>
      <c r="EA336" s="335"/>
      <c r="EB336" s="335"/>
      <c r="EC336" s="335"/>
      <c r="ED336" s="335"/>
      <c r="EE336" s="335"/>
      <c r="EF336" s="335"/>
      <c r="EG336" s="335"/>
      <c r="EH336" s="335"/>
      <c r="EI336" s="335"/>
      <c r="EJ336" s="335"/>
      <c r="EK336" s="335"/>
      <c r="EL336" s="335"/>
      <c r="EM336" s="335"/>
    </row>
    <row r="337" spans="72:143">
      <c r="BT337" s="187"/>
      <c r="BU337" s="187" t="s">
        <v>60</v>
      </c>
      <c r="BV337" s="196">
        <v>120034</v>
      </c>
      <c r="BW337" s="197" t="e">
        <f t="shared" si="138"/>
        <v>#REF!</v>
      </c>
      <c r="BX337" s="198" t="e">
        <f>IF(AND(State_LOB_Code=18,LEFT(BW337,4)&lt;"2009"),81,State_LOB_Code)&amp;"|348"</f>
        <v>#REF!</v>
      </c>
      <c r="BY337" s="215"/>
      <c r="BZ337" s="216"/>
      <c r="CD337" s="163"/>
      <c r="CE337" s="363"/>
      <c r="CF337" s="335"/>
      <c r="CG337" s="335"/>
      <c r="CH337" s="335"/>
      <c r="CI337" s="335"/>
      <c r="CJ337" s="335"/>
      <c r="CK337" s="335"/>
      <c r="CL337" s="335"/>
      <c r="CM337" s="335"/>
      <c r="CN337" s="335"/>
      <c r="CO337" s="335"/>
      <c r="CP337" s="335"/>
      <c r="CQ337" s="335"/>
      <c r="CR337" s="335"/>
      <c r="CS337" s="335"/>
      <c r="CT337" s="335"/>
      <c r="CU337" s="335"/>
      <c r="CV337" s="335"/>
      <c r="CW337" s="335"/>
      <c r="CX337" s="335"/>
      <c r="CY337" s="335"/>
      <c r="CZ337" s="335"/>
      <c r="DA337" s="335"/>
      <c r="DB337" s="335"/>
      <c r="DC337" s="335"/>
      <c r="DD337" s="335"/>
      <c r="DE337" s="335"/>
      <c r="DF337" s="335"/>
      <c r="DG337" s="335"/>
      <c r="DH337" s="335"/>
      <c r="DI337" s="335"/>
      <c r="DJ337" s="335"/>
      <c r="DK337" s="335"/>
      <c r="DL337" s="335"/>
      <c r="DM337" s="335"/>
      <c r="DN337" s="335"/>
      <c r="DO337" s="335"/>
      <c r="DP337" s="335"/>
      <c r="DQ337" s="335"/>
      <c r="DR337" s="335"/>
      <c r="DS337" s="335"/>
      <c r="DT337" s="335"/>
      <c r="DU337" s="335"/>
      <c r="DV337" s="335"/>
      <c r="DW337" s="335"/>
      <c r="DX337" s="335"/>
      <c r="DY337" s="335"/>
      <c r="DZ337" s="335"/>
      <c r="EA337" s="335"/>
      <c r="EB337" s="335"/>
      <c r="EC337" s="335"/>
      <c r="ED337" s="335"/>
      <c r="EE337" s="335"/>
      <c r="EF337" s="335"/>
      <c r="EG337" s="335"/>
      <c r="EH337" s="335"/>
      <c r="EI337" s="335"/>
      <c r="EJ337" s="335"/>
      <c r="EK337" s="335"/>
      <c r="EL337" s="335"/>
      <c r="EM337" s="335"/>
    </row>
    <row r="338" spans="72:143">
      <c r="BT338" s="187"/>
      <c r="BU338" s="187" t="s">
        <v>61</v>
      </c>
      <c r="BV338" s="196">
        <v>120034</v>
      </c>
      <c r="BW338" s="197" t="e">
        <f t="shared" si="138"/>
        <v>#REF!</v>
      </c>
      <c r="BX338" s="198" t="e">
        <f>IF(AND(State_LOB_Code=18,LEFT(BW338,4)&lt;"2009"),81,State_LOB_Code)&amp;"|349"</f>
        <v>#REF!</v>
      </c>
      <c r="BY338" s="215"/>
      <c r="BZ338" s="216"/>
      <c r="CD338" s="163"/>
      <c r="CE338" s="363"/>
      <c r="CF338" s="335"/>
      <c r="CG338" s="335"/>
      <c r="CH338" s="335"/>
      <c r="CI338" s="335"/>
      <c r="CJ338" s="335"/>
      <c r="CK338" s="335"/>
      <c r="CL338" s="335"/>
      <c r="CM338" s="335"/>
      <c r="CN338" s="335"/>
      <c r="CO338" s="335"/>
      <c r="CP338" s="335"/>
      <c r="CQ338" s="335"/>
      <c r="CR338" s="335"/>
      <c r="CS338" s="335"/>
      <c r="CT338" s="335"/>
      <c r="CU338" s="335"/>
      <c r="CV338" s="335"/>
      <c r="CW338" s="335"/>
      <c r="CX338" s="335"/>
      <c r="CY338" s="335"/>
      <c r="CZ338" s="335"/>
      <c r="DA338" s="335"/>
      <c r="DB338" s="335"/>
      <c r="DC338" s="335"/>
      <c r="DD338" s="335"/>
      <c r="DE338" s="335"/>
      <c r="DF338" s="335"/>
      <c r="DG338" s="335"/>
      <c r="DH338" s="335"/>
      <c r="DI338" s="335"/>
      <c r="DJ338" s="335"/>
      <c r="DK338" s="335"/>
      <c r="DL338" s="335"/>
      <c r="DM338" s="335"/>
      <c r="DN338" s="335"/>
      <c r="DO338" s="335"/>
      <c r="DP338" s="335"/>
      <c r="DQ338" s="335"/>
      <c r="DR338" s="335"/>
      <c r="DS338" s="335"/>
      <c r="DT338" s="335"/>
      <c r="DU338" s="335"/>
      <c r="DV338" s="335"/>
      <c r="DW338" s="335"/>
      <c r="DX338" s="335"/>
      <c r="DY338" s="335"/>
      <c r="DZ338" s="335"/>
      <c r="EA338" s="335"/>
      <c r="EB338" s="335"/>
      <c r="EC338" s="335"/>
      <c r="ED338" s="335"/>
      <c r="EE338" s="335"/>
      <c r="EF338" s="335"/>
      <c r="EG338" s="335"/>
      <c r="EH338" s="335"/>
      <c r="EI338" s="335"/>
      <c r="EJ338" s="335"/>
      <c r="EK338" s="335"/>
      <c r="EL338" s="335"/>
      <c r="EM338" s="335"/>
    </row>
    <row r="339" spans="72:143">
      <c r="BT339" s="187"/>
      <c r="BU339" s="187" t="s">
        <v>62</v>
      </c>
      <c r="BV339" s="196">
        <v>120034</v>
      </c>
      <c r="BW339" s="197" t="e">
        <f t="shared" si="138"/>
        <v>#REF!</v>
      </c>
      <c r="BX339" s="198" t="e">
        <f>IF(AND(State_LOB_Code=18,LEFT(BW339,4)&lt;"2009"),81,State_LOB_Code)&amp;"|350"</f>
        <v>#REF!</v>
      </c>
      <c r="BY339" s="215"/>
      <c r="BZ339" s="216"/>
      <c r="CD339" s="163"/>
      <c r="CE339" s="363"/>
      <c r="CF339" s="335"/>
      <c r="CG339" s="335"/>
      <c r="CH339" s="335"/>
      <c r="CI339" s="335"/>
      <c r="CJ339" s="335"/>
      <c r="CK339" s="335"/>
      <c r="CL339" s="335"/>
      <c r="CM339" s="335"/>
      <c r="CN339" s="335"/>
      <c r="CO339" s="335"/>
      <c r="CP339" s="335"/>
      <c r="CQ339" s="335"/>
      <c r="CR339" s="335"/>
      <c r="CS339" s="335"/>
      <c r="CT339" s="335"/>
      <c r="CU339" s="335"/>
      <c r="CV339" s="335"/>
      <c r="CW339" s="335"/>
      <c r="CX339" s="335"/>
      <c r="CY339" s="335"/>
      <c r="CZ339" s="335"/>
      <c r="DA339" s="335"/>
      <c r="DB339" s="335"/>
      <c r="DC339" s="335"/>
      <c r="DD339" s="335"/>
      <c r="DE339" s="335"/>
      <c r="DF339" s="335"/>
      <c r="DG339" s="335"/>
      <c r="DH339" s="335"/>
      <c r="DI339" s="335"/>
      <c r="DJ339" s="335"/>
      <c r="DK339" s="335"/>
      <c r="DL339" s="335"/>
      <c r="DM339" s="335"/>
      <c r="DN339" s="335"/>
      <c r="DO339" s="335"/>
      <c r="DP339" s="335"/>
      <c r="DQ339" s="335"/>
      <c r="DR339" s="335"/>
      <c r="DS339" s="335"/>
      <c r="DT339" s="335"/>
      <c r="DU339" s="335"/>
      <c r="DV339" s="335"/>
      <c r="DW339" s="335"/>
      <c r="DX339" s="335"/>
      <c r="DY339" s="335"/>
      <c r="DZ339" s="335"/>
      <c r="EA339" s="335"/>
      <c r="EB339" s="335"/>
      <c r="EC339" s="335"/>
      <c r="ED339" s="335"/>
      <c r="EE339" s="335"/>
      <c r="EF339" s="335"/>
      <c r="EG339" s="335"/>
      <c r="EH339" s="335"/>
      <c r="EI339" s="335"/>
      <c r="EJ339" s="335"/>
      <c r="EK339" s="335"/>
      <c r="EL339" s="335"/>
      <c r="EM339" s="335"/>
    </row>
    <row r="340" spans="72:143">
      <c r="BT340" s="187"/>
      <c r="BU340" s="187" t="s">
        <v>63</v>
      </c>
      <c r="BV340" s="196">
        <v>120034</v>
      </c>
      <c r="BW340" s="197" t="e">
        <f t="shared" si="138"/>
        <v>#REF!</v>
      </c>
      <c r="BX340" s="198" t="e">
        <f>IF(AND(State_LOB_Code=18,LEFT(BW340,4)&lt;"2009"),81,State_LOB_Code)&amp;"|351"</f>
        <v>#REF!</v>
      </c>
      <c r="BY340" s="215"/>
      <c r="BZ340" s="216"/>
      <c r="CD340" s="163"/>
      <c r="CE340" s="363"/>
      <c r="CF340" s="335"/>
      <c r="CG340" s="335"/>
      <c r="CH340" s="335"/>
      <c r="CI340" s="335"/>
      <c r="CJ340" s="335"/>
      <c r="CK340" s="335"/>
      <c r="CL340" s="335"/>
      <c r="CM340" s="335"/>
      <c r="CN340" s="335"/>
      <c r="CO340" s="335"/>
      <c r="CP340" s="335"/>
      <c r="CQ340" s="335"/>
      <c r="CR340" s="335"/>
      <c r="CS340" s="335"/>
      <c r="CT340" s="335"/>
      <c r="CU340" s="335"/>
      <c r="CV340" s="335"/>
      <c r="CW340" s="335"/>
      <c r="CX340" s="335"/>
      <c r="CY340" s="335"/>
      <c r="CZ340" s="335"/>
      <c r="DA340" s="335"/>
      <c r="DB340" s="335"/>
      <c r="DC340" s="335"/>
      <c r="DD340" s="335"/>
      <c r="DE340" s="335"/>
      <c r="DF340" s="335"/>
      <c r="DG340" s="335"/>
      <c r="DH340" s="335"/>
      <c r="DI340" s="335"/>
      <c r="DJ340" s="335"/>
      <c r="DK340" s="335"/>
      <c r="DL340" s="335"/>
      <c r="DM340" s="335"/>
      <c r="DN340" s="335"/>
      <c r="DO340" s="335"/>
      <c r="DP340" s="335"/>
      <c r="DQ340" s="335"/>
      <c r="DR340" s="335"/>
      <c r="DS340" s="335"/>
      <c r="DT340" s="335"/>
      <c r="DU340" s="335"/>
      <c r="DV340" s="335"/>
      <c r="DW340" s="335"/>
      <c r="DX340" s="335"/>
      <c r="DY340" s="335"/>
      <c r="DZ340" s="335"/>
      <c r="EA340" s="335"/>
      <c r="EB340" s="335"/>
      <c r="EC340" s="335"/>
      <c r="ED340" s="335"/>
      <c r="EE340" s="335"/>
      <c r="EF340" s="335"/>
      <c r="EG340" s="335"/>
      <c r="EH340" s="335"/>
      <c r="EI340" s="335"/>
      <c r="EJ340" s="335"/>
      <c r="EK340" s="335"/>
      <c r="EL340" s="335"/>
      <c r="EM340" s="335"/>
    </row>
    <row r="341" spans="72:143">
      <c r="BT341" s="187"/>
      <c r="BU341" s="187" t="s">
        <v>64</v>
      </c>
      <c r="BV341" s="196">
        <v>120034</v>
      </c>
      <c r="BW341" s="197" t="e">
        <f t="shared" si="138"/>
        <v>#REF!</v>
      </c>
      <c r="BX341" s="198" t="e">
        <f>IF(AND(State_LOB_Code=18,LEFT(BW341,4)&lt;"2009"),81,State_LOB_Code)&amp;"|352"</f>
        <v>#REF!</v>
      </c>
      <c r="BY341" s="215"/>
      <c r="BZ341" s="216"/>
      <c r="CD341" s="163"/>
      <c r="CE341" s="363"/>
      <c r="CF341" s="335"/>
      <c r="CG341" s="335"/>
      <c r="CH341" s="335"/>
      <c r="CI341" s="335"/>
      <c r="CJ341" s="335"/>
      <c r="CK341" s="335"/>
      <c r="CL341" s="335"/>
      <c r="CM341" s="335"/>
      <c r="CN341" s="335"/>
      <c r="CO341" s="335"/>
      <c r="CP341" s="335"/>
      <c r="CQ341" s="335"/>
      <c r="CR341" s="335"/>
      <c r="CS341" s="335"/>
      <c r="CT341" s="335"/>
      <c r="CU341" s="335"/>
      <c r="CV341" s="335"/>
      <c r="CW341" s="335"/>
      <c r="CX341" s="335"/>
      <c r="CY341" s="335"/>
      <c r="CZ341" s="335"/>
      <c r="DA341" s="335"/>
      <c r="DB341" s="335"/>
      <c r="DC341" s="335"/>
      <c r="DD341" s="335"/>
      <c r="DE341" s="335"/>
      <c r="DF341" s="335"/>
      <c r="DG341" s="335"/>
      <c r="DH341" s="335"/>
      <c r="DI341" s="335"/>
      <c r="DJ341" s="335"/>
      <c r="DK341" s="335"/>
      <c r="DL341" s="335"/>
      <c r="DM341" s="335"/>
      <c r="DN341" s="335"/>
      <c r="DO341" s="335"/>
      <c r="DP341" s="335"/>
      <c r="DQ341" s="335"/>
      <c r="DR341" s="335"/>
      <c r="DS341" s="335"/>
      <c r="DT341" s="335"/>
      <c r="DU341" s="335"/>
      <c r="DV341" s="335"/>
      <c r="DW341" s="335"/>
      <c r="DX341" s="335"/>
      <c r="DY341" s="335"/>
      <c r="DZ341" s="335"/>
      <c r="EA341" s="335"/>
      <c r="EB341" s="335"/>
      <c r="EC341" s="335"/>
      <c r="ED341" s="335"/>
      <c r="EE341" s="335"/>
      <c r="EF341" s="335"/>
      <c r="EG341" s="335"/>
      <c r="EH341" s="335"/>
      <c r="EI341" s="335"/>
      <c r="EJ341" s="335"/>
      <c r="EK341" s="335"/>
      <c r="EL341" s="335"/>
      <c r="EM341" s="335"/>
    </row>
    <row r="342" spans="72:143">
      <c r="BT342" s="187"/>
      <c r="BU342" s="187" t="s">
        <v>65</v>
      </c>
      <c r="BV342" s="196">
        <v>120034</v>
      </c>
      <c r="BW342" s="197" t="e">
        <f t="shared" si="138"/>
        <v>#REF!</v>
      </c>
      <c r="BX342" s="198" t="e">
        <f>IF(AND(State_LOB_Code=18,LEFT(BW342,4)&lt;"2009"),81,State_LOB_Code)&amp;"|353"</f>
        <v>#REF!</v>
      </c>
      <c r="BY342" s="215"/>
      <c r="BZ342" s="216"/>
      <c r="CD342" s="163"/>
      <c r="CE342" s="363"/>
      <c r="CF342" s="335"/>
      <c r="CG342" s="335"/>
      <c r="CH342" s="335"/>
      <c r="CI342" s="335"/>
      <c r="CJ342" s="335"/>
      <c r="CK342" s="335"/>
      <c r="CL342" s="335"/>
      <c r="CM342" s="335"/>
      <c r="CN342" s="335"/>
      <c r="CO342" s="335"/>
      <c r="CP342" s="335"/>
      <c r="CQ342" s="335"/>
      <c r="CR342" s="335"/>
      <c r="CS342" s="335"/>
      <c r="CT342" s="335"/>
      <c r="CU342" s="335"/>
      <c r="CV342" s="335"/>
      <c r="CW342" s="335"/>
      <c r="CX342" s="335"/>
      <c r="CY342" s="335"/>
      <c r="CZ342" s="335"/>
      <c r="DA342" s="335"/>
      <c r="DB342" s="335"/>
      <c r="DC342" s="335"/>
      <c r="DD342" s="335"/>
      <c r="DE342" s="335"/>
      <c r="DF342" s="335"/>
      <c r="DG342" s="335"/>
      <c r="DH342" s="335"/>
      <c r="DI342" s="335"/>
      <c r="DJ342" s="335"/>
      <c r="DK342" s="335"/>
      <c r="DL342" s="335"/>
      <c r="DM342" s="335"/>
      <c r="DN342" s="335"/>
      <c r="DO342" s="335"/>
      <c r="DP342" s="335"/>
      <c r="DQ342" s="335"/>
      <c r="DR342" s="335"/>
      <c r="DS342" s="335"/>
      <c r="DT342" s="335"/>
      <c r="DU342" s="335"/>
      <c r="DV342" s="335"/>
      <c r="DW342" s="335"/>
      <c r="DX342" s="335"/>
      <c r="DY342" s="335"/>
      <c r="DZ342" s="335"/>
      <c r="EA342" s="335"/>
      <c r="EB342" s="335"/>
      <c r="EC342" s="335"/>
      <c r="ED342" s="335"/>
      <c r="EE342" s="335"/>
      <c r="EF342" s="335"/>
      <c r="EG342" s="335"/>
      <c r="EH342" s="335"/>
      <c r="EI342" s="335"/>
      <c r="EJ342" s="335"/>
      <c r="EK342" s="335"/>
      <c r="EL342" s="335"/>
      <c r="EM342" s="335"/>
    </row>
    <row r="343" spans="72:143">
      <c r="BT343" s="187"/>
      <c r="BU343" s="187" t="s">
        <v>66</v>
      </c>
      <c r="BV343" s="196">
        <v>120034</v>
      </c>
      <c r="BW343" s="197" t="e">
        <f t="shared" si="138"/>
        <v>#REF!</v>
      </c>
      <c r="BX343" s="198" t="e">
        <f>IF(AND(State_LOB_Code=18,LEFT(BW343,4)&lt;"2009"),81,State_LOB_Code)&amp;"|354"</f>
        <v>#REF!</v>
      </c>
      <c r="BY343" s="215"/>
      <c r="BZ343" s="216"/>
      <c r="CD343" s="163"/>
      <c r="CE343" s="363"/>
      <c r="CF343" s="335"/>
      <c r="CG343" s="335"/>
      <c r="CH343" s="335"/>
      <c r="CI343" s="335"/>
      <c r="CJ343" s="335"/>
      <c r="CK343" s="335"/>
      <c r="CL343" s="335"/>
      <c r="CM343" s="335"/>
      <c r="CN343" s="335"/>
      <c r="CO343" s="335"/>
      <c r="CP343" s="335"/>
      <c r="CQ343" s="335"/>
      <c r="CR343" s="335"/>
      <c r="CS343" s="335"/>
      <c r="CT343" s="335"/>
      <c r="CU343" s="335"/>
      <c r="CV343" s="335"/>
      <c r="CW343" s="335"/>
      <c r="CX343" s="335"/>
      <c r="CY343" s="335"/>
      <c r="CZ343" s="335"/>
      <c r="DA343" s="335"/>
      <c r="DB343" s="335"/>
      <c r="DC343" s="335"/>
      <c r="DD343" s="335"/>
      <c r="DE343" s="335"/>
      <c r="DF343" s="335"/>
      <c r="DG343" s="335"/>
      <c r="DH343" s="335"/>
      <c r="DI343" s="335"/>
      <c r="DJ343" s="335"/>
      <c r="DK343" s="335"/>
      <c r="DL343" s="335"/>
      <c r="DM343" s="335"/>
      <c r="DN343" s="335"/>
      <c r="DO343" s="335"/>
      <c r="DP343" s="335"/>
      <c r="DQ343" s="335"/>
      <c r="DR343" s="335"/>
      <c r="DS343" s="335"/>
      <c r="DT343" s="335"/>
      <c r="DU343" s="335"/>
      <c r="DV343" s="335"/>
      <c r="DW343" s="335"/>
      <c r="DX343" s="335"/>
      <c r="DY343" s="335"/>
      <c r="DZ343" s="335"/>
      <c r="EA343" s="335"/>
      <c r="EB343" s="335"/>
      <c r="EC343" s="335"/>
      <c r="ED343" s="335"/>
      <c r="EE343" s="335"/>
      <c r="EF343" s="335"/>
      <c r="EG343" s="335"/>
      <c r="EH343" s="335"/>
      <c r="EI343" s="335"/>
      <c r="EJ343" s="335"/>
      <c r="EK343" s="335"/>
      <c r="EL343" s="335"/>
      <c r="EM343" s="335"/>
    </row>
    <row r="344" spans="72:143">
      <c r="BT344" s="187"/>
      <c r="BU344" s="187" t="s">
        <v>67</v>
      </c>
      <c r="BV344" s="196">
        <v>120034</v>
      </c>
      <c r="BW344" s="197" t="e">
        <f t="shared" si="138"/>
        <v>#REF!</v>
      </c>
      <c r="BX344" s="198" t="e">
        <f>IF(AND(State_LOB_Code=18,LEFT(BW344,4)&lt;"2009"),81,State_LOB_Code)&amp;"|355"</f>
        <v>#REF!</v>
      </c>
      <c r="BY344" s="215"/>
      <c r="BZ344" s="216"/>
      <c r="CD344" s="163"/>
      <c r="CE344" s="363"/>
      <c r="CF344" s="335"/>
      <c r="CG344" s="335"/>
      <c r="CH344" s="335"/>
      <c r="CI344" s="335"/>
      <c r="CJ344" s="335"/>
      <c r="CK344" s="335"/>
      <c r="CL344" s="335"/>
      <c r="CM344" s="335"/>
      <c r="CN344" s="335"/>
      <c r="CO344" s="335"/>
      <c r="CP344" s="335"/>
      <c r="CQ344" s="335"/>
      <c r="CR344" s="335"/>
      <c r="CS344" s="335"/>
      <c r="CT344" s="335"/>
      <c r="CU344" s="335"/>
      <c r="CV344" s="335"/>
      <c r="CW344" s="335"/>
      <c r="CX344" s="335"/>
      <c r="CY344" s="335"/>
      <c r="CZ344" s="335"/>
      <c r="DA344" s="335"/>
      <c r="DB344" s="335"/>
      <c r="DC344" s="335"/>
      <c r="DD344" s="335"/>
      <c r="DE344" s="335"/>
      <c r="DF344" s="335"/>
      <c r="DG344" s="335"/>
      <c r="DH344" s="335"/>
      <c r="DI344" s="335"/>
      <c r="DJ344" s="335"/>
      <c r="DK344" s="335"/>
      <c r="DL344" s="335"/>
      <c r="DM344" s="335"/>
      <c r="DN344" s="335"/>
      <c r="DO344" s="335"/>
      <c r="DP344" s="335"/>
      <c r="DQ344" s="335"/>
      <c r="DR344" s="335"/>
      <c r="DS344" s="335"/>
      <c r="DT344" s="335"/>
      <c r="DU344" s="335"/>
      <c r="DV344" s="335"/>
      <c r="DW344" s="335"/>
      <c r="DX344" s="335"/>
      <c r="DY344" s="335"/>
      <c r="DZ344" s="335"/>
      <c r="EA344" s="335"/>
      <c r="EB344" s="335"/>
      <c r="EC344" s="335"/>
      <c r="ED344" s="335"/>
      <c r="EE344" s="335"/>
      <c r="EF344" s="335"/>
      <c r="EG344" s="335"/>
      <c r="EH344" s="335"/>
      <c r="EI344" s="335"/>
      <c r="EJ344" s="335"/>
      <c r="EK344" s="335"/>
      <c r="EL344" s="335"/>
      <c r="EM344" s="335"/>
    </row>
    <row r="345" spans="72:143">
      <c r="BT345" s="187"/>
      <c r="BU345" s="187" t="s">
        <v>68</v>
      </c>
      <c r="BV345" s="196">
        <v>120034</v>
      </c>
      <c r="BW345" s="197" t="e">
        <f t="shared" si="138"/>
        <v>#REF!</v>
      </c>
      <c r="BX345" s="198" t="e">
        <f>IF(AND(State_LOB_Code=18,LEFT(BW345,4)&lt;"2009"),81,State_LOB_Code)&amp;"|356"</f>
        <v>#REF!</v>
      </c>
      <c r="BY345" s="215"/>
      <c r="BZ345" s="216"/>
      <c r="CD345" s="163"/>
      <c r="CE345" s="363"/>
      <c r="CF345" s="335"/>
      <c r="CG345" s="335"/>
      <c r="CH345" s="335"/>
      <c r="CI345" s="335"/>
      <c r="CJ345" s="335"/>
      <c r="CK345" s="335"/>
      <c r="CL345" s="335"/>
      <c r="CM345" s="335"/>
      <c r="CN345" s="335"/>
      <c r="CO345" s="335"/>
      <c r="CP345" s="335"/>
      <c r="CQ345" s="335"/>
      <c r="CR345" s="335"/>
      <c r="CS345" s="335"/>
      <c r="CT345" s="335"/>
      <c r="CU345" s="335"/>
      <c r="CV345" s="335"/>
      <c r="CW345" s="335"/>
      <c r="CX345" s="335"/>
      <c r="CY345" s="335"/>
      <c r="CZ345" s="335"/>
      <c r="DA345" s="335"/>
      <c r="DB345" s="335"/>
      <c r="DC345" s="335"/>
      <c r="DD345" s="335"/>
      <c r="DE345" s="335"/>
      <c r="DF345" s="335"/>
      <c r="DG345" s="335"/>
      <c r="DH345" s="335"/>
      <c r="DI345" s="335"/>
      <c r="DJ345" s="335"/>
      <c r="DK345" s="335"/>
      <c r="DL345" s="335"/>
      <c r="DM345" s="335"/>
      <c r="DN345" s="335"/>
      <c r="DO345" s="335"/>
      <c r="DP345" s="335"/>
      <c r="DQ345" s="335"/>
      <c r="DR345" s="335"/>
      <c r="DS345" s="335"/>
      <c r="DT345" s="335"/>
      <c r="DU345" s="335"/>
      <c r="DV345" s="335"/>
      <c r="DW345" s="335"/>
      <c r="DX345" s="335"/>
      <c r="DY345" s="335"/>
      <c r="DZ345" s="335"/>
      <c r="EA345" s="335"/>
      <c r="EB345" s="335"/>
      <c r="EC345" s="335"/>
      <c r="ED345" s="335"/>
      <c r="EE345" s="335"/>
      <c r="EF345" s="335"/>
      <c r="EG345" s="335"/>
      <c r="EH345" s="335"/>
      <c r="EI345" s="335"/>
      <c r="EJ345" s="335"/>
      <c r="EK345" s="335"/>
      <c r="EL345" s="335"/>
      <c r="EM345" s="335"/>
    </row>
    <row r="346" spans="72:143">
      <c r="BT346" s="187"/>
      <c r="BU346" s="187" t="s">
        <v>69</v>
      </c>
      <c r="BV346" s="196">
        <v>120034</v>
      </c>
      <c r="BW346" s="197" t="e">
        <f t="shared" si="138"/>
        <v>#REF!</v>
      </c>
      <c r="BX346" s="198" t="e">
        <f>IF(AND(State_LOB_Code=18,LEFT(BW346,4)&lt;"2009"),81,State_LOB_Code)&amp;"|357"</f>
        <v>#REF!</v>
      </c>
      <c r="BY346" s="215"/>
      <c r="BZ346" s="216"/>
      <c r="CD346" s="163"/>
      <c r="CE346" s="363"/>
      <c r="CF346" s="335"/>
      <c r="CG346" s="335"/>
      <c r="CH346" s="335"/>
      <c r="CI346" s="335"/>
      <c r="CJ346" s="335"/>
      <c r="CK346" s="335"/>
      <c r="CL346" s="335"/>
      <c r="CM346" s="335"/>
      <c r="CN346" s="335"/>
      <c r="CO346" s="335"/>
      <c r="CP346" s="335"/>
      <c r="CQ346" s="335"/>
      <c r="CR346" s="335"/>
      <c r="CS346" s="335"/>
      <c r="CT346" s="335"/>
      <c r="CU346" s="335"/>
      <c r="CV346" s="335"/>
      <c r="CW346" s="335"/>
      <c r="CX346" s="335"/>
      <c r="CY346" s="335"/>
      <c r="CZ346" s="335"/>
      <c r="DA346" s="335"/>
      <c r="DB346" s="335"/>
      <c r="DC346" s="335"/>
      <c r="DD346" s="335"/>
      <c r="DE346" s="335"/>
      <c r="DF346" s="335"/>
      <c r="DG346" s="335"/>
      <c r="DH346" s="335"/>
      <c r="DI346" s="335"/>
      <c r="DJ346" s="335"/>
      <c r="DK346" s="335"/>
      <c r="DL346" s="335"/>
      <c r="DM346" s="335"/>
      <c r="DN346" s="335"/>
      <c r="DO346" s="335"/>
      <c r="DP346" s="335"/>
      <c r="DQ346" s="335"/>
      <c r="DR346" s="335"/>
      <c r="DS346" s="335"/>
      <c r="DT346" s="335"/>
      <c r="DU346" s="335"/>
      <c r="DV346" s="335"/>
      <c r="DW346" s="335"/>
      <c r="DX346" s="335"/>
      <c r="DY346" s="335"/>
      <c r="DZ346" s="335"/>
      <c r="EA346" s="335"/>
      <c r="EB346" s="335"/>
      <c r="EC346" s="335"/>
      <c r="ED346" s="335"/>
      <c r="EE346" s="335"/>
      <c r="EF346" s="335"/>
      <c r="EG346" s="335"/>
      <c r="EH346" s="335"/>
      <c r="EI346" s="335"/>
      <c r="EJ346" s="335"/>
      <c r="EK346" s="335"/>
      <c r="EL346" s="335"/>
      <c r="EM346" s="335"/>
    </row>
    <row r="347" spans="72:143">
      <c r="BT347" s="187"/>
      <c r="BU347" s="187" t="s">
        <v>70</v>
      </c>
      <c r="BV347" s="196">
        <v>120034</v>
      </c>
      <c r="BW347" s="197" t="e">
        <f t="shared" si="138"/>
        <v>#REF!</v>
      </c>
      <c r="BX347" s="198" t="e">
        <f>IF(AND(State_LOB_Code=18,LEFT(BW347,4)&lt;"2009"),81,State_LOB_Code)&amp;"|358"</f>
        <v>#REF!</v>
      </c>
      <c r="BY347" s="215"/>
      <c r="BZ347" s="216"/>
      <c r="CD347" s="163"/>
      <c r="CE347" s="363"/>
      <c r="CF347" s="335"/>
      <c r="CG347" s="335"/>
      <c r="CH347" s="335"/>
      <c r="CI347" s="335"/>
      <c r="CJ347" s="335"/>
      <c r="CK347" s="335"/>
      <c r="CL347" s="335"/>
      <c r="CM347" s="335"/>
      <c r="CN347" s="335"/>
      <c r="CO347" s="335"/>
      <c r="CP347" s="335"/>
      <c r="CQ347" s="335"/>
      <c r="CR347" s="335"/>
      <c r="CS347" s="335"/>
      <c r="CT347" s="335"/>
      <c r="CU347" s="335"/>
      <c r="CV347" s="335"/>
      <c r="CW347" s="335"/>
      <c r="CX347" s="335"/>
      <c r="CY347" s="335"/>
      <c r="CZ347" s="335"/>
      <c r="DA347" s="335"/>
      <c r="DB347" s="335"/>
      <c r="DC347" s="335"/>
      <c r="DD347" s="335"/>
      <c r="DE347" s="335"/>
      <c r="DF347" s="335"/>
      <c r="DG347" s="335"/>
      <c r="DH347" s="335"/>
      <c r="DI347" s="335"/>
      <c r="DJ347" s="335"/>
      <c r="DK347" s="335"/>
      <c r="DL347" s="335"/>
      <c r="DM347" s="335"/>
      <c r="DN347" s="335"/>
      <c r="DO347" s="335"/>
      <c r="DP347" s="335"/>
      <c r="DQ347" s="335"/>
      <c r="DR347" s="335"/>
      <c r="DS347" s="335"/>
      <c r="DT347" s="335"/>
      <c r="DU347" s="335"/>
      <c r="DV347" s="335"/>
      <c r="DW347" s="335"/>
      <c r="DX347" s="335"/>
      <c r="DY347" s="335"/>
      <c r="DZ347" s="335"/>
      <c r="EA347" s="335"/>
      <c r="EB347" s="335"/>
      <c r="EC347" s="335"/>
      <c r="ED347" s="335"/>
      <c r="EE347" s="335"/>
      <c r="EF347" s="335"/>
      <c r="EG347" s="335"/>
      <c r="EH347" s="335"/>
      <c r="EI347" s="335"/>
      <c r="EJ347" s="335"/>
      <c r="EK347" s="335"/>
      <c r="EL347" s="335"/>
      <c r="EM347" s="335"/>
    </row>
    <row r="348" spans="72:143">
      <c r="BT348" s="187"/>
      <c r="BU348" s="187" t="s">
        <v>71</v>
      </c>
      <c r="BV348" s="196">
        <v>120034</v>
      </c>
      <c r="BW348" s="197" t="e">
        <f t="shared" si="138"/>
        <v>#REF!</v>
      </c>
      <c r="BX348" s="198" t="e">
        <f>IF(AND(State_LOB_Code=18,LEFT(BW348,4)&lt;"2009"),81,State_LOB_Code)&amp;"|359"</f>
        <v>#REF!</v>
      </c>
      <c r="BY348" s="215"/>
      <c r="BZ348" s="216"/>
      <c r="CD348" s="163"/>
      <c r="CE348" s="363"/>
      <c r="CF348" s="335"/>
      <c r="CG348" s="335"/>
      <c r="CH348" s="335"/>
      <c r="CI348" s="335"/>
      <c r="CJ348" s="335"/>
      <c r="CK348" s="335"/>
      <c r="CL348" s="335"/>
      <c r="CM348" s="335"/>
      <c r="CN348" s="335"/>
      <c r="CO348" s="335"/>
      <c r="CP348" s="335"/>
      <c r="CQ348" s="335"/>
      <c r="CR348" s="335"/>
      <c r="CS348" s="335"/>
      <c r="CT348" s="335"/>
      <c r="CU348" s="335"/>
      <c r="CV348" s="335"/>
      <c r="CW348" s="335"/>
      <c r="CX348" s="335"/>
      <c r="CY348" s="335"/>
      <c r="CZ348" s="335"/>
      <c r="DA348" s="335"/>
      <c r="DB348" s="335"/>
      <c r="DC348" s="335"/>
      <c r="DD348" s="335"/>
      <c r="DE348" s="335"/>
      <c r="DF348" s="335"/>
      <c r="DG348" s="335"/>
      <c r="DH348" s="335"/>
      <c r="DI348" s="335"/>
      <c r="DJ348" s="335"/>
      <c r="DK348" s="335"/>
      <c r="DL348" s="335"/>
      <c r="DM348" s="335"/>
      <c r="DN348" s="335"/>
      <c r="DO348" s="335"/>
      <c r="DP348" s="335"/>
      <c r="DQ348" s="335"/>
      <c r="DR348" s="335"/>
      <c r="DS348" s="335"/>
      <c r="DT348" s="335"/>
      <c r="DU348" s="335"/>
      <c r="DV348" s="335"/>
      <c r="DW348" s="335"/>
      <c r="DX348" s="335"/>
      <c r="DY348" s="335"/>
      <c r="DZ348" s="335"/>
      <c r="EA348" s="335"/>
      <c r="EB348" s="335"/>
      <c r="EC348" s="335"/>
      <c r="ED348" s="335"/>
      <c r="EE348" s="335"/>
      <c r="EF348" s="335"/>
      <c r="EG348" s="335"/>
      <c r="EH348" s="335"/>
      <c r="EI348" s="335"/>
      <c r="EJ348" s="335"/>
      <c r="EK348" s="335"/>
      <c r="EL348" s="335"/>
      <c r="EM348" s="335"/>
    </row>
    <row r="349" spans="72:143">
      <c r="BT349" s="187"/>
      <c r="BU349" s="187" t="s">
        <v>72</v>
      </c>
      <c r="BV349" s="196">
        <v>120034</v>
      </c>
      <c r="BW349" s="197" t="e">
        <f t="shared" si="138"/>
        <v>#REF!</v>
      </c>
      <c r="BX349" s="198" t="e">
        <f>IF(AND(State_LOB_Code=18,LEFT(BW349,4)&lt;"2009"),81,State_LOB_Code)&amp;"|361"</f>
        <v>#REF!</v>
      </c>
      <c r="BY349" s="215"/>
      <c r="BZ349" s="216"/>
      <c r="CD349" s="163"/>
      <c r="CE349" s="363"/>
      <c r="CF349" s="335"/>
      <c r="CG349" s="335"/>
      <c r="CH349" s="335"/>
      <c r="CI349" s="335"/>
      <c r="CJ349" s="335"/>
      <c r="CK349" s="335"/>
      <c r="CL349" s="335"/>
      <c r="CM349" s="335"/>
      <c r="CN349" s="335"/>
      <c r="CO349" s="335"/>
      <c r="CP349" s="335"/>
      <c r="CQ349" s="335"/>
      <c r="CR349" s="335"/>
      <c r="CS349" s="335"/>
      <c r="CT349" s="335"/>
      <c r="CU349" s="335"/>
      <c r="CV349" s="335"/>
      <c r="CW349" s="335"/>
      <c r="CX349" s="335"/>
      <c r="CY349" s="335"/>
      <c r="CZ349" s="335"/>
      <c r="DA349" s="335"/>
      <c r="DB349" s="335"/>
      <c r="DC349" s="335"/>
      <c r="DD349" s="335"/>
      <c r="DE349" s="335"/>
      <c r="DF349" s="335"/>
      <c r="DG349" s="335"/>
      <c r="DH349" s="335"/>
      <c r="DI349" s="335"/>
      <c r="DJ349" s="335"/>
      <c r="DK349" s="335"/>
      <c r="DL349" s="335"/>
      <c r="DM349" s="335"/>
      <c r="DN349" s="335"/>
      <c r="DO349" s="335"/>
      <c r="DP349" s="335"/>
      <c r="DQ349" s="335"/>
      <c r="DR349" s="335"/>
      <c r="DS349" s="335"/>
      <c r="DT349" s="335"/>
      <c r="DU349" s="335"/>
      <c r="DV349" s="335"/>
      <c r="DW349" s="335"/>
      <c r="DX349" s="335"/>
      <c r="DY349" s="335"/>
      <c r="DZ349" s="335"/>
      <c r="EA349" s="335"/>
      <c r="EB349" s="335"/>
      <c r="EC349" s="335"/>
      <c r="ED349" s="335"/>
      <c r="EE349" s="335"/>
      <c r="EF349" s="335"/>
      <c r="EG349" s="335"/>
      <c r="EH349" s="335"/>
      <c r="EI349" s="335"/>
      <c r="EJ349" s="335"/>
      <c r="EK349" s="335"/>
      <c r="EL349" s="335"/>
      <c r="EM349" s="335"/>
    </row>
    <row r="350" spans="72:143">
      <c r="BT350" s="187"/>
      <c r="BU350" s="187" t="s">
        <v>73</v>
      </c>
      <c r="BV350" s="196">
        <v>120034</v>
      </c>
      <c r="BW350" s="197" t="e">
        <f t="shared" si="138"/>
        <v>#REF!</v>
      </c>
      <c r="BX350" s="198" t="e">
        <f>IF(AND(State_LOB_Code=18,LEFT(BW350,4)&lt;"2009"),81,State_LOB_Code)&amp;"|362"</f>
        <v>#REF!</v>
      </c>
      <c r="BY350" s="215"/>
      <c r="BZ350" s="216"/>
      <c r="CD350" s="163"/>
      <c r="CE350" s="363"/>
      <c r="CF350" s="335"/>
      <c r="CG350" s="335"/>
      <c r="CH350" s="335"/>
      <c r="CI350" s="335"/>
      <c r="CJ350" s="335"/>
      <c r="CK350" s="335"/>
      <c r="CL350" s="335"/>
      <c r="CM350" s="335"/>
      <c r="CN350" s="335"/>
      <c r="CO350" s="335"/>
      <c r="CP350" s="335"/>
      <c r="CQ350" s="335"/>
      <c r="CR350" s="335"/>
      <c r="CS350" s="335"/>
      <c r="CT350" s="335"/>
      <c r="CU350" s="335"/>
      <c r="CV350" s="335"/>
      <c r="CW350" s="335"/>
      <c r="CX350" s="335"/>
      <c r="CY350" s="335"/>
      <c r="CZ350" s="335"/>
      <c r="DA350" s="335"/>
      <c r="DB350" s="335"/>
      <c r="DC350" s="335"/>
      <c r="DD350" s="335"/>
      <c r="DE350" s="335"/>
      <c r="DF350" s="335"/>
      <c r="DG350" s="335"/>
      <c r="DH350" s="335"/>
      <c r="DI350" s="335"/>
      <c r="DJ350" s="335"/>
      <c r="DK350" s="335"/>
      <c r="DL350" s="335"/>
      <c r="DM350" s="335"/>
      <c r="DN350" s="335"/>
      <c r="DO350" s="335"/>
      <c r="DP350" s="335"/>
      <c r="DQ350" s="335"/>
      <c r="DR350" s="335"/>
      <c r="DS350" s="335"/>
      <c r="DT350" s="335"/>
      <c r="DU350" s="335"/>
      <c r="DV350" s="335"/>
      <c r="DW350" s="335"/>
      <c r="DX350" s="335"/>
      <c r="DY350" s="335"/>
      <c r="DZ350" s="335"/>
      <c r="EA350" s="335"/>
      <c r="EB350" s="335"/>
      <c r="EC350" s="335"/>
      <c r="ED350" s="335"/>
      <c r="EE350" s="335"/>
      <c r="EF350" s="335"/>
      <c r="EG350" s="335"/>
      <c r="EH350" s="335"/>
      <c r="EI350" s="335"/>
      <c r="EJ350" s="335"/>
      <c r="EK350" s="335"/>
      <c r="EL350" s="335"/>
      <c r="EM350" s="335"/>
    </row>
    <row r="351" spans="72:143">
      <c r="BT351" s="187"/>
      <c r="BU351" s="187" t="s">
        <v>74</v>
      </c>
      <c r="BV351" s="196">
        <v>120034</v>
      </c>
      <c r="BW351" s="197" t="e">
        <f t="shared" si="138"/>
        <v>#REF!</v>
      </c>
      <c r="BX351" s="198" t="e">
        <f>IF(AND(State_LOB_Code=18,LEFT(BW351,4)&lt;"2009"),81,State_LOB_Code)&amp;"|363"</f>
        <v>#REF!</v>
      </c>
      <c r="BY351" s="215"/>
      <c r="BZ351" s="216"/>
      <c r="CD351" s="163"/>
      <c r="CE351" s="363"/>
      <c r="CF351" s="335"/>
      <c r="CG351" s="335"/>
      <c r="CH351" s="335"/>
      <c r="CI351" s="335"/>
      <c r="CJ351" s="335"/>
      <c r="CK351" s="335"/>
      <c r="CL351" s="335"/>
      <c r="CM351" s="335"/>
      <c r="CN351" s="335"/>
      <c r="CO351" s="335"/>
      <c r="CP351" s="335"/>
      <c r="CQ351" s="335"/>
      <c r="CR351" s="335"/>
      <c r="CS351" s="335"/>
      <c r="CT351" s="335"/>
      <c r="CU351" s="335"/>
      <c r="CV351" s="335"/>
      <c r="CW351" s="335"/>
      <c r="CX351" s="335"/>
      <c r="CY351" s="335"/>
      <c r="CZ351" s="335"/>
      <c r="DA351" s="335"/>
      <c r="DB351" s="335"/>
      <c r="DC351" s="335"/>
      <c r="DD351" s="335"/>
      <c r="DE351" s="335"/>
      <c r="DF351" s="335"/>
      <c r="DG351" s="335"/>
      <c r="DH351" s="335"/>
      <c r="DI351" s="335"/>
      <c r="DJ351" s="335"/>
      <c r="DK351" s="335"/>
      <c r="DL351" s="335"/>
      <c r="DM351" s="335"/>
      <c r="DN351" s="335"/>
      <c r="DO351" s="335"/>
      <c r="DP351" s="335"/>
      <c r="DQ351" s="335"/>
      <c r="DR351" s="335"/>
      <c r="DS351" s="335"/>
      <c r="DT351" s="335"/>
      <c r="DU351" s="335"/>
      <c r="DV351" s="335"/>
      <c r="DW351" s="335"/>
      <c r="DX351" s="335"/>
      <c r="DY351" s="335"/>
      <c r="DZ351" s="335"/>
      <c r="EA351" s="335"/>
      <c r="EB351" s="335"/>
      <c r="EC351" s="335"/>
      <c r="ED351" s="335"/>
      <c r="EE351" s="335"/>
      <c r="EF351" s="335"/>
      <c r="EG351" s="335"/>
      <c r="EH351" s="335"/>
      <c r="EI351" s="335"/>
      <c r="EJ351" s="335"/>
      <c r="EK351" s="335"/>
      <c r="EL351" s="335"/>
      <c r="EM351" s="335"/>
    </row>
    <row r="352" spans="72:143">
      <c r="BT352" s="187"/>
      <c r="BU352" s="187" t="s">
        <v>75</v>
      </c>
      <c r="BV352" s="196">
        <v>120034</v>
      </c>
      <c r="BW352" s="197" t="e">
        <f t="shared" si="138"/>
        <v>#REF!</v>
      </c>
      <c r="BX352" s="198" t="e">
        <f>IF(AND(State_LOB_Code=18,LEFT(BW352,4)&lt;"2009"),81,State_LOB_Code)&amp;"|364"</f>
        <v>#REF!</v>
      </c>
      <c r="BY352" s="215"/>
      <c r="BZ352" s="216"/>
      <c r="CD352" s="163"/>
      <c r="CE352" s="363"/>
      <c r="CF352" s="335"/>
      <c r="CG352" s="335"/>
      <c r="CH352" s="335"/>
      <c r="CI352" s="335"/>
      <c r="CJ352" s="335"/>
      <c r="CK352" s="335"/>
      <c r="CL352" s="335"/>
      <c r="CM352" s="335"/>
      <c r="CN352" s="335"/>
      <c r="CO352" s="335"/>
      <c r="CP352" s="335"/>
      <c r="CQ352" s="335"/>
      <c r="CR352" s="335"/>
      <c r="CS352" s="335"/>
      <c r="CT352" s="335"/>
      <c r="CU352" s="335"/>
      <c r="CV352" s="335"/>
      <c r="CW352" s="335"/>
      <c r="CX352" s="335"/>
      <c r="CY352" s="335"/>
      <c r="CZ352" s="335"/>
      <c r="DA352" s="335"/>
      <c r="DB352" s="335"/>
      <c r="DC352" s="335"/>
      <c r="DD352" s="335"/>
      <c r="DE352" s="335"/>
      <c r="DF352" s="335"/>
      <c r="DG352" s="335"/>
      <c r="DH352" s="335"/>
      <c r="DI352" s="335"/>
      <c r="DJ352" s="335"/>
      <c r="DK352" s="335"/>
      <c r="DL352" s="335"/>
      <c r="DM352" s="335"/>
      <c r="DN352" s="335"/>
      <c r="DO352" s="335"/>
      <c r="DP352" s="335"/>
      <c r="DQ352" s="335"/>
      <c r="DR352" s="335"/>
      <c r="DS352" s="335"/>
      <c r="DT352" s="335"/>
      <c r="DU352" s="335"/>
      <c r="DV352" s="335"/>
      <c r="DW352" s="335"/>
      <c r="DX352" s="335"/>
      <c r="DY352" s="335"/>
      <c r="DZ352" s="335"/>
      <c r="EA352" s="335"/>
      <c r="EB352" s="335"/>
      <c r="EC352" s="335"/>
      <c r="ED352" s="335"/>
      <c r="EE352" s="335"/>
      <c r="EF352" s="335"/>
      <c r="EG352" s="335"/>
      <c r="EH352" s="335"/>
      <c r="EI352" s="335"/>
      <c r="EJ352" s="335"/>
      <c r="EK352" s="335"/>
      <c r="EL352" s="335"/>
      <c r="EM352" s="335"/>
    </row>
    <row r="353" spans="72:143">
      <c r="BT353" s="187"/>
      <c r="BU353" s="187" t="s">
        <v>76</v>
      </c>
      <c r="BV353" s="196">
        <v>120034</v>
      </c>
      <c r="BW353" s="197" t="e">
        <f t="shared" si="138"/>
        <v>#REF!</v>
      </c>
      <c r="BX353" s="198" t="e">
        <f>IF(AND(State_LOB_Code=18,LEFT(BW353,4)&lt;"2009"),81,State_LOB_Code)&amp;"|365"</f>
        <v>#REF!</v>
      </c>
      <c r="BY353" s="215"/>
      <c r="BZ353" s="216"/>
      <c r="CD353" s="163"/>
      <c r="CE353" s="363"/>
      <c r="CF353" s="335"/>
      <c r="CG353" s="335"/>
      <c r="CH353" s="335"/>
      <c r="CI353" s="335"/>
      <c r="CJ353" s="335"/>
      <c r="CK353" s="335"/>
      <c r="CL353" s="335"/>
      <c r="CM353" s="335"/>
      <c r="CN353" s="335"/>
      <c r="CO353" s="335"/>
      <c r="CP353" s="335"/>
      <c r="CQ353" s="335"/>
      <c r="CR353" s="335"/>
      <c r="CS353" s="335"/>
      <c r="CT353" s="335"/>
      <c r="CU353" s="335"/>
      <c r="CV353" s="335"/>
      <c r="CW353" s="335"/>
      <c r="CX353" s="335"/>
      <c r="CY353" s="335"/>
      <c r="CZ353" s="335"/>
      <c r="DA353" s="335"/>
      <c r="DB353" s="335"/>
      <c r="DC353" s="335"/>
      <c r="DD353" s="335"/>
      <c r="DE353" s="335"/>
      <c r="DF353" s="335"/>
      <c r="DG353" s="335"/>
      <c r="DH353" s="335"/>
      <c r="DI353" s="335"/>
      <c r="DJ353" s="335"/>
      <c r="DK353" s="335"/>
      <c r="DL353" s="335"/>
      <c r="DM353" s="335"/>
      <c r="DN353" s="335"/>
      <c r="DO353" s="335"/>
      <c r="DP353" s="335"/>
      <c r="DQ353" s="335"/>
      <c r="DR353" s="335"/>
      <c r="DS353" s="335"/>
      <c r="DT353" s="335"/>
      <c r="DU353" s="335"/>
      <c r="DV353" s="335"/>
      <c r="DW353" s="335"/>
      <c r="DX353" s="335"/>
      <c r="DY353" s="335"/>
      <c r="DZ353" s="335"/>
      <c r="EA353" s="335"/>
      <c r="EB353" s="335"/>
      <c r="EC353" s="335"/>
      <c r="ED353" s="335"/>
      <c r="EE353" s="335"/>
      <c r="EF353" s="335"/>
      <c r="EG353" s="335"/>
      <c r="EH353" s="335"/>
      <c r="EI353" s="335"/>
      <c r="EJ353" s="335"/>
      <c r="EK353" s="335"/>
      <c r="EL353" s="335"/>
      <c r="EM353" s="335"/>
    </row>
    <row r="354" spans="72:143">
      <c r="BT354" s="187"/>
      <c r="BU354" s="187" t="s">
        <v>77</v>
      </c>
      <c r="BV354" s="196">
        <v>120034</v>
      </c>
      <c r="BW354" s="197" t="e">
        <f t="shared" si="138"/>
        <v>#REF!</v>
      </c>
      <c r="BX354" s="198" t="e">
        <f>IF(AND(State_LOB_Code=18,LEFT(BW354,4)&lt;"2009"),81,State_LOB_Code)&amp;"|366"</f>
        <v>#REF!</v>
      </c>
      <c r="BY354" s="215"/>
      <c r="BZ354" s="216"/>
      <c r="CD354" s="163"/>
      <c r="CE354" s="363"/>
      <c r="CF354" s="335"/>
      <c r="CG354" s="335"/>
      <c r="CH354" s="335"/>
      <c r="CI354" s="335"/>
      <c r="CJ354" s="335"/>
      <c r="CK354" s="335"/>
      <c r="CL354" s="335"/>
      <c r="CM354" s="335"/>
      <c r="CN354" s="335"/>
      <c r="CO354" s="335"/>
      <c r="CP354" s="335"/>
      <c r="CQ354" s="335"/>
      <c r="CR354" s="335"/>
      <c r="CS354" s="335"/>
      <c r="CT354" s="335"/>
      <c r="CU354" s="335"/>
      <c r="CV354" s="335"/>
      <c r="CW354" s="335"/>
      <c r="CX354" s="335"/>
      <c r="CY354" s="335"/>
      <c r="CZ354" s="335"/>
      <c r="DA354" s="335"/>
      <c r="DB354" s="335"/>
      <c r="DC354" s="335"/>
      <c r="DD354" s="335"/>
      <c r="DE354" s="335"/>
      <c r="DF354" s="335"/>
      <c r="DG354" s="335"/>
      <c r="DH354" s="335"/>
      <c r="DI354" s="335"/>
      <c r="DJ354" s="335"/>
      <c r="DK354" s="335"/>
      <c r="DL354" s="335"/>
      <c r="DM354" s="335"/>
      <c r="DN354" s="335"/>
      <c r="DO354" s="335"/>
      <c r="DP354" s="335"/>
      <c r="DQ354" s="335"/>
      <c r="DR354" s="335"/>
      <c r="DS354" s="335"/>
      <c r="DT354" s="335"/>
      <c r="DU354" s="335"/>
      <c r="DV354" s="335"/>
      <c r="DW354" s="335"/>
      <c r="DX354" s="335"/>
      <c r="DY354" s="335"/>
      <c r="DZ354" s="335"/>
      <c r="EA354" s="335"/>
      <c r="EB354" s="335"/>
      <c r="EC354" s="335"/>
      <c r="ED354" s="335"/>
      <c r="EE354" s="335"/>
      <c r="EF354" s="335"/>
      <c r="EG354" s="335"/>
      <c r="EH354" s="335"/>
      <c r="EI354" s="335"/>
      <c r="EJ354" s="335"/>
      <c r="EK354" s="335"/>
      <c r="EL354" s="335"/>
      <c r="EM354" s="335"/>
    </row>
    <row r="355" spans="72:143">
      <c r="BT355" s="187"/>
      <c r="BU355" s="187" t="s">
        <v>78</v>
      </c>
      <c r="BV355" s="196">
        <v>120034</v>
      </c>
      <c r="BW355" s="197" t="e">
        <f t="shared" si="138"/>
        <v>#REF!</v>
      </c>
      <c r="BX355" s="198" t="e">
        <f>IF(AND(State_LOB_Code=18,LEFT(BW355,4)&lt;"2009"),81,State_LOB_Code)&amp;"|367"</f>
        <v>#REF!</v>
      </c>
      <c r="BY355" s="215"/>
      <c r="BZ355" s="216"/>
      <c r="CD355" s="163"/>
      <c r="CE355" s="363"/>
      <c r="CF355" s="335"/>
      <c r="CG355" s="335"/>
      <c r="CH355" s="335"/>
      <c r="CI355" s="335"/>
      <c r="CJ355" s="335"/>
      <c r="CK355" s="335"/>
      <c r="CL355" s="335"/>
      <c r="CM355" s="335"/>
      <c r="CN355" s="335"/>
      <c r="CO355" s="335"/>
      <c r="CP355" s="335"/>
      <c r="CQ355" s="335"/>
      <c r="CR355" s="335"/>
      <c r="CS355" s="335"/>
      <c r="CT355" s="335"/>
      <c r="CU355" s="335"/>
      <c r="CV355" s="335"/>
      <c r="CW355" s="335"/>
      <c r="CX355" s="335"/>
      <c r="CY355" s="335"/>
      <c r="CZ355" s="335"/>
      <c r="DA355" s="335"/>
      <c r="DB355" s="335"/>
      <c r="DC355" s="335"/>
      <c r="DD355" s="335"/>
      <c r="DE355" s="335"/>
      <c r="DF355" s="335"/>
      <c r="DG355" s="335"/>
      <c r="DH355" s="335"/>
      <c r="DI355" s="335"/>
      <c r="DJ355" s="335"/>
      <c r="DK355" s="335"/>
      <c r="DL355" s="335"/>
      <c r="DM355" s="335"/>
      <c r="DN355" s="335"/>
      <c r="DO355" s="335"/>
      <c r="DP355" s="335"/>
      <c r="DQ355" s="335"/>
      <c r="DR355" s="335"/>
      <c r="DS355" s="335"/>
      <c r="DT355" s="335"/>
      <c r="DU355" s="335"/>
      <c r="DV355" s="335"/>
      <c r="DW355" s="335"/>
      <c r="DX355" s="335"/>
      <c r="DY355" s="335"/>
      <c r="DZ355" s="335"/>
      <c r="EA355" s="335"/>
      <c r="EB355" s="335"/>
      <c r="EC355" s="335"/>
      <c r="ED355" s="335"/>
      <c r="EE355" s="335"/>
      <c r="EF355" s="335"/>
      <c r="EG355" s="335"/>
      <c r="EH355" s="335"/>
      <c r="EI355" s="335"/>
      <c r="EJ355" s="335"/>
      <c r="EK355" s="335"/>
      <c r="EL355" s="335"/>
      <c r="EM355" s="335"/>
    </row>
    <row r="356" spans="72:143">
      <c r="BT356" s="187"/>
      <c r="BU356" s="187" t="s">
        <v>79</v>
      </c>
      <c r="BV356" s="196">
        <v>120034</v>
      </c>
      <c r="BW356" s="197" t="e">
        <f t="shared" ref="BW356:BW383" si="139">LEFT(BW295,4)-1&amp;"Y"</f>
        <v>#REF!</v>
      </c>
      <c r="BX356" s="198" t="e">
        <f>IF(AND(State_LOB_Code=18,LEFT(BW356,4)&lt;"2009"),81,State_LOB_Code)&amp;"|368"</f>
        <v>#REF!</v>
      </c>
      <c r="BY356" s="215"/>
      <c r="BZ356" s="216"/>
      <c r="CD356" s="163"/>
      <c r="CE356" s="363"/>
      <c r="CF356" s="335"/>
      <c r="CG356" s="335"/>
      <c r="CH356" s="335"/>
      <c r="CI356" s="335"/>
      <c r="CJ356" s="335"/>
      <c r="CK356" s="335"/>
      <c r="CL356" s="335"/>
      <c r="CM356" s="335"/>
      <c r="CN356" s="335"/>
      <c r="CO356" s="335"/>
      <c r="CP356" s="335"/>
      <c r="CQ356" s="335"/>
      <c r="CR356" s="335"/>
      <c r="CS356" s="335"/>
      <c r="CT356" s="335"/>
      <c r="CU356" s="335"/>
      <c r="CV356" s="335"/>
      <c r="CW356" s="335"/>
      <c r="CX356" s="335"/>
      <c r="CY356" s="335"/>
      <c r="CZ356" s="335"/>
      <c r="DA356" s="335"/>
      <c r="DB356" s="335"/>
      <c r="DC356" s="335"/>
      <c r="DD356" s="335"/>
      <c r="DE356" s="335"/>
      <c r="DF356" s="335"/>
      <c r="DG356" s="335"/>
      <c r="DH356" s="335"/>
      <c r="DI356" s="335"/>
      <c r="DJ356" s="335"/>
      <c r="DK356" s="335"/>
      <c r="DL356" s="335"/>
      <c r="DM356" s="335"/>
      <c r="DN356" s="335"/>
      <c r="DO356" s="335"/>
      <c r="DP356" s="335"/>
      <c r="DQ356" s="335"/>
      <c r="DR356" s="335"/>
      <c r="DS356" s="335"/>
      <c r="DT356" s="335"/>
      <c r="DU356" s="335"/>
      <c r="DV356" s="335"/>
      <c r="DW356" s="335"/>
      <c r="DX356" s="335"/>
      <c r="DY356" s="335"/>
      <c r="DZ356" s="335"/>
      <c r="EA356" s="335"/>
      <c r="EB356" s="335"/>
      <c r="EC356" s="335"/>
      <c r="ED356" s="335"/>
      <c r="EE356" s="335"/>
      <c r="EF356" s="335"/>
      <c r="EG356" s="335"/>
      <c r="EH356" s="335"/>
      <c r="EI356" s="335"/>
      <c r="EJ356" s="335"/>
      <c r="EK356" s="335"/>
      <c r="EL356" s="335"/>
      <c r="EM356" s="335"/>
    </row>
    <row r="357" spans="72:143">
      <c r="BT357" s="187"/>
      <c r="BU357" s="187" t="s">
        <v>80</v>
      </c>
      <c r="BV357" s="196">
        <v>120034</v>
      </c>
      <c r="BW357" s="197" t="e">
        <f t="shared" si="139"/>
        <v>#REF!</v>
      </c>
      <c r="BX357" s="198" t="e">
        <f>IF(AND(State_LOB_Code=18,LEFT(BW357,4)&lt;"2009"),81,State_LOB_Code)&amp;"|369"</f>
        <v>#REF!</v>
      </c>
      <c r="BY357" s="215"/>
      <c r="BZ357" s="216"/>
      <c r="CD357" s="163"/>
      <c r="CE357" s="363"/>
      <c r="CF357" s="335"/>
      <c r="CG357" s="335"/>
      <c r="CH357" s="335"/>
      <c r="CI357" s="335"/>
      <c r="CJ357" s="335"/>
      <c r="CK357" s="335"/>
      <c r="CL357" s="335"/>
      <c r="CM357" s="335"/>
      <c r="CN357" s="335"/>
      <c r="CO357" s="335"/>
      <c r="CP357" s="335"/>
      <c r="CQ357" s="335"/>
      <c r="CR357" s="335"/>
      <c r="CS357" s="335"/>
      <c r="CT357" s="335"/>
      <c r="CU357" s="335"/>
      <c r="CV357" s="335"/>
      <c r="CW357" s="335"/>
      <c r="CX357" s="335"/>
      <c r="CY357" s="335"/>
      <c r="CZ357" s="335"/>
      <c r="DA357" s="335"/>
      <c r="DB357" s="335"/>
      <c r="DC357" s="335"/>
      <c r="DD357" s="335"/>
      <c r="DE357" s="335"/>
      <c r="DF357" s="335"/>
      <c r="DG357" s="335"/>
      <c r="DH357" s="335"/>
      <c r="DI357" s="335"/>
      <c r="DJ357" s="335"/>
      <c r="DK357" s="335"/>
      <c r="DL357" s="335"/>
      <c r="DM357" s="335"/>
      <c r="DN357" s="335"/>
      <c r="DO357" s="335"/>
      <c r="DP357" s="335"/>
      <c r="DQ357" s="335"/>
      <c r="DR357" s="335"/>
      <c r="DS357" s="335"/>
      <c r="DT357" s="335"/>
      <c r="DU357" s="335"/>
      <c r="DV357" s="335"/>
      <c r="DW357" s="335"/>
      <c r="DX357" s="335"/>
      <c r="DY357" s="335"/>
      <c r="DZ357" s="335"/>
      <c r="EA357" s="335"/>
      <c r="EB357" s="335"/>
      <c r="EC357" s="335"/>
      <c r="ED357" s="335"/>
      <c r="EE357" s="335"/>
      <c r="EF357" s="335"/>
      <c r="EG357" s="335"/>
      <c r="EH357" s="335"/>
      <c r="EI357" s="335"/>
      <c r="EJ357" s="335"/>
      <c r="EK357" s="335"/>
      <c r="EL357" s="335"/>
      <c r="EM357" s="335"/>
    </row>
    <row r="358" spans="72:143">
      <c r="BT358" s="187"/>
      <c r="BU358" s="187" t="s">
        <v>81</v>
      </c>
      <c r="BV358" s="196">
        <v>120034</v>
      </c>
      <c r="BW358" s="197" t="e">
        <f t="shared" si="139"/>
        <v>#REF!</v>
      </c>
      <c r="BX358" s="198" t="e">
        <f>IF(AND(State_LOB_Code=18,LEFT(BW358,4)&lt;"2009"),81,State_LOB_Code)&amp;"|370"</f>
        <v>#REF!</v>
      </c>
      <c r="BY358" s="215"/>
      <c r="BZ358" s="216"/>
      <c r="CD358" s="163"/>
      <c r="CE358" s="363"/>
      <c r="CF358" s="335"/>
      <c r="CG358" s="335"/>
      <c r="CH358" s="335"/>
      <c r="CI358" s="335"/>
      <c r="CJ358" s="335"/>
      <c r="CK358" s="335"/>
      <c r="CL358" s="335"/>
      <c r="CM358" s="335"/>
      <c r="CN358" s="335"/>
      <c r="CO358" s="335"/>
      <c r="CP358" s="335"/>
      <c r="CQ358" s="335"/>
      <c r="CR358" s="335"/>
      <c r="CS358" s="335"/>
      <c r="CT358" s="335"/>
      <c r="CU358" s="335"/>
      <c r="CV358" s="335"/>
      <c r="CW358" s="335"/>
      <c r="CX358" s="335"/>
      <c r="CY358" s="335"/>
      <c r="CZ358" s="335"/>
      <c r="DA358" s="335"/>
      <c r="DB358" s="335"/>
      <c r="DC358" s="335"/>
      <c r="DD358" s="335"/>
      <c r="DE358" s="335"/>
      <c r="DF358" s="335"/>
      <c r="DG358" s="335"/>
      <c r="DH358" s="335"/>
      <c r="DI358" s="335"/>
      <c r="DJ358" s="335"/>
      <c r="DK358" s="335"/>
      <c r="DL358" s="335"/>
      <c r="DM358" s="335"/>
      <c r="DN358" s="335"/>
      <c r="DO358" s="335"/>
      <c r="DP358" s="335"/>
      <c r="DQ358" s="335"/>
      <c r="DR358" s="335"/>
      <c r="DS358" s="335"/>
      <c r="DT358" s="335"/>
      <c r="DU358" s="335"/>
      <c r="DV358" s="335"/>
      <c r="DW358" s="335"/>
      <c r="DX358" s="335"/>
      <c r="DY358" s="335"/>
      <c r="DZ358" s="335"/>
      <c r="EA358" s="335"/>
      <c r="EB358" s="335"/>
      <c r="EC358" s="335"/>
      <c r="ED358" s="335"/>
      <c r="EE358" s="335"/>
      <c r="EF358" s="335"/>
      <c r="EG358" s="335"/>
      <c r="EH358" s="335"/>
      <c r="EI358" s="335"/>
      <c r="EJ358" s="335"/>
      <c r="EK358" s="335"/>
      <c r="EL358" s="335"/>
      <c r="EM358" s="335"/>
    </row>
    <row r="359" spans="72:143">
      <c r="BT359" s="187"/>
      <c r="BU359" s="187" t="s">
        <v>82</v>
      </c>
      <c r="BV359" s="196">
        <v>120034</v>
      </c>
      <c r="BW359" s="197" t="e">
        <f t="shared" si="139"/>
        <v>#REF!</v>
      </c>
      <c r="BX359" s="198" t="e">
        <f>IF(AND(State_LOB_Code=18,LEFT(BW359,4)&lt;"2009"),81,State_LOB_Code)&amp;"|371"</f>
        <v>#REF!</v>
      </c>
      <c r="BY359" s="215"/>
      <c r="BZ359" s="216"/>
      <c r="CD359" s="163"/>
      <c r="CE359" s="363"/>
      <c r="CF359" s="335"/>
      <c r="CG359" s="335"/>
      <c r="CH359" s="335"/>
      <c r="CI359" s="335"/>
      <c r="CJ359" s="335"/>
      <c r="CK359" s="335"/>
      <c r="CL359" s="335"/>
      <c r="CM359" s="335"/>
      <c r="CN359" s="335"/>
      <c r="CO359" s="335"/>
      <c r="CP359" s="335"/>
      <c r="CQ359" s="335"/>
      <c r="CR359" s="335"/>
      <c r="CS359" s="335"/>
      <c r="CT359" s="335"/>
      <c r="CU359" s="335"/>
      <c r="CV359" s="335"/>
      <c r="CW359" s="335"/>
      <c r="CX359" s="335"/>
      <c r="CY359" s="335"/>
      <c r="CZ359" s="335"/>
      <c r="DA359" s="335"/>
      <c r="DB359" s="335"/>
      <c r="DC359" s="335"/>
      <c r="DD359" s="335"/>
      <c r="DE359" s="335"/>
      <c r="DF359" s="335"/>
      <c r="DG359" s="335"/>
      <c r="DH359" s="335"/>
      <c r="DI359" s="335"/>
      <c r="DJ359" s="335"/>
      <c r="DK359" s="335"/>
      <c r="DL359" s="335"/>
      <c r="DM359" s="335"/>
      <c r="DN359" s="335"/>
      <c r="DO359" s="335"/>
      <c r="DP359" s="335"/>
      <c r="DQ359" s="335"/>
      <c r="DR359" s="335"/>
      <c r="DS359" s="335"/>
      <c r="DT359" s="335"/>
      <c r="DU359" s="335"/>
      <c r="DV359" s="335"/>
      <c r="DW359" s="335"/>
      <c r="DX359" s="335"/>
      <c r="DY359" s="335"/>
      <c r="DZ359" s="335"/>
      <c r="EA359" s="335"/>
      <c r="EB359" s="335"/>
      <c r="EC359" s="335"/>
      <c r="ED359" s="335"/>
      <c r="EE359" s="335"/>
      <c r="EF359" s="335"/>
      <c r="EG359" s="335"/>
      <c r="EH359" s="335"/>
      <c r="EI359" s="335"/>
      <c r="EJ359" s="335"/>
      <c r="EK359" s="335"/>
      <c r="EL359" s="335"/>
      <c r="EM359" s="335"/>
    </row>
    <row r="360" spans="72:143">
      <c r="BT360" s="187"/>
      <c r="BU360" s="187" t="s">
        <v>83</v>
      </c>
      <c r="BV360" s="196">
        <v>120034</v>
      </c>
      <c r="BW360" s="197" t="e">
        <f t="shared" si="139"/>
        <v>#REF!</v>
      </c>
      <c r="BX360" s="198" t="e">
        <f>IF(AND(State_LOB_Code=18,LEFT(BW360,4)&lt;"2009"),81,State_LOB_Code)&amp;"|372"</f>
        <v>#REF!</v>
      </c>
      <c r="BY360" s="215"/>
      <c r="BZ360" s="216"/>
      <c r="CD360" s="163"/>
      <c r="CE360" s="363"/>
      <c r="CF360" s="335"/>
      <c r="CG360" s="335"/>
      <c r="CH360" s="335"/>
      <c r="CI360" s="335"/>
      <c r="CJ360" s="335"/>
      <c r="CK360" s="335"/>
      <c r="CL360" s="335"/>
      <c r="CM360" s="335"/>
      <c r="CN360" s="335"/>
      <c r="CO360" s="335"/>
      <c r="CP360" s="335"/>
      <c r="CQ360" s="335"/>
      <c r="CR360" s="335"/>
      <c r="CS360" s="335"/>
      <c r="CT360" s="335"/>
      <c r="CU360" s="335"/>
      <c r="CV360" s="335"/>
      <c r="CW360" s="335"/>
      <c r="CX360" s="335"/>
      <c r="CY360" s="335"/>
      <c r="CZ360" s="335"/>
      <c r="DA360" s="335"/>
      <c r="DB360" s="335"/>
      <c r="DC360" s="335"/>
      <c r="DD360" s="335"/>
      <c r="DE360" s="335"/>
      <c r="DF360" s="335"/>
      <c r="DG360" s="335"/>
      <c r="DH360" s="335"/>
      <c r="DI360" s="335"/>
      <c r="DJ360" s="335"/>
      <c r="DK360" s="335"/>
      <c r="DL360" s="335"/>
      <c r="DM360" s="335"/>
      <c r="DN360" s="335"/>
      <c r="DO360" s="335"/>
      <c r="DP360" s="335"/>
      <c r="DQ360" s="335"/>
      <c r="DR360" s="335"/>
      <c r="DS360" s="335"/>
      <c r="DT360" s="335"/>
      <c r="DU360" s="335"/>
      <c r="DV360" s="335"/>
      <c r="DW360" s="335"/>
      <c r="DX360" s="335"/>
      <c r="DY360" s="335"/>
      <c r="DZ360" s="335"/>
      <c r="EA360" s="335"/>
      <c r="EB360" s="335"/>
      <c r="EC360" s="335"/>
      <c r="ED360" s="335"/>
      <c r="EE360" s="335"/>
      <c r="EF360" s="335"/>
      <c r="EG360" s="335"/>
      <c r="EH360" s="335"/>
      <c r="EI360" s="335"/>
      <c r="EJ360" s="335"/>
      <c r="EK360" s="335"/>
      <c r="EL360" s="335"/>
      <c r="EM360" s="335"/>
    </row>
    <row r="361" spans="72:143">
      <c r="BT361" s="187"/>
      <c r="BU361" s="187" t="s">
        <v>84</v>
      </c>
      <c r="BV361" s="196">
        <v>120034</v>
      </c>
      <c r="BW361" s="197" t="e">
        <f t="shared" si="139"/>
        <v>#REF!</v>
      </c>
      <c r="BX361" s="198" t="e">
        <f>IF(AND(State_LOB_Code=18,LEFT(BW361,4)&lt;"2009"),81,State_LOB_Code)&amp;"|373"</f>
        <v>#REF!</v>
      </c>
      <c r="BY361" s="215"/>
      <c r="BZ361" s="216"/>
      <c r="CD361" s="163"/>
      <c r="CE361" s="363"/>
      <c r="CF361" s="335"/>
      <c r="CG361" s="335"/>
      <c r="CH361" s="335"/>
      <c r="CI361" s="335"/>
      <c r="CJ361" s="335"/>
      <c r="CK361" s="335"/>
      <c r="CL361" s="335"/>
      <c r="CM361" s="335"/>
      <c r="CN361" s="335"/>
      <c r="CO361" s="335"/>
      <c r="CP361" s="335"/>
      <c r="CQ361" s="335"/>
      <c r="CR361" s="335"/>
      <c r="CS361" s="335"/>
      <c r="CT361" s="335"/>
      <c r="CU361" s="335"/>
      <c r="CV361" s="335"/>
      <c r="CW361" s="335"/>
      <c r="CX361" s="335"/>
      <c r="CY361" s="335"/>
      <c r="CZ361" s="335"/>
      <c r="DA361" s="335"/>
      <c r="DB361" s="335"/>
      <c r="DC361" s="335"/>
      <c r="DD361" s="335"/>
      <c r="DE361" s="335"/>
      <c r="DF361" s="335"/>
      <c r="DG361" s="335"/>
      <c r="DH361" s="335"/>
      <c r="DI361" s="335"/>
      <c r="DJ361" s="335"/>
      <c r="DK361" s="335"/>
      <c r="DL361" s="335"/>
      <c r="DM361" s="335"/>
      <c r="DN361" s="335"/>
      <c r="DO361" s="335"/>
      <c r="DP361" s="335"/>
      <c r="DQ361" s="335"/>
      <c r="DR361" s="335"/>
      <c r="DS361" s="335"/>
      <c r="DT361" s="335"/>
      <c r="DU361" s="335"/>
      <c r="DV361" s="335"/>
      <c r="DW361" s="335"/>
      <c r="DX361" s="335"/>
      <c r="DY361" s="335"/>
      <c r="DZ361" s="335"/>
      <c r="EA361" s="335"/>
      <c r="EB361" s="335"/>
      <c r="EC361" s="335"/>
      <c r="ED361" s="335"/>
      <c r="EE361" s="335"/>
      <c r="EF361" s="335"/>
      <c r="EG361" s="335"/>
      <c r="EH361" s="335"/>
      <c r="EI361" s="335"/>
      <c r="EJ361" s="335"/>
      <c r="EK361" s="335"/>
      <c r="EL361" s="335"/>
      <c r="EM361" s="335"/>
    </row>
    <row r="362" spans="72:143">
      <c r="BT362" s="187"/>
      <c r="BU362" s="187" t="s">
        <v>85</v>
      </c>
      <c r="BV362" s="196">
        <v>120034</v>
      </c>
      <c r="BW362" s="197" t="e">
        <f t="shared" si="139"/>
        <v>#REF!</v>
      </c>
      <c r="BX362" s="198" t="e">
        <f>IF(AND(State_LOB_Code=18,LEFT(BW362,4)&lt;"2009"),81,State_LOB_Code)&amp;"|374"</f>
        <v>#REF!</v>
      </c>
      <c r="BY362" s="215"/>
      <c r="BZ362" s="216"/>
      <c r="CD362" s="163"/>
      <c r="CE362" s="363"/>
      <c r="CF362" s="335"/>
      <c r="CG362" s="335"/>
      <c r="CH362" s="335"/>
      <c r="CI362" s="335"/>
      <c r="CJ362" s="335"/>
      <c r="CK362" s="335"/>
      <c r="CL362" s="335"/>
      <c r="CM362" s="335"/>
      <c r="CN362" s="335"/>
      <c r="CO362" s="335"/>
      <c r="CP362" s="335"/>
      <c r="CQ362" s="335"/>
      <c r="CR362" s="335"/>
      <c r="CS362" s="335"/>
      <c r="CT362" s="335"/>
      <c r="CU362" s="335"/>
      <c r="CV362" s="335"/>
      <c r="CW362" s="335"/>
      <c r="CX362" s="335"/>
      <c r="CY362" s="335"/>
      <c r="CZ362" s="335"/>
      <c r="DA362" s="335"/>
      <c r="DB362" s="335"/>
      <c r="DC362" s="335"/>
      <c r="DD362" s="335"/>
      <c r="DE362" s="335"/>
      <c r="DF362" s="335"/>
      <c r="DG362" s="335"/>
      <c r="DH362" s="335"/>
      <c r="DI362" s="335"/>
      <c r="DJ362" s="335"/>
      <c r="DK362" s="335"/>
      <c r="DL362" s="335"/>
      <c r="DM362" s="335"/>
      <c r="DN362" s="335"/>
      <c r="DO362" s="335"/>
      <c r="DP362" s="335"/>
      <c r="DQ362" s="335"/>
      <c r="DR362" s="335"/>
      <c r="DS362" s="335"/>
      <c r="DT362" s="335"/>
      <c r="DU362" s="335"/>
      <c r="DV362" s="335"/>
      <c r="DW362" s="335"/>
      <c r="DX362" s="335"/>
      <c r="DY362" s="335"/>
      <c r="DZ362" s="335"/>
      <c r="EA362" s="335"/>
      <c r="EB362" s="335"/>
      <c r="EC362" s="335"/>
      <c r="ED362" s="335"/>
      <c r="EE362" s="335"/>
      <c r="EF362" s="335"/>
      <c r="EG362" s="335"/>
      <c r="EH362" s="335"/>
      <c r="EI362" s="335"/>
      <c r="EJ362" s="335"/>
      <c r="EK362" s="335"/>
      <c r="EL362" s="335"/>
      <c r="EM362" s="335"/>
    </row>
    <row r="363" spans="72:143">
      <c r="BT363" s="187"/>
      <c r="BU363" s="187" t="s">
        <v>86</v>
      </c>
      <c r="BV363" s="196">
        <v>120034</v>
      </c>
      <c r="BW363" s="197" t="e">
        <f t="shared" si="139"/>
        <v>#REF!</v>
      </c>
      <c r="BX363" s="198" t="e">
        <f>IF(AND(State_LOB_Code=18,LEFT(BW363,4)&lt;"2009"),81,State_LOB_Code)&amp;"|376"</f>
        <v>#REF!</v>
      </c>
      <c r="BY363" s="215"/>
      <c r="BZ363" s="216"/>
      <c r="CD363" s="163"/>
      <c r="CE363" s="363"/>
      <c r="CF363" s="335"/>
      <c r="CG363" s="335"/>
      <c r="CH363" s="335"/>
      <c r="CI363" s="335"/>
      <c r="CJ363" s="335"/>
      <c r="CK363" s="335"/>
      <c r="CL363" s="335"/>
      <c r="CM363" s="335"/>
      <c r="CN363" s="335"/>
      <c r="CO363" s="335"/>
      <c r="CP363" s="335"/>
      <c r="CQ363" s="335"/>
      <c r="CR363" s="335"/>
      <c r="CS363" s="335"/>
      <c r="CT363" s="335"/>
      <c r="CU363" s="335"/>
      <c r="CV363" s="335"/>
      <c r="CW363" s="335"/>
      <c r="CX363" s="335"/>
      <c r="CY363" s="335"/>
      <c r="CZ363" s="335"/>
      <c r="DA363" s="335"/>
      <c r="DB363" s="335"/>
      <c r="DC363" s="335"/>
      <c r="DD363" s="335"/>
      <c r="DE363" s="335"/>
      <c r="DF363" s="335"/>
      <c r="DG363" s="335"/>
      <c r="DH363" s="335"/>
      <c r="DI363" s="335"/>
      <c r="DJ363" s="335"/>
      <c r="DK363" s="335"/>
      <c r="DL363" s="335"/>
      <c r="DM363" s="335"/>
      <c r="DN363" s="335"/>
      <c r="DO363" s="335"/>
      <c r="DP363" s="335"/>
      <c r="DQ363" s="335"/>
      <c r="DR363" s="335"/>
      <c r="DS363" s="335"/>
      <c r="DT363" s="335"/>
      <c r="DU363" s="335"/>
      <c r="DV363" s="335"/>
      <c r="DW363" s="335"/>
      <c r="DX363" s="335"/>
      <c r="DY363" s="335"/>
      <c r="DZ363" s="335"/>
      <c r="EA363" s="335"/>
      <c r="EB363" s="335"/>
      <c r="EC363" s="335"/>
      <c r="ED363" s="335"/>
      <c r="EE363" s="335"/>
      <c r="EF363" s="335"/>
      <c r="EG363" s="335"/>
      <c r="EH363" s="335"/>
      <c r="EI363" s="335"/>
      <c r="EJ363" s="335"/>
      <c r="EK363" s="335"/>
      <c r="EL363" s="335"/>
      <c r="EM363" s="335"/>
    </row>
    <row r="364" spans="72:143">
      <c r="BT364" s="187"/>
      <c r="BU364" s="187" t="s">
        <v>87</v>
      </c>
      <c r="BV364" s="196">
        <v>120034</v>
      </c>
      <c r="BW364" s="197" t="e">
        <f t="shared" si="139"/>
        <v>#REF!</v>
      </c>
      <c r="BX364" s="198" t="e">
        <f>IF(AND(State_LOB_Code=18,LEFT(BW364,4)&lt;"2009"),81,State_LOB_Code)&amp;"|377"</f>
        <v>#REF!</v>
      </c>
      <c r="BY364" s="215"/>
      <c r="BZ364" s="216"/>
      <c r="CD364" s="163"/>
      <c r="CE364" s="363"/>
      <c r="CF364" s="335"/>
      <c r="CG364" s="335"/>
      <c r="CH364" s="335"/>
      <c r="CI364" s="335"/>
      <c r="CJ364" s="335"/>
      <c r="CK364" s="335"/>
      <c r="CL364" s="335"/>
      <c r="CM364" s="335"/>
      <c r="CN364" s="335"/>
      <c r="CO364" s="335"/>
      <c r="CP364" s="335"/>
      <c r="CQ364" s="335"/>
      <c r="CR364" s="335"/>
      <c r="CS364" s="335"/>
      <c r="CT364" s="335"/>
      <c r="CU364" s="335"/>
      <c r="CV364" s="335"/>
      <c r="CW364" s="335"/>
      <c r="CX364" s="335"/>
      <c r="CY364" s="335"/>
      <c r="CZ364" s="335"/>
      <c r="DA364" s="335"/>
      <c r="DB364" s="335"/>
      <c r="DC364" s="335"/>
      <c r="DD364" s="335"/>
      <c r="DE364" s="335"/>
      <c r="DF364" s="335"/>
      <c r="DG364" s="335"/>
      <c r="DH364" s="335"/>
      <c r="DI364" s="335"/>
      <c r="DJ364" s="335"/>
      <c r="DK364" s="335"/>
      <c r="DL364" s="335"/>
      <c r="DM364" s="335"/>
      <c r="DN364" s="335"/>
      <c r="DO364" s="335"/>
      <c r="DP364" s="335"/>
      <c r="DQ364" s="335"/>
      <c r="DR364" s="335"/>
      <c r="DS364" s="335"/>
      <c r="DT364" s="335"/>
      <c r="DU364" s="335"/>
      <c r="DV364" s="335"/>
      <c r="DW364" s="335"/>
      <c r="DX364" s="335"/>
      <c r="DY364" s="335"/>
      <c r="DZ364" s="335"/>
      <c r="EA364" s="335"/>
      <c r="EB364" s="335"/>
      <c r="EC364" s="335"/>
      <c r="ED364" s="335"/>
      <c r="EE364" s="335"/>
      <c r="EF364" s="335"/>
      <c r="EG364" s="335"/>
      <c r="EH364" s="335"/>
      <c r="EI364" s="335"/>
      <c r="EJ364" s="335"/>
      <c r="EK364" s="335"/>
      <c r="EL364" s="335"/>
      <c r="EM364" s="335"/>
    </row>
    <row r="365" spans="72:143">
      <c r="BT365" s="187"/>
      <c r="BU365" s="187" t="s">
        <v>88</v>
      </c>
      <c r="BV365" s="196">
        <v>120034</v>
      </c>
      <c r="BW365" s="197" t="e">
        <f t="shared" si="139"/>
        <v>#REF!</v>
      </c>
      <c r="BX365" s="198" t="e">
        <f>IF(AND(State_LOB_Code=18,LEFT(BW365,4)&lt;"2009"),81,State_LOB_Code)&amp;"|378"</f>
        <v>#REF!</v>
      </c>
      <c r="BY365" s="215"/>
      <c r="BZ365" s="216"/>
      <c r="CD365" s="163"/>
      <c r="CE365" s="363"/>
      <c r="CF365" s="335"/>
      <c r="CG365" s="335"/>
      <c r="CH365" s="335"/>
      <c r="CI365" s="335"/>
      <c r="CJ365" s="335"/>
      <c r="CK365" s="335"/>
      <c r="CL365" s="335"/>
      <c r="CM365" s="335"/>
      <c r="CN365" s="335"/>
      <c r="CO365" s="335"/>
      <c r="CP365" s="335"/>
      <c r="CQ365" s="335"/>
      <c r="CR365" s="335"/>
      <c r="CS365" s="335"/>
      <c r="CT365" s="335"/>
      <c r="CU365" s="335"/>
      <c r="CV365" s="335"/>
      <c r="CW365" s="335"/>
      <c r="CX365" s="335"/>
      <c r="CY365" s="335"/>
      <c r="CZ365" s="335"/>
      <c r="DA365" s="335"/>
      <c r="DB365" s="335"/>
      <c r="DC365" s="335"/>
      <c r="DD365" s="335"/>
      <c r="DE365" s="335"/>
      <c r="DF365" s="335"/>
      <c r="DG365" s="335"/>
      <c r="DH365" s="335"/>
      <c r="DI365" s="335"/>
      <c r="DJ365" s="335"/>
      <c r="DK365" s="335"/>
      <c r="DL365" s="335"/>
      <c r="DM365" s="335"/>
      <c r="DN365" s="335"/>
      <c r="DO365" s="335"/>
      <c r="DP365" s="335"/>
      <c r="DQ365" s="335"/>
      <c r="DR365" s="335"/>
      <c r="DS365" s="335"/>
      <c r="DT365" s="335"/>
      <c r="DU365" s="335"/>
      <c r="DV365" s="335"/>
      <c r="DW365" s="335"/>
      <c r="DX365" s="335"/>
      <c r="DY365" s="335"/>
      <c r="DZ365" s="335"/>
      <c r="EA365" s="335"/>
      <c r="EB365" s="335"/>
      <c r="EC365" s="335"/>
      <c r="ED365" s="335"/>
      <c r="EE365" s="335"/>
      <c r="EF365" s="335"/>
      <c r="EG365" s="335"/>
      <c r="EH365" s="335"/>
      <c r="EI365" s="335"/>
      <c r="EJ365" s="335"/>
      <c r="EK365" s="335"/>
      <c r="EL365" s="335"/>
      <c r="EM365" s="335"/>
    </row>
    <row r="366" spans="72:143">
      <c r="BT366" s="187"/>
      <c r="BU366" s="187" t="s">
        <v>89</v>
      </c>
      <c r="BV366" s="196">
        <v>120034</v>
      </c>
      <c r="BW366" s="197" t="e">
        <f t="shared" si="139"/>
        <v>#REF!</v>
      </c>
      <c r="BX366" s="198" t="e">
        <f>IF(AND(State_LOB_Code=18,LEFT(BW366,4)&lt;"2009"),81,State_LOB_Code)&amp;"|379"</f>
        <v>#REF!</v>
      </c>
      <c r="BY366" s="215"/>
      <c r="BZ366" s="216"/>
      <c r="CD366" s="163"/>
      <c r="CE366" s="363"/>
      <c r="CF366" s="335"/>
      <c r="CG366" s="335"/>
      <c r="CH366" s="335"/>
      <c r="CI366" s="335"/>
      <c r="CJ366" s="335"/>
      <c r="CK366" s="335"/>
      <c r="CL366" s="335"/>
      <c r="CM366" s="335"/>
      <c r="CN366" s="335"/>
      <c r="CO366" s="335"/>
      <c r="CP366" s="335"/>
      <c r="CQ366" s="335"/>
      <c r="CR366" s="335"/>
      <c r="CS366" s="335"/>
      <c r="CT366" s="335"/>
      <c r="CU366" s="335"/>
      <c r="CV366" s="335"/>
      <c r="CW366" s="335"/>
      <c r="CX366" s="335"/>
      <c r="CY366" s="335"/>
      <c r="CZ366" s="335"/>
      <c r="DA366" s="335"/>
      <c r="DB366" s="335"/>
      <c r="DC366" s="335"/>
      <c r="DD366" s="335"/>
      <c r="DE366" s="335"/>
      <c r="DF366" s="335"/>
      <c r="DG366" s="335"/>
      <c r="DH366" s="335"/>
      <c r="DI366" s="335"/>
      <c r="DJ366" s="335"/>
      <c r="DK366" s="335"/>
      <c r="DL366" s="335"/>
      <c r="DM366" s="335"/>
      <c r="DN366" s="335"/>
      <c r="DO366" s="335"/>
      <c r="DP366" s="335"/>
      <c r="DQ366" s="335"/>
      <c r="DR366" s="335"/>
      <c r="DS366" s="335"/>
      <c r="DT366" s="335"/>
      <c r="DU366" s="335"/>
      <c r="DV366" s="335"/>
      <c r="DW366" s="335"/>
      <c r="DX366" s="335"/>
      <c r="DY366" s="335"/>
      <c r="DZ366" s="335"/>
      <c r="EA366" s="335"/>
      <c r="EB366" s="335"/>
      <c r="EC366" s="335"/>
      <c r="ED366" s="335"/>
      <c r="EE366" s="335"/>
      <c r="EF366" s="335"/>
      <c r="EG366" s="335"/>
      <c r="EH366" s="335"/>
      <c r="EI366" s="335"/>
      <c r="EJ366" s="335"/>
      <c r="EK366" s="335"/>
      <c r="EL366" s="335"/>
      <c r="EM366" s="335"/>
    </row>
    <row r="367" spans="72:143">
      <c r="BT367" s="187"/>
      <c r="BU367" s="187" t="s">
        <v>90</v>
      </c>
      <c r="BV367" s="196">
        <v>120034</v>
      </c>
      <c r="BW367" s="197" t="e">
        <f t="shared" si="139"/>
        <v>#REF!</v>
      </c>
      <c r="BX367" s="198" t="e">
        <f>IF(AND(State_LOB_Code=18,LEFT(BW367,4)&lt;"2009"),81,State_LOB_Code)&amp;"|380"</f>
        <v>#REF!</v>
      </c>
      <c r="BY367" s="215"/>
      <c r="BZ367" s="216"/>
      <c r="CD367" s="163"/>
      <c r="CE367" s="363"/>
      <c r="CF367" s="335"/>
      <c r="CG367" s="335"/>
      <c r="CH367" s="335"/>
      <c r="CI367" s="335"/>
      <c r="CJ367" s="335"/>
      <c r="CK367" s="335"/>
      <c r="CL367" s="335"/>
      <c r="CM367" s="335"/>
      <c r="CN367" s="335"/>
      <c r="CO367" s="335"/>
      <c r="CP367" s="335"/>
      <c r="CQ367" s="335"/>
      <c r="CR367" s="335"/>
      <c r="CS367" s="335"/>
      <c r="CT367" s="335"/>
      <c r="CU367" s="335"/>
      <c r="CV367" s="335"/>
      <c r="CW367" s="335"/>
      <c r="CX367" s="335"/>
      <c r="CY367" s="335"/>
      <c r="CZ367" s="335"/>
      <c r="DA367" s="335"/>
      <c r="DB367" s="335"/>
      <c r="DC367" s="335"/>
      <c r="DD367" s="335"/>
      <c r="DE367" s="335"/>
      <c r="DF367" s="335"/>
      <c r="DG367" s="335"/>
      <c r="DH367" s="335"/>
      <c r="DI367" s="335"/>
      <c r="DJ367" s="335"/>
      <c r="DK367" s="335"/>
      <c r="DL367" s="335"/>
      <c r="DM367" s="335"/>
      <c r="DN367" s="335"/>
      <c r="DO367" s="335"/>
      <c r="DP367" s="335"/>
      <c r="DQ367" s="335"/>
      <c r="DR367" s="335"/>
      <c r="DS367" s="335"/>
      <c r="DT367" s="335"/>
      <c r="DU367" s="335"/>
      <c r="DV367" s="335"/>
      <c r="DW367" s="335"/>
      <c r="DX367" s="335"/>
      <c r="DY367" s="335"/>
      <c r="DZ367" s="335"/>
      <c r="EA367" s="335"/>
      <c r="EB367" s="335"/>
      <c r="EC367" s="335"/>
      <c r="ED367" s="335"/>
      <c r="EE367" s="335"/>
      <c r="EF367" s="335"/>
      <c r="EG367" s="335"/>
      <c r="EH367" s="335"/>
      <c r="EI367" s="335"/>
      <c r="EJ367" s="335"/>
      <c r="EK367" s="335"/>
      <c r="EL367" s="335"/>
      <c r="EM367" s="335"/>
    </row>
    <row r="368" spans="72:143">
      <c r="BT368" s="187"/>
      <c r="BU368" s="187" t="s">
        <v>91</v>
      </c>
      <c r="BV368" s="196">
        <v>120034</v>
      </c>
      <c r="BW368" s="197" t="e">
        <f t="shared" si="139"/>
        <v>#REF!</v>
      </c>
      <c r="BX368" s="198" t="e">
        <f>IF(AND(State_LOB_Code=18,LEFT(BW368,4)&lt;"2009"),81,State_LOB_Code)&amp;"|381"</f>
        <v>#REF!</v>
      </c>
      <c r="BY368" s="215"/>
      <c r="BZ368" s="216"/>
      <c r="CD368" s="163"/>
      <c r="CE368" s="363"/>
      <c r="CF368" s="335"/>
      <c r="CG368" s="335"/>
      <c r="CH368" s="335"/>
      <c r="CI368" s="335"/>
      <c r="CJ368" s="335"/>
      <c r="CK368" s="335"/>
      <c r="CL368" s="335"/>
      <c r="CM368" s="335"/>
      <c r="CN368" s="335"/>
      <c r="CO368" s="335"/>
      <c r="CP368" s="335"/>
      <c r="CQ368" s="335"/>
      <c r="CR368" s="335"/>
      <c r="CS368" s="335"/>
      <c r="CT368" s="335"/>
      <c r="CU368" s="335"/>
      <c r="CV368" s="335"/>
      <c r="CW368" s="335"/>
      <c r="CX368" s="335"/>
      <c r="CY368" s="335"/>
      <c r="CZ368" s="335"/>
      <c r="DA368" s="335"/>
      <c r="DB368" s="335"/>
      <c r="DC368" s="335"/>
      <c r="DD368" s="335"/>
      <c r="DE368" s="335"/>
      <c r="DF368" s="335"/>
      <c r="DG368" s="335"/>
      <c r="DH368" s="335"/>
      <c r="DI368" s="335"/>
      <c r="DJ368" s="335"/>
      <c r="DK368" s="335"/>
      <c r="DL368" s="335"/>
      <c r="DM368" s="335"/>
      <c r="DN368" s="335"/>
      <c r="DO368" s="335"/>
      <c r="DP368" s="335"/>
      <c r="DQ368" s="335"/>
      <c r="DR368" s="335"/>
      <c r="DS368" s="335"/>
      <c r="DT368" s="335"/>
      <c r="DU368" s="335"/>
      <c r="DV368" s="335"/>
      <c r="DW368" s="335"/>
      <c r="DX368" s="335"/>
      <c r="DY368" s="335"/>
      <c r="DZ368" s="335"/>
      <c r="EA368" s="335"/>
      <c r="EB368" s="335"/>
      <c r="EC368" s="335"/>
      <c r="ED368" s="335"/>
      <c r="EE368" s="335"/>
      <c r="EF368" s="335"/>
      <c r="EG368" s="335"/>
      <c r="EH368" s="335"/>
      <c r="EI368" s="335"/>
      <c r="EJ368" s="335"/>
      <c r="EK368" s="335"/>
      <c r="EL368" s="335"/>
      <c r="EM368" s="335"/>
    </row>
    <row r="369" spans="72:143">
      <c r="BT369" s="187"/>
      <c r="BU369" s="187" t="s">
        <v>92</v>
      </c>
      <c r="BV369" s="196">
        <v>120034</v>
      </c>
      <c r="BW369" s="197" t="e">
        <f t="shared" si="139"/>
        <v>#REF!</v>
      </c>
      <c r="BX369" s="198" t="e">
        <f>IF(AND(State_LOB_Code=18,LEFT(BW369,4)&lt;"2009"),81,State_LOB_Code)&amp;"|382"</f>
        <v>#REF!</v>
      </c>
      <c r="BY369" s="215"/>
      <c r="BZ369" s="216"/>
      <c r="CD369" s="163"/>
      <c r="CE369" s="363"/>
      <c r="CF369" s="335"/>
      <c r="CG369" s="335"/>
      <c r="CH369" s="335"/>
      <c r="CI369" s="335"/>
      <c r="CJ369" s="335"/>
      <c r="CK369" s="335"/>
      <c r="CL369" s="335"/>
      <c r="CM369" s="335"/>
      <c r="CN369" s="335"/>
      <c r="CO369" s="335"/>
      <c r="CP369" s="335"/>
      <c r="CQ369" s="335"/>
      <c r="CR369" s="335"/>
      <c r="CS369" s="335"/>
      <c r="CT369" s="335"/>
      <c r="CU369" s="335"/>
      <c r="CV369" s="335"/>
      <c r="CW369" s="335"/>
      <c r="CX369" s="335"/>
      <c r="CY369" s="335"/>
      <c r="CZ369" s="335"/>
      <c r="DA369" s="335"/>
      <c r="DB369" s="335"/>
      <c r="DC369" s="335"/>
      <c r="DD369" s="335"/>
      <c r="DE369" s="335"/>
      <c r="DF369" s="335"/>
      <c r="DG369" s="335"/>
      <c r="DH369" s="335"/>
      <c r="DI369" s="335"/>
      <c r="DJ369" s="335"/>
      <c r="DK369" s="335"/>
      <c r="DL369" s="335"/>
      <c r="DM369" s="335"/>
      <c r="DN369" s="335"/>
      <c r="DO369" s="335"/>
      <c r="DP369" s="335"/>
      <c r="DQ369" s="335"/>
      <c r="DR369" s="335"/>
      <c r="DS369" s="335"/>
      <c r="DT369" s="335"/>
      <c r="DU369" s="335"/>
      <c r="DV369" s="335"/>
      <c r="DW369" s="335"/>
      <c r="DX369" s="335"/>
      <c r="DY369" s="335"/>
      <c r="DZ369" s="335"/>
      <c r="EA369" s="335"/>
      <c r="EB369" s="335"/>
      <c r="EC369" s="335"/>
      <c r="ED369" s="335"/>
      <c r="EE369" s="335"/>
      <c r="EF369" s="335"/>
      <c r="EG369" s="335"/>
      <c r="EH369" s="335"/>
      <c r="EI369" s="335"/>
      <c r="EJ369" s="335"/>
      <c r="EK369" s="335"/>
      <c r="EL369" s="335"/>
      <c r="EM369" s="335"/>
    </row>
    <row r="370" spans="72:143">
      <c r="BT370" s="187"/>
      <c r="BU370" s="187" t="s">
        <v>93</v>
      </c>
      <c r="BV370" s="196">
        <v>120034</v>
      </c>
      <c r="BW370" s="197" t="e">
        <f t="shared" si="139"/>
        <v>#REF!</v>
      </c>
      <c r="BX370" s="198" t="e">
        <f>IF(AND(State_LOB_Code=18,LEFT(BW370,4)&lt;"2009"),81,State_LOB_Code)&amp;"|384"</f>
        <v>#REF!</v>
      </c>
      <c r="BY370" s="215"/>
      <c r="BZ370" s="216"/>
      <c r="CD370" s="163"/>
      <c r="CE370" s="363"/>
      <c r="CF370" s="335"/>
      <c r="CG370" s="335"/>
      <c r="CH370" s="335"/>
      <c r="CI370" s="335"/>
      <c r="CJ370" s="335"/>
      <c r="CK370" s="335"/>
      <c r="CL370" s="335"/>
      <c r="CM370" s="335"/>
      <c r="CN370" s="335"/>
      <c r="CO370" s="335"/>
      <c r="CP370" s="335"/>
      <c r="CQ370" s="335"/>
      <c r="CR370" s="335"/>
      <c r="CS370" s="335"/>
      <c r="CT370" s="335"/>
      <c r="CU370" s="335"/>
      <c r="CV370" s="335"/>
      <c r="CW370" s="335"/>
      <c r="CX370" s="335"/>
      <c r="CY370" s="335"/>
      <c r="CZ370" s="335"/>
      <c r="DA370" s="335"/>
      <c r="DB370" s="335"/>
      <c r="DC370" s="335"/>
      <c r="DD370" s="335"/>
      <c r="DE370" s="335"/>
      <c r="DF370" s="335"/>
      <c r="DG370" s="335"/>
      <c r="DH370" s="335"/>
      <c r="DI370" s="335"/>
      <c r="DJ370" s="335"/>
      <c r="DK370" s="335"/>
      <c r="DL370" s="335"/>
      <c r="DM370" s="335"/>
      <c r="DN370" s="335"/>
      <c r="DO370" s="335"/>
      <c r="DP370" s="335"/>
      <c r="DQ370" s="335"/>
      <c r="DR370" s="335"/>
      <c r="DS370" s="335"/>
      <c r="DT370" s="335"/>
      <c r="DU370" s="335"/>
      <c r="DV370" s="335"/>
      <c r="DW370" s="335"/>
      <c r="DX370" s="335"/>
      <c r="DY370" s="335"/>
      <c r="DZ370" s="335"/>
      <c r="EA370" s="335"/>
      <c r="EB370" s="335"/>
      <c r="EC370" s="335"/>
      <c r="ED370" s="335"/>
      <c r="EE370" s="335"/>
      <c r="EF370" s="335"/>
      <c r="EG370" s="335"/>
      <c r="EH370" s="335"/>
      <c r="EI370" s="335"/>
      <c r="EJ370" s="335"/>
      <c r="EK370" s="335"/>
      <c r="EL370" s="335"/>
      <c r="EM370" s="335"/>
    </row>
    <row r="371" spans="72:143">
      <c r="BT371" s="187"/>
      <c r="BU371" s="187" t="s">
        <v>94</v>
      </c>
      <c r="BV371" s="196">
        <v>120034</v>
      </c>
      <c r="BW371" s="197" t="e">
        <f t="shared" si="139"/>
        <v>#REF!</v>
      </c>
      <c r="BX371" s="198" t="e">
        <f>IF(AND(State_LOB_Code=18,LEFT(BW371,4)&lt;"2009"),81,State_LOB_Code)&amp;"|385"</f>
        <v>#REF!</v>
      </c>
      <c r="BY371" s="215"/>
      <c r="BZ371" s="216"/>
      <c r="CD371" s="163"/>
      <c r="CE371" s="363"/>
      <c r="CF371" s="335"/>
      <c r="CG371" s="335"/>
      <c r="CH371" s="335"/>
      <c r="CI371" s="335"/>
      <c r="CJ371" s="335"/>
      <c r="CK371" s="335"/>
      <c r="CL371" s="335"/>
      <c r="CM371" s="335"/>
      <c r="CN371" s="335"/>
      <c r="CO371" s="335"/>
      <c r="CP371" s="335"/>
      <c r="CQ371" s="335"/>
      <c r="CR371" s="335"/>
      <c r="CS371" s="335"/>
      <c r="CT371" s="335"/>
      <c r="CU371" s="335"/>
      <c r="CV371" s="335"/>
      <c r="CW371" s="335"/>
      <c r="CX371" s="335"/>
      <c r="CY371" s="335"/>
      <c r="CZ371" s="335"/>
      <c r="DA371" s="335"/>
      <c r="DB371" s="335"/>
      <c r="DC371" s="335"/>
      <c r="DD371" s="335"/>
      <c r="DE371" s="335"/>
      <c r="DF371" s="335"/>
      <c r="DG371" s="335"/>
      <c r="DH371" s="335"/>
      <c r="DI371" s="335"/>
      <c r="DJ371" s="335"/>
      <c r="DK371" s="335"/>
      <c r="DL371" s="335"/>
      <c r="DM371" s="335"/>
      <c r="DN371" s="335"/>
      <c r="DO371" s="335"/>
      <c r="DP371" s="335"/>
      <c r="DQ371" s="335"/>
      <c r="DR371" s="335"/>
      <c r="DS371" s="335"/>
      <c r="DT371" s="335"/>
      <c r="DU371" s="335"/>
      <c r="DV371" s="335"/>
      <c r="DW371" s="335"/>
      <c r="DX371" s="335"/>
      <c r="DY371" s="335"/>
      <c r="DZ371" s="335"/>
      <c r="EA371" s="335"/>
      <c r="EB371" s="335"/>
      <c r="EC371" s="335"/>
      <c r="ED371" s="335"/>
      <c r="EE371" s="335"/>
      <c r="EF371" s="335"/>
      <c r="EG371" s="335"/>
      <c r="EH371" s="335"/>
      <c r="EI371" s="335"/>
      <c r="EJ371" s="335"/>
      <c r="EK371" s="335"/>
      <c r="EL371" s="335"/>
      <c r="EM371" s="335"/>
    </row>
    <row r="372" spans="72:143">
      <c r="BT372" s="187"/>
      <c r="BU372" s="187" t="s">
        <v>95</v>
      </c>
      <c r="BV372" s="196">
        <v>120034</v>
      </c>
      <c r="BW372" s="197" t="e">
        <f t="shared" si="139"/>
        <v>#REF!</v>
      </c>
      <c r="BX372" s="198" t="e">
        <f>IF(AND(State_LOB_Code=18,LEFT(BW372,4)&lt;"2009"),81,State_LOB_Code)&amp;"|386"</f>
        <v>#REF!</v>
      </c>
      <c r="BY372" s="215"/>
      <c r="BZ372" s="216"/>
      <c r="CD372" s="163"/>
      <c r="CE372" s="363"/>
      <c r="CF372" s="335"/>
      <c r="CG372" s="335"/>
      <c r="CH372" s="335"/>
      <c r="CI372" s="335"/>
      <c r="CJ372" s="335"/>
      <c r="CK372" s="335"/>
      <c r="CL372" s="335"/>
      <c r="CM372" s="335"/>
      <c r="CN372" s="335"/>
      <c r="CO372" s="335"/>
      <c r="CP372" s="335"/>
      <c r="CQ372" s="335"/>
      <c r="CR372" s="335"/>
      <c r="CS372" s="335"/>
      <c r="CT372" s="335"/>
      <c r="CU372" s="335"/>
      <c r="CV372" s="335"/>
      <c r="CW372" s="335"/>
      <c r="CX372" s="335"/>
      <c r="CY372" s="335"/>
      <c r="CZ372" s="335"/>
      <c r="DA372" s="335"/>
      <c r="DB372" s="335"/>
      <c r="DC372" s="335"/>
      <c r="DD372" s="335"/>
      <c r="DE372" s="335"/>
      <c r="DF372" s="335"/>
      <c r="DG372" s="335"/>
      <c r="DH372" s="335"/>
      <c r="DI372" s="335"/>
      <c r="DJ372" s="335"/>
      <c r="DK372" s="335"/>
      <c r="DL372" s="335"/>
      <c r="DM372" s="335"/>
      <c r="DN372" s="335"/>
      <c r="DO372" s="335"/>
      <c r="DP372" s="335"/>
      <c r="DQ372" s="335"/>
      <c r="DR372" s="335"/>
      <c r="DS372" s="335"/>
      <c r="DT372" s="335"/>
      <c r="DU372" s="335"/>
      <c r="DV372" s="335"/>
      <c r="DW372" s="335"/>
      <c r="DX372" s="335"/>
      <c r="DY372" s="335"/>
      <c r="DZ372" s="335"/>
      <c r="EA372" s="335"/>
      <c r="EB372" s="335"/>
      <c r="EC372" s="335"/>
      <c r="ED372" s="335"/>
      <c r="EE372" s="335"/>
      <c r="EF372" s="335"/>
      <c r="EG372" s="335"/>
      <c r="EH372" s="335"/>
      <c r="EI372" s="335"/>
      <c r="EJ372" s="335"/>
      <c r="EK372" s="335"/>
      <c r="EL372" s="335"/>
      <c r="EM372" s="335"/>
    </row>
    <row r="373" spans="72:143">
      <c r="BT373" s="187"/>
      <c r="BU373" s="187" t="s">
        <v>96</v>
      </c>
      <c r="BV373" s="196">
        <v>120034</v>
      </c>
      <c r="BW373" s="197" t="e">
        <f t="shared" si="139"/>
        <v>#REF!</v>
      </c>
      <c r="BX373" s="198" t="e">
        <f>IF(AND(State_LOB_Code=18,LEFT(BW373,4)&lt;"2009"),81,State_LOB_Code)&amp;"|387"</f>
        <v>#REF!</v>
      </c>
      <c r="BY373" s="215"/>
      <c r="BZ373" s="216"/>
      <c r="CD373" s="163"/>
      <c r="CE373" s="363"/>
      <c r="CF373" s="335"/>
      <c r="CG373" s="335"/>
      <c r="CH373" s="335"/>
      <c r="CI373" s="335"/>
      <c r="CJ373" s="335"/>
      <c r="CK373" s="335"/>
      <c r="CL373" s="335"/>
      <c r="CM373" s="335"/>
      <c r="CN373" s="335"/>
      <c r="CO373" s="335"/>
      <c r="CP373" s="335"/>
      <c r="CQ373" s="335"/>
      <c r="CR373" s="335"/>
      <c r="CS373" s="335"/>
      <c r="CT373" s="335"/>
      <c r="CU373" s="335"/>
      <c r="CV373" s="335"/>
      <c r="CW373" s="335"/>
      <c r="CX373" s="335"/>
      <c r="CY373" s="335"/>
      <c r="CZ373" s="335"/>
      <c r="DA373" s="335"/>
      <c r="DB373" s="335"/>
      <c r="DC373" s="335"/>
      <c r="DD373" s="335"/>
      <c r="DE373" s="335"/>
      <c r="DF373" s="335"/>
      <c r="DG373" s="335"/>
      <c r="DH373" s="335"/>
      <c r="DI373" s="335"/>
      <c r="DJ373" s="335"/>
      <c r="DK373" s="335"/>
      <c r="DL373" s="335"/>
      <c r="DM373" s="335"/>
      <c r="DN373" s="335"/>
      <c r="DO373" s="335"/>
      <c r="DP373" s="335"/>
      <c r="DQ373" s="335"/>
      <c r="DR373" s="335"/>
      <c r="DS373" s="335"/>
      <c r="DT373" s="335"/>
      <c r="DU373" s="335"/>
      <c r="DV373" s="335"/>
      <c r="DW373" s="335"/>
      <c r="DX373" s="335"/>
      <c r="DY373" s="335"/>
      <c r="DZ373" s="335"/>
      <c r="EA373" s="335"/>
      <c r="EB373" s="335"/>
      <c r="EC373" s="335"/>
      <c r="ED373" s="335"/>
      <c r="EE373" s="335"/>
      <c r="EF373" s="335"/>
      <c r="EG373" s="335"/>
      <c r="EH373" s="335"/>
      <c r="EI373" s="335"/>
      <c r="EJ373" s="335"/>
      <c r="EK373" s="335"/>
      <c r="EL373" s="335"/>
      <c r="EM373" s="335"/>
    </row>
    <row r="374" spans="72:143">
      <c r="BT374" s="187"/>
      <c r="BU374" s="187" t="s">
        <v>97</v>
      </c>
      <c r="BV374" s="196">
        <v>120034</v>
      </c>
      <c r="BW374" s="197" t="e">
        <f t="shared" si="139"/>
        <v>#REF!</v>
      </c>
      <c r="BX374" s="198" t="e">
        <f>IF(AND(State_LOB_Code=18,LEFT(BW374,4)&lt;"2009"),81,State_LOB_Code)&amp;"|388"</f>
        <v>#REF!</v>
      </c>
      <c r="BY374" s="215"/>
      <c r="BZ374" s="216"/>
      <c r="CD374" s="163"/>
      <c r="CE374" s="363"/>
      <c r="CF374" s="335"/>
      <c r="CG374" s="335"/>
      <c r="CH374" s="335"/>
      <c r="CI374" s="335"/>
      <c r="CJ374" s="335"/>
      <c r="CK374" s="335"/>
      <c r="CL374" s="335"/>
      <c r="CM374" s="335"/>
      <c r="CN374" s="335"/>
      <c r="CO374" s="335"/>
      <c r="CP374" s="335"/>
      <c r="CQ374" s="335"/>
      <c r="CR374" s="335"/>
      <c r="CS374" s="335"/>
      <c r="CT374" s="335"/>
      <c r="CU374" s="335"/>
      <c r="CV374" s="335"/>
      <c r="CW374" s="335"/>
      <c r="CX374" s="335"/>
      <c r="CY374" s="335"/>
      <c r="CZ374" s="335"/>
      <c r="DA374" s="335"/>
      <c r="DB374" s="335"/>
      <c r="DC374" s="335"/>
      <c r="DD374" s="335"/>
      <c r="DE374" s="335"/>
      <c r="DF374" s="335"/>
      <c r="DG374" s="335"/>
      <c r="DH374" s="335"/>
      <c r="DI374" s="335"/>
      <c r="DJ374" s="335"/>
      <c r="DK374" s="335"/>
      <c r="DL374" s="335"/>
      <c r="DM374" s="335"/>
      <c r="DN374" s="335"/>
      <c r="DO374" s="335"/>
      <c r="DP374" s="335"/>
      <c r="DQ374" s="335"/>
      <c r="DR374" s="335"/>
      <c r="DS374" s="335"/>
      <c r="DT374" s="335"/>
      <c r="DU374" s="335"/>
      <c r="DV374" s="335"/>
      <c r="DW374" s="335"/>
      <c r="DX374" s="335"/>
      <c r="DY374" s="335"/>
      <c r="DZ374" s="335"/>
      <c r="EA374" s="335"/>
      <c r="EB374" s="335"/>
      <c r="EC374" s="335"/>
      <c r="ED374" s="335"/>
      <c r="EE374" s="335"/>
      <c r="EF374" s="335"/>
      <c r="EG374" s="335"/>
      <c r="EH374" s="335"/>
      <c r="EI374" s="335"/>
      <c r="EJ374" s="335"/>
      <c r="EK374" s="335"/>
      <c r="EL374" s="335"/>
      <c r="EM374" s="335"/>
    </row>
    <row r="375" spans="72:143">
      <c r="BT375" s="187"/>
      <c r="BU375" s="189" t="s">
        <v>137</v>
      </c>
      <c r="BV375" s="199">
        <v>120034</v>
      </c>
      <c r="BW375" s="200" t="e">
        <f t="shared" si="139"/>
        <v>#REF!</v>
      </c>
      <c r="BX375" s="201" t="e">
        <f>IF(AND(State_LOB_Code=18,LEFT(BW375,4)&lt;"2009"),81,State_LOB_Code)&amp;"|600"</f>
        <v>#REF!</v>
      </c>
      <c r="BY375" s="217"/>
      <c r="BZ375" s="218"/>
      <c r="CD375" s="163"/>
      <c r="CE375" s="363"/>
      <c r="CF375" s="335"/>
      <c r="CG375" s="335"/>
      <c r="CH375" s="335"/>
      <c r="CI375" s="335"/>
      <c r="CJ375" s="335"/>
      <c r="CK375" s="335"/>
      <c r="CL375" s="335"/>
      <c r="CM375" s="335"/>
      <c r="CN375" s="335"/>
      <c r="CO375" s="335"/>
      <c r="CP375" s="335"/>
      <c r="CQ375" s="335"/>
      <c r="CR375" s="335"/>
      <c r="CS375" s="335"/>
      <c r="CT375" s="335"/>
      <c r="CU375" s="335"/>
      <c r="CV375" s="335"/>
      <c r="CW375" s="335"/>
      <c r="CX375" s="335"/>
      <c r="CY375" s="335"/>
      <c r="CZ375" s="335"/>
      <c r="DA375" s="335"/>
      <c r="DB375" s="335"/>
      <c r="DC375" s="335"/>
      <c r="DD375" s="335"/>
      <c r="DE375" s="335"/>
      <c r="DF375" s="335"/>
      <c r="DG375" s="335"/>
      <c r="DH375" s="335"/>
      <c r="DI375" s="335"/>
      <c r="DJ375" s="335"/>
      <c r="DK375" s="335"/>
      <c r="DL375" s="335"/>
      <c r="DM375" s="335"/>
      <c r="DN375" s="335"/>
      <c r="DO375" s="335"/>
      <c r="DP375" s="335"/>
      <c r="DQ375" s="335"/>
      <c r="DR375" s="335"/>
      <c r="DS375" s="335"/>
      <c r="DT375" s="335"/>
      <c r="DU375" s="335"/>
      <c r="DV375" s="335"/>
      <c r="DW375" s="335"/>
      <c r="DX375" s="335"/>
      <c r="DY375" s="335"/>
      <c r="DZ375" s="335"/>
      <c r="EA375" s="335"/>
      <c r="EB375" s="335"/>
      <c r="EC375" s="335"/>
      <c r="ED375" s="335"/>
      <c r="EE375" s="335"/>
      <c r="EF375" s="335"/>
      <c r="EG375" s="335"/>
      <c r="EH375" s="335"/>
      <c r="EI375" s="335"/>
      <c r="EJ375" s="335"/>
      <c r="EK375" s="335"/>
      <c r="EL375" s="335"/>
      <c r="EM375" s="335"/>
    </row>
    <row r="376" spans="72:143">
      <c r="BT376" s="187"/>
      <c r="BU376" s="187" t="s">
        <v>98</v>
      </c>
      <c r="BV376" s="196">
        <v>120034</v>
      </c>
      <c r="BW376" s="197" t="e">
        <f t="shared" si="139"/>
        <v>#REF!</v>
      </c>
      <c r="BX376" s="198" t="e">
        <f>IF(AND(State_LOB_Code=18,LEFT(BW376,4)&lt;"2009"),81,State_LOB_Code)&amp;"|336"</f>
        <v>#REF!</v>
      </c>
      <c r="BY376" s="215"/>
      <c r="BZ376" s="216"/>
      <c r="CD376" s="163"/>
      <c r="CE376" s="363"/>
      <c r="CF376" s="335"/>
      <c r="CG376" s="335"/>
      <c r="CH376" s="335"/>
      <c r="CI376" s="335"/>
      <c r="CJ376" s="335"/>
      <c r="CK376" s="335"/>
      <c r="CL376" s="335"/>
      <c r="CM376" s="335"/>
      <c r="CN376" s="335"/>
      <c r="CO376" s="335"/>
      <c r="CP376" s="335"/>
      <c r="CQ376" s="335"/>
      <c r="CR376" s="335"/>
      <c r="CS376" s="335"/>
      <c r="CT376" s="335"/>
      <c r="CU376" s="335"/>
      <c r="CV376" s="335"/>
      <c r="CW376" s="335"/>
      <c r="CX376" s="335"/>
      <c r="CY376" s="335"/>
      <c r="CZ376" s="335"/>
      <c r="DA376" s="335"/>
      <c r="DB376" s="335"/>
      <c r="DC376" s="335"/>
      <c r="DD376" s="335"/>
      <c r="DE376" s="335"/>
      <c r="DF376" s="335"/>
      <c r="DG376" s="335"/>
      <c r="DH376" s="335"/>
      <c r="DI376" s="335"/>
      <c r="DJ376" s="335"/>
      <c r="DK376" s="335"/>
      <c r="DL376" s="335"/>
      <c r="DM376" s="335"/>
      <c r="DN376" s="335"/>
      <c r="DO376" s="335"/>
      <c r="DP376" s="335"/>
      <c r="DQ376" s="335"/>
      <c r="DR376" s="335"/>
      <c r="DS376" s="335"/>
      <c r="DT376" s="335"/>
      <c r="DU376" s="335"/>
      <c r="DV376" s="335"/>
      <c r="DW376" s="335"/>
      <c r="DX376" s="335"/>
      <c r="DY376" s="335"/>
      <c r="DZ376" s="335"/>
      <c r="EA376" s="335"/>
      <c r="EB376" s="335"/>
      <c r="EC376" s="335"/>
      <c r="ED376" s="335"/>
      <c r="EE376" s="335"/>
      <c r="EF376" s="335"/>
      <c r="EG376" s="335"/>
      <c r="EH376" s="335"/>
      <c r="EI376" s="335"/>
      <c r="EJ376" s="335"/>
      <c r="EK376" s="335"/>
      <c r="EL376" s="335"/>
      <c r="EM376" s="335"/>
    </row>
    <row r="377" spans="72:143">
      <c r="BT377" s="187"/>
      <c r="BU377" s="187" t="s">
        <v>99</v>
      </c>
      <c r="BV377" s="196">
        <v>120034</v>
      </c>
      <c r="BW377" s="197" t="e">
        <f t="shared" si="139"/>
        <v>#REF!</v>
      </c>
      <c r="BX377" s="198" t="e">
        <f>IF(AND(State_LOB_Code=18,LEFT(BW377,4)&lt;"2009"),81,State_LOB_Code)&amp;"|345"</f>
        <v>#REF!</v>
      </c>
      <c r="BY377" s="215"/>
      <c r="BZ377" s="216"/>
      <c r="CD377" s="163"/>
      <c r="CE377" s="363"/>
      <c r="CF377" s="335"/>
      <c r="CG377" s="335"/>
      <c r="CH377" s="335"/>
      <c r="CI377" s="335"/>
      <c r="CJ377" s="335"/>
      <c r="CK377" s="335"/>
      <c r="CL377" s="335"/>
      <c r="CM377" s="335"/>
      <c r="CN377" s="335"/>
      <c r="CO377" s="335"/>
      <c r="CP377" s="335"/>
      <c r="CQ377" s="335"/>
      <c r="CR377" s="335"/>
      <c r="CS377" s="335"/>
      <c r="CT377" s="335"/>
      <c r="CU377" s="335"/>
      <c r="CV377" s="335"/>
      <c r="CW377" s="335"/>
      <c r="CX377" s="335"/>
      <c r="CY377" s="335"/>
      <c r="CZ377" s="335"/>
      <c r="DA377" s="335"/>
      <c r="DB377" s="335"/>
      <c r="DC377" s="335"/>
      <c r="DD377" s="335"/>
      <c r="DE377" s="335"/>
      <c r="DF377" s="335"/>
      <c r="DG377" s="335"/>
      <c r="DH377" s="335"/>
      <c r="DI377" s="335"/>
      <c r="DJ377" s="335"/>
      <c r="DK377" s="335"/>
      <c r="DL377" s="335"/>
      <c r="DM377" s="335"/>
      <c r="DN377" s="335"/>
      <c r="DO377" s="335"/>
      <c r="DP377" s="335"/>
      <c r="DQ377" s="335"/>
      <c r="DR377" s="335"/>
      <c r="DS377" s="335"/>
      <c r="DT377" s="335"/>
      <c r="DU377" s="335"/>
      <c r="DV377" s="335"/>
      <c r="DW377" s="335"/>
      <c r="DX377" s="335"/>
      <c r="DY377" s="335"/>
      <c r="DZ377" s="335"/>
      <c r="EA377" s="335"/>
      <c r="EB377" s="335"/>
      <c r="EC377" s="335"/>
      <c r="ED377" s="335"/>
      <c r="EE377" s="335"/>
      <c r="EF377" s="335"/>
      <c r="EG377" s="335"/>
      <c r="EH377" s="335"/>
      <c r="EI377" s="335"/>
      <c r="EJ377" s="335"/>
      <c r="EK377" s="335"/>
      <c r="EL377" s="335"/>
      <c r="EM377" s="335"/>
    </row>
    <row r="378" spans="72:143">
      <c r="BT378" s="187"/>
      <c r="BU378" s="187" t="s">
        <v>100</v>
      </c>
      <c r="BV378" s="196">
        <v>120034</v>
      </c>
      <c r="BW378" s="197" t="e">
        <f t="shared" si="139"/>
        <v>#REF!</v>
      </c>
      <c r="BX378" s="198" t="e">
        <f>IF(AND(State_LOB_Code=18,LEFT(BW378,4)&lt;"2009"),81,State_LOB_Code)&amp;"|360"</f>
        <v>#REF!</v>
      </c>
      <c r="BY378" s="215"/>
      <c r="BZ378" s="216"/>
      <c r="CD378" s="163"/>
      <c r="CE378" s="363"/>
      <c r="CF378" s="335"/>
      <c r="CG378" s="335"/>
      <c r="CH378" s="335"/>
      <c r="CI378" s="335"/>
      <c r="CJ378" s="335"/>
      <c r="CK378" s="335"/>
      <c r="CL378" s="335"/>
      <c r="CM378" s="335"/>
      <c r="CN378" s="335"/>
      <c r="CO378" s="335"/>
      <c r="CP378" s="335"/>
      <c r="CQ378" s="335"/>
      <c r="CR378" s="335"/>
      <c r="CS378" s="335"/>
      <c r="CT378" s="335"/>
      <c r="CU378" s="335"/>
      <c r="CV378" s="335"/>
      <c r="CW378" s="335"/>
      <c r="CX378" s="335"/>
      <c r="CY378" s="335"/>
      <c r="CZ378" s="335"/>
      <c r="DA378" s="335"/>
      <c r="DB378" s="335"/>
      <c r="DC378" s="335"/>
      <c r="DD378" s="335"/>
      <c r="DE378" s="335"/>
      <c r="DF378" s="335"/>
      <c r="DG378" s="335"/>
      <c r="DH378" s="335"/>
      <c r="DI378" s="335"/>
      <c r="DJ378" s="335"/>
      <c r="DK378" s="335"/>
      <c r="DL378" s="335"/>
      <c r="DM378" s="335"/>
      <c r="DN378" s="335"/>
      <c r="DO378" s="335"/>
      <c r="DP378" s="335"/>
      <c r="DQ378" s="335"/>
      <c r="DR378" s="335"/>
      <c r="DS378" s="335"/>
      <c r="DT378" s="335"/>
      <c r="DU378" s="335"/>
      <c r="DV378" s="335"/>
      <c r="DW378" s="335"/>
      <c r="DX378" s="335"/>
      <c r="DY378" s="335"/>
      <c r="DZ378" s="335"/>
      <c r="EA378" s="335"/>
      <c r="EB378" s="335"/>
      <c r="EC378" s="335"/>
      <c r="ED378" s="335"/>
      <c r="EE378" s="335"/>
      <c r="EF378" s="335"/>
      <c r="EG378" s="335"/>
      <c r="EH378" s="335"/>
      <c r="EI378" s="335"/>
      <c r="EJ378" s="335"/>
      <c r="EK378" s="335"/>
      <c r="EL378" s="335"/>
      <c r="EM378" s="335"/>
    </row>
    <row r="379" spans="72:143">
      <c r="BT379" s="187"/>
      <c r="BU379" s="187" t="s">
        <v>101</v>
      </c>
      <c r="BV379" s="196">
        <v>120034</v>
      </c>
      <c r="BW379" s="197" t="e">
        <f t="shared" si="139"/>
        <v>#REF!</v>
      </c>
      <c r="BX379" s="198" t="e">
        <f>IF(AND(State_LOB_Code=18,LEFT(BW379,4)&lt;"2009"),81,State_LOB_Code)&amp;"|375"</f>
        <v>#REF!</v>
      </c>
      <c r="BY379" s="215"/>
      <c r="BZ379" s="216"/>
      <c r="CD379" s="163"/>
      <c r="CE379" s="363"/>
      <c r="CF379" s="335"/>
      <c r="CG379" s="335"/>
      <c r="CH379" s="335"/>
      <c r="CI379" s="335"/>
      <c r="CJ379" s="335"/>
      <c r="CK379" s="335"/>
      <c r="CL379" s="335"/>
      <c r="CM379" s="335"/>
      <c r="CN379" s="335"/>
      <c r="CO379" s="335"/>
      <c r="CP379" s="335"/>
      <c r="CQ379" s="335"/>
      <c r="CR379" s="335"/>
      <c r="CS379" s="335"/>
      <c r="CT379" s="335"/>
      <c r="CU379" s="335"/>
      <c r="CV379" s="335"/>
      <c r="CW379" s="335"/>
      <c r="CX379" s="335"/>
      <c r="CY379" s="335"/>
      <c r="CZ379" s="335"/>
      <c r="DA379" s="335"/>
      <c r="DB379" s="335"/>
      <c r="DC379" s="335"/>
      <c r="DD379" s="335"/>
      <c r="DE379" s="335"/>
      <c r="DF379" s="335"/>
      <c r="DG379" s="335"/>
      <c r="DH379" s="335"/>
      <c r="DI379" s="335"/>
      <c r="DJ379" s="335"/>
      <c r="DK379" s="335"/>
      <c r="DL379" s="335"/>
      <c r="DM379" s="335"/>
      <c r="DN379" s="335"/>
      <c r="DO379" s="335"/>
      <c r="DP379" s="335"/>
      <c r="DQ379" s="335"/>
      <c r="DR379" s="335"/>
      <c r="DS379" s="335"/>
      <c r="DT379" s="335"/>
      <c r="DU379" s="335"/>
      <c r="DV379" s="335"/>
      <c r="DW379" s="335"/>
      <c r="DX379" s="335"/>
      <c r="DY379" s="335"/>
      <c r="DZ379" s="335"/>
      <c r="EA379" s="335"/>
      <c r="EB379" s="335"/>
      <c r="EC379" s="335"/>
      <c r="ED379" s="335"/>
      <c r="EE379" s="335"/>
      <c r="EF379" s="335"/>
      <c r="EG379" s="335"/>
      <c r="EH379" s="335"/>
      <c r="EI379" s="335"/>
      <c r="EJ379" s="335"/>
      <c r="EK379" s="335"/>
      <c r="EL379" s="335"/>
      <c r="EM379" s="335"/>
    </row>
    <row r="380" spans="72:143">
      <c r="BT380" s="187"/>
      <c r="BU380" s="187" t="s">
        <v>102</v>
      </c>
      <c r="BV380" s="196">
        <v>120034</v>
      </c>
      <c r="BW380" s="197" t="e">
        <f t="shared" si="139"/>
        <v>#REF!</v>
      </c>
      <c r="BX380" s="198" t="e">
        <f>IF(AND(State_LOB_Code=18,LEFT(BW380,4)&lt;"2009"),81,State_LOB_Code)&amp;"|383"</f>
        <v>#REF!</v>
      </c>
      <c r="BY380" s="215"/>
      <c r="BZ380" s="216"/>
      <c r="CD380" s="163"/>
      <c r="CE380" s="363"/>
      <c r="CF380" s="335"/>
      <c r="CG380" s="335"/>
      <c r="CH380" s="335"/>
      <c r="CI380" s="335"/>
      <c r="CJ380" s="335"/>
      <c r="CK380" s="335"/>
      <c r="CL380" s="335"/>
      <c r="CM380" s="335"/>
      <c r="CN380" s="335"/>
      <c r="CO380" s="335"/>
      <c r="CP380" s="335"/>
      <c r="CQ380" s="335"/>
      <c r="CR380" s="335"/>
      <c r="CS380" s="335"/>
      <c r="CT380" s="335"/>
      <c r="CU380" s="335"/>
      <c r="CV380" s="335"/>
      <c r="CW380" s="335"/>
      <c r="CX380" s="335"/>
      <c r="CY380" s="335"/>
      <c r="CZ380" s="335"/>
      <c r="DA380" s="335"/>
      <c r="DB380" s="335"/>
      <c r="DC380" s="335"/>
      <c r="DD380" s="335"/>
      <c r="DE380" s="335"/>
      <c r="DF380" s="335"/>
      <c r="DG380" s="335"/>
      <c r="DH380" s="335"/>
      <c r="DI380" s="335"/>
      <c r="DJ380" s="335"/>
      <c r="DK380" s="335"/>
      <c r="DL380" s="335"/>
      <c r="DM380" s="335"/>
      <c r="DN380" s="335"/>
      <c r="DO380" s="335"/>
      <c r="DP380" s="335"/>
      <c r="DQ380" s="335"/>
      <c r="DR380" s="335"/>
      <c r="DS380" s="335"/>
      <c r="DT380" s="335"/>
      <c r="DU380" s="335"/>
      <c r="DV380" s="335"/>
      <c r="DW380" s="335"/>
      <c r="DX380" s="335"/>
      <c r="DY380" s="335"/>
      <c r="DZ380" s="335"/>
      <c r="EA380" s="335"/>
      <c r="EB380" s="335"/>
      <c r="EC380" s="335"/>
      <c r="ED380" s="335"/>
      <c r="EE380" s="335"/>
      <c r="EF380" s="335"/>
      <c r="EG380" s="335"/>
      <c r="EH380" s="335"/>
      <c r="EI380" s="335"/>
      <c r="EJ380" s="335"/>
      <c r="EK380" s="335"/>
      <c r="EL380" s="335"/>
      <c r="EM380" s="335"/>
    </row>
    <row r="381" spans="72:143">
      <c r="BT381" s="187"/>
      <c r="BU381" s="187" t="s">
        <v>103</v>
      </c>
      <c r="BV381" s="196">
        <v>120034</v>
      </c>
      <c r="BW381" s="197" t="e">
        <f t="shared" si="139"/>
        <v>#REF!</v>
      </c>
      <c r="BX381" s="198" t="e">
        <f>IF(AND(State_LOB_Code=18,LEFT(BW381,4)&lt;"2009"),81,State_LOB_Code)&amp;"|332"</f>
        <v>#REF!</v>
      </c>
      <c r="BY381" s="215"/>
      <c r="BZ381" s="216"/>
      <c r="CD381" s="163"/>
      <c r="CE381" s="363"/>
      <c r="CF381" s="335"/>
      <c r="CG381" s="335"/>
      <c r="CH381" s="335"/>
      <c r="CI381" s="335"/>
      <c r="CJ381" s="335"/>
      <c r="CK381" s="335"/>
      <c r="CL381" s="335"/>
      <c r="CM381" s="335"/>
      <c r="CN381" s="335"/>
      <c r="CO381" s="335"/>
      <c r="CP381" s="335"/>
      <c r="CQ381" s="335"/>
      <c r="CR381" s="335"/>
      <c r="CS381" s="335"/>
      <c r="CT381" s="335"/>
      <c r="CU381" s="335"/>
      <c r="CV381" s="335"/>
      <c r="CW381" s="335"/>
      <c r="CX381" s="335"/>
      <c r="CY381" s="335"/>
      <c r="CZ381" s="335"/>
      <c r="DA381" s="335"/>
      <c r="DB381" s="335"/>
      <c r="DC381" s="335"/>
      <c r="DD381" s="335"/>
      <c r="DE381" s="335"/>
      <c r="DF381" s="335"/>
      <c r="DG381" s="335"/>
      <c r="DH381" s="335"/>
      <c r="DI381" s="335"/>
      <c r="DJ381" s="335"/>
      <c r="DK381" s="335"/>
      <c r="DL381" s="335"/>
      <c r="DM381" s="335"/>
      <c r="DN381" s="335"/>
      <c r="DO381" s="335"/>
      <c r="DP381" s="335"/>
      <c r="DQ381" s="335"/>
      <c r="DR381" s="335"/>
      <c r="DS381" s="335"/>
      <c r="DT381" s="335"/>
      <c r="DU381" s="335"/>
      <c r="DV381" s="335"/>
      <c r="DW381" s="335"/>
      <c r="DX381" s="335"/>
      <c r="DY381" s="335"/>
      <c r="DZ381" s="335"/>
      <c r="EA381" s="335"/>
      <c r="EB381" s="335"/>
      <c r="EC381" s="335"/>
      <c r="ED381" s="335"/>
      <c r="EE381" s="335"/>
      <c r="EF381" s="335"/>
      <c r="EG381" s="335"/>
      <c r="EH381" s="335"/>
      <c r="EI381" s="335"/>
      <c r="EJ381" s="335"/>
      <c r="EK381" s="335"/>
      <c r="EL381" s="335"/>
      <c r="EM381" s="335"/>
    </row>
    <row r="382" spans="72:143">
      <c r="BT382" s="187"/>
      <c r="BU382" s="187" t="s">
        <v>104</v>
      </c>
      <c r="BV382" s="196">
        <v>120034</v>
      </c>
      <c r="BW382" s="197" t="e">
        <f t="shared" si="139"/>
        <v>#REF!</v>
      </c>
      <c r="BX382" s="198" t="e">
        <f>IF(AND(State_LOB_Code=18,LEFT(BW382,4)&lt;"2009"),81,State_LOB_Code)&amp;"|330"</f>
        <v>#REF!</v>
      </c>
      <c r="BY382" s="215"/>
      <c r="BZ382" s="216"/>
      <c r="CD382" s="163"/>
      <c r="CE382" s="363"/>
      <c r="CF382" s="335"/>
      <c r="CG382" s="335"/>
      <c r="CH382" s="335"/>
      <c r="CI382" s="335"/>
      <c r="CJ382" s="335"/>
      <c r="CK382" s="335"/>
      <c r="CL382" s="335"/>
      <c r="CM382" s="335"/>
      <c r="CN382" s="335"/>
      <c r="CO382" s="335"/>
      <c r="CP382" s="335"/>
      <c r="CQ382" s="335"/>
      <c r="CR382" s="335"/>
      <c r="CS382" s="335"/>
      <c r="CT382" s="335"/>
      <c r="CU382" s="335"/>
      <c r="CV382" s="335"/>
      <c r="CW382" s="335"/>
      <c r="CX382" s="335"/>
      <c r="CY382" s="335"/>
      <c r="CZ382" s="335"/>
      <c r="DA382" s="335"/>
      <c r="DB382" s="335"/>
      <c r="DC382" s="335"/>
      <c r="DD382" s="335"/>
      <c r="DE382" s="335"/>
      <c r="DF382" s="335"/>
      <c r="DG382" s="335"/>
      <c r="DH382" s="335"/>
      <c r="DI382" s="335"/>
      <c r="DJ382" s="335"/>
      <c r="DK382" s="335"/>
      <c r="DL382" s="335"/>
      <c r="DM382" s="335"/>
      <c r="DN382" s="335"/>
      <c r="DO382" s="335"/>
      <c r="DP382" s="335"/>
      <c r="DQ382" s="335"/>
      <c r="DR382" s="335"/>
      <c r="DS382" s="335"/>
      <c r="DT382" s="335"/>
      <c r="DU382" s="335"/>
      <c r="DV382" s="335"/>
      <c r="DW382" s="335"/>
      <c r="DX382" s="335"/>
      <c r="DY382" s="335"/>
      <c r="DZ382" s="335"/>
      <c r="EA382" s="335"/>
      <c r="EB382" s="335"/>
      <c r="EC382" s="335"/>
      <c r="ED382" s="335"/>
      <c r="EE382" s="335"/>
      <c r="EF382" s="335"/>
      <c r="EG382" s="335"/>
      <c r="EH382" s="335"/>
      <c r="EI382" s="335"/>
      <c r="EJ382" s="335"/>
      <c r="EK382" s="335"/>
      <c r="EL382" s="335"/>
      <c r="EM382" s="335"/>
    </row>
    <row r="383" spans="72:143">
      <c r="BT383" s="187"/>
      <c r="BU383" s="190" t="s">
        <v>46</v>
      </c>
      <c r="BV383" s="202">
        <v>124055</v>
      </c>
      <c r="BW383" s="203" t="e">
        <f t="shared" si="139"/>
        <v>#REF!</v>
      </c>
      <c r="BX383" s="204" t="e">
        <f>IF(AND(State_LOB_Code=18,LEFT(BW383,4)&lt;"2009"),81,State_LOB_Code)</f>
        <v>#REF!</v>
      </c>
      <c r="BY383" s="219"/>
      <c r="BZ383" s="220"/>
      <c r="CD383" s="163"/>
      <c r="CE383" s="363"/>
      <c r="CF383" s="335"/>
      <c r="CG383" s="335"/>
      <c r="CH383" s="335"/>
      <c r="CI383" s="335"/>
      <c r="CJ383" s="335"/>
      <c r="CK383" s="335"/>
      <c r="CL383" s="335"/>
      <c r="CM383" s="335"/>
      <c r="CN383" s="335"/>
      <c r="CO383" s="335"/>
      <c r="CP383" s="335"/>
      <c r="CQ383" s="335"/>
      <c r="CR383" s="335"/>
      <c r="CS383" s="335"/>
      <c r="CT383" s="335"/>
      <c r="CU383" s="335"/>
      <c r="CV383" s="335"/>
      <c r="CW383" s="335"/>
      <c r="CX383" s="335"/>
      <c r="CY383" s="335"/>
      <c r="CZ383" s="335"/>
      <c r="DA383" s="335"/>
      <c r="DB383" s="335"/>
      <c r="DC383" s="335"/>
      <c r="DD383" s="335"/>
      <c r="DE383" s="335"/>
      <c r="DF383" s="335"/>
      <c r="DG383" s="335"/>
      <c r="DH383" s="335"/>
      <c r="DI383" s="335"/>
      <c r="DJ383" s="335"/>
      <c r="DK383" s="335"/>
      <c r="DL383" s="335"/>
      <c r="DM383" s="335"/>
      <c r="DN383" s="335"/>
      <c r="DO383" s="335"/>
      <c r="DP383" s="335"/>
      <c r="DQ383" s="335"/>
      <c r="DR383" s="335"/>
      <c r="DS383" s="335"/>
      <c r="DT383" s="335"/>
      <c r="DU383" s="335"/>
      <c r="DV383" s="335"/>
      <c r="DW383" s="335"/>
      <c r="DX383" s="335"/>
      <c r="DY383" s="335"/>
      <c r="DZ383" s="335"/>
      <c r="EA383" s="335"/>
      <c r="EB383" s="335"/>
      <c r="EC383" s="335"/>
      <c r="ED383" s="335"/>
      <c r="EE383" s="335"/>
      <c r="EF383" s="335"/>
      <c r="EG383" s="335"/>
      <c r="EH383" s="335"/>
      <c r="EI383" s="335"/>
      <c r="EJ383" s="335"/>
      <c r="EK383" s="335"/>
      <c r="EL383" s="335"/>
      <c r="EM383" s="335"/>
    </row>
    <row r="384" spans="72:143">
      <c r="BT384" s="187"/>
      <c r="BU384" s="187"/>
      <c r="BV384" s="188"/>
      <c r="BW384" s="188"/>
      <c r="BX384" s="188"/>
      <c r="BY384" s="215"/>
      <c r="BZ384" s="216"/>
      <c r="CD384" s="163"/>
      <c r="CE384" s="363"/>
      <c r="CF384" s="335"/>
      <c r="CG384" s="335"/>
      <c r="CH384" s="335"/>
      <c r="CI384" s="335"/>
      <c r="CJ384" s="335"/>
      <c r="CK384" s="335"/>
      <c r="CL384" s="335"/>
      <c r="CM384" s="335"/>
      <c r="CN384" s="335"/>
      <c r="CO384" s="335"/>
      <c r="CP384" s="335"/>
      <c r="CQ384" s="335"/>
      <c r="CR384" s="335"/>
      <c r="CS384" s="335"/>
      <c r="CT384" s="335"/>
      <c r="CU384" s="335"/>
      <c r="CV384" s="335"/>
      <c r="CW384" s="335"/>
      <c r="CX384" s="335"/>
      <c r="CY384" s="335"/>
      <c r="CZ384" s="335"/>
      <c r="DA384" s="335"/>
      <c r="DB384" s="335"/>
      <c r="DC384" s="335"/>
      <c r="DD384" s="335"/>
      <c r="DE384" s="335"/>
      <c r="DF384" s="335"/>
      <c r="DG384" s="335"/>
      <c r="DH384" s="335"/>
      <c r="DI384" s="335"/>
      <c r="DJ384" s="335"/>
      <c r="DK384" s="335"/>
      <c r="DL384" s="335"/>
      <c r="DM384" s="335"/>
      <c r="DN384" s="335"/>
      <c r="DO384" s="335"/>
      <c r="DP384" s="335"/>
      <c r="DQ384" s="335"/>
      <c r="DR384" s="335"/>
      <c r="DS384" s="335"/>
      <c r="DT384" s="335"/>
      <c r="DU384" s="335"/>
      <c r="DV384" s="335"/>
      <c r="DW384" s="335"/>
      <c r="DX384" s="335"/>
      <c r="DY384" s="335"/>
      <c r="DZ384" s="335"/>
      <c r="EA384" s="335"/>
      <c r="EB384" s="335"/>
      <c r="EC384" s="335"/>
      <c r="ED384" s="335"/>
      <c r="EE384" s="335"/>
      <c r="EF384" s="335"/>
      <c r="EG384" s="335"/>
      <c r="EH384" s="335"/>
      <c r="EI384" s="335"/>
      <c r="EJ384" s="335"/>
      <c r="EK384" s="335"/>
      <c r="EL384" s="335"/>
      <c r="EM384" s="335"/>
    </row>
    <row r="385" spans="72:143">
      <c r="BT385" s="187"/>
      <c r="BU385" s="184" t="s">
        <v>47</v>
      </c>
      <c r="BV385" s="193">
        <v>120034</v>
      </c>
      <c r="BW385" s="194" t="e">
        <f t="shared" ref="BW385:BW416" si="140">LEFT(BW324,4)-1&amp;"Y"</f>
        <v>#REF!</v>
      </c>
      <c r="BX385" s="195" t="e">
        <f>IF(AND(State_LOB_Code=18,LEFT(BW385,4)&lt;"2009"),81,State_LOB_Code)&amp;"|333"</f>
        <v>#REF!</v>
      </c>
      <c r="BY385" s="213"/>
      <c r="BZ385" s="214"/>
      <c r="CD385" s="163"/>
      <c r="CE385" s="363"/>
      <c r="CF385" s="335"/>
      <c r="CG385" s="335"/>
      <c r="CH385" s="335"/>
      <c r="CI385" s="335"/>
      <c r="CJ385" s="335"/>
      <c r="CK385" s="335"/>
      <c r="CL385" s="335"/>
      <c r="CM385" s="335"/>
      <c r="CN385" s="335"/>
      <c r="CO385" s="335"/>
      <c r="CP385" s="335"/>
      <c r="CQ385" s="335"/>
      <c r="CR385" s="335"/>
      <c r="CS385" s="335"/>
      <c r="CT385" s="335"/>
      <c r="CU385" s="335"/>
      <c r="CV385" s="335"/>
      <c r="CW385" s="335"/>
      <c r="CX385" s="335"/>
      <c r="CY385" s="335"/>
      <c r="CZ385" s="335"/>
      <c r="DA385" s="335"/>
      <c r="DB385" s="335"/>
      <c r="DC385" s="335"/>
      <c r="DD385" s="335"/>
      <c r="DE385" s="335"/>
      <c r="DF385" s="335"/>
      <c r="DG385" s="335"/>
      <c r="DH385" s="335"/>
      <c r="DI385" s="335"/>
      <c r="DJ385" s="335"/>
      <c r="DK385" s="335"/>
      <c r="DL385" s="335"/>
      <c r="DM385" s="335"/>
      <c r="DN385" s="335"/>
      <c r="DO385" s="335"/>
      <c r="DP385" s="335"/>
      <c r="DQ385" s="335"/>
      <c r="DR385" s="335"/>
      <c r="DS385" s="335"/>
      <c r="DT385" s="335"/>
      <c r="DU385" s="335"/>
      <c r="DV385" s="335"/>
      <c r="DW385" s="335"/>
      <c r="DX385" s="335"/>
      <c r="DY385" s="335"/>
      <c r="DZ385" s="335"/>
      <c r="EA385" s="335"/>
      <c r="EB385" s="335"/>
      <c r="EC385" s="335"/>
      <c r="ED385" s="335"/>
      <c r="EE385" s="335"/>
      <c r="EF385" s="335"/>
      <c r="EG385" s="335"/>
      <c r="EH385" s="335"/>
      <c r="EI385" s="335"/>
      <c r="EJ385" s="335"/>
      <c r="EK385" s="335"/>
      <c r="EL385" s="335"/>
      <c r="EM385" s="335"/>
    </row>
    <row r="386" spans="72:143">
      <c r="BT386" s="187"/>
      <c r="BU386" s="187" t="s">
        <v>48</v>
      </c>
      <c r="BV386" s="196">
        <v>120034</v>
      </c>
      <c r="BW386" s="197" t="e">
        <f t="shared" si="140"/>
        <v>#REF!</v>
      </c>
      <c r="BX386" s="198" t="e">
        <f>IF(AND(State_LOB_Code=18,LEFT(BW386,4)&lt;"2009"),81,State_LOB_Code)&amp;"|334"</f>
        <v>#REF!</v>
      </c>
      <c r="BY386" s="215"/>
      <c r="BZ386" s="216"/>
      <c r="CD386" s="163"/>
      <c r="CE386" s="363"/>
      <c r="CF386" s="335"/>
      <c r="CG386" s="335"/>
      <c r="CH386" s="335"/>
      <c r="CI386" s="335"/>
      <c r="CJ386" s="335"/>
      <c r="CK386" s="335"/>
      <c r="CL386" s="335"/>
      <c r="CM386" s="335"/>
      <c r="CN386" s="335"/>
      <c r="CO386" s="335"/>
      <c r="CP386" s="335"/>
      <c r="CQ386" s="335"/>
      <c r="CR386" s="335"/>
      <c r="CS386" s="335"/>
      <c r="CT386" s="335"/>
      <c r="CU386" s="335"/>
      <c r="CV386" s="335"/>
      <c r="CW386" s="335"/>
      <c r="CX386" s="335"/>
      <c r="CY386" s="335"/>
      <c r="CZ386" s="335"/>
      <c r="DA386" s="335"/>
      <c r="DB386" s="335"/>
      <c r="DC386" s="335"/>
      <c r="DD386" s="335"/>
      <c r="DE386" s="335"/>
      <c r="DF386" s="335"/>
      <c r="DG386" s="335"/>
      <c r="DH386" s="335"/>
      <c r="DI386" s="335"/>
      <c r="DJ386" s="335"/>
      <c r="DK386" s="335"/>
      <c r="DL386" s="335"/>
      <c r="DM386" s="335"/>
      <c r="DN386" s="335"/>
      <c r="DO386" s="335"/>
      <c r="DP386" s="335"/>
      <c r="DQ386" s="335"/>
      <c r="DR386" s="335"/>
      <c r="DS386" s="335"/>
      <c r="DT386" s="335"/>
      <c r="DU386" s="335"/>
      <c r="DV386" s="335"/>
      <c r="DW386" s="335"/>
      <c r="DX386" s="335"/>
      <c r="DY386" s="335"/>
      <c r="DZ386" s="335"/>
      <c r="EA386" s="335"/>
      <c r="EB386" s="335"/>
      <c r="EC386" s="335"/>
      <c r="ED386" s="335"/>
      <c r="EE386" s="335"/>
      <c r="EF386" s="335"/>
      <c r="EG386" s="335"/>
      <c r="EH386" s="335"/>
      <c r="EI386" s="335"/>
      <c r="EJ386" s="335"/>
      <c r="EK386" s="335"/>
      <c r="EL386" s="335"/>
      <c r="EM386" s="335"/>
    </row>
    <row r="387" spans="72:143">
      <c r="BT387" s="187"/>
      <c r="BU387" s="187" t="s">
        <v>49</v>
      </c>
      <c r="BV387" s="196">
        <v>120034</v>
      </c>
      <c r="BW387" s="197" t="e">
        <f t="shared" si="140"/>
        <v>#REF!</v>
      </c>
      <c r="BX387" s="198" t="e">
        <f>IF(AND(State_LOB_Code=18,LEFT(BW387,4)&lt;"2009"),81,State_LOB_Code)&amp;"|335"</f>
        <v>#REF!</v>
      </c>
      <c r="BY387" s="215"/>
      <c r="BZ387" s="216"/>
      <c r="CD387" s="163"/>
      <c r="CE387" s="363"/>
      <c r="CF387" s="335"/>
      <c r="CG387" s="335"/>
      <c r="CH387" s="335"/>
      <c r="CI387" s="335"/>
      <c r="CJ387" s="335"/>
      <c r="CK387" s="335"/>
      <c r="CL387" s="335"/>
      <c r="CM387" s="335"/>
      <c r="CN387" s="335"/>
      <c r="CO387" s="335"/>
      <c r="CP387" s="335"/>
      <c r="CQ387" s="335"/>
      <c r="CR387" s="335"/>
      <c r="CS387" s="335"/>
      <c r="CT387" s="335"/>
      <c r="CU387" s="335"/>
      <c r="CV387" s="335"/>
      <c r="CW387" s="335"/>
      <c r="CX387" s="335"/>
      <c r="CY387" s="335"/>
      <c r="CZ387" s="335"/>
      <c r="DA387" s="335"/>
      <c r="DB387" s="335"/>
      <c r="DC387" s="335"/>
      <c r="DD387" s="335"/>
      <c r="DE387" s="335"/>
      <c r="DF387" s="335"/>
      <c r="DG387" s="335"/>
      <c r="DH387" s="335"/>
      <c r="DI387" s="335"/>
      <c r="DJ387" s="335"/>
      <c r="DK387" s="335"/>
      <c r="DL387" s="335"/>
      <c r="DM387" s="335"/>
      <c r="DN387" s="335"/>
      <c r="DO387" s="335"/>
      <c r="DP387" s="335"/>
      <c r="DQ387" s="335"/>
      <c r="DR387" s="335"/>
      <c r="DS387" s="335"/>
      <c r="DT387" s="335"/>
      <c r="DU387" s="335"/>
      <c r="DV387" s="335"/>
      <c r="DW387" s="335"/>
      <c r="DX387" s="335"/>
      <c r="DY387" s="335"/>
      <c r="DZ387" s="335"/>
      <c r="EA387" s="335"/>
      <c r="EB387" s="335"/>
      <c r="EC387" s="335"/>
      <c r="ED387" s="335"/>
      <c r="EE387" s="335"/>
      <c r="EF387" s="335"/>
      <c r="EG387" s="335"/>
      <c r="EH387" s="335"/>
      <c r="EI387" s="335"/>
      <c r="EJ387" s="335"/>
      <c r="EK387" s="335"/>
      <c r="EL387" s="335"/>
      <c r="EM387" s="335"/>
    </row>
    <row r="388" spans="72:143">
      <c r="BT388" s="187"/>
      <c r="BU388" s="187" t="s">
        <v>50</v>
      </c>
      <c r="BV388" s="196">
        <v>120034</v>
      </c>
      <c r="BW388" s="197" t="e">
        <f t="shared" si="140"/>
        <v>#REF!</v>
      </c>
      <c r="BX388" s="198" t="e">
        <f>IF(AND(State_LOB_Code=18,LEFT(BW388,4)&lt;"2009"),81,State_LOB_Code)&amp;"|337"</f>
        <v>#REF!</v>
      </c>
      <c r="BY388" s="215"/>
      <c r="BZ388" s="216"/>
      <c r="CD388" s="163"/>
      <c r="CE388" s="363"/>
      <c r="CF388" s="335"/>
      <c r="CG388" s="335"/>
      <c r="CH388" s="335"/>
      <c r="CI388" s="335"/>
      <c r="CJ388" s="335"/>
      <c r="CK388" s="335"/>
      <c r="CL388" s="335"/>
      <c r="CM388" s="335"/>
      <c r="CN388" s="335"/>
      <c r="CO388" s="335"/>
      <c r="CP388" s="335"/>
      <c r="CQ388" s="335"/>
      <c r="CR388" s="335"/>
      <c r="CS388" s="335"/>
      <c r="CT388" s="335"/>
      <c r="CU388" s="335"/>
      <c r="CV388" s="335"/>
      <c r="CW388" s="335"/>
      <c r="CX388" s="335"/>
      <c r="CY388" s="335"/>
      <c r="CZ388" s="335"/>
      <c r="DA388" s="335"/>
      <c r="DB388" s="335"/>
      <c r="DC388" s="335"/>
      <c r="DD388" s="335"/>
      <c r="DE388" s="335"/>
      <c r="DF388" s="335"/>
      <c r="DG388" s="335"/>
      <c r="DH388" s="335"/>
      <c r="DI388" s="335"/>
      <c r="DJ388" s="335"/>
      <c r="DK388" s="335"/>
      <c r="DL388" s="335"/>
      <c r="DM388" s="335"/>
      <c r="DN388" s="335"/>
      <c r="DO388" s="335"/>
      <c r="DP388" s="335"/>
      <c r="DQ388" s="335"/>
      <c r="DR388" s="335"/>
      <c r="DS388" s="335"/>
      <c r="DT388" s="335"/>
      <c r="DU388" s="335"/>
      <c r="DV388" s="335"/>
      <c r="DW388" s="335"/>
      <c r="DX388" s="335"/>
      <c r="DY388" s="335"/>
      <c r="DZ388" s="335"/>
      <c r="EA388" s="335"/>
      <c r="EB388" s="335"/>
      <c r="EC388" s="335"/>
      <c r="ED388" s="335"/>
      <c r="EE388" s="335"/>
      <c r="EF388" s="335"/>
      <c r="EG388" s="335"/>
      <c r="EH388" s="335"/>
      <c r="EI388" s="335"/>
      <c r="EJ388" s="335"/>
      <c r="EK388" s="335"/>
      <c r="EL388" s="335"/>
      <c r="EM388" s="335"/>
    </row>
    <row r="389" spans="72:143">
      <c r="BT389" s="187"/>
      <c r="BU389" s="187" t="s">
        <v>51</v>
      </c>
      <c r="BV389" s="196">
        <v>120034</v>
      </c>
      <c r="BW389" s="197" t="e">
        <f t="shared" si="140"/>
        <v>#REF!</v>
      </c>
      <c r="BX389" s="198" t="e">
        <f>IF(AND(State_LOB_Code=18,LEFT(BW389,4)&lt;"2009"),81,State_LOB_Code)&amp;"|338"</f>
        <v>#REF!</v>
      </c>
      <c r="BY389" s="215"/>
      <c r="BZ389" s="216"/>
      <c r="CD389" s="163"/>
      <c r="CE389" s="363"/>
      <c r="CF389" s="335"/>
      <c r="CG389" s="335"/>
      <c r="CH389" s="335"/>
      <c r="CI389" s="335"/>
      <c r="CJ389" s="335"/>
      <c r="CK389" s="335"/>
      <c r="CL389" s="335"/>
      <c r="CM389" s="335"/>
      <c r="CN389" s="335"/>
      <c r="CO389" s="335"/>
      <c r="CP389" s="335"/>
      <c r="CQ389" s="335"/>
      <c r="CR389" s="335"/>
      <c r="CS389" s="335"/>
      <c r="CT389" s="335"/>
      <c r="CU389" s="335"/>
      <c r="CV389" s="335"/>
      <c r="CW389" s="335"/>
      <c r="CX389" s="335"/>
      <c r="CY389" s="335"/>
      <c r="CZ389" s="335"/>
      <c r="DA389" s="335"/>
      <c r="DB389" s="335"/>
      <c r="DC389" s="335"/>
      <c r="DD389" s="335"/>
      <c r="DE389" s="335"/>
      <c r="DF389" s="335"/>
      <c r="DG389" s="335"/>
      <c r="DH389" s="335"/>
      <c r="DI389" s="335"/>
      <c r="DJ389" s="335"/>
      <c r="DK389" s="335"/>
      <c r="DL389" s="335"/>
      <c r="DM389" s="335"/>
      <c r="DN389" s="335"/>
      <c r="DO389" s="335"/>
      <c r="DP389" s="335"/>
      <c r="DQ389" s="335"/>
      <c r="DR389" s="335"/>
      <c r="DS389" s="335"/>
      <c r="DT389" s="335"/>
      <c r="DU389" s="335"/>
      <c r="DV389" s="335"/>
      <c r="DW389" s="335"/>
      <c r="DX389" s="335"/>
      <c r="DY389" s="335"/>
      <c r="DZ389" s="335"/>
      <c r="EA389" s="335"/>
      <c r="EB389" s="335"/>
      <c r="EC389" s="335"/>
      <c r="ED389" s="335"/>
      <c r="EE389" s="335"/>
      <c r="EF389" s="335"/>
      <c r="EG389" s="335"/>
      <c r="EH389" s="335"/>
      <c r="EI389" s="335"/>
      <c r="EJ389" s="335"/>
      <c r="EK389" s="335"/>
      <c r="EL389" s="335"/>
      <c r="EM389" s="335"/>
    </row>
    <row r="390" spans="72:143">
      <c r="BT390" s="187"/>
      <c r="BU390" s="187" t="s">
        <v>52</v>
      </c>
      <c r="BV390" s="196">
        <v>120034</v>
      </c>
      <c r="BW390" s="197" t="e">
        <f t="shared" si="140"/>
        <v>#REF!</v>
      </c>
      <c r="BX390" s="198" t="e">
        <f>IF(AND(State_LOB_Code=18,LEFT(BW390,4)&lt;"2009"),81,State_LOB_Code)&amp;"|339"</f>
        <v>#REF!</v>
      </c>
      <c r="BY390" s="215"/>
      <c r="BZ390" s="216"/>
      <c r="CD390" s="163"/>
      <c r="CE390" s="363"/>
      <c r="CF390" s="335"/>
      <c r="CG390" s="335"/>
      <c r="CH390" s="335"/>
      <c r="CI390" s="335"/>
      <c r="CJ390" s="335"/>
      <c r="CK390" s="335"/>
      <c r="CL390" s="335"/>
      <c r="CM390" s="335"/>
      <c r="CN390" s="335"/>
      <c r="CO390" s="335"/>
      <c r="CP390" s="335"/>
      <c r="CQ390" s="335"/>
      <c r="CR390" s="335"/>
      <c r="CS390" s="335"/>
      <c r="CT390" s="335"/>
      <c r="CU390" s="335"/>
      <c r="CV390" s="335"/>
      <c r="CW390" s="335"/>
      <c r="CX390" s="335"/>
      <c r="CY390" s="335"/>
      <c r="CZ390" s="335"/>
      <c r="DA390" s="335"/>
      <c r="DB390" s="335"/>
      <c r="DC390" s="335"/>
      <c r="DD390" s="335"/>
      <c r="DE390" s="335"/>
      <c r="DF390" s="335"/>
      <c r="DG390" s="335"/>
      <c r="DH390" s="335"/>
      <c r="DI390" s="335"/>
      <c r="DJ390" s="335"/>
      <c r="DK390" s="335"/>
      <c r="DL390" s="335"/>
      <c r="DM390" s="335"/>
      <c r="DN390" s="335"/>
      <c r="DO390" s="335"/>
      <c r="DP390" s="335"/>
      <c r="DQ390" s="335"/>
      <c r="DR390" s="335"/>
      <c r="DS390" s="335"/>
      <c r="DT390" s="335"/>
      <c r="DU390" s="335"/>
      <c r="DV390" s="335"/>
      <c r="DW390" s="335"/>
      <c r="DX390" s="335"/>
      <c r="DY390" s="335"/>
      <c r="DZ390" s="335"/>
      <c r="EA390" s="335"/>
      <c r="EB390" s="335"/>
      <c r="EC390" s="335"/>
      <c r="ED390" s="335"/>
      <c r="EE390" s="335"/>
      <c r="EF390" s="335"/>
      <c r="EG390" s="335"/>
      <c r="EH390" s="335"/>
      <c r="EI390" s="335"/>
      <c r="EJ390" s="335"/>
      <c r="EK390" s="335"/>
      <c r="EL390" s="335"/>
      <c r="EM390" s="335"/>
    </row>
    <row r="391" spans="72:143">
      <c r="BT391" s="187"/>
      <c r="BU391" s="187" t="s">
        <v>53</v>
      </c>
      <c r="BV391" s="196">
        <v>120034</v>
      </c>
      <c r="BW391" s="197" t="e">
        <f t="shared" si="140"/>
        <v>#REF!</v>
      </c>
      <c r="BX391" s="198" t="e">
        <f>IF(AND(State_LOB_Code=18,LEFT(BW391,4)&lt;"2009"),81,State_LOB_Code)&amp;"|340"</f>
        <v>#REF!</v>
      </c>
      <c r="BY391" s="215"/>
      <c r="BZ391" s="216"/>
      <c r="CD391" s="163"/>
      <c r="CE391" s="363"/>
      <c r="CF391" s="335"/>
      <c r="CG391" s="335"/>
      <c r="CH391" s="335"/>
      <c r="CI391" s="335"/>
      <c r="CJ391" s="335"/>
      <c r="CK391" s="335"/>
      <c r="CL391" s="335"/>
      <c r="CM391" s="335"/>
      <c r="CN391" s="335"/>
      <c r="CO391" s="335"/>
      <c r="CP391" s="335"/>
      <c r="CQ391" s="335"/>
      <c r="CR391" s="335"/>
      <c r="CS391" s="335"/>
      <c r="CT391" s="335"/>
      <c r="CU391" s="335"/>
      <c r="CV391" s="335"/>
      <c r="CW391" s="335"/>
      <c r="CX391" s="335"/>
      <c r="CY391" s="335"/>
      <c r="CZ391" s="335"/>
      <c r="DA391" s="335"/>
      <c r="DB391" s="335"/>
      <c r="DC391" s="335"/>
      <c r="DD391" s="335"/>
      <c r="DE391" s="335"/>
      <c r="DF391" s="335"/>
      <c r="DG391" s="335"/>
      <c r="DH391" s="335"/>
      <c r="DI391" s="335"/>
      <c r="DJ391" s="335"/>
      <c r="DK391" s="335"/>
      <c r="DL391" s="335"/>
      <c r="DM391" s="335"/>
      <c r="DN391" s="335"/>
      <c r="DO391" s="335"/>
      <c r="DP391" s="335"/>
      <c r="DQ391" s="335"/>
      <c r="DR391" s="335"/>
      <c r="DS391" s="335"/>
      <c r="DT391" s="335"/>
      <c r="DU391" s="335"/>
      <c r="DV391" s="335"/>
      <c r="DW391" s="335"/>
      <c r="DX391" s="335"/>
      <c r="DY391" s="335"/>
      <c r="DZ391" s="335"/>
      <c r="EA391" s="335"/>
      <c r="EB391" s="335"/>
      <c r="EC391" s="335"/>
      <c r="ED391" s="335"/>
      <c r="EE391" s="335"/>
      <c r="EF391" s="335"/>
      <c r="EG391" s="335"/>
      <c r="EH391" s="335"/>
      <c r="EI391" s="335"/>
      <c r="EJ391" s="335"/>
      <c r="EK391" s="335"/>
      <c r="EL391" s="335"/>
      <c r="EM391" s="335"/>
    </row>
    <row r="392" spans="72:143">
      <c r="BT392" s="187"/>
      <c r="BU392" s="187" t="s">
        <v>54</v>
      </c>
      <c r="BV392" s="196">
        <v>120034</v>
      </c>
      <c r="BW392" s="197" t="e">
        <f t="shared" si="140"/>
        <v>#REF!</v>
      </c>
      <c r="BX392" s="198" t="e">
        <f>IF(AND(State_LOB_Code=18,LEFT(BW392,4)&lt;"2009"),81,State_LOB_Code)&amp;"|341"</f>
        <v>#REF!</v>
      </c>
      <c r="BY392" s="215"/>
      <c r="BZ392" s="216"/>
      <c r="CD392" s="163"/>
      <c r="CE392" s="363"/>
      <c r="CF392" s="335"/>
      <c r="CG392" s="335"/>
      <c r="CH392" s="335"/>
      <c r="CI392" s="335"/>
      <c r="CJ392" s="335"/>
      <c r="CK392" s="335"/>
      <c r="CL392" s="335"/>
      <c r="CM392" s="335"/>
      <c r="CN392" s="335"/>
      <c r="CO392" s="335"/>
      <c r="CP392" s="335"/>
      <c r="CQ392" s="335"/>
      <c r="CR392" s="335"/>
      <c r="CS392" s="335"/>
      <c r="CT392" s="335"/>
      <c r="CU392" s="335"/>
      <c r="CV392" s="335"/>
      <c r="CW392" s="335"/>
      <c r="CX392" s="335"/>
      <c r="CY392" s="335"/>
      <c r="CZ392" s="335"/>
      <c r="DA392" s="335"/>
      <c r="DB392" s="335"/>
      <c r="DC392" s="335"/>
      <c r="DD392" s="335"/>
      <c r="DE392" s="335"/>
      <c r="DF392" s="335"/>
      <c r="DG392" s="335"/>
      <c r="DH392" s="335"/>
      <c r="DI392" s="335"/>
      <c r="DJ392" s="335"/>
      <c r="DK392" s="335"/>
      <c r="DL392" s="335"/>
      <c r="DM392" s="335"/>
      <c r="DN392" s="335"/>
      <c r="DO392" s="335"/>
      <c r="DP392" s="335"/>
      <c r="DQ392" s="335"/>
      <c r="DR392" s="335"/>
      <c r="DS392" s="335"/>
      <c r="DT392" s="335"/>
      <c r="DU392" s="335"/>
      <c r="DV392" s="335"/>
      <c r="DW392" s="335"/>
      <c r="DX392" s="335"/>
      <c r="DY392" s="335"/>
      <c r="DZ392" s="335"/>
      <c r="EA392" s="335"/>
      <c r="EB392" s="335"/>
      <c r="EC392" s="335"/>
      <c r="ED392" s="335"/>
      <c r="EE392" s="335"/>
      <c r="EF392" s="335"/>
      <c r="EG392" s="335"/>
      <c r="EH392" s="335"/>
      <c r="EI392" s="335"/>
      <c r="EJ392" s="335"/>
      <c r="EK392" s="335"/>
      <c r="EL392" s="335"/>
      <c r="EM392" s="335"/>
    </row>
    <row r="393" spans="72:143">
      <c r="BT393" s="187"/>
      <c r="BU393" s="187" t="s">
        <v>55</v>
      </c>
      <c r="BV393" s="196">
        <v>120034</v>
      </c>
      <c r="BW393" s="197" t="e">
        <f t="shared" si="140"/>
        <v>#REF!</v>
      </c>
      <c r="BX393" s="198" t="e">
        <f>IF(AND(State_LOB_Code=18,LEFT(BW393,4)&lt;"2009"),81,State_LOB_Code)&amp;"|342"</f>
        <v>#REF!</v>
      </c>
      <c r="BY393" s="215"/>
      <c r="BZ393" s="216"/>
      <c r="CD393" s="163"/>
      <c r="CE393" s="363"/>
      <c r="CF393" s="335"/>
      <c r="CG393" s="335"/>
      <c r="CH393" s="335"/>
      <c r="CI393" s="335"/>
      <c r="CJ393" s="335"/>
      <c r="CK393" s="335"/>
      <c r="CL393" s="335"/>
      <c r="CM393" s="335"/>
      <c r="CN393" s="335"/>
      <c r="CO393" s="335"/>
      <c r="CP393" s="335"/>
      <c r="CQ393" s="335"/>
      <c r="CR393" s="335"/>
      <c r="CS393" s="335"/>
      <c r="CT393" s="335"/>
      <c r="CU393" s="335"/>
      <c r="CV393" s="335"/>
      <c r="CW393" s="335"/>
      <c r="CX393" s="335"/>
      <c r="CY393" s="335"/>
      <c r="CZ393" s="335"/>
      <c r="DA393" s="335"/>
      <c r="DB393" s="335"/>
      <c r="DC393" s="335"/>
      <c r="DD393" s="335"/>
      <c r="DE393" s="335"/>
      <c r="DF393" s="335"/>
      <c r="DG393" s="335"/>
      <c r="DH393" s="335"/>
      <c r="DI393" s="335"/>
      <c r="DJ393" s="335"/>
      <c r="DK393" s="335"/>
      <c r="DL393" s="335"/>
      <c r="DM393" s="335"/>
      <c r="DN393" s="335"/>
      <c r="DO393" s="335"/>
      <c r="DP393" s="335"/>
      <c r="DQ393" s="335"/>
      <c r="DR393" s="335"/>
      <c r="DS393" s="335"/>
      <c r="DT393" s="335"/>
      <c r="DU393" s="335"/>
      <c r="DV393" s="335"/>
      <c r="DW393" s="335"/>
      <c r="DX393" s="335"/>
      <c r="DY393" s="335"/>
      <c r="DZ393" s="335"/>
      <c r="EA393" s="335"/>
      <c r="EB393" s="335"/>
      <c r="EC393" s="335"/>
      <c r="ED393" s="335"/>
      <c r="EE393" s="335"/>
      <c r="EF393" s="335"/>
      <c r="EG393" s="335"/>
      <c r="EH393" s="335"/>
      <c r="EI393" s="335"/>
      <c r="EJ393" s="335"/>
      <c r="EK393" s="335"/>
      <c r="EL393" s="335"/>
      <c r="EM393" s="335"/>
    </row>
    <row r="394" spans="72:143">
      <c r="BT394" s="187"/>
      <c r="BU394" s="187" t="s">
        <v>56</v>
      </c>
      <c r="BV394" s="196">
        <v>120034</v>
      </c>
      <c r="BW394" s="197" t="e">
        <f t="shared" si="140"/>
        <v>#REF!</v>
      </c>
      <c r="BX394" s="198" t="e">
        <f>IF(AND(State_LOB_Code=18,LEFT(BW394,4)&lt;"2009"),81,State_LOB_Code)&amp;"|343"</f>
        <v>#REF!</v>
      </c>
      <c r="BY394" s="215"/>
      <c r="BZ394" s="216"/>
      <c r="CD394" s="163"/>
      <c r="CE394" s="363"/>
      <c r="CF394" s="335"/>
      <c r="CG394" s="335"/>
      <c r="CH394" s="335"/>
      <c r="CI394" s="335"/>
      <c r="CJ394" s="335"/>
      <c r="CK394" s="335"/>
      <c r="CL394" s="335"/>
      <c r="CM394" s="335"/>
      <c r="CN394" s="335"/>
      <c r="CO394" s="335"/>
      <c r="CP394" s="335"/>
      <c r="CQ394" s="335"/>
      <c r="CR394" s="335"/>
      <c r="CS394" s="335"/>
      <c r="CT394" s="335"/>
      <c r="CU394" s="335"/>
      <c r="CV394" s="335"/>
      <c r="CW394" s="335"/>
      <c r="CX394" s="335"/>
      <c r="CY394" s="335"/>
      <c r="CZ394" s="335"/>
      <c r="DA394" s="335"/>
      <c r="DB394" s="335"/>
      <c r="DC394" s="335"/>
      <c r="DD394" s="335"/>
      <c r="DE394" s="335"/>
      <c r="DF394" s="335"/>
      <c r="DG394" s="335"/>
      <c r="DH394" s="335"/>
      <c r="DI394" s="335"/>
      <c r="DJ394" s="335"/>
      <c r="DK394" s="335"/>
      <c r="DL394" s="335"/>
      <c r="DM394" s="335"/>
      <c r="DN394" s="335"/>
      <c r="DO394" s="335"/>
      <c r="DP394" s="335"/>
      <c r="DQ394" s="335"/>
      <c r="DR394" s="335"/>
      <c r="DS394" s="335"/>
      <c r="DT394" s="335"/>
      <c r="DU394" s="335"/>
      <c r="DV394" s="335"/>
      <c r="DW394" s="335"/>
      <c r="DX394" s="335"/>
      <c r="DY394" s="335"/>
      <c r="DZ394" s="335"/>
      <c r="EA394" s="335"/>
      <c r="EB394" s="335"/>
      <c r="EC394" s="335"/>
      <c r="ED394" s="335"/>
      <c r="EE394" s="335"/>
      <c r="EF394" s="335"/>
      <c r="EG394" s="335"/>
      <c r="EH394" s="335"/>
      <c r="EI394" s="335"/>
      <c r="EJ394" s="335"/>
      <c r="EK394" s="335"/>
      <c r="EL394" s="335"/>
      <c r="EM394" s="335"/>
    </row>
    <row r="395" spans="72:143">
      <c r="BT395" s="187"/>
      <c r="BU395" s="187" t="s">
        <v>57</v>
      </c>
      <c r="BV395" s="196">
        <v>120034</v>
      </c>
      <c r="BW395" s="197" t="e">
        <f t="shared" si="140"/>
        <v>#REF!</v>
      </c>
      <c r="BX395" s="198" t="e">
        <f>IF(AND(State_LOB_Code=18,LEFT(BW395,4)&lt;"2009"),81,State_LOB_Code)&amp;"|344"</f>
        <v>#REF!</v>
      </c>
      <c r="BY395" s="215"/>
      <c r="BZ395" s="216"/>
      <c r="CD395" s="163"/>
      <c r="CE395" s="363"/>
      <c r="CF395" s="335"/>
      <c r="CG395" s="335"/>
      <c r="CH395" s="335"/>
      <c r="CI395" s="335"/>
      <c r="CJ395" s="335"/>
      <c r="CK395" s="335"/>
      <c r="CL395" s="335"/>
      <c r="CM395" s="335"/>
      <c r="CN395" s="335"/>
      <c r="CO395" s="335"/>
      <c r="CP395" s="335"/>
      <c r="CQ395" s="335"/>
      <c r="CR395" s="335"/>
      <c r="CS395" s="335"/>
      <c r="CT395" s="335"/>
      <c r="CU395" s="335"/>
      <c r="CV395" s="335"/>
      <c r="CW395" s="335"/>
      <c r="CX395" s="335"/>
      <c r="CY395" s="335"/>
      <c r="CZ395" s="335"/>
      <c r="DA395" s="335"/>
      <c r="DB395" s="335"/>
      <c r="DC395" s="335"/>
      <c r="DD395" s="335"/>
      <c r="DE395" s="335"/>
      <c r="DF395" s="335"/>
      <c r="DG395" s="335"/>
      <c r="DH395" s="335"/>
      <c r="DI395" s="335"/>
      <c r="DJ395" s="335"/>
      <c r="DK395" s="335"/>
      <c r="DL395" s="335"/>
      <c r="DM395" s="335"/>
      <c r="DN395" s="335"/>
      <c r="DO395" s="335"/>
      <c r="DP395" s="335"/>
      <c r="DQ395" s="335"/>
      <c r="DR395" s="335"/>
      <c r="DS395" s="335"/>
      <c r="DT395" s="335"/>
      <c r="DU395" s="335"/>
      <c r="DV395" s="335"/>
      <c r="DW395" s="335"/>
      <c r="DX395" s="335"/>
      <c r="DY395" s="335"/>
      <c r="DZ395" s="335"/>
      <c r="EA395" s="335"/>
      <c r="EB395" s="335"/>
      <c r="EC395" s="335"/>
      <c r="ED395" s="335"/>
      <c r="EE395" s="335"/>
      <c r="EF395" s="335"/>
      <c r="EG395" s="335"/>
      <c r="EH395" s="335"/>
      <c r="EI395" s="335"/>
      <c r="EJ395" s="335"/>
      <c r="EK395" s="335"/>
      <c r="EL395" s="335"/>
      <c r="EM395" s="335"/>
    </row>
    <row r="396" spans="72:143">
      <c r="BT396" s="187"/>
      <c r="BU396" s="187" t="s">
        <v>58</v>
      </c>
      <c r="BV396" s="196">
        <v>120034</v>
      </c>
      <c r="BW396" s="197" t="e">
        <f t="shared" si="140"/>
        <v>#REF!</v>
      </c>
      <c r="BX396" s="198" t="e">
        <f>IF(AND(State_LOB_Code=18,LEFT(BW396,4)&lt;"2009"),81,State_LOB_Code)&amp;"|346"</f>
        <v>#REF!</v>
      </c>
      <c r="BY396" s="215"/>
      <c r="BZ396" s="216"/>
      <c r="CD396" s="163"/>
      <c r="CE396" s="363"/>
      <c r="CF396" s="335"/>
      <c r="CG396" s="335"/>
      <c r="CH396" s="335"/>
      <c r="CI396" s="335"/>
      <c r="CJ396" s="335"/>
      <c r="CK396" s="335"/>
      <c r="CL396" s="335"/>
      <c r="CM396" s="335"/>
      <c r="CN396" s="335"/>
      <c r="CO396" s="335"/>
      <c r="CP396" s="335"/>
      <c r="CQ396" s="335"/>
      <c r="CR396" s="335"/>
      <c r="CS396" s="335"/>
      <c r="CT396" s="335"/>
      <c r="CU396" s="335"/>
      <c r="CV396" s="335"/>
      <c r="CW396" s="335"/>
      <c r="CX396" s="335"/>
      <c r="CY396" s="335"/>
      <c r="CZ396" s="335"/>
      <c r="DA396" s="335"/>
      <c r="DB396" s="335"/>
      <c r="DC396" s="335"/>
      <c r="DD396" s="335"/>
      <c r="DE396" s="335"/>
      <c r="DF396" s="335"/>
      <c r="DG396" s="335"/>
      <c r="DH396" s="335"/>
      <c r="DI396" s="335"/>
      <c r="DJ396" s="335"/>
      <c r="DK396" s="335"/>
      <c r="DL396" s="335"/>
      <c r="DM396" s="335"/>
      <c r="DN396" s="335"/>
      <c r="DO396" s="335"/>
      <c r="DP396" s="335"/>
      <c r="DQ396" s="335"/>
      <c r="DR396" s="335"/>
      <c r="DS396" s="335"/>
      <c r="DT396" s="335"/>
      <c r="DU396" s="335"/>
      <c r="DV396" s="335"/>
      <c r="DW396" s="335"/>
      <c r="DX396" s="335"/>
      <c r="DY396" s="335"/>
      <c r="DZ396" s="335"/>
      <c r="EA396" s="335"/>
      <c r="EB396" s="335"/>
      <c r="EC396" s="335"/>
      <c r="ED396" s="335"/>
      <c r="EE396" s="335"/>
      <c r="EF396" s="335"/>
      <c r="EG396" s="335"/>
      <c r="EH396" s="335"/>
      <c r="EI396" s="335"/>
      <c r="EJ396" s="335"/>
      <c r="EK396" s="335"/>
      <c r="EL396" s="335"/>
      <c r="EM396" s="335"/>
    </row>
    <row r="397" spans="72:143">
      <c r="BT397" s="187"/>
      <c r="BU397" s="187" t="s">
        <v>59</v>
      </c>
      <c r="BV397" s="196">
        <v>120034</v>
      </c>
      <c r="BW397" s="197" t="e">
        <f t="shared" si="140"/>
        <v>#REF!</v>
      </c>
      <c r="BX397" s="198" t="e">
        <f>IF(AND(State_LOB_Code=18,LEFT(BW397,4)&lt;"2009"),81,State_LOB_Code)&amp;"|347"</f>
        <v>#REF!</v>
      </c>
      <c r="BY397" s="215"/>
      <c r="BZ397" s="216"/>
      <c r="CD397" s="163"/>
      <c r="CE397" s="363"/>
      <c r="CF397" s="335"/>
      <c r="CG397" s="335"/>
      <c r="CH397" s="335"/>
      <c r="CI397" s="335"/>
      <c r="CJ397" s="335"/>
      <c r="CK397" s="335"/>
      <c r="CL397" s="335"/>
      <c r="CM397" s="335"/>
      <c r="CN397" s="335"/>
      <c r="CO397" s="335"/>
      <c r="CP397" s="335"/>
      <c r="CQ397" s="335"/>
      <c r="CR397" s="335"/>
      <c r="CS397" s="335"/>
      <c r="CT397" s="335"/>
      <c r="CU397" s="335"/>
      <c r="CV397" s="335"/>
      <c r="CW397" s="335"/>
      <c r="CX397" s="335"/>
      <c r="CY397" s="335"/>
      <c r="CZ397" s="335"/>
      <c r="DA397" s="335"/>
      <c r="DB397" s="335"/>
      <c r="DC397" s="335"/>
      <c r="DD397" s="335"/>
      <c r="DE397" s="335"/>
      <c r="DF397" s="335"/>
      <c r="DG397" s="335"/>
      <c r="DH397" s="335"/>
      <c r="DI397" s="335"/>
      <c r="DJ397" s="335"/>
      <c r="DK397" s="335"/>
      <c r="DL397" s="335"/>
      <c r="DM397" s="335"/>
      <c r="DN397" s="335"/>
      <c r="DO397" s="335"/>
      <c r="DP397" s="335"/>
      <c r="DQ397" s="335"/>
      <c r="DR397" s="335"/>
      <c r="DS397" s="335"/>
      <c r="DT397" s="335"/>
      <c r="DU397" s="335"/>
      <c r="DV397" s="335"/>
      <c r="DW397" s="335"/>
      <c r="DX397" s="335"/>
      <c r="DY397" s="335"/>
      <c r="DZ397" s="335"/>
      <c r="EA397" s="335"/>
      <c r="EB397" s="335"/>
      <c r="EC397" s="335"/>
      <c r="ED397" s="335"/>
      <c r="EE397" s="335"/>
      <c r="EF397" s="335"/>
      <c r="EG397" s="335"/>
      <c r="EH397" s="335"/>
      <c r="EI397" s="335"/>
      <c r="EJ397" s="335"/>
      <c r="EK397" s="335"/>
      <c r="EL397" s="335"/>
      <c r="EM397" s="335"/>
    </row>
    <row r="398" spans="72:143">
      <c r="BT398" s="187"/>
      <c r="BU398" s="187" t="s">
        <v>60</v>
      </c>
      <c r="BV398" s="196">
        <v>120034</v>
      </c>
      <c r="BW398" s="197" t="e">
        <f t="shared" si="140"/>
        <v>#REF!</v>
      </c>
      <c r="BX398" s="198" t="e">
        <f>IF(AND(State_LOB_Code=18,LEFT(BW398,4)&lt;"2009"),81,State_LOB_Code)&amp;"|348"</f>
        <v>#REF!</v>
      </c>
      <c r="BY398" s="215"/>
      <c r="BZ398" s="216"/>
      <c r="CD398" s="163"/>
      <c r="CE398" s="363"/>
      <c r="CF398" s="335"/>
      <c r="CG398" s="335"/>
      <c r="CH398" s="335"/>
      <c r="CI398" s="335"/>
      <c r="CJ398" s="335"/>
      <c r="CK398" s="335"/>
      <c r="CL398" s="335"/>
      <c r="CM398" s="335"/>
      <c r="CN398" s="335"/>
      <c r="CO398" s="335"/>
      <c r="CP398" s="335"/>
      <c r="CQ398" s="335"/>
      <c r="CR398" s="335"/>
      <c r="CS398" s="335"/>
      <c r="CT398" s="335"/>
      <c r="CU398" s="335"/>
      <c r="CV398" s="335"/>
      <c r="CW398" s="335"/>
      <c r="CX398" s="335"/>
      <c r="CY398" s="335"/>
      <c r="CZ398" s="335"/>
      <c r="DA398" s="335"/>
      <c r="DB398" s="335"/>
      <c r="DC398" s="335"/>
      <c r="DD398" s="335"/>
      <c r="DE398" s="335"/>
      <c r="DF398" s="335"/>
      <c r="DG398" s="335"/>
      <c r="DH398" s="335"/>
      <c r="DI398" s="335"/>
      <c r="DJ398" s="335"/>
      <c r="DK398" s="335"/>
      <c r="DL398" s="335"/>
      <c r="DM398" s="335"/>
      <c r="DN398" s="335"/>
      <c r="DO398" s="335"/>
      <c r="DP398" s="335"/>
      <c r="DQ398" s="335"/>
      <c r="DR398" s="335"/>
      <c r="DS398" s="335"/>
      <c r="DT398" s="335"/>
      <c r="DU398" s="335"/>
      <c r="DV398" s="335"/>
      <c r="DW398" s="335"/>
      <c r="DX398" s="335"/>
      <c r="DY398" s="335"/>
      <c r="DZ398" s="335"/>
      <c r="EA398" s="335"/>
      <c r="EB398" s="335"/>
      <c r="EC398" s="335"/>
      <c r="ED398" s="335"/>
      <c r="EE398" s="335"/>
      <c r="EF398" s="335"/>
      <c r="EG398" s="335"/>
      <c r="EH398" s="335"/>
      <c r="EI398" s="335"/>
      <c r="EJ398" s="335"/>
      <c r="EK398" s="335"/>
      <c r="EL398" s="335"/>
      <c r="EM398" s="335"/>
    </row>
    <row r="399" spans="72:143">
      <c r="BT399" s="187"/>
      <c r="BU399" s="187" t="s">
        <v>61</v>
      </c>
      <c r="BV399" s="196">
        <v>120034</v>
      </c>
      <c r="BW399" s="197" t="e">
        <f t="shared" si="140"/>
        <v>#REF!</v>
      </c>
      <c r="BX399" s="198" t="e">
        <f>IF(AND(State_LOB_Code=18,LEFT(BW399,4)&lt;"2009"),81,State_LOB_Code)&amp;"|349"</f>
        <v>#REF!</v>
      </c>
      <c r="BY399" s="215"/>
      <c r="BZ399" s="216"/>
      <c r="CD399" s="163"/>
      <c r="CE399" s="363"/>
      <c r="CF399" s="335"/>
      <c r="CG399" s="335"/>
      <c r="CH399" s="335"/>
      <c r="CI399" s="335"/>
      <c r="CJ399" s="335"/>
      <c r="CK399" s="335"/>
      <c r="CL399" s="335"/>
      <c r="CM399" s="335"/>
      <c r="CN399" s="335"/>
      <c r="CO399" s="335"/>
      <c r="CP399" s="335"/>
      <c r="CQ399" s="335"/>
      <c r="CR399" s="335"/>
      <c r="CS399" s="335"/>
      <c r="CT399" s="335"/>
      <c r="CU399" s="335"/>
      <c r="CV399" s="335"/>
      <c r="CW399" s="335"/>
      <c r="CX399" s="335"/>
      <c r="CY399" s="335"/>
      <c r="CZ399" s="335"/>
      <c r="DA399" s="335"/>
      <c r="DB399" s="335"/>
      <c r="DC399" s="335"/>
      <c r="DD399" s="335"/>
      <c r="DE399" s="335"/>
      <c r="DF399" s="335"/>
      <c r="DG399" s="335"/>
      <c r="DH399" s="335"/>
      <c r="DI399" s="335"/>
      <c r="DJ399" s="335"/>
      <c r="DK399" s="335"/>
      <c r="DL399" s="335"/>
      <c r="DM399" s="335"/>
      <c r="DN399" s="335"/>
      <c r="DO399" s="335"/>
      <c r="DP399" s="335"/>
      <c r="DQ399" s="335"/>
      <c r="DR399" s="335"/>
      <c r="DS399" s="335"/>
      <c r="DT399" s="335"/>
      <c r="DU399" s="335"/>
      <c r="DV399" s="335"/>
      <c r="DW399" s="335"/>
      <c r="DX399" s="335"/>
      <c r="DY399" s="335"/>
      <c r="DZ399" s="335"/>
      <c r="EA399" s="335"/>
      <c r="EB399" s="335"/>
      <c r="EC399" s="335"/>
      <c r="ED399" s="335"/>
      <c r="EE399" s="335"/>
      <c r="EF399" s="335"/>
      <c r="EG399" s="335"/>
      <c r="EH399" s="335"/>
      <c r="EI399" s="335"/>
      <c r="EJ399" s="335"/>
      <c r="EK399" s="335"/>
      <c r="EL399" s="335"/>
      <c r="EM399" s="335"/>
    </row>
    <row r="400" spans="72:143">
      <c r="BT400" s="187"/>
      <c r="BU400" s="187" t="s">
        <v>62</v>
      </c>
      <c r="BV400" s="196">
        <v>120034</v>
      </c>
      <c r="BW400" s="197" t="e">
        <f t="shared" si="140"/>
        <v>#REF!</v>
      </c>
      <c r="BX400" s="198" t="e">
        <f>IF(AND(State_LOB_Code=18,LEFT(BW400,4)&lt;"2009"),81,State_LOB_Code)&amp;"|350"</f>
        <v>#REF!</v>
      </c>
      <c r="BY400" s="215"/>
      <c r="BZ400" s="216"/>
      <c r="CD400" s="163"/>
      <c r="CE400" s="363"/>
      <c r="CF400" s="335"/>
      <c r="CG400" s="335"/>
      <c r="CH400" s="335"/>
      <c r="CI400" s="335"/>
      <c r="CJ400" s="335"/>
      <c r="CK400" s="335"/>
      <c r="CL400" s="335"/>
      <c r="CM400" s="335"/>
      <c r="CN400" s="335"/>
      <c r="CO400" s="335"/>
      <c r="CP400" s="335"/>
      <c r="CQ400" s="335"/>
      <c r="CR400" s="335"/>
      <c r="CS400" s="335"/>
      <c r="CT400" s="335"/>
      <c r="CU400" s="335"/>
      <c r="CV400" s="335"/>
      <c r="CW400" s="335"/>
      <c r="CX400" s="335"/>
      <c r="CY400" s="335"/>
      <c r="CZ400" s="335"/>
      <c r="DA400" s="335"/>
      <c r="DB400" s="335"/>
      <c r="DC400" s="335"/>
      <c r="DD400" s="335"/>
      <c r="DE400" s="335"/>
      <c r="DF400" s="335"/>
      <c r="DG400" s="335"/>
      <c r="DH400" s="335"/>
      <c r="DI400" s="335"/>
      <c r="DJ400" s="335"/>
      <c r="DK400" s="335"/>
      <c r="DL400" s="335"/>
      <c r="DM400" s="335"/>
      <c r="DN400" s="335"/>
      <c r="DO400" s="335"/>
      <c r="DP400" s="335"/>
      <c r="DQ400" s="335"/>
      <c r="DR400" s="335"/>
      <c r="DS400" s="335"/>
      <c r="DT400" s="335"/>
      <c r="DU400" s="335"/>
      <c r="DV400" s="335"/>
      <c r="DW400" s="335"/>
      <c r="DX400" s="335"/>
      <c r="DY400" s="335"/>
      <c r="DZ400" s="335"/>
      <c r="EA400" s="335"/>
      <c r="EB400" s="335"/>
      <c r="EC400" s="335"/>
      <c r="ED400" s="335"/>
      <c r="EE400" s="335"/>
      <c r="EF400" s="335"/>
      <c r="EG400" s="335"/>
      <c r="EH400" s="335"/>
      <c r="EI400" s="335"/>
      <c r="EJ400" s="335"/>
      <c r="EK400" s="335"/>
      <c r="EL400" s="335"/>
      <c r="EM400" s="335"/>
    </row>
    <row r="401" spans="72:143">
      <c r="BT401" s="187"/>
      <c r="BU401" s="187" t="s">
        <v>63</v>
      </c>
      <c r="BV401" s="196">
        <v>120034</v>
      </c>
      <c r="BW401" s="197" t="e">
        <f t="shared" si="140"/>
        <v>#REF!</v>
      </c>
      <c r="BX401" s="198" t="e">
        <f>IF(AND(State_LOB_Code=18,LEFT(BW401,4)&lt;"2009"),81,State_LOB_Code)&amp;"|351"</f>
        <v>#REF!</v>
      </c>
      <c r="BY401" s="215"/>
      <c r="BZ401" s="216"/>
      <c r="CD401" s="163"/>
      <c r="CE401" s="363"/>
      <c r="CF401" s="335"/>
      <c r="CG401" s="335"/>
      <c r="CH401" s="335"/>
      <c r="CI401" s="335"/>
      <c r="CJ401" s="335"/>
      <c r="CK401" s="335"/>
      <c r="CL401" s="335"/>
      <c r="CM401" s="335"/>
      <c r="CN401" s="335"/>
      <c r="CO401" s="335"/>
      <c r="CP401" s="335"/>
      <c r="CQ401" s="335"/>
      <c r="CR401" s="335"/>
      <c r="CS401" s="335"/>
      <c r="CT401" s="335"/>
      <c r="CU401" s="335"/>
      <c r="CV401" s="335"/>
      <c r="CW401" s="335"/>
      <c r="CX401" s="335"/>
      <c r="CY401" s="335"/>
      <c r="CZ401" s="335"/>
      <c r="DA401" s="335"/>
      <c r="DB401" s="335"/>
      <c r="DC401" s="335"/>
      <c r="DD401" s="335"/>
      <c r="DE401" s="335"/>
      <c r="DF401" s="335"/>
      <c r="DG401" s="335"/>
      <c r="DH401" s="335"/>
      <c r="DI401" s="335"/>
      <c r="DJ401" s="335"/>
      <c r="DK401" s="335"/>
      <c r="DL401" s="335"/>
      <c r="DM401" s="335"/>
      <c r="DN401" s="335"/>
      <c r="DO401" s="335"/>
      <c r="DP401" s="335"/>
      <c r="DQ401" s="335"/>
      <c r="DR401" s="335"/>
      <c r="DS401" s="335"/>
      <c r="DT401" s="335"/>
      <c r="DU401" s="335"/>
      <c r="DV401" s="335"/>
      <c r="DW401" s="335"/>
      <c r="DX401" s="335"/>
      <c r="DY401" s="335"/>
      <c r="DZ401" s="335"/>
      <c r="EA401" s="335"/>
      <c r="EB401" s="335"/>
      <c r="EC401" s="335"/>
      <c r="ED401" s="335"/>
      <c r="EE401" s="335"/>
      <c r="EF401" s="335"/>
      <c r="EG401" s="335"/>
      <c r="EH401" s="335"/>
      <c r="EI401" s="335"/>
      <c r="EJ401" s="335"/>
      <c r="EK401" s="335"/>
      <c r="EL401" s="335"/>
      <c r="EM401" s="335"/>
    </row>
    <row r="402" spans="72:143">
      <c r="BT402" s="187"/>
      <c r="BU402" s="187" t="s">
        <v>64</v>
      </c>
      <c r="BV402" s="196">
        <v>120034</v>
      </c>
      <c r="BW402" s="197" t="e">
        <f t="shared" si="140"/>
        <v>#REF!</v>
      </c>
      <c r="BX402" s="198" t="e">
        <f>IF(AND(State_LOB_Code=18,LEFT(BW402,4)&lt;"2009"),81,State_LOB_Code)&amp;"|352"</f>
        <v>#REF!</v>
      </c>
      <c r="BY402" s="215"/>
      <c r="BZ402" s="216"/>
      <c r="CD402" s="163"/>
      <c r="CE402" s="363"/>
      <c r="CF402" s="335"/>
      <c r="CG402" s="335"/>
      <c r="CH402" s="335"/>
      <c r="CI402" s="335"/>
      <c r="CJ402" s="335"/>
      <c r="CK402" s="335"/>
      <c r="CL402" s="335"/>
      <c r="CM402" s="335"/>
      <c r="CN402" s="335"/>
      <c r="CO402" s="335"/>
      <c r="CP402" s="335"/>
      <c r="CQ402" s="335"/>
      <c r="CR402" s="335"/>
      <c r="CS402" s="335"/>
      <c r="CT402" s="335"/>
      <c r="CU402" s="335"/>
      <c r="CV402" s="335"/>
      <c r="CW402" s="335"/>
      <c r="CX402" s="335"/>
      <c r="CY402" s="335"/>
      <c r="CZ402" s="335"/>
      <c r="DA402" s="335"/>
      <c r="DB402" s="335"/>
      <c r="DC402" s="335"/>
      <c r="DD402" s="335"/>
      <c r="DE402" s="335"/>
      <c r="DF402" s="335"/>
      <c r="DG402" s="335"/>
      <c r="DH402" s="335"/>
      <c r="DI402" s="335"/>
      <c r="DJ402" s="335"/>
      <c r="DK402" s="335"/>
      <c r="DL402" s="335"/>
      <c r="DM402" s="335"/>
      <c r="DN402" s="335"/>
      <c r="DO402" s="335"/>
      <c r="DP402" s="335"/>
      <c r="DQ402" s="335"/>
      <c r="DR402" s="335"/>
      <c r="DS402" s="335"/>
      <c r="DT402" s="335"/>
      <c r="DU402" s="335"/>
      <c r="DV402" s="335"/>
      <c r="DW402" s="335"/>
      <c r="DX402" s="335"/>
      <c r="DY402" s="335"/>
      <c r="DZ402" s="335"/>
      <c r="EA402" s="335"/>
      <c r="EB402" s="335"/>
      <c r="EC402" s="335"/>
      <c r="ED402" s="335"/>
      <c r="EE402" s="335"/>
      <c r="EF402" s="335"/>
      <c r="EG402" s="335"/>
      <c r="EH402" s="335"/>
      <c r="EI402" s="335"/>
      <c r="EJ402" s="335"/>
      <c r="EK402" s="335"/>
      <c r="EL402" s="335"/>
      <c r="EM402" s="335"/>
    </row>
    <row r="403" spans="72:143">
      <c r="BT403" s="187"/>
      <c r="BU403" s="187" t="s">
        <v>65</v>
      </c>
      <c r="BV403" s="196">
        <v>120034</v>
      </c>
      <c r="BW403" s="197" t="e">
        <f t="shared" si="140"/>
        <v>#REF!</v>
      </c>
      <c r="BX403" s="198" t="e">
        <f>IF(AND(State_LOB_Code=18,LEFT(BW403,4)&lt;"2009"),81,State_LOB_Code)&amp;"|353"</f>
        <v>#REF!</v>
      </c>
      <c r="BY403" s="215"/>
      <c r="BZ403" s="216"/>
      <c r="CD403" s="163"/>
      <c r="CE403" s="363"/>
      <c r="CF403" s="335"/>
      <c r="CG403" s="335"/>
      <c r="CH403" s="335"/>
      <c r="CI403" s="335"/>
      <c r="CJ403" s="335"/>
      <c r="CK403" s="335"/>
      <c r="CL403" s="335"/>
      <c r="CM403" s="335"/>
      <c r="CN403" s="335"/>
      <c r="CO403" s="335"/>
      <c r="CP403" s="335"/>
      <c r="CQ403" s="335"/>
      <c r="CR403" s="335"/>
      <c r="CS403" s="335"/>
      <c r="CT403" s="335"/>
      <c r="CU403" s="335"/>
      <c r="CV403" s="335"/>
      <c r="CW403" s="335"/>
      <c r="CX403" s="335"/>
      <c r="CY403" s="335"/>
      <c r="CZ403" s="335"/>
      <c r="DA403" s="335"/>
      <c r="DB403" s="335"/>
      <c r="DC403" s="335"/>
      <c r="DD403" s="335"/>
      <c r="DE403" s="335"/>
      <c r="DF403" s="335"/>
      <c r="DG403" s="335"/>
      <c r="DH403" s="335"/>
      <c r="DI403" s="335"/>
      <c r="DJ403" s="335"/>
      <c r="DK403" s="335"/>
      <c r="DL403" s="335"/>
      <c r="DM403" s="335"/>
      <c r="DN403" s="335"/>
      <c r="DO403" s="335"/>
      <c r="DP403" s="335"/>
      <c r="DQ403" s="335"/>
      <c r="DR403" s="335"/>
      <c r="DS403" s="335"/>
      <c r="DT403" s="335"/>
      <c r="DU403" s="335"/>
      <c r="DV403" s="335"/>
      <c r="DW403" s="335"/>
      <c r="DX403" s="335"/>
      <c r="DY403" s="335"/>
      <c r="DZ403" s="335"/>
      <c r="EA403" s="335"/>
      <c r="EB403" s="335"/>
      <c r="EC403" s="335"/>
      <c r="ED403" s="335"/>
      <c r="EE403" s="335"/>
      <c r="EF403" s="335"/>
      <c r="EG403" s="335"/>
      <c r="EH403" s="335"/>
      <c r="EI403" s="335"/>
      <c r="EJ403" s="335"/>
      <c r="EK403" s="335"/>
      <c r="EL403" s="335"/>
      <c r="EM403" s="335"/>
    </row>
    <row r="404" spans="72:143">
      <c r="BT404" s="187"/>
      <c r="BU404" s="187" t="s">
        <v>66</v>
      </c>
      <c r="BV404" s="196">
        <v>120034</v>
      </c>
      <c r="BW404" s="197" t="e">
        <f t="shared" si="140"/>
        <v>#REF!</v>
      </c>
      <c r="BX404" s="198" t="e">
        <f>IF(AND(State_LOB_Code=18,LEFT(BW404,4)&lt;"2009"),81,State_LOB_Code)&amp;"|354"</f>
        <v>#REF!</v>
      </c>
      <c r="BY404" s="215"/>
      <c r="BZ404" s="216"/>
      <c r="CD404" s="163"/>
      <c r="CE404" s="363"/>
      <c r="CF404" s="335"/>
      <c r="CG404" s="335"/>
      <c r="CH404" s="335"/>
      <c r="CI404" s="335"/>
      <c r="CJ404" s="335"/>
      <c r="CK404" s="335"/>
      <c r="CL404" s="335"/>
      <c r="CM404" s="335"/>
      <c r="CN404" s="335"/>
      <c r="CO404" s="335"/>
      <c r="CP404" s="335"/>
      <c r="CQ404" s="335"/>
      <c r="CR404" s="335"/>
      <c r="CS404" s="335"/>
      <c r="CT404" s="335"/>
      <c r="CU404" s="335"/>
      <c r="CV404" s="335"/>
      <c r="CW404" s="335"/>
      <c r="CX404" s="335"/>
      <c r="CY404" s="335"/>
      <c r="CZ404" s="335"/>
      <c r="DA404" s="335"/>
      <c r="DB404" s="335"/>
      <c r="DC404" s="335"/>
      <c r="DD404" s="335"/>
      <c r="DE404" s="335"/>
      <c r="DF404" s="335"/>
      <c r="DG404" s="335"/>
      <c r="DH404" s="335"/>
      <c r="DI404" s="335"/>
      <c r="DJ404" s="335"/>
      <c r="DK404" s="335"/>
      <c r="DL404" s="335"/>
      <c r="DM404" s="335"/>
      <c r="DN404" s="335"/>
      <c r="DO404" s="335"/>
      <c r="DP404" s="335"/>
      <c r="DQ404" s="335"/>
      <c r="DR404" s="335"/>
      <c r="DS404" s="335"/>
      <c r="DT404" s="335"/>
      <c r="DU404" s="335"/>
      <c r="DV404" s="335"/>
      <c r="DW404" s="335"/>
      <c r="DX404" s="335"/>
      <c r="DY404" s="335"/>
      <c r="DZ404" s="335"/>
      <c r="EA404" s="335"/>
      <c r="EB404" s="335"/>
      <c r="EC404" s="335"/>
      <c r="ED404" s="335"/>
      <c r="EE404" s="335"/>
      <c r="EF404" s="335"/>
      <c r="EG404" s="335"/>
      <c r="EH404" s="335"/>
      <c r="EI404" s="335"/>
      <c r="EJ404" s="335"/>
      <c r="EK404" s="335"/>
      <c r="EL404" s="335"/>
      <c r="EM404" s="335"/>
    </row>
    <row r="405" spans="72:143">
      <c r="BT405" s="187"/>
      <c r="BU405" s="187" t="s">
        <v>67</v>
      </c>
      <c r="BV405" s="196">
        <v>120034</v>
      </c>
      <c r="BW405" s="197" t="e">
        <f t="shared" si="140"/>
        <v>#REF!</v>
      </c>
      <c r="BX405" s="198" t="e">
        <f>IF(AND(State_LOB_Code=18,LEFT(BW405,4)&lt;"2009"),81,State_LOB_Code)&amp;"|355"</f>
        <v>#REF!</v>
      </c>
      <c r="BY405" s="215"/>
      <c r="BZ405" s="216"/>
      <c r="CD405" s="163"/>
      <c r="CE405" s="363"/>
      <c r="CF405" s="335"/>
      <c r="CG405" s="335"/>
      <c r="CH405" s="335"/>
      <c r="CI405" s="335"/>
      <c r="CJ405" s="335"/>
      <c r="CK405" s="335"/>
      <c r="CL405" s="335"/>
      <c r="CM405" s="335"/>
      <c r="CN405" s="335"/>
      <c r="CO405" s="335"/>
      <c r="CP405" s="335"/>
      <c r="CQ405" s="335"/>
      <c r="CR405" s="335"/>
      <c r="CS405" s="335"/>
      <c r="CT405" s="335"/>
      <c r="CU405" s="335"/>
      <c r="CV405" s="335"/>
      <c r="CW405" s="335"/>
      <c r="CX405" s="335"/>
      <c r="CY405" s="335"/>
      <c r="CZ405" s="335"/>
      <c r="DA405" s="335"/>
      <c r="DB405" s="335"/>
      <c r="DC405" s="335"/>
      <c r="DD405" s="335"/>
      <c r="DE405" s="335"/>
      <c r="DF405" s="335"/>
      <c r="DG405" s="335"/>
      <c r="DH405" s="335"/>
      <c r="DI405" s="335"/>
      <c r="DJ405" s="335"/>
      <c r="DK405" s="335"/>
      <c r="DL405" s="335"/>
      <c r="DM405" s="335"/>
      <c r="DN405" s="335"/>
      <c r="DO405" s="335"/>
      <c r="DP405" s="335"/>
      <c r="DQ405" s="335"/>
      <c r="DR405" s="335"/>
      <c r="DS405" s="335"/>
      <c r="DT405" s="335"/>
      <c r="DU405" s="335"/>
      <c r="DV405" s="335"/>
      <c r="DW405" s="335"/>
      <c r="DX405" s="335"/>
      <c r="DY405" s="335"/>
      <c r="DZ405" s="335"/>
      <c r="EA405" s="335"/>
      <c r="EB405" s="335"/>
      <c r="EC405" s="335"/>
      <c r="ED405" s="335"/>
      <c r="EE405" s="335"/>
      <c r="EF405" s="335"/>
      <c r="EG405" s="335"/>
      <c r="EH405" s="335"/>
      <c r="EI405" s="335"/>
      <c r="EJ405" s="335"/>
      <c r="EK405" s="335"/>
      <c r="EL405" s="335"/>
      <c r="EM405" s="335"/>
    </row>
    <row r="406" spans="72:143">
      <c r="BT406" s="187"/>
      <c r="BU406" s="187" t="s">
        <v>68</v>
      </c>
      <c r="BV406" s="196">
        <v>120034</v>
      </c>
      <c r="BW406" s="197" t="e">
        <f t="shared" si="140"/>
        <v>#REF!</v>
      </c>
      <c r="BX406" s="198" t="e">
        <f>IF(AND(State_LOB_Code=18,LEFT(BW406,4)&lt;"2009"),81,State_LOB_Code)&amp;"|356"</f>
        <v>#REF!</v>
      </c>
      <c r="BY406" s="215"/>
      <c r="BZ406" s="216"/>
      <c r="CD406" s="163"/>
      <c r="CE406" s="363"/>
      <c r="CF406" s="335"/>
      <c r="CG406" s="335"/>
      <c r="CH406" s="335"/>
      <c r="CI406" s="335"/>
      <c r="CJ406" s="335"/>
      <c r="CK406" s="335"/>
      <c r="CL406" s="335"/>
      <c r="CM406" s="335"/>
      <c r="CN406" s="335"/>
      <c r="CO406" s="335"/>
      <c r="CP406" s="335"/>
      <c r="CQ406" s="335"/>
      <c r="CR406" s="335"/>
      <c r="CS406" s="335"/>
      <c r="CT406" s="335"/>
      <c r="CU406" s="335"/>
      <c r="CV406" s="335"/>
      <c r="CW406" s="335"/>
      <c r="CX406" s="335"/>
      <c r="CY406" s="335"/>
      <c r="CZ406" s="335"/>
      <c r="DA406" s="335"/>
      <c r="DB406" s="335"/>
      <c r="DC406" s="335"/>
      <c r="DD406" s="335"/>
      <c r="DE406" s="335"/>
      <c r="DF406" s="335"/>
      <c r="DG406" s="335"/>
      <c r="DH406" s="335"/>
      <c r="DI406" s="335"/>
      <c r="DJ406" s="335"/>
      <c r="DK406" s="335"/>
      <c r="DL406" s="335"/>
      <c r="DM406" s="335"/>
      <c r="DN406" s="335"/>
      <c r="DO406" s="335"/>
      <c r="DP406" s="335"/>
      <c r="DQ406" s="335"/>
      <c r="DR406" s="335"/>
      <c r="DS406" s="335"/>
      <c r="DT406" s="335"/>
      <c r="DU406" s="335"/>
      <c r="DV406" s="335"/>
      <c r="DW406" s="335"/>
      <c r="DX406" s="335"/>
      <c r="DY406" s="335"/>
      <c r="DZ406" s="335"/>
      <c r="EA406" s="335"/>
      <c r="EB406" s="335"/>
      <c r="EC406" s="335"/>
      <c r="ED406" s="335"/>
      <c r="EE406" s="335"/>
      <c r="EF406" s="335"/>
      <c r="EG406" s="335"/>
      <c r="EH406" s="335"/>
      <c r="EI406" s="335"/>
      <c r="EJ406" s="335"/>
      <c r="EK406" s="335"/>
      <c r="EL406" s="335"/>
      <c r="EM406" s="335"/>
    </row>
    <row r="407" spans="72:143">
      <c r="BT407" s="187"/>
      <c r="BU407" s="187" t="s">
        <v>69</v>
      </c>
      <c r="BV407" s="196">
        <v>120034</v>
      </c>
      <c r="BW407" s="197" t="e">
        <f t="shared" si="140"/>
        <v>#REF!</v>
      </c>
      <c r="BX407" s="198" t="e">
        <f>IF(AND(State_LOB_Code=18,LEFT(BW407,4)&lt;"2009"),81,State_LOB_Code)&amp;"|357"</f>
        <v>#REF!</v>
      </c>
      <c r="BY407" s="215"/>
      <c r="BZ407" s="216"/>
      <c r="CD407" s="163"/>
      <c r="CE407" s="363"/>
      <c r="CF407" s="335"/>
      <c r="CG407" s="335"/>
      <c r="CH407" s="335"/>
      <c r="CI407" s="335"/>
      <c r="CJ407" s="335"/>
      <c r="CK407" s="335"/>
      <c r="CL407" s="335"/>
      <c r="CM407" s="335"/>
      <c r="CN407" s="335"/>
      <c r="CO407" s="335"/>
      <c r="CP407" s="335"/>
      <c r="CQ407" s="335"/>
      <c r="CR407" s="335"/>
      <c r="CS407" s="335"/>
      <c r="CT407" s="335"/>
      <c r="CU407" s="335"/>
      <c r="CV407" s="335"/>
      <c r="CW407" s="335"/>
      <c r="CX407" s="335"/>
      <c r="CY407" s="335"/>
      <c r="CZ407" s="335"/>
      <c r="DA407" s="335"/>
      <c r="DB407" s="335"/>
      <c r="DC407" s="335"/>
      <c r="DD407" s="335"/>
      <c r="DE407" s="335"/>
      <c r="DF407" s="335"/>
      <c r="DG407" s="335"/>
      <c r="DH407" s="335"/>
      <c r="DI407" s="335"/>
      <c r="DJ407" s="335"/>
      <c r="DK407" s="335"/>
      <c r="DL407" s="335"/>
      <c r="DM407" s="335"/>
      <c r="DN407" s="335"/>
      <c r="DO407" s="335"/>
      <c r="DP407" s="335"/>
      <c r="DQ407" s="335"/>
      <c r="DR407" s="335"/>
      <c r="DS407" s="335"/>
      <c r="DT407" s="335"/>
      <c r="DU407" s="335"/>
      <c r="DV407" s="335"/>
      <c r="DW407" s="335"/>
      <c r="DX407" s="335"/>
      <c r="DY407" s="335"/>
      <c r="DZ407" s="335"/>
      <c r="EA407" s="335"/>
      <c r="EB407" s="335"/>
      <c r="EC407" s="335"/>
      <c r="ED407" s="335"/>
      <c r="EE407" s="335"/>
      <c r="EF407" s="335"/>
      <c r="EG407" s="335"/>
      <c r="EH407" s="335"/>
      <c r="EI407" s="335"/>
      <c r="EJ407" s="335"/>
      <c r="EK407" s="335"/>
      <c r="EL407" s="335"/>
      <c r="EM407" s="335"/>
    </row>
    <row r="408" spans="72:143">
      <c r="BT408" s="187"/>
      <c r="BU408" s="187" t="s">
        <v>70</v>
      </c>
      <c r="BV408" s="196">
        <v>120034</v>
      </c>
      <c r="BW408" s="197" t="e">
        <f t="shared" si="140"/>
        <v>#REF!</v>
      </c>
      <c r="BX408" s="198" t="e">
        <f>IF(AND(State_LOB_Code=18,LEFT(BW408,4)&lt;"2009"),81,State_LOB_Code)&amp;"|358"</f>
        <v>#REF!</v>
      </c>
      <c r="BY408" s="215"/>
      <c r="BZ408" s="216"/>
      <c r="CD408" s="163"/>
      <c r="CE408" s="363"/>
      <c r="CF408" s="335"/>
      <c r="CG408" s="335"/>
      <c r="CH408" s="335"/>
      <c r="CI408" s="335"/>
      <c r="CJ408" s="335"/>
      <c r="CK408" s="335"/>
      <c r="CL408" s="335"/>
      <c r="CM408" s="335"/>
      <c r="CN408" s="335"/>
      <c r="CO408" s="335"/>
      <c r="CP408" s="335"/>
      <c r="CQ408" s="335"/>
      <c r="CR408" s="335"/>
      <c r="CS408" s="335"/>
      <c r="CT408" s="335"/>
      <c r="CU408" s="335"/>
      <c r="CV408" s="335"/>
      <c r="CW408" s="335"/>
      <c r="CX408" s="335"/>
      <c r="CY408" s="335"/>
      <c r="CZ408" s="335"/>
      <c r="DA408" s="335"/>
      <c r="DB408" s="335"/>
      <c r="DC408" s="335"/>
      <c r="DD408" s="335"/>
      <c r="DE408" s="335"/>
      <c r="DF408" s="335"/>
      <c r="DG408" s="335"/>
      <c r="DH408" s="335"/>
      <c r="DI408" s="335"/>
      <c r="DJ408" s="335"/>
      <c r="DK408" s="335"/>
      <c r="DL408" s="335"/>
      <c r="DM408" s="335"/>
      <c r="DN408" s="335"/>
      <c r="DO408" s="335"/>
      <c r="DP408" s="335"/>
      <c r="DQ408" s="335"/>
      <c r="DR408" s="335"/>
      <c r="DS408" s="335"/>
      <c r="DT408" s="335"/>
      <c r="DU408" s="335"/>
      <c r="DV408" s="335"/>
      <c r="DW408" s="335"/>
      <c r="DX408" s="335"/>
      <c r="DY408" s="335"/>
      <c r="DZ408" s="335"/>
      <c r="EA408" s="335"/>
      <c r="EB408" s="335"/>
      <c r="EC408" s="335"/>
      <c r="ED408" s="335"/>
      <c r="EE408" s="335"/>
      <c r="EF408" s="335"/>
      <c r="EG408" s="335"/>
      <c r="EH408" s="335"/>
      <c r="EI408" s="335"/>
      <c r="EJ408" s="335"/>
      <c r="EK408" s="335"/>
      <c r="EL408" s="335"/>
      <c r="EM408" s="335"/>
    </row>
    <row r="409" spans="72:143">
      <c r="BT409" s="187"/>
      <c r="BU409" s="187" t="s">
        <v>71</v>
      </c>
      <c r="BV409" s="196">
        <v>120034</v>
      </c>
      <c r="BW409" s="197" t="e">
        <f t="shared" si="140"/>
        <v>#REF!</v>
      </c>
      <c r="BX409" s="198" t="e">
        <f>IF(AND(State_LOB_Code=18,LEFT(BW409,4)&lt;"2009"),81,State_LOB_Code)&amp;"|359"</f>
        <v>#REF!</v>
      </c>
      <c r="BY409" s="215"/>
      <c r="BZ409" s="216"/>
      <c r="CD409" s="163"/>
      <c r="CE409" s="363"/>
      <c r="CF409" s="335"/>
      <c r="CG409" s="335"/>
      <c r="CH409" s="335"/>
      <c r="CI409" s="335"/>
      <c r="CJ409" s="335"/>
      <c r="CK409" s="335"/>
      <c r="CL409" s="335"/>
      <c r="CM409" s="335"/>
      <c r="CN409" s="335"/>
      <c r="CO409" s="335"/>
      <c r="CP409" s="335"/>
      <c r="CQ409" s="335"/>
      <c r="CR409" s="335"/>
      <c r="CS409" s="335"/>
      <c r="CT409" s="335"/>
      <c r="CU409" s="335"/>
      <c r="CV409" s="335"/>
      <c r="CW409" s="335"/>
      <c r="CX409" s="335"/>
      <c r="CY409" s="335"/>
      <c r="CZ409" s="335"/>
      <c r="DA409" s="335"/>
      <c r="DB409" s="335"/>
      <c r="DC409" s="335"/>
      <c r="DD409" s="335"/>
      <c r="DE409" s="335"/>
      <c r="DF409" s="335"/>
      <c r="DG409" s="335"/>
      <c r="DH409" s="335"/>
      <c r="DI409" s="335"/>
      <c r="DJ409" s="335"/>
      <c r="DK409" s="335"/>
      <c r="DL409" s="335"/>
      <c r="DM409" s="335"/>
      <c r="DN409" s="335"/>
      <c r="DO409" s="335"/>
      <c r="DP409" s="335"/>
      <c r="DQ409" s="335"/>
      <c r="DR409" s="335"/>
      <c r="DS409" s="335"/>
      <c r="DT409" s="335"/>
      <c r="DU409" s="335"/>
      <c r="DV409" s="335"/>
      <c r="DW409" s="335"/>
      <c r="DX409" s="335"/>
      <c r="DY409" s="335"/>
      <c r="DZ409" s="335"/>
      <c r="EA409" s="335"/>
      <c r="EB409" s="335"/>
      <c r="EC409" s="335"/>
      <c r="ED409" s="335"/>
      <c r="EE409" s="335"/>
      <c r="EF409" s="335"/>
      <c r="EG409" s="335"/>
      <c r="EH409" s="335"/>
      <c r="EI409" s="335"/>
      <c r="EJ409" s="335"/>
      <c r="EK409" s="335"/>
      <c r="EL409" s="335"/>
      <c r="EM409" s="335"/>
    </row>
    <row r="410" spans="72:143">
      <c r="BT410" s="187"/>
      <c r="BU410" s="187" t="s">
        <v>72</v>
      </c>
      <c r="BV410" s="196">
        <v>120034</v>
      </c>
      <c r="BW410" s="197" t="e">
        <f t="shared" si="140"/>
        <v>#REF!</v>
      </c>
      <c r="BX410" s="198" t="e">
        <f>IF(AND(State_LOB_Code=18,LEFT(BW410,4)&lt;"2009"),81,State_LOB_Code)&amp;"|361"</f>
        <v>#REF!</v>
      </c>
      <c r="BY410" s="215"/>
      <c r="BZ410" s="216"/>
      <c r="CD410" s="163"/>
      <c r="CE410" s="363"/>
      <c r="CF410" s="335"/>
      <c r="CG410" s="335"/>
      <c r="CH410" s="335"/>
      <c r="CI410" s="335"/>
      <c r="CJ410" s="335"/>
      <c r="CK410" s="335"/>
      <c r="CL410" s="335"/>
      <c r="CM410" s="335"/>
      <c r="CN410" s="335"/>
      <c r="CO410" s="335"/>
      <c r="CP410" s="335"/>
      <c r="CQ410" s="335"/>
      <c r="CR410" s="335"/>
      <c r="CS410" s="335"/>
      <c r="CT410" s="335"/>
      <c r="CU410" s="335"/>
      <c r="CV410" s="335"/>
      <c r="CW410" s="335"/>
      <c r="CX410" s="335"/>
      <c r="CY410" s="335"/>
      <c r="CZ410" s="335"/>
      <c r="DA410" s="335"/>
      <c r="DB410" s="335"/>
      <c r="DC410" s="335"/>
      <c r="DD410" s="335"/>
      <c r="DE410" s="335"/>
      <c r="DF410" s="335"/>
      <c r="DG410" s="335"/>
      <c r="DH410" s="335"/>
      <c r="DI410" s="335"/>
      <c r="DJ410" s="335"/>
      <c r="DK410" s="335"/>
      <c r="DL410" s="335"/>
      <c r="DM410" s="335"/>
      <c r="DN410" s="335"/>
      <c r="DO410" s="335"/>
      <c r="DP410" s="335"/>
      <c r="DQ410" s="335"/>
      <c r="DR410" s="335"/>
      <c r="DS410" s="335"/>
      <c r="DT410" s="335"/>
      <c r="DU410" s="335"/>
      <c r="DV410" s="335"/>
      <c r="DW410" s="335"/>
      <c r="DX410" s="335"/>
      <c r="DY410" s="335"/>
      <c r="DZ410" s="335"/>
      <c r="EA410" s="335"/>
      <c r="EB410" s="335"/>
      <c r="EC410" s="335"/>
      <c r="ED410" s="335"/>
      <c r="EE410" s="335"/>
      <c r="EF410" s="335"/>
      <c r="EG410" s="335"/>
      <c r="EH410" s="335"/>
      <c r="EI410" s="335"/>
      <c r="EJ410" s="335"/>
      <c r="EK410" s="335"/>
      <c r="EL410" s="335"/>
      <c r="EM410" s="335"/>
    </row>
    <row r="411" spans="72:143">
      <c r="BT411" s="187"/>
      <c r="BU411" s="187" t="s">
        <v>73</v>
      </c>
      <c r="BV411" s="196">
        <v>120034</v>
      </c>
      <c r="BW411" s="197" t="e">
        <f t="shared" si="140"/>
        <v>#REF!</v>
      </c>
      <c r="BX411" s="198" t="e">
        <f>IF(AND(State_LOB_Code=18,LEFT(BW411,4)&lt;"2009"),81,State_LOB_Code)&amp;"|362"</f>
        <v>#REF!</v>
      </c>
      <c r="BY411" s="215"/>
      <c r="BZ411" s="216"/>
      <c r="CD411" s="163"/>
      <c r="CE411" s="363"/>
      <c r="CF411" s="335"/>
      <c r="CG411" s="335"/>
      <c r="CH411" s="335"/>
      <c r="CI411" s="335"/>
      <c r="CJ411" s="335"/>
      <c r="CK411" s="335"/>
      <c r="CL411" s="335"/>
      <c r="CM411" s="335"/>
      <c r="CN411" s="335"/>
      <c r="CO411" s="335"/>
      <c r="CP411" s="335"/>
      <c r="CQ411" s="335"/>
      <c r="CR411" s="335"/>
      <c r="CS411" s="335"/>
      <c r="CT411" s="335"/>
      <c r="CU411" s="335"/>
      <c r="CV411" s="335"/>
      <c r="CW411" s="335"/>
      <c r="CX411" s="335"/>
      <c r="CY411" s="335"/>
      <c r="CZ411" s="335"/>
      <c r="DA411" s="335"/>
      <c r="DB411" s="335"/>
      <c r="DC411" s="335"/>
      <c r="DD411" s="335"/>
      <c r="DE411" s="335"/>
      <c r="DF411" s="335"/>
      <c r="DG411" s="335"/>
      <c r="DH411" s="335"/>
      <c r="DI411" s="335"/>
      <c r="DJ411" s="335"/>
      <c r="DK411" s="335"/>
      <c r="DL411" s="335"/>
      <c r="DM411" s="335"/>
      <c r="DN411" s="335"/>
      <c r="DO411" s="335"/>
      <c r="DP411" s="335"/>
      <c r="DQ411" s="335"/>
      <c r="DR411" s="335"/>
      <c r="DS411" s="335"/>
      <c r="DT411" s="335"/>
      <c r="DU411" s="335"/>
      <c r="DV411" s="335"/>
      <c r="DW411" s="335"/>
      <c r="DX411" s="335"/>
      <c r="DY411" s="335"/>
      <c r="DZ411" s="335"/>
      <c r="EA411" s="335"/>
      <c r="EB411" s="335"/>
      <c r="EC411" s="335"/>
      <c r="ED411" s="335"/>
      <c r="EE411" s="335"/>
      <c r="EF411" s="335"/>
      <c r="EG411" s="335"/>
      <c r="EH411" s="335"/>
      <c r="EI411" s="335"/>
      <c r="EJ411" s="335"/>
      <c r="EK411" s="335"/>
      <c r="EL411" s="335"/>
      <c r="EM411" s="335"/>
    </row>
    <row r="412" spans="72:143">
      <c r="BT412" s="187"/>
      <c r="BU412" s="187" t="s">
        <v>74</v>
      </c>
      <c r="BV412" s="196">
        <v>120034</v>
      </c>
      <c r="BW412" s="197" t="e">
        <f t="shared" si="140"/>
        <v>#REF!</v>
      </c>
      <c r="BX412" s="198" t="e">
        <f>IF(AND(State_LOB_Code=18,LEFT(BW412,4)&lt;"2009"),81,State_LOB_Code)&amp;"|363"</f>
        <v>#REF!</v>
      </c>
      <c r="BY412" s="215"/>
      <c r="BZ412" s="216"/>
      <c r="CD412" s="163"/>
      <c r="CE412" s="363"/>
      <c r="CF412" s="335"/>
      <c r="CG412" s="335"/>
      <c r="CH412" s="335"/>
      <c r="CI412" s="335"/>
      <c r="CJ412" s="335"/>
      <c r="CK412" s="335"/>
      <c r="CL412" s="335"/>
      <c r="CM412" s="335"/>
      <c r="CN412" s="335"/>
      <c r="CO412" s="335"/>
      <c r="CP412" s="335"/>
      <c r="CQ412" s="335"/>
      <c r="CR412" s="335"/>
      <c r="CS412" s="335"/>
      <c r="CT412" s="335"/>
      <c r="CU412" s="335"/>
      <c r="CV412" s="335"/>
      <c r="CW412" s="335"/>
      <c r="CX412" s="335"/>
      <c r="CY412" s="335"/>
      <c r="CZ412" s="335"/>
      <c r="DA412" s="335"/>
      <c r="DB412" s="335"/>
      <c r="DC412" s="335"/>
      <c r="DD412" s="335"/>
      <c r="DE412" s="335"/>
      <c r="DF412" s="335"/>
      <c r="DG412" s="335"/>
      <c r="DH412" s="335"/>
      <c r="DI412" s="335"/>
      <c r="DJ412" s="335"/>
      <c r="DK412" s="335"/>
      <c r="DL412" s="335"/>
      <c r="DM412" s="335"/>
      <c r="DN412" s="335"/>
      <c r="DO412" s="335"/>
      <c r="DP412" s="335"/>
      <c r="DQ412" s="335"/>
      <c r="DR412" s="335"/>
      <c r="DS412" s="335"/>
      <c r="DT412" s="335"/>
      <c r="DU412" s="335"/>
      <c r="DV412" s="335"/>
      <c r="DW412" s="335"/>
      <c r="DX412" s="335"/>
      <c r="DY412" s="335"/>
      <c r="DZ412" s="335"/>
      <c r="EA412" s="335"/>
      <c r="EB412" s="335"/>
      <c r="EC412" s="335"/>
      <c r="ED412" s="335"/>
      <c r="EE412" s="335"/>
      <c r="EF412" s="335"/>
      <c r="EG412" s="335"/>
      <c r="EH412" s="335"/>
      <c r="EI412" s="335"/>
      <c r="EJ412" s="335"/>
      <c r="EK412" s="335"/>
      <c r="EL412" s="335"/>
      <c r="EM412" s="335"/>
    </row>
    <row r="413" spans="72:143">
      <c r="BT413" s="187"/>
      <c r="BU413" s="187" t="s">
        <v>75</v>
      </c>
      <c r="BV413" s="196">
        <v>120034</v>
      </c>
      <c r="BW413" s="197" t="e">
        <f t="shared" si="140"/>
        <v>#REF!</v>
      </c>
      <c r="BX413" s="198" t="e">
        <f>IF(AND(State_LOB_Code=18,LEFT(BW413,4)&lt;"2009"),81,State_LOB_Code)&amp;"|364"</f>
        <v>#REF!</v>
      </c>
      <c r="BY413" s="215"/>
      <c r="BZ413" s="216"/>
      <c r="CD413" s="163"/>
      <c r="CE413" s="363"/>
      <c r="CF413" s="335"/>
      <c r="CG413" s="335"/>
      <c r="CH413" s="335"/>
      <c r="CI413" s="335"/>
      <c r="CJ413" s="335"/>
      <c r="CK413" s="335"/>
      <c r="CL413" s="335"/>
      <c r="CM413" s="335"/>
      <c r="CN413" s="335"/>
      <c r="CO413" s="335"/>
      <c r="CP413" s="335"/>
      <c r="CQ413" s="335"/>
      <c r="CR413" s="335"/>
      <c r="CS413" s="335"/>
      <c r="CT413" s="335"/>
      <c r="CU413" s="335"/>
      <c r="CV413" s="335"/>
      <c r="CW413" s="335"/>
      <c r="CX413" s="335"/>
      <c r="CY413" s="335"/>
      <c r="CZ413" s="335"/>
      <c r="DA413" s="335"/>
      <c r="DB413" s="335"/>
      <c r="DC413" s="335"/>
      <c r="DD413" s="335"/>
      <c r="DE413" s="335"/>
      <c r="DF413" s="335"/>
      <c r="DG413" s="335"/>
      <c r="DH413" s="335"/>
      <c r="DI413" s="335"/>
      <c r="DJ413" s="335"/>
      <c r="DK413" s="335"/>
      <c r="DL413" s="335"/>
      <c r="DM413" s="335"/>
      <c r="DN413" s="335"/>
      <c r="DO413" s="335"/>
      <c r="DP413" s="335"/>
      <c r="DQ413" s="335"/>
      <c r="DR413" s="335"/>
      <c r="DS413" s="335"/>
      <c r="DT413" s="335"/>
      <c r="DU413" s="335"/>
      <c r="DV413" s="335"/>
      <c r="DW413" s="335"/>
      <c r="DX413" s="335"/>
      <c r="DY413" s="335"/>
      <c r="DZ413" s="335"/>
      <c r="EA413" s="335"/>
      <c r="EB413" s="335"/>
      <c r="EC413" s="335"/>
      <c r="ED413" s="335"/>
      <c r="EE413" s="335"/>
      <c r="EF413" s="335"/>
      <c r="EG413" s="335"/>
      <c r="EH413" s="335"/>
      <c r="EI413" s="335"/>
      <c r="EJ413" s="335"/>
      <c r="EK413" s="335"/>
      <c r="EL413" s="335"/>
      <c r="EM413" s="335"/>
    </row>
    <row r="414" spans="72:143">
      <c r="BT414" s="187"/>
      <c r="BU414" s="187" t="s">
        <v>76</v>
      </c>
      <c r="BV414" s="196">
        <v>120034</v>
      </c>
      <c r="BW414" s="197" t="e">
        <f t="shared" si="140"/>
        <v>#REF!</v>
      </c>
      <c r="BX414" s="198" t="e">
        <f>IF(AND(State_LOB_Code=18,LEFT(BW414,4)&lt;"2009"),81,State_LOB_Code)&amp;"|365"</f>
        <v>#REF!</v>
      </c>
      <c r="BY414" s="215"/>
      <c r="BZ414" s="216"/>
      <c r="CD414" s="163"/>
      <c r="CE414" s="363"/>
      <c r="CF414" s="335"/>
      <c r="CG414" s="335"/>
      <c r="CH414" s="335"/>
      <c r="CI414" s="335"/>
      <c r="CJ414" s="335"/>
      <c r="CK414" s="335"/>
      <c r="CL414" s="335"/>
      <c r="CM414" s="335"/>
      <c r="CN414" s="335"/>
      <c r="CO414" s="335"/>
      <c r="CP414" s="335"/>
      <c r="CQ414" s="335"/>
      <c r="CR414" s="335"/>
      <c r="CS414" s="335"/>
      <c r="CT414" s="335"/>
      <c r="CU414" s="335"/>
      <c r="CV414" s="335"/>
      <c r="CW414" s="335"/>
      <c r="CX414" s="335"/>
      <c r="CY414" s="335"/>
      <c r="CZ414" s="335"/>
      <c r="DA414" s="335"/>
      <c r="DB414" s="335"/>
      <c r="DC414" s="335"/>
      <c r="DD414" s="335"/>
      <c r="DE414" s="335"/>
      <c r="DF414" s="335"/>
      <c r="DG414" s="335"/>
      <c r="DH414" s="335"/>
      <c r="DI414" s="335"/>
      <c r="DJ414" s="335"/>
      <c r="DK414" s="335"/>
      <c r="DL414" s="335"/>
      <c r="DM414" s="335"/>
      <c r="DN414" s="335"/>
      <c r="DO414" s="335"/>
      <c r="DP414" s="335"/>
      <c r="DQ414" s="335"/>
      <c r="DR414" s="335"/>
      <c r="DS414" s="335"/>
      <c r="DT414" s="335"/>
      <c r="DU414" s="335"/>
      <c r="DV414" s="335"/>
      <c r="DW414" s="335"/>
      <c r="DX414" s="335"/>
      <c r="DY414" s="335"/>
      <c r="DZ414" s="335"/>
      <c r="EA414" s="335"/>
      <c r="EB414" s="335"/>
      <c r="EC414" s="335"/>
      <c r="ED414" s="335"/>
      <c r="EE414" s="335"/>
      <c r="EF414" s="335"/>
      <c r="EG414" s="335"/>
      <c r="EH414" s="335"/>
      <c r="EI414" s="335"/>
      <c r="EJ414" s="335"/>
      <c r="EK414" s="335"/>
      <c r="EL414" s="335"/>
      <c r="EM414" s="335"/>
    </row>
    <row r="415" spans="72:143">
      <c r="BT415" s="187"/>
      <c r="BU415" s="187" t="s">
        <v>77</v>
      </c>
      <c r="BV415" s="196">
        <v>120034</v>
      </c>
      <c r="BW415" s="197" t="e">
        <f t="shared" si="140"/>
        <v>#REF!</v>
      </c>
      <c r="BX415" s="198" t="e">
        <f>IF(AND(State_LOB_Code=18,LEFT(BW415,4)&lt;"2009"),81,State_LOB_Code)&amp;"|366"</f>
        <v>#REF!</v>
      </c>
      <c r="BY415" s="215"/>
      <c r="BZ415" s="216"/>
      <c r="CD415" s="163"/>
      <c r="CE415" s="363"/>
      <c r="CF415" s="335"/>
      <c r="CG415" s="335"/>
      <c r="CH415" s="335"/>
      <c r="CI415" s="335"/>
      <c r="CJ415" s="335"/>
      <c r="CK415" s="335"/>
      <c r="CL415" s="335"/>
      <c r="CM415" s="335"/>
      <c r="CN415" s="335"/>
      <c r="CO415" s="335"/>
      <c r="CP415" s="335"/>
      <c r="CQ415" s="335"/>
      <c r="CR415" s="335"/>
      <c r="CS415" s="335"/>
      <c r="CT415" s="335"/>
      <c r="CU415" s="335"/>
      <c r="CV415" s="335"/>
      <c r="CW415" s="335"/>
      <c r="CX415" s="335"/>
      <c r="CY415" s="335"/>
      <c r="CZ415" s="335"/>
      <c r="DA415" s="335"/>
      <c r="DB415" s="335"/>
      <c r="DC415" s="335"/>
      <c r="DD415" s="335"/>
      <c r="DE415" s="335"/>
      <c r="DF415" s="335"/>
      <c r="DG415" s="335"/>
      <c r="DH415" s="335"/>
      <c r="DI415" s="335"/>
      <c r="DJ415" s="335"/>
      <c r="DK415" s="335"/>
      <c r="DL415" s="335"/>
      <c r="DM415" s="335"/>
      <c r="DN415" s="335"/>
      <c r="DO415" s="335"/>
      <c r="DP415" s="335"/>
      <c r="DQ415" s="335"/>
      <c r="DR415" s="335"/>
      <c r="DS415" s="335"/>
      <c r="DT415" s="335"/>
      <c r="DU415" s="335"/>
      <c r="DV415" s="335"/>
      <c r="DW415" s="335"/>
      <c r="DX415" s="335"/>
      <c r="DY415" s="335"/>
      <c r="DZ415" s="335"/>
      <c r="EA415" s="335"/>
      <c r="EB415" s="335"/>
      <c r="EC415" s="335"/>
      <c r="ED415" s="335"/>
      <c r="EE415" s="335"/>
      <c r="EF415" s="335"/>
      <c r="EG415" s="335"/>
      <c r="EH415" s="335"/>
      <c r="EI415" s="335"/>
      <c r="EJ415" s="335"/>
      <c r="EK415" s="335"/>
      <c r="EL415" s="335"/>
      <c r="EM415" s="335"/>
    </row>
    <row r="416" spans="72:143">
      <c r="BT416" s="187"/>
      <c r="BU416" s="187" t="s">
        <v>78</v>
      </c>
      <c r="BV416" s="196">
        <v>120034</v>
      </c>
      <c r="BW416" s="197" t="e">
        <f t="shared" si="140"/>
        <v>#REF!</v>
      </c>
      <c r="BX416" s="198" t="e">
        <f>IF(AND(State_LOB_Code=18,LEFT(BW416,4)&lt;"2009"),81,State_LOB_Code)&amp;"|367"</f>
        <v>#REF!</v>
      </c>
      <c r="BY416" s="215"/>
      <c r="BZ416" s="216"/>
      <c r="CD416" s="163"/>
      <c r="CE416" s="363"/>
      <c r="CF416" s="335"/>
      <c r="CG416" s="335"/>
      <c r="CH416" s="335"/>
      <c r="CI416" s="335"/>
      <c r="CJ416" s="335"/>
      <c r="CK416" s="335"/>
      <c r="CL416" s="335"/>
      <c r="CM416" s="335"/>
      <c r="CN416" s="335"/>
      <c r="CO416" s="335"/>
      <c r="CP416" s="335"/>
      <c r="CQ416" s="335"/>
      <c r="CR416" s="335"/>
      <c r="CS416" s="335"/>
      <c r="CT416" s="335"/>
      <c r="CU416" s="335"/>
      <c r="CV416" s="335"/>
      <c r="CW416" s="335"/>
      <c r="CX416" s="335"/>
      <c r="CY416" s="335"/>
      <c r="CZ416" s="335"/>
      <c r="DA416" s="335"/>
      <c r="DB416" s="335"/>
      <c r="DC416" s="335"/>
      <c r="DD416" s="335"/>
      <c r="DE416" s="335"/>
      <c r="DF416" s="335"/>
      <c r="DG416" s="335"/>
      <c r="DH416" s="335"/>
      <c r="DI416" s="335"/>
      <c r="DJ416" s="335"/>
      <c r="DK416" s="335"/>
      <c r="DL416" s="335"/>
      <c r="DM416" s="335"/>
      <c r="DN416" s="335"/>
      <c r="DO416" s="335"/>
      <c r="DP416" s="335"/>
      <c r="DQ416" s="335"/>
      <c r="DR416" s="335"/>
      <c r="DS416" s="335"/>
      <c r="DT416" s="335"/>
      <c r="DU416" s="335"/>
      <c r="DV416" s="335"/>
      <c r="DW416" s="335"/>
      <c r="DX416" s="335"/>
      <c r="DY416" s="335"/>
      <c r="DZ416" s="335"/>
      <c r="EA416" s="335"/>
      <c r="EB416" s="335"/>
      <c r="EC416" s="335"/>
      <c r="ED416" s="335"/>
      <c r="EE416" s="335"/>
      <c r="EF416" s="335"/>
      <c r="EG416" s="335"/>
      <c r="EH416" s="335"/>
      <c r="EI416" s="335"/>
      <c r="EJ416" s="335"/>
      <c r="EK416" s="335"/>
      <c r="EL416" s="335"/>
      <c r="EM416" s="335"/>
    </row>
    <row r="417" spans="72:143">
      <c r="BT417" s="187"/>
      <c r="BU417" s="187" t="s">
        <v>79</v>
      </c>
      <c r="BV417" s="196">
        <v>120034</v>
      </c>
      <c r="BW417" s="197" t="e">
        <f t="shared" ref="BW417:BW444" si="141">LEFT(BW356,4)-1&amp;"Y"</f>
        <v>#REF!</v>
      </c>
      <c r="BX417" s="198" t="e">
        <f>IF(AND(State_LOB_Code=18,LEFT(BW417,4)&lt;"2009"),81,State_LOB_Code)&amp;"|368"</f>
        <v>#REF!</v>
      </c>
      <c r="BY417" s="215"/>
      <c r="BZ417" s="216"/>
      <c r="CD417" s="163"/>
      <c r="CE417" s="363"/>
      <c r="CF417" s="335"/>
      <c r="CG417" s="335"/>
      <c r="CH417" s="335"/>
      <c r="CI417" s="335"/>
      <c r="CJ417" s="335"/>
      <c r="CK417" s="335"/>
      <c r="CL417" s="335"/>
      <c r="CM417" s="335"/>
      <c r="CN417" s="335"/>
      <c r="CO417" s="335"/>
      <c r="CP417" s="335"/>
      <c r="CQ417" s="335"/>
      <c r="CR417" s="335"/>
      <c r="CS417" s="335"/>
      <c r="CT417" s="335"/>
      <c r="CU417" s="335"/>
      <c r="CV417" s="335"/>
      <c r="CW417" s="335"/>
      <c r="CX417" s="335"/>
      <c r="CY417" s="335"/>
      <c r="CZ417" s="335"/>
      <c r="DA417" s="335"/>
      <c r="DB417" s="335"/>
      <c r="DC417" s="335"/>
      <c r="DD417" s="335"/>
      <c r="DE417" s="335"/>
      <c r="DF417" s="335"/>
      <c r="DG417" s="335"/>
      <c r="DH417" s="335"/>
      <c r="DI417" s="335"/>
      <c r="DJ417" s="335"/>
      <c r="DK417" s="335"/>
      <c r="DL417" s="335"/>
      <c r="DM417" s="335"/>
      <c r="DN417" s="335"/>
      <c r="DO417" s="335"/>
      <c r="DP417" s="335"/>
      <c r="DQ417" s="335"/>
      <c r="DR417" s="335"/>
      <c r="DS417" s="335"/>
      <c r="DT417" s="335"/>
      <c r="DU417" s="335"/>
      <c r="DV417" s="335"/>
      <c r="DW417" s="335"/>
      <c r="DX417" s="335"/>
      <c r="DY417" s="335"/>
      <c r="DZ417" s="335"/>
      <c r="EA417" s="335"/>
      <c r="EB417" s="335"/>
      <c r="EC417" s="335"/>
      <c r="ED417" s="335"/>
      <c r="EE417" s="335"/>
      <c r="EF417" s="335"/>
      <c r="EG417" s="335"/>
      <c r="EH417" s="335"/>
      <c r="EI417" s="335"/>
      <c r="EJ417" s="335"/>
      <c r="EK417" s="335"/>
      <c r="EL417" s="335"/>
      <c r="EM417" s="335"/>
    </row>
    <row r="418" spans="72:143">
      <c r="BT418" s="187"/>
      <c r="BU418" s="187" t="s">
        <v>80</v>
      </c>
      <c r="BV418" s="196">
        <v>120034</v>
      </c>
      <c r="BW418" s="197" t="e">
        <f t="shared" si="141"/>
        <v>#REF!</v>
      </c>
      <c r="BX418" s="198" t="e">
        <f>IF(AND(State_LOB_Code=18,LEFT(BW418,4)&lt;"2009"),81,State_LOB_Code)&amp;"|369"</f>
        <v>#REF!</v>
      </c>
      <c r="BY418" s="215"/>
      <c r="BZ418" s="216"/>
      <c r="CD418" s="163"/>
      <c r="CE418" s="363"/>
      <c r="CF418" s="335"/>
      <c r="CG418" s="335"/>
      <c r="CH418" s="335"/>
      <c r="CI418" s="335"/>
      <c r="CJ418" s="335"/>
      <c r="CK418" s="335"/>
      <c r="CL418" s="335"/>
      <c r="CM418" s="335"/>
      <c r="CN418" s="335"/>
      <c r="CO418" s="335"/>
      <c r="CP418" s="335"/>
      <c r="CQ418" s="335"/>
      <c r="CR418" s="335"/>
      <c r="CS418" s="335"/>
      <c r="CT418" s="335"/>
      <c r="CU418" s="335"/>
      <c r="CV418" s="335"/>
      <c r="CW418" s="335"/>
      <c r="CX418" s="335"/>
      <c r="CY418" s="335"/>
      <c r="CZ418" s="335"/>
      <c r="DA418" s="335"/>
      <c r="DB418" s="335"/>
      <c r="DC418" s="335"/>
      <c r="DD418" s="335"/>
      <c r="DE418" s="335"/>
      <c r="DF418" s="335"/>
      <c r="DG418" s="335"/>
      <c r="DH418" s="335"/>
      <c r="DI418" s="335"/>
      <c r="DJ418" s="335"/>
      <c r="DK418" s="335"/>
      <c r="DL418" s="335"/>
      <c r="DM418" s="335"/>
      <c r="DN418" s="335"/>
      <c r="DO418" s="335"/>
      <c r="DP418" s="335"/>
      <c r="DQ418" s="335"/>
      <c r="DR418" s="335"/>
      <c r="DS418" s="335"/>
      <c r="DT418" s="335"/>
      <c r="DU418" s="335"/>
      <c r="DV418" s="335"/>
      <c r="DW418" s="335"/>
      <c r="DX418" s="335"/>
      <c r="DY418" s="335"/>
      <c r="DZ418" s="335"/>
      <c r="EA418" s="335"/>
      <c r="EB418" s="335"/>
      <c r="EC418" s="335"/>
      <c r="ED418" s="335"/>
      <c r="EE418" s="335"/>
      <c r="EF418" s="335"/>
      <c r="EG418" s="335"/>
      <c r="EH418" s="335"/>
      <c r="EI418" s="335"/>
      <c r="EJ418" s="335"/>
      <c r="EK418" s="335"/>
      <c r="EL418" s="335"/>
      <c r="EM418" s="335"/>
    </row>
    <row r="419" spans="72:143">
      <c r="BT419" s="187"/>
      <c r="BU419" s="187" t="s">
        <v>81</v>
      </c>
      <c r="BV419" s="196">
        <v>120034</v>
      </c>
      <c r="BW419" s="197" t="e">
        <f t="shared" si="141"/>
        <v>#REF!</v>
      </c>
      <c r="BX419" s="198" t="e">
        <f>IF(AND(State_LOB_Code=18,LEFT(BW419,4)&lt;"2009"),81,State_LOB_Code)&amp;"|370"</f>
        <v>#REF!</v>
      </c>
      <c r="BY419" s="215"/>
      <c r="BZ419" s="216"/>
      <c r="CD419" s="163"/>
      <c r="CE419" s="363"/>
      <c r="CF419" s="335"/>
      <c r="CG419" s="335"/>
      <c r="CH419" s="335"/>
      <c r="CI419" s="335"/>
      <c r="CJ419" s="335"/>
      <c r="CK419" s="335"/>
      <c r="CL419" s="335"/>
      <c r="CM419" s="335"/>
      <c r="CN419" s="335"/>
      <c r="CO419" s="335"/>
      <c r="CP419" s="335"/>
      <c r="CQ419" s="335"/>
      <c r="CR419" s="335"/>
      <c r="CS419" s="335"/>
      <c r="CT419" s="335"/>
      <c r="CU419" s="335"/>
      <c r="CV419" s="335"/>
      <c r="CW419" s="335"/>
      <c r="CX419" s="335"/>
      <c r="CY419" s="335"/>
      <c r="CZ419" s="335"/>
      <c r="DA419" s="335"/>
      <c r="DB419" s="335"/>
      <c r="DC419" s="335"/>
      <c r="DD419" s="335"/>
      <c r="DE419" s="335"/>
      <c r="DF419" s="335"/>
      <c r="DG419" s="335"/>
      <c r="DH419" s="335"/>
      <c r="DI419" s="335"/>
      <c r="DJ419" s="335"/>
      <c r="DK419" s="335"/>
      <c r="DL419" s="335"/>
      <c r="DM419" s="335"/>
      <c r="DN419" s="335"/>
      <c r="DO419" s="335"/>
      <c r="DP419" s="335"/>
      <c r="DQ419" s="335"/>
      <c r="DR419" s="335"/>
      <c r="DS419" s="335"/>
      <c r="DT419" s="335"/>
      <c r="DU419" s="335"/>
      <c r="DV419" s="335"/>
      <c r="DW419" s="335"/>
      <c r="DX419" s="335"/>
      <c r="DY419" s="335"/>
      <c r="DZ419" s="335"/>
      <c r="EA419" s="335"/>
      <c r="EB419" s="335"/>
      <c r="EC419" s="335"/>
      <c r="ED419" s="335"/>
      <c r="EE419" s="335"/>
      <c r="EF419" s="335"/>
      <c r="EG419" s="335"/>
      <c r="EH419" s="335"/>
      <c r="EI419" s="335"/>
      <c r="EJ419" s="335"/>
      <c r="EK419" s="335"/>
      <c r="EL419" s="335"/>
      <c r="EM419" s="335"/>
    </row>
    <row r="420" spans="72:143">
      <c r="BT420" s="187"/>
      <c r="BU420" s="187" t="s">
        <v>82</v>
      </c>
      <c r="BV420" s="196">
        <v>120034</v>
      </c>
      <c r="BW420" s="197" t="e">
        <f t="shared" si="141"/>
        <v>#REF!</v>
      </c>
      <c r="BX420" s="198" t="e">
        <f>IF(AND(State_LOB_Code=18,LEFT(BW420,4)&lt;"2009"),81,State_LOB_Code)&amp;"|371"</f>
        <v>#REF!</v>
      </c>
      <c r="BY420" s="215"/>
      <c r="BZ420" s="216"/>
      <c r="CD420" s="163"/>
      <c r="CE420" s="363"/>
      <c r="CF420" s="335"/>
      <c r="CG420" s="335"/>
      <c r="CH420" s="335"/>
      <c r="CI420" s="335"/>
      <c r="CJ420" s="335"/>
      <c r="CK420" s="335"/>
      <c r="CL420" s="335"/>
      <c r="CM420" s="335"/>
      <c r="CN420" s="335"/>
      <c r="CO420" s="335"/>
      <c r="CP420" s="335"/>
      <c r="CQ420" s="335"/>
      <c r="CR420" s="335"/>
      <c r="CS420" s="335"/>
      <c r="CT420" s="335"/>
      <c r="CU420" s="335"/>
      <c r="CV420" s="335"/>
      <c r="CW420" s="335"/>
      <c r="CX420" s="335"/>
      <c r="CY420" s="335"/>
      <c r="CZ420" s="335"/>
      <c r="DA420" s="335"/>
      <c r="DB420" s="335"/>
      <c r="DC420" s="335"/>
      <c r="DD420" s="335"/>
      <c r="DE420" s="335"/>
      <c r="DF420" s="335"/>
      <c r="DG420" s="335"/>
      <c r="DH420" s="335"/>
      <c r="DI420" s="335"/>
      <c r="DJ420" s="335"/>
      <c r="DK420" s="335"/>
      <c r="DL420" s="335"/>
      <c r="DM420" s="335"/>
      <c r="DN420" s="335"/>
      <c r="DO420" s="335"/>
      <c r="DP420" s="335"/>
      <c r="DQ420" s="335"/>
      <c r="DR420" s="335"/>
      <c r="DS420" s="335"/>
      <c r="DT420" s="335"/>
      <c r="DU420" s="335"/>
      <c r="DV420" s="335"/>
      <c r="DW420" s="335"/>
      <c r="DX420" s="335"/>
      <c r="DY420" s="335"/>
      <c r="DZ420" s="335"/>
      <c r="EA420" s="335"/>
      <c r="EB420" s="335"/>
      <c r="EC420" s="335"/>
      <c r="ED420" s="335"/>
      <c r="EE420" s="335"/>
      <c r="EF420" s="335"/>
      <c r="EG420" s="335"/>
      <c r="EH420" s="335"/>
      <c r="EI420" s="335"/>
      <c r="EJ420" s="335"/>
      <c r="EK420" s="335"/>
      <c r="EL420" s="335"/>
      <c r="EM420" s="335"/>
    </row>
    <row r="421" spans="72:143">
      <c r="BT421" s="187"/>
      <c r="BU421" s="187" t="s">
        <v>83</v>
      </c>
      <c r="BV421" s="196">
        <v>120034</v>
      </c>
      <c r="BW421" s="197" t="e">
        <f t="shared" si="141"/>
        <v>#REF!</v>
      </c>
      <c r="BX421" s="198" t="e">
        <f>IF(AND(State_LOB_Code=18,LEFT(BW421,4)&lt;"2009"),81,State_LOB_Code)&amp;"|372"</f>
        <v>#REF!</v>
      </c>
      <c r="BY421" s="215"/>
      <c r="BZ421" s="216"/>
      <c r="CD421" s="163"/>
      <c r="CE421" s="363"/>
      <c r="CF421" s="335"/>
      <c r="CG421" s="335"/>
      <c r="CH421" s="335"/>
      <c r="CI421" s="335"/>
      <c r="CJ421" s="335"/>
      <c r="CK421" s="335"/>
      <c r="CL421" s="335"/>
      <c r="CM421" s="335"/>
      <c r="CN421" s="335"/>
      <c r="CO421" s="335"/>
      <c r="CP421" s="335"/>
      <c r="CQ421" s="335"/>
      <c r="CR421" s="335"/>
      <c r="CS421" s="335"/>
      <c r="CT421" s="335"/>
      <c r="CU421" s="335"/>
      <c r="CV421" s="335"/>
      <c r="CW421" s="335"/>
      <c r="CX421" s="335"/>
      <c r="CY421" s="335"/>
      <c r="CZ421" s="335"/>
      <c r="DA421" s="335"/>
      <c r="DB421" s="335"/>
      <c r="DC421" s="335"/>
      <c r="DD421" s="335"/>
      <c r="DE421" s="335"/>
      <c r="DF421" s="335"/>
      <c r="DG421" s="335"/>
      <c r="DH421" s="335"/>
      <c r="DI421" s="335"/>
      <c r="DJ421" s="335"/>
      <c r="DK421" s="335"/>
      <c r="DL421" s="335"/>
      <c r="DM421" s="335"/>
      <c r="DN421" s="335"/>
      <c r="DO421" s="335"/>
      <c r="DP421" s="335"/>
      <c r="DQ421" s="335"/>
      <c r="DR421" s="335"/>
      <c r="DS421" s="335"/>
      <c r="DT421" s="335"/>
      <c r="DU421" s="335"/>
      <c r="DV421" s="335"/>
      <c r="DW421" s="335"/>
      <c r="DX421" s="335"/>
      <c r="DY421" s="335"/>
      <c r="DZ421" s="335"/>
      <c r="EA421" s="335"/>
      <c r="EB421" s="335"/>
      <c r="EC421" s="335"/>
      <c r="ED421" s="335"/>
      <c r="EE421" s="335"/>
      <c r="EF421" s="335"/>
      <c r="EG421" s="335"/>
      <c r="EH421" s="335"/>
      <c r="EI421" s="335"/>
      <c r="EJ421" s="335"/>
      <c r="EK421" s="335"/>
      <c r="EL421" s="335"/>
      <c r="EM421" s="335"/>
    </row>
    <row r="422" spans="72:143">
      <c r="BT422" s="187"/>
      <c r="BU422" s="187" t="s">
        <v>84</v>
      </c>
      <c r="BV422" s="196">
        <v>120034</v>
      </c>
      <c r="BW422" s="197" t="e">
        <f t="shared" si="141"/>
        <v>#REF!</v>
      </c>
      <c r="BX422" s="198" t="e">
        <f>IF(AND(State_LOB_Code=18,LEFT(BW422,4)&lt;"2009"),81,State_LOB_Code)&amp;"|373"</f>
        <v>#REF!</v>
      </c>
      <c r="BY422" s="215"/>
      <c r="BZ422" s="216"/>
      <c r="CD422" s="163"/>
      <c r="CE422" s="363"/>
      <c r="CF422" s="335"/>
      <c r="CG422" s="335"/>
      <c r="CH422" s="335"/>
      <c r="CI422" s="335"/>
      <c r="CJ422" s="335"/>
      <c r="CK422" s="335"/>
      <c r="CL422" s="335"/>
      <c r="CM422" s="335"/>
      <c r="CN422" s="335"/>
      <c r="CO422" s="335"/>
      <c r="CP422" s="335"/>
      <c r="CQ422" s="335"/>
      <c r="CR422" s="335"/>
      <c r="CS422" s="335"/>
      <c r="CT422" s="335"/>
      <c r="CU422" s="335"/>
      <c r="CV422" s="335"/>
      <c r="CW422" s="335"/>
      <c r="CX422" s="335"/>
      <c r="CY422" s="335"/>
      <c r="CZ422" s="335"/>
      <c r="DA422" s="335"/>
      <c r="DB422" s="335"/>
      <c r="DC422" s="335"/>
      <c r="DD422" s="335"/>
      <c r="DE422" s="335"/>
      <c r="DF422" s="335"/>
      <c r="DG422" s="335"/>
      <c r="DH422" s="335"/>
      <c r="DI422" s="335"/>
      <c r="DJ422" s="335"/>
      <c r="DK422" s="335"/>
      <c r="DL422" s="335"/>
      <c r="DM422" s="335"/>
      <c r="DN422" s="335"/>
      <c r="DO422" s="335"/>
      <c r="DP422" s="335"/>
      <c r="DQ422" s="335"/>
      <c r="DR422" s="335"/>
      <c r="DS422" s="335"/>
      <c r="DT422" s="335"/>
      <c r="DU422" s="335"/>
      <c r="DV422" s="335"/>
      <c r="DW422" s="335"/>
      <c r="DX422" s="335"/>
      <c r="DY422" s="335"/>
      <c r="DZ422" s="335"/>
      <c r="EA422" s="335"/>
      <c r="EB422" s="335"/>
      <c r="EC422" s="335"/>
      <c r="ED422" s="335"/>
      <c r="EE422" s="335"/>
      <c r="EF422" s="335"/>
      <c r="EG422" s="335"/>
      <c r="EH422" s="335"/>
      <c r="EI422" s="335"/>
      <c r="EJ422" s="335"/>
      <c r="EK422" s="335"/>
      <c r="EL422" s="335"/>
      <c r="EM422" s="335"/>
    </row>
    <row r="423" spans="72:143">
      <c r="BT423" s="187"/>
      <c r="BU423" s="187" t="s">
        <v>85</v>
      </c>
      <c r="BV423" s="196">
        <v>120034</v>
      </c>
      <c r="BW423" s="197" t="e">
        <f t="shared" si="141"/>
        <v>#REF!</v>
      </c>
      <c r="BX423" s="198" t="e">
        <f>IF(AND(State_LOB_Code=18,LEFT(BW423,4)&lt;"2009"),81,State_LOB_Code)&amp;"|374"</f>
        <v>#REF!</v>
      </c>
      <c r="BY423" s="215"/>
      <c r="BZ423" s="216"/>
      <c r="CD423" s="163"/>
      <c r="CE423" s="363"/>
      <c r="CF423" s="335"/>
      <c r="CG423" s="335"/>
      <c r="CH423" s="335"/>
      <c r="CI423" s="335"/>
      <c r="CJ423" s="335"/>
      <c r="CK423" s="335"/>
      <c r="CL423" s="335"/>
      <c r="CM423" s="335"/>
      <c r="CN423" s="335"/>
      <c r="CO423" s="335"/>
      <c r="CP423" s="335"/>
      <c r="CQ423" s="335"/>
      <c r="CR423" s="335"/>
      <c r="CS423" s="335"/>
      <c r="CT423" s="335"/>
      <c r="CU423" s="335"/>
      <c r="CV423" s="335"/>
      <c r="CW423" s="335"/>
      <c r="CX423" s="335"/>
      <c r="CY423" s="335"/>
      <c r="CZ423" s="335"/>
      <c r="DA423" s="335"/>
      <c r="DB423" s="335"/>
      <c r="DC423" s="335"/>
      <c r="DD423" s="335"/>
      <c r="DE423" s="335"/>
      <c r="DF423" s="335"/>
      <c r="DG423" s="335"/>
      <c r="DH423" s="335"/>
      <c r="DI423" s="335"/>
      <c r="DJ423" s="335"/>
      <c r="DK423" s="335"/>
      <c r="DL423" s="335"/>
      <c r="DM423" s="335"/>
      <c r="DN423" s="335"/>
      <c r="DO423" s="335"/>
      <c r="DP423" s="335"/>
      <c r="DQ423" s="335"/>
      <c r="DR423" s="335"/>
      <c r="DS423" s="335"/>
      <c r="DT423" s="335"/>
      <c r="DU423" s="335"/>
      <c r="DV423" s="335"/>
      <c r="DW423" s="335"/>
      <c r="DX423" s="335"/>
      <c r="DY423" s="335"/>
      <c r="DZ423" s="335"/>
      <c r="EA423" s="335"/>
      <c r="EB423" s="335"/>
      <c r="EC423" s="335"/>
      <c r="ED423" s="335"/>
      <c r="EE423" s="335"/>
      <c r="EF423" s="335"/>
      <c r="EG423" s="335"/>
      <c r="EH423" s="335"/>
      <c r="EI423" s="335"/>
      <c r="EJ423" s="335"/>
      <c r="EK423" s="335"/>
      <c r="EL423" s="335"/>
      <c r="EM423" s="335"/>
    </row>
    <row r="424" spans="72:143">
      <c r="BT424" s="187"/>
      <c r="BU424" s="187" t="s">
        <v>86</v>
      </c>
      <c r="BV424" s="196">
        <v>120034</v>
      </c>
      <c r="BW424" s="197" t="e">
        <f t="shared" si="141"/>
        <v>#REF!</v>
      </c>
      <c r="BX424" s="198" t="e">
        <f>IF(AND(State_LOB_Code=18,LEFT(BW424,4)&lt;"2009"),81,State_LOB_Code)&amp;"|376"</f>
        <v>#REF!</v>
      </c>
      <c r="BY424" s="215"/>
      <c r="BZ424" s="216"/>
      <c r="CD424" s="163"/>
      <c r="CE424" s="363"/>
      <c r="CF424" s="335"/>
      <c r="CG424" s="335"/>
      <c r="CH424" s="335"/>
      <c r="CI424" s="335"/>
      <c r="CJ424" s="335"/>
      <c r="CK424" s="335"/>
      <c r="CL424" s="335"/>
      <c r="CM424" s="335"/>
      <c r="CN424" s="335"/>
      <c r="CO424" s="335"/>
      <c r="CP424" s="335"/>
      <c r="CQ424" s="335"/>
      <c r="CR424" s="335"/>
      <c r="CS424" s="335"/>
      <c r="CT424" s="335"/>
      <c r="CU424" s="335"/>
      <c r="CV424" s="335"/>
      <c r="CW424" s="335"/>
      <c r="CX424" s="335"/>
      <c r="CY424" s="335"/>
      <c r="CZ424" s="335"/>
      <c r="DA424" s="335"/>
      <c r="DB424" s="335"/>
      <c r="DC424" s="335"/>
      <c r="DD424" s="335"/>
      <c r="DE424" s="335"/>
      <c r="DF424" s="335"/>
      <c r="DG424" s="335"/>
      <c r="DH424" s="335"/>
      <c r="DI424" s="335"/>
      <c r="DJ424" s="335"/>
      <c r="DK424" s="335"/>
      <c r="DL424" s="335"/>
      <c r="DM424" s="335"/>
      <c r="DN424" s="335"/>
      <c r="DO424" s="335"/>
      <c r="DP424" s="335"/>
      <c r="DQ424" s="335"/>
      <c r="DR424" s="335"/>
      <c r="DS424" s="335"/>
      <c r="DT424" s="335"/>
      <c r="DU424" s="335"/>
      <c r="DV424" s="335"/>
      <c r="DW424" s="335"/>
      <c r="DX424" s="335"/>
      <c r="DY424" s="335"/>
      <c r="DZ424" s="335"/>
      <c r="EA424" s="335"/>
      <c r="EB424" s="335"/>
      <c r="EC424" s="335"/>
      <c r="ED424" s="335"/>
      <c r="EE424" s="335"/>
      <c r="EF424" s="335"/>
      <c r="EG424" s="335"/>
      <c r="EH424" s="335"/>
      <c r="EI424" s="335"/>
      <c r="EJ424" s="335"/>
      <c r="EK424" s="335"/>
      <c r="EL424" s="335"/>
      <c r="EM424" s="335"/>
    </row>
    <row r="425" spans="72:143">
      <c r="BT425" s="187"/>
      <c r="BU425" s="187" t="s">
        <v>87</v>
      </c>
      <c r="BV425" s="196">
        <v>120034</v>
      </c>
      <c r="BW425" s="197" t="e">
        <f t="shared" si="141"/>
        <v>#REF!</v>
      </c>
      <c r="BX425" s="198" t="e">
        <f>IF(AND(State_LOB_Code=18,LEFT(BW425,4)&lt;"2009"),81,State_LOB_Code)&amp;"|377"</f>
        <v>#REF!</v>
      </c>
      <c r="BY425" s="215"/>
      <c r="BZ425" s="216"/>
      <c r="CD425" s="163"/>
      <c r="CE425" s="363"/>
      <c r="CF425" s="335"/>
      <c r="CG425" s="335"/>
      <c r="CH425" s="335"/>
      <c r="CI425" s="335"/>
      <c r="CJ425" s="335"/>
      <c r="CK425" s="335"/>
      <c r="CL425" s="335"/>
      <c r="CM425" s="335"/>
      <c r="CN425" s="335"/>
      <c r="CO425" s="335"/>
      <c r="CP425" s="335"/>
      <c r="CQ425" s="335"/>
      <c r="CR425" s="335"/>
      <c r="CS425" s="335"/>
      <c r="CT425" s="335"/>
      <c r="CU425" s="335"/>
      <c r="CV425" s="335"/>
      <c r="CW425" s="335"/>
      <c r="CX425" s="335"/>
      <c r="CY425" s="335"/>
      <c r="CZ425" s="335"/>
      <c r="DA425" s="335"/>
      <c r="DB425" s="335"/>
      <c r="DC425" s="335"/>
      <c r="DD425" s="335"/>
      <c r="DE425" s="335"/>
      <c r="DF425" s="335"/>
      <c r="DG425" s="335"/>
      <c r="DH425" s="335"/>
      <c r="DI425" s="335"/>
      <c r="DJ425" s="335"/>
      <c r="DK425" s="335"/>
      <c r="DL425" s="335"/>
      <c r="DM425" s="335"/>
      <c r="DN425" s="335"/>
      <c r="DO425" s="335"/>
      <c r="DP425" s="335"/>
      <c r="DQ425" s="335"/>
      <c r="DR425" s="335"/>
      <c r="DS425" s="335"/>
      <c r="DT425" s="335"/>
      <c r="DU425" s="335"/>
      <c r="DV425" s="335"/>
      <c r="DW425" s="335"/>
      <c r="DX425" s="335"/>
      <c r="DY425" s="335"/>
      <c r="DZ425" s="335"/>
      <c r="EA425" s="335"/>
      <c r="EB425" s="335"/>
      <c r="EC425" s="335"/>
      <c r="ED425" s="335"/>
      <c r="EE425" s="335"/>
      <c r="EF425" s="335"/>
      <c r="EG425" s="335"/>
      <c r="EH425" s="335"/>
      <c r="EI425" s="335"/>
      <c r="EJ425" s="335"/>
      <c r="EK425" s="335"/>
      <c r="EL425" s="335"/>
      <c r="EM425" s="335"/>
    </row>
    <row r="426" spans="72:143">
      <c r="BT426" s="187"/>
      <c r="BU426" s="187" t="s">
        <v>88</v>
      </c>
      <c r="BV426" s="196">
        <v>120034</v>
      </c>
      <c r="BW426" s="197" t="e">
        <f t="shared" si="141"/>
        <v>#REF!</v>
      </c>
      <c r="BX426" s="198" t="e">
        <f>IF(AND(State_LOB_Code=18,LEFT(BW426,4)&lt;"2009"),81,State_LOB_Code)&amp;"|378"</f>
        <v>#REF!</v>
      </c>
      <c r="BY426" s="215"/>
      <c r="BZ426" s="216"/>
      <c r="CD426" s="163"/>
      <c r="CE426" s="363"/>
      <c r="CF426" s="335"/>
      <c r="CG426" s="335"/>
      <c r="CH426" s="335"/>
      <c r="CI426" s="335"/>
      <c r="CJ426" s="335"/>
      <c r="CK426" s="335"/>
      <c r="CL426" s="335"/>
      <c r="CM426" s="335"/>
      <c r="CN426" s="335"/>
      <c r="CO426" s="335"/>
      <c r="CP426" s="335"/>
      <c r="CQ426" s="335"/>
      <c r="CR426" s="335"/>
      <c r="CS426" s="335"/>
      <c r="CT426" s="335"/>
      <c r="CU426" s="335"/>
      <c r="CV426" s="335"/>
      <c r="CW426" s="335"/>
      <c r="CX426" s="335"/>
      <c r="CY426" s="335"/>
      <c r="CZ426" s="335"/>
      <c r="DA426" s="335"/>
      <c r="DB426" s="335"/>
      <c r="DC426" s="335"/>
      <c r="DD426" s="335"/>
      <c r="DE426" s="335"/>
      <c r="DF426" s="335"/>
      <c r="DG426" s="335"/>
      <c r="DH426" s="335"/>
      <c r="DI426" s="335"/>
      <c r="DJ426" s="335"/>
      <c r="DK426" s="335"/>
      <c r="DL426" s="335"/>
      <c r="DM426" s="335"/>
      <c r="DN426" s="335"/>
      <c r="DO426" s="335"/>
      <c r="DP426" s="335"/>
      <c r="DQ426" s="335"/>
      <c r="DR426" s="335"/>
      <c r="DS426" s="335"/>
      <c r="DT426" s="335"/>
      <c r="DU426" s="335"/>
      <c r="DV426" s="335"/>
      <c r="DW426" s="335"/>
      <c r="DX426" s="335"/>
      <c r="DY426" s="335"/>
      <c r="DZ426" s="335"/>
      <c r="EA426" s="335"/>
      <c r="EB426" s="335"/>
      <c r="EC426" s="335"/>
      <c r="ED426" s="335"/>
      <c r="EE426" s="335"/>
      <c r="EF426" s="335"/>
      <c r="EG426" s="335"/>
      <c r="EH426" s="335"/>
      <c r="EI426" s="335"/>
      <c r="EJ426" s="335"/>
      <c r="EK426" s="335"/>
      <c r="EL426" s="335"/>
      <c r="EM426" s="335"/>
    </row>
    <row r="427" spans="72:143">
      <c r="BT427" s="187"/>
      <c r="BU427" s="187" t="s">
        <v>89</v>
      </c>
      <c r="BV427" s="196">
        <v>120034</v>
      </c>
      <c r="BW427" s="197" t="e">
        <f t="shared" si="141"/>
        <v>#REF!</v>
      </c>
      <c r="BX427" s="198" t="e">
        <f>IF(AND(State_LOB_Code=18,LEFT(BW427,4)&lt;"2009"),81,State_LOB_Code)&amp;"|379"</f>
        <v>#REF!</v>
      </c>
      <c r="BY427" s="215"/>
      <c r="BZ427" s="216"/>
      <c r="CD427" s="163"/>
      <c r="CE427" s="363"/>
      <c r="CF427" s="335"/>
      <c r="CG427" s="335"/>
      <c r="CH427" s="335"/>
      <c r="CI427" s="335"/>
      <c r="CJ427" s="335"/>
      <c r="CK427" s="335"/>
      <c r="CL427" s="335"/>
      <c r="CM427" s="335"/>
      <c r="CN427" s="335"/>
      <c r="CO427" s="335"/>
      <c r="CP427" s="335"/>
      <c r="CQ427" s="335"/>
      <c r="CR427" s="335"/>
      <c r="CS427" s="335"/>
      <c r="CT427" s="335"/>
      <c r="CU427" s="335"/>
      <c r="CV427" s="335"/>
      <c r="CW427" s="335"/>
      <c r="CX427" s="335"/>
      <c r="CY427" s="335"/>
      <c r="CZ427" s="335"/>
      <c r="DA427" s="335"/>
      <c r="DB427" s="335"/>
      <c r="DC427" s="335"/>
      <c r="DD427" s="335"/>
      <c r="DE427" s="335"/>
      <c r="DF427" s="335"/>
      <c r="DG427" s="335"/>
      <c r="DH427" s="335"/>
      <c r="DI427" s="335"/>
      <c r="DJ427" s="335"/>
      <c r="DK427" s="335"/>
      <c r="DL427" s="335"/>
      <c r="DM427" s="335"/>
      <c r="DN427" s="335"/>
      <c r="DO427" s="335"/>
      <c r="DP427" s="335"/>
      <c r="DQ427" s="335"/>
      <c r="DR427" s="335"/>
      <c r="DS427" s="335"/>
      <c r="DT427" s="335"/>
      <c r="DU427" s="335"/>
      <c r="DV427" s="335"/>
      <c r="DW427" s="335"/>
      <c r="DX427" s="335"/>
      <c r="DY427" s="335"/>
      <c r="DZ427" s="335"/>
      <c r="EA427" s="335"/>
      <c r="EB427" s="335"/>
      <c r="EC427" s="335"/>
      <c r="ED427" s="335"/>
      <c r="EE427" s="335"/>
      <c r="EF427" s="335"/>
      <c r="EG427" s="335"/>
      <c r="EH427" s="335"/>
      <c r="EI427" s="335"/>
      <c r="EJ427" s="335"/>
      <c r="EK427" s="335"/>
      <c r="EL427" s="335"/>
      <c r="EM427" s="335"/>
    </row>
    <row r="428" spans="72:143">
      <c r="BT428" s="187"/>
      <c r="BU428" s="187" t="s">
        <v>90</v>
      </c>
      <c r="BV428" s="196">
        <v>120034</v>
      </c>
      <c r="BW428" s="197" t="e">
        <f t="shared" si="141"/>
        <v>#REF!</v>
      </c>
      <c r="BX428" s="198" t="e">
        <f>IF(AND(State_LOB_Code=18,LEFT(BW428,4)&lt;"2009"),81,State_LOB_Code)&amp;"|380"</f>
        <v>#REF!</v>
      </c>
      <c r="BY428" s="215"/>
      <c r="BZ428" s="216"/>
      <c r="CD428" s="163"/>
      <c r="CE428" s="363"/>
      <c r="CF428" s="335"/>
      <c r="CG428" s="335"/>
      <c r="CH428" s="335"/>
      <c r="CI428" s="335"/>
      <c r="CJ428" s="335"/>
      <c r="CK428" s="335"/>
      <c r="CL428" s="335"/>
      <c r="CM428" s="335"/>
      <c r="CN428" s="335"/>
      <c r="CO428" s="335"/>
      <c r="CP428" s="335"/>
      <c r="CQ428" s="335"/>
      <c r="CR428" s="335"/>
      <c r="CS428" s="335"/>
      <c r="CT428" s="335"/>
      <c r="CU428" s="335"/>
      <c r="CV428" s="335"/>
      <c r="CW428" s="335"/>
      <c r="CX428" s="335"/>
      <c r="CY428" s="335"/>
      <c r="CZ428" s="335"/>
      <c r="DA428" s="335"/>
      <c r="DB428" s="335"/>
      <c r="DC428" s="335"/>
      <c r="DD428" s="335"/>
      <c r="DE428" s="335"/>
      <c r="DF428" s="335"/>
      <c r="DG428" s="335"/>
      <c r="DH428" s="335"/>
      <c r="DI428" s="335"/>
      <c r="DJ428" s="335"/>
      <c r="DK428" s="335"/>
      <c r="DL428" s="335"/>
      <c r="DM428" s="335"/>
      <c r="DN428" s="335"/>
      <c r="DO428" s="335"/>
      <c r="DP428" s="335"/>
      <c r="DQ428" s="335"/>
      <c r="DR428" s="335"/>
      <c r="DS428" s="335"/>
      <c r="DT428" s="335"/>
      <c r="DU428" s="335"/>
      <c r="DV428" s="335"/>
      <c r="DW428" s="335"/>
      <c r="DX428" s="335"/>
      <c r="DY428" s="335"/>
      <c r="DZ428" s="335"/>
      <c r="EA428" s="335"/>
      <c r="EB428" s="335"/>
      <c r="EC428" s="335"/>
      <c r="ED428" s="335"/>
      <c r="EE428" s="335"/>
      <c r="EF428" s="335"/>
      <c r="EG428" s="335"/>
      <c r="EH428" s="335"/>
      <c r="EI428" s="335"/>
      <c r="EJ428" s="335"/>
      <c r="EK428" s="335"/>
      <c r="EL428" s="335"/>
      <c r="EM428" s="335"/>
    </row>
    <row r="429" spans="72:143">
      <c r="BT429" s="187"/>
      <c r="BU429" s="187" t="s">
        <v>91</v>
      </c>
      <c r="BV429" s="196">
        <v>120034</v>
      </c>
      <c r="BW429" s="197" t="e">
        <f t="shared" si="141"/>
        <v>#REF!</v>
      </c>
      <c r="BX429" s="198" t="e">
        <f>IF(AND(State_LOB_Code=18,LEFT(BW429,4)&lt;"2009"),81,State_LOB_Code)&amp;"|381"</f>
        <v>#REF!</v>
      </c>
      <c r="BY429" s="215"/>
      <c r="BZ429" s="216"/>
      <c r="CD429" s="163"/>
      <c r="CE429" s="363"/>
      <c r="CF429" s="335"/>
      <c r="CG429" s="335"/>
      <c r="CH429" s="335"/>
      <c r="CI429" s="335"/>
      <c r="CJ429" s="335"/>
      <c r="CK429" s="335"/>
      <c r="CL429" s="335"/>
      <c r="CM429" s="335"/>
      <c r="CN429" s="335"/>
      <c r="CO429" s="335"/>
      <c r="CP429" s="335"/>
      <c r="CQ429" s="335"/>
      <c r="CR429" s="335"/>
      <c r="CS429" s="335"/>
      <c r="CT429" s="335"/>
      <c r="CU429" s="335"/>
      <c r="CV429" s="335"/>
      <c r="CW429" s="335"/>
      <c r="CX429" s="335"/>
      <c r="CY429" s="335"/>
      <c r="CZ429" s="335"/>
      <c r="DA429" s="335"/>
      <c r="DB429" s="335"/>
      <c r="DC429" s="335"/>
      <c r="DD429" s="335"/>
      <c r="DE429" s="335"/>
      <c r="DF429" s="335"/>
      <c r="DG429" s="335"/>
      <c r="DH429" s="335"/>
      <c r="DI429" s="335"/>
      <c r="DJ429" s="335"/>
      <c r="DK429" s="335"/>
      <c r="DL429" s="335"/>
      <c r="DM429" s="335"/>
      <c r="DN429" s="335"/>
      <c r="DO429" s="335"/>
      <c r="DP429" s="335"/>
      <c r="DQ429" s="335"/>
      <c r="DR429" s="335"/>
      <c r="DS429" s="335"/>
      <c r="DT429" s="335"/>
      <c r="DU429" s="335"/>
      <c r="DV429" s="335"/>
      <c r="DW429" s="335"/>
      <c r="DX429" s="335"/>
      <c r="DY429" s="335"/>
      <c r="DZ429" s="335"/>
      <c r="EA429" s="335"/>
      <c r="EB429" s="335"/>
      <c r="EC429" s="335"/>
      <c r="ED429" s="335"/>
      <c r="EE429" s="335"/>
      <c r="EF429" s="335"/>
      <c r="EG429" s="335"/>
      <c r="EH429" s="335"/>
      <c r="EI429" s="335"/>
      <c r="EJ429" s="335"/>
      <c r="EK429" s="335"/>
      <c r="EL429" s="335"/>
      <c r="EM429" s="335"/>
    </row>
    <row r="430" spans="72:143">
      <c r="BT430" s="187"/>
      <c r="BU430" s="187" t="s">
        <v>92</v>
      </c>
      <c r="BV430" s="196">
        <v>120034</v>
      </c>
      <c r="BW430" s="197" t="e">
        <f t="shared" si="141"/>
        <v>#REF!</v>
      </c>
      <c r="BX430" s="198" t="e">
        <f>IF(AND(State_LOB_Code=18,LEFT(BW430,4)&lt;"2009"),81,State_LOB_Code)&amp;"|382"</f>
        <v>#REF!</v>
      </c>
      <c r="BY430" s="215"/>
      <c r="BZ430" s="216"/>
      <c r="CD430" s="163"/>
      <c r="CE430" s="363"/>
      <c r="CF430" s="335"/>
      <c r="CG430" s="335"/>
      <c r="CH430" s="335"/>
      <c r="CI430" s="335"/>
      <c r="CJ430" s="335"/>
      <c r="CK430" s="335"/>
      <c r="CL430" s="335"/>
      <c r="CM430" s="335"/>
      <c r="CN430" s="335"/>
      <c r="CO430" s="335"/>
      <c r="CP430" s="335"/>
      <c r="CQ430" s="335"/>
      <c r="CR430" s="335"/>
      <c r="CS430" s="335"/>
      <c r="CT430" s="335"/>
      <c r="CU430" s="335"/>
      <c r="CV430" s="335"/>
      <c r="CW430" s="335"/>
      <c r="CX430" s="335"/>
      <c r="CY430" s="335"/>
      <c r="CZ430" s="335"/>
      <c r="DA430" s="335"/>
      <c r="DB430" s="335"/>
      <c r="DC430" s="335"/>
      <c r="DD430" s="335"/>
      <c r="DE430" s="335"/>
      <c r="DF430" s="335"/>
      <c r="DG430" s="335"/>
      <c r="DH430" s="335"/>
      <c r="DI430" s="335"/>
      <c r="DJ430" s="335"/>
      <c r="DK430" s="335"/>
      <c r="DL430" s="335"/>
      <c r="DM430" s="335"/>
      <c r="DN430" s="335"/>
      <c r="DO430" s="335"/>
      <c r="DP430" s="335"/>
      <c r="DQ430" s="335"/>
      <c r="DR430" s="335"/>
      <c r="DS430" s="335"/>
      <c r="DT430" s="335"/>
      <c r="DU430" s="335"/>
      <c r="DV430" s="335"/>
      <c r="DW430" s="335"/>
      <c r="DX430" s="335"/>
      <c r="DY430" s="335"/>
      <c r="DZ430" s="335"/>
      <c r="EA430" s="335"/>
      <c r="EB430" s="335"/>
      <c r="EC430" s="335"/>
      <c r="ED430" s="335"/>
      <c r="EE430" s="335"/>
      <c r="EF430" s="335"/>
      <c r="EG430" s="335"/>
      <c r="EH430" s="335"/>
      <c r="EI430" s="335"/>
      <c r="EJ430" s="335"/>
      <c r="EK430" s="335"/>
      <c r="EL430" s="335"/>
      <c r="EM430" s="335"/>
    </row>
    <row r="431" spans="72:143">
      <c r="BT431" s="187"/>
      <c r="BU431" s="187" t="s">
        <v>93</v>
      </c>
      <c r="BV431" s="196">
        <v>120034</v>
      </c>
      <c r="BW431" s="197" t="e">
        <f t="shared" si="141"/>
        <v>#REF!</v>
      </c>
      <c r="BX431" s="198" t="e">
        <f>IF(AND(State_LOB_Code=18,LEFT(BW431,4)&lt;"2009"),81,State_LOB_Code)&amp;"|384"</f>
        <v>#REF!</v>
      </c>
      <c r="BY431" s="215"/>
      <c r="BZ431" s="216"/>
      <c r="CD431" s="163"/>
      <c r="CE431" s="363"/>
      <c r="CF431" s="335"/>
      <c r="CG431" s="335"/>
      <c r="CH431" s="335"/>
      <c r="CI431" s="335"/>
      <c r="CJ431" s="335"/>
      <c r="CK431" s="335"/>
      <c r="CL431" s="335"/>
      <c r="CM431" s="335"/>
      <c r="CN431" s="335"/>
      <c r="CO431" s="335"/>
      <c r="CP431" s="335"/>
      <c r="CQ431" s="335"/>
      <c r="CR431" s="335"/>
      <c r="CS431" s="335"/>
      <c r="CT431" s="335"/>
      <c r="CU431" s="335"/>
      <c r="CV431" s="335"/>
      <c r="CW431" s="335"/>
      <c r="CX431" s="335"/>
      <c r="CY431" s="335"/>
      <c r="CZ431" s="335"/>
      <c r="DA431" s="335"/>
      <c r="DB431" s="335"/>
      <c r="DC431" s="335"/>
      <c r="DD431" s="335"/>
      <c r="DE431" s="335"/>
      <c r="DF431" s="335"/>
      <c r="DG431" s="335"/>
      <c r="DH431" s="335"/>
      <c r="DI431" s="335"/>
      <c r="DJ431" s="335"/>
      <c r="DK431" s="335"/>
      <c r="DL431" s="335"/>
      <c r="DM431" s="335"/>
      <c r="DN431" s="335"/>
      <c r="DO431" s="335"/>
      <c r="DP431" s="335"/>
      <c r="DQ431" s="335"/>
      <c r="DR431" s="335"/>
      <c r="DS431" s="335"/>
      <c r="DT431" s="335"/>
      <c r="DU431" s="335"/>
      <c r="DV431" s="335"/>
      <c r="DW431" s="335"/>
      <c r="DX431" s="335"/>
      <c r="DY431" s="335"/>
      <c r="DZ431" s="335"/>
      <c r="EA431" s="335"/>
      <c r="EB431" s="335"/>
      <c r="EC431" s="335"/>
      <c r="ED431" s="335"/>
      <c r="EE431" s="335"/>
      <c r="EF431" s="335"/>
      <c r="EG431" s="335"/>
      <c r="EH431" s="335"/>
      <c r="EI431" s="335"/>
      <c r="EJ431" s="335"/>
      <c r="EK431" s="335"/>
      <c r="EL431" s="335"/>
      <c r="EM431" s="335"/>
    </row>
    <row r="432" spans="72:143">
      <c r="BT432" s="187"/>
      <c r="BU432" s="187" t="s">
        <v>94</v>
      </c>
      <c r="BV432" s="196">
        <v>120034</v>
      </c>
      <c r="BW432" s="197" t="e">
        <f t="shared" si="141"/>
        <v>#REF!</v>
      </c>
      <c r="BX432" s="198" t="e">
        <f>IF(AND(State_LOB_Code=18,LEFT(BW432,4)&lt;"2009"),81,State_LOB_Code)&amp;"|385"</f>
        <v>#REF!</v>
      </c>
      <c r="BY432" s="215"/>
      <c r="BZ432" s="216"/>
      <c r="CD432" s="163"/>
      <c r="CE432" s="363"/>
      <c r="CF432" s="335"/>
      <c r="CG432" s="335"/>
      <c r="CH432" s="335"/>
      <c r="CI432" s="335"/>
      <c r="CJ432" s="335"/>
      <c r="CK432" s="335"/>
      <c r="CL432" s="335"/>
      <c r="CM432" s="335"/>
      <c r="CN432" s="335"/>
      <c r="CO432" s="335"/>
      <c r="CP432" s="335"/>
      <c r="CQ432" s="335"/>
      <c r="CR432" s="335"/>
      <c r="CS432" s="335"/>
      <c r="CT432" s="335"/>
      <c r="CU432" s="335"/>
      <c r="CV432" s="335"/>
      <c r="CW432" s="335"/>
      <c r="CX432" s="335"/>
      <c r="CY432" s="335"/>
      <c r="CZ432" s="335"/>
      <c r="DA432" s="335"/>
      <c r="DB432" s="335"/>
      <c r="DC432" s="335"/>
      <c r="DD432" s="335"/>
      <c r="DE432" s="335"/>
      <c r="DF432" s="335"/>
      <c r="DG432" s="335"/>
      <c r="DH432" s="335"/>
      <c r="DI432" s="335"/>
      <c r="DJ432" s="335"/>
      <c r="DK432" s="335"/>
      <c r="DL432" s="335"/>
      <c r="DM432" s="335"/>
      <c r="DN432" s="335"/>
      <c r="DO432" s="335"/>
      <c r="DP432" s="335"/>
      <c r="DQ432" s="335"/>
      <c r="DR432" s="335"/>
      <c r="DS432" s="335"/>
      <c r="DT432" s="335"/>
      <c r="DU432" s="335"/>
      <c r="DV432" s="335"/>
      <c r="DW432" s="335"/>
      <c r="DX432" s="335"/>
      <c r="DY432" s="335"/>
      <c r="DZ432" s="335"/>
      <c r="EA432" s="335"/>
      <c r="EB432" s="335"/>
      <c r="EC432" s="335"/>
      <c r="ED432" s="335"/>
      <c r="EE432" s="335"/>
      <c r="EF432" s="335"/>
      <c r="EG432" s="335"/>
      <c r="EH432" s="335"/>
      <c r="EI432" s="335"/>
      <c r="EJ432" s="335"/>
      <c r="EK432" s="335"/>
      <c r="EL432" s="335"/>
      <c r="EM432" s="335"/>
    </row>
    <row r="433" spans="72:143">
      <c r="BT433" s="187"/>
      <c r="BU433" s="187" t="s">
        <v>95</v>
      </c>
      <c r="BV433" s="196">
        <v>120034</v>
      </c>
      <c r="BW433" s="197" t="e">
        <f t="shared" si="141"/>
        <v>#REF!</v>
      </c>
      <c r="BX433" s="198" t="e">
        <f>IF(AND(State_LOB_Code=18,LEFT(BW433,4)&lt;"2009"),81,State_LOB_Code)&amp;"|386"</f>
        <v>#REF!</v>
      </c>
      <c r="BY433" s="215"/>
      <c r="BZ433" s="216"/>
      <c r="CD433" s="163"/>
      <c r="CE433" s="363"/>
      <c r="CF433" s="335"/>
      <c r="CG433" s="335"/>
      <c r="CH433" s="335"/>
      <c r="CI433" s="335"/>
      <c r="CJ433" s="335"/>
      <c r="CK433" s="335"/>
      <c r="CL433" s="335"/>
      <c r="CM433" s="335"/>
      <c r="CN433" s="335"/>
      <c r="CO433" s="335"/>
      <c r="CP433" s="335"/>
      <c r="CQ433" s="335"/>
      <c r="CR433" s="335"/>
      <c r="CS433" s="335"/>
      <c r="CT433" s="335"/>
      <c r="CU433" s="335"/>
      <c r="CV433" s="335"/>
      <c r="CW433" s="335"/>
      <c r="CX433" s="335"/>
      <c r="CY433" s="335"/>
      <c r="CZ433" s="335"/>
      <c r="DA433" s="335"/>
      <c r="DB433" s="335"/>
      <c r="DC433" s="335"/>
      <c r="DD433" s="335"/>
      <c r="DE433" s="335"/>
      <c r="DF433" s="335"/>
      <c r="DG433" s="335"/>
      <c r="DH433" s="335"/>
      <c r="DI433" s="335"/>
      <c r="DJ433" s="335"/>
      <c r="DK433" s="335"/>
      <c r="DL433" s="335"/>
      <c r="DM433" s="335"/>
      <c r="DN433" s="335"/>
      <c r="DO433" s="335"/>
      <c r="DP433" s="335"/>
      <c r="DQ433" s="335"/>
      <c r="DR433" s="335"/>
      <c r="DS433" s="335"/>
      <c r="DT433" s="335"/>
      <c r="DU433" s="335"/>
      <c r="DV433" s="335"/>
      <c r="DW433" s="335"/>
      <c r="DX433" s="335"/>
      <c r="DY433" s="335"/>
      <c r="DZ433" s="335"/>
      <c r="EA433" s="335"/>
      <c r="EB433" s="335"/>
      <c r="EC433" s="335"/>
      <c r="ED433" s="335"/>
      <c r="EE433" s="335"/>
      <c r="EF433" s="335"/>
      <c r="EG433" s="335"/>
      <c r="EH433" s="335"/>
      <c r="EI433" s="335"/>
      <c r="EJ433" s="335"/>
      <c r="EK433" s="335"/>
      <c r="EL433" s="335"/>
      <c r="EM433" s="335"/>
    </row>
    <row r="434" spans="72:143">
      <c r="BT434" s="187"/>
      <c r="BU434" s="187" t="s">
        <v>96</v>
      </c>
      <c r="BV434" s="196">
        <v>120034</v>
      </c>
      <c r="BW434" s="197" t="e">
        <f t="shared" si="141"/>
        <v>#REF!</v>
      </c>
      <c r="BX434" s="198" t="e">
        <f>IF(AND(State_LOB_Code=18,LEFT(BW434,4)&lt;"2009"),81,State_LOB_Code)&amp;"|387"</f>
        <v>#REF!</v>
      </c>
      <c r="BY434" s="215"/>
      <c r="BZ434" s="216"/>
      <c r="CD434" s="163"/>
      <c r="CE434" s="363"/>
      <c r="CF434" s="335"/>
      <c r="CG434" s="335"/>
      <c r="CH434" s="335"/>
      <c r="CI434" s="335"/>
      <c r="CJ434" s="335"/>
      <c r="CK434" s="335"/>
      <c r="CL434" s="335"/>
      <c r="CM434" s="335"/>
      <c r="CN434" s="335"/>
      <c r="CO434" s="335"/>
      <c r="CP434" s="335"/>
      <c r="CQ434" s="335"/>
      <c r="CR434" s="335"/>
      <c r="CS434" s="335"/>
      <c r="CT434" s="335"/>
      <c r="CU434" s="335"/>
      <c r="CV434" s="335"/>
      <c r="CW434" s="335"/>
      <c r="CX434" s="335"/>
      <c r="CY434" s="335"/>
      <c r="CZ434" s="335"/>
      <c r="DA434" s="335"/>
      <c r="DB434" s="335"/>
      <c r="DC434" s="335"/>
      <c r="DD434" s="335"/>
      <c r="DE434" s="335"/>
      <c r="DF434" s="335"/>
      <c r="DG434" s="335"/>
      <c r="DH434" s="335"/>
      <c r="DI434" s="335"/>
      <c r="DJ434" s="335"/>
      <c r="DK434" s="335"/>
      <c r="DL434" s="335"/>
      <c r="DM434" s="335"/>
      <c r="DN434" s="335"/>
      <c r="DO434" s="335"/>
      <c r="DP434" s="335"/>
      <c r="DQ434" s="335"/>
      <c r="DR434" s="335"/>
      <c r="DS434" s="335"/>
      <c r="DT434" s="335"/>
      <c r="DU434" s="335"/>
      <c r="DV434" s="335"/>
      <c r="DW434" s="335"/>
      <c r="DX434" s="335"/>
      <c r="DY434" s="335"/>
      <c r="DZ434" s="335"/>
      <c r="EA434" s="335"/>
      <c r="EB434" s="335"/>
      <c r="EC434" s="335"/>
      <c r="ED434" s="335"/>
      <c r="EE434" s="335"/>
      <c r="EF434" s="335"/>
      <c r="EG434" s="335"/>
      <c r="EH434" s="335"/>
      <c r="EI434" s="335"/>
      <c r="EJ434" s="335"/>
      <c r="EK434" s="335"/>
      <c r="EL434" s="335"/>
      <c r="EM434" s="335"/>
    </row>
    <row r="435" spans="72:143">
      <c r="BT435" s="187"/>
      <c r="BU435" s="187" t="s">
        <v>97</v>
      </c>
      <c r="BV435" s="196">
        <v>120034</v>
      </c>
      <c r="BW435" s="197" t="e">
        <f t="shared" si="141"/>
        <v>#REF!</v>
      </c>
      <c r="BX435" s="198" t="e">
        <f>IF(AND(State_LOB_Code=18,LEFT(BW435,4)&lt;"2009"),81,State_LOB_Code)&amp;"|388"</f>
        <v>#REF!</v>
      </c>
      <c r="BY435" s="215"/>
      <c r="BZ435" s="216"/>
      <c r="CD435" s="163"/>
      <c r="CE435" s="363"/>
      <c r="CF435" s="335"/>
      <c r="CG435" s="335"/>
      <c r="CH435" s="335"/>
      <c r="CI435" s="335"/>
      <c r="CJ435" s="335"/>
      <c r="CK435" s="335"/>
      <c r="CL435" s="335"/>
      <c r="CM435" s="335"/>
      <c r="CN435" s="335"/>
      <c r="CO435" s="335"/>
      <c r="CP435" s="335"/>
      <c r="CQ435" s="335"/>
      <c r="CR435" s="335"/>
      <c r="CS435" s="335"/>
      <c r="CT435" s="335"/>
      <c r="CU435" s="335"/>
      <c r="CV435" s="335"/>
      <c r="CW435" s="335"/>
      <c r="CX435" s="335"/>
      <c r="CY435" s="335"/>
      <c r="CZ435" s="335"/>
      <c r="DA435" s="335"/>
      <c r="DB435" s="335"/>
      <c r="DC435" s="335"/>
      <c r="DD435" s="335"/>
      <c r="DE435" s="335"/>
      <c r="DF435" s="335"/>
      <c r="DG435" s="335"/>
      <c r="DH435" s="335"/>
      <c r="DI435" s="335"/>
      <c r="DJ435" s="335"/>
      <c r="DK435" s="335"/>
      <c r="DL435" s="335"/>
      <c r="DM435" s="335"/>
      <c r="DN435" s="335"/>
      <c r="DO435" s="335"/>
      <c r="DP435" s="335"/>
      <c r="DQ435" s="335"/>
      <c r="DR435" s="335"/>
      <c r="DS435" s="335"/>
      <c r="DT435" s="335"/>
      <c r="DU435" s="335"/>
      <c r="DV435" s="335"/>
      <c r="DW435" s="335"/>
      <c r="DX435" s="335"/>
      <c r="DY435" s="335"/>
      <c r="DZ435" s="335"/>
      <c r="EA435" s="335"/>
      <c r="EB435" s="335"/>
      <c r="EC435" s="335"/>
      <c r="ED435" s="335"/>
      <c r="EE435" s="335"/>
      <c r="EF435" s="335"/>
      <c r="EG435" s="335"/>
      <c r="EH435" s="335"/>
      <c r="EI435" s="335"/>
      <c r="EJ435" s="335"/>
      <c r="EK435" s="335"/>
      <c r="EL435" s="335"/>
      <c r="EM435" s="335"/>
    </row>
    <row r="436" spans="72:143">
      <c r="BT436" s="187"/>
      <c r="BU436" s="189" t="s">
        <v>137</v>
      </c>
      <c r="BV436" s="199">
        <v>120034</v>
      </c>
      <c r="BW436" s="200" t="e">
        <f t="shared" si="141"/>
        <v>#REF!</v>
      </c>
      <c r="BX436" s="201" t="e">
        <f>IF(AND(State_LOB_Code=18,LEFT(BW436,4)&lt;"2009"),81,State_LOB_Code)&amp;"|600"</f>
        <v>#REF!</v>
      </c>
      <c r="BY436" s="217"/>
      <c r="BZ436" s="218"/>
      <c r="CD436" s="163"/>
      <c r="CE436" s="363"/>
      <c r="CF436" s="335"/>
      <c r="CG436" s="335"/>
      <c r="CH436" s="335"/>
      <c r="CI436" s="335"/>
      <c r="CJ436" s="335"/>
      <c r="CK436" s="335"/>
      <c r="CL436" s="335"/>
      <c r="CM436" s="335"/>
      <c r="CN436" s="335"/>
      <c r="CO436" s="335"/>
      <c r="CP436" s="335"/>
      <c r="CQ436" s="335"/>
      <c r="CR436" s="335"/>
      <c r="CS436" s="335"/>
      <c r="CT436" s="335"/>
      <c r="CU436" s="335"/>
      <c r="CV436" s="335"/>
      <c r="CW436" s="335"/>
      <c r="CX436" s="335"/>
      <c r="CY436" s="335"/>
      <c r="CZ436" s="335"/>
      <c r="DA436" s="335"/>
      <c r="DB436" s="335"/>
      <c r="DC436" s="335"/>
      <c r="DD436" s="335"/>
      <c r="DE436" s="335"/>
      <c r="DF436" s="335"/>
      <c r="DG436" s="335"/>
      <c r="DH436" s="335"/>
      <c r="DI436" s="335"/>
      <c r="DJ436" s="335"/>
      <c r="DK436" s="335"/>
      <c r="DL436" s="335"/>
      <c r="DM436" s="335"/>
      <c r="DN436" s="335"/>
      <c r="DO436" s="335"/>
      <c r="DP436" s="335"/>
      <c r="DQ436" s="335"/>
      <c r="DR436" s="335"/>
      <c r="DS436" s="335"/>
      <c r="DT436" s="335"/>
      <c r="DU436" s="335"/>
      <c r="DV436" s="335"/>
      <c r="DW436" s="335"/>
      <c r="DX436" s="335"/>
      <c r="DY436" s="335"/>
      <c r="DZ436" s="335"/>
      <c r="EA436" s="335"/>
      <c r="EB436" s="335"/>
      <c r="EC436" s="335"/>
      <c r="ED436" s="335"/>
      <c r="EE436" s="335"/>
      <c r="EF436" s="335"/>
      <c r="EG436" s="335"/>
      <c r="EH436" s="335"/>
      <c r="EI436" s="335"/>
      <c r="EJ436" s="335"/>
      <c r="EK436" s="335"/>
      <c r="EL436" s="335"/>
      <c r="EM436" s="335"/>
    </row>
    <row r="437" spans="72:143">
      <c r="BT437" s="187"/>
      <c r="BU437" s="187" t="s">
        <v>98</v>
      </c>
      <c r="BV437" s="196">
        <v>120034</v>
      </c>
      <c r="BW437" s="197" t="e">
        <f t="shared" si="141"/>
        <v>#REF!</v>
      </c>
      <c r="BX437" s="198" t="e">
        <f>IF(AND(State_LOB_Code=18,LEFT(BW437,4)&lt;"2009"),81,State_LOB_Code)&amp;"|336"</f>
        <v>#REF!</v>
      </c>
      <c r="BY437" s="215"/>
      <c r="BZ437" s="216"/>
      <c r="CD437" s="163"/>
      <c r="CE437" s="363"/>
      <c r="CF437" s="335"/>
      <c r="CG437" s="335"/>
      <c r="CH437" s="335"/>
      <c r="CI437" s="335"/>
      <c r="CJ437" s="335"/>
      <c r="CK437" s="335"/>
      <c r="CL437" s="335"/>
      <c r="CM437" s="335"/>
      <c r="CN437" s="335"/>
      <c r="CO437" s="335"/>
      <c r="CP437" s="335"/>
      <c r="CQ437" s="335"/>
      <c r="CR437" s="335"/>
      <c r="CS437" s="335"/>
      <c r="CT437" s="335"/>
      <c r="CU437" s="335"/>
      <c r="CV437" s="335"/>
      <c r="CW437" s="335"/>
      <c r="CX437" s="335"/>
      <c r="CY437" s="335"/>
      <c r="CZ437" s="335"/>
      <c r="DA437" s="335"/>
      <c r="DB437" s="335"/>
      <c r="DC437" s="335"/>
      <c r="DD437" s="335"/>
      <c r="DE437" s="335"/>
      <c r="DF437" s="335"/>
      <c r="DG437" s="335"/>
      <c r="DH437" s="335"/>
      <c r="DI437" s="335"/>
      <c r="DJ437" s="335"/>
      <c r="DK437" s="335"/>
      <c r="DL437" s="335"/>
      <c r="DM437" s="335"/>
      <c r="DN437" s="335"/>
      <c r="DO437" s="335"/>
      <c r="DP437" s="335"/>
      <c r="DQ437" s="335"/>
      <c r="DR437" s="335"/>
      <c r="DS437" s="335"/>
      <c r="DT437" s="335"/>
      <c r="DU437" s="335"/>
      <c r="DV437" s="335"/>
      <c r="DW437" s="335"/>
      <c r="DX437" s="335"/>
      <c r="DY437" s="335"/>
      <c r="DZ437" s="335"/>
      <c r="EA437" s="335"/>
      <c r="EB437" s="335"/>
      <c r="EC437" s="335"/>
      <c r="ED437" s="335"/>
      <c r="EE437" s="335"/>
      <c r="EF437" s="335"/>
      <c r="EG437" s="335"/>
      <c r="EH437" s="335"/>
      <c r="EI437" s="335"/>
      <c r="EJ437" s="335"/>
      <c r="EK437" s="335"/>
      <c r="EL437" s="335"/>
      <c r="EM437" s="335"/>
    </row>
    <row r="438" spans="72:143">
      <c r="BT438" s="187"/>
      <c r="BU438" s="187" t="s">
        <v>99</v>
      </c>
      <c r="BV438" s="196">
        <v>120034</v>
      </c>
      <c r="BW438" s="197" t="e">
        <f t="shared" si="141"/>
        <v>#REF!</v>
      </c>
      <c r="BX438" s="198" t="e">
        <f>IF(AND(State_LOB_Code=18,LEFT(BW438,4)&lt;"2009"),81,State_LOB_Code)&amp;"|345"</f>
        <v>#REF!</v>
      </c>
      <c r="BY438" s="215"/>
      <c r="BZ438" s="216"/>
      <c r="CD438" s="163"/>
      <c r="CE438" s="363"/>
      <c r="CF438" s="335"/>
      <c r="CG438" s="335"/>
      <c r="CH438" s="335"/>
      <c r="CI438" s="335"/>
      <c r="CJ438" s="335"/>
      <c r="CK438" s="335"/>
      <c r="CL438" s="335"/>
      <c r="CM438" s="335"/>
      <c r="CN438" s="335"/>
      <c r="CO438" s="335"/>
      <c r="CP438" s="335"/>
      <c r="CQ438" s="335"/>
      <c r="CR438" s="335"/>
      <c r="CS438" s="335"/>
      <c r="CT438" s="335"/>
      <c r="CU438" s="335"/>
      <c r="CV438" s="335"/>
      <c r="CW438" s="335"/>
      <c r="CX438" s="335"/>
      <c r="CY438" s="335"/>
      <c r="CZ438" s="335"/>
      <c r="DA438" s="335"/>
      <c r="DB438" s="335"/>
      <c r="DC438" s="335"/>
      <c r="DD438" s="335"/>
      <c r="DE438" s="335"/>
      <c r="DF438" s="335"/>
      <c r="DG438" s="335"/>
      <c r="DH438" s="335"/>
      <c r="DI438" s="335"/>
      <c r="DJ438" s="335"/>
      <c r="DK438" s="335"/>
      <c r="DL438" s="335"/>
      <c r="DM438" s="335"/>
      <c r="DN438" s="335"/>
      <c r="DO438" s="335"/>
      <c r="DP438" s="335"/>
      <c r="DQ438" s="335"/>
      <c r="DR438" s="335"/>
      <c r="DS438" s="335"/>
      <c r="DT438" s="335"/>
      <c r="DU438" s="335"/>
      <c r="DV438" s="335"/>
      <c r="DW438" s="335"/>
      <c r="DX438" s="335"/>
      <c r="DY438" s="335"/>
      <c r="DZ438" s="335"/>
      <c r="EA438" s="335"/>
      <c r="EB438" s="335"/>
      <c r="EC438" s="335"/>
      <c r="ED438" s="335"/>
      <c r="EE438" s="335"/>
      <c r="EF438" s="335"/>
      <c r="EG438" s="335"/>
      <c r="EH438" s="335"/>
      <c r="EI438" s="335"/>
      <c r="EJ438" s="335"/>
      <c r="EK438" s="335"/>
      <c r="EL438" s="335"/>
      <c r="EM438" s="335"/>
    </row>
    <row r="439" spans="72:143">
      <c r="BT439" s="187"/>
      <c r="BU439" s="187" t="s">
        <v>100</v>
      </c>
      <c r="BV439" s="196">
        <v>120034</v>
      </c>
      <c r="BW439" s="197" t="e">
        <f t="shared" si="141"/>
        <v>#REF!</v>
      </c>
      <c r="BX439" s="198" t="e">
        <f>IF(AND(State_LOB_Code=18,LEFT(BW439,4)&lt;"2009"),81,State_LOB_Code)&amp;"|360"</f>
        <v>#REF!</v>
      </c>
      <c r="BY439" s="215"/>
      <c r="BZ439" s="216"/>
      <c r="CD439" s="163"/>
      <c r="CE439" s="363"/>
      <c r="CF439" s="335"/>
      <c r="CG439" s="335"/>
      <c r="CH439" s="335"/>
      <c r="CI439" s="335"/>
      <c r="CJ439" s="335"/>
      <c r="CK439" s="335"/>
      <c r="CL439" s="335"/>
      <c r="CM439" s="335"/>
      <c r="CN439" s="335"/>
      <c r="CO439" s="335"/>
      <c r="CP439" s="335"/>
      <c r="CQ439" s="335"/>
      <c r="CR439" s="335"/>
      <c r="CS439" s="335"/>
      <c r="CT439" s="335"/>
      <c r="CU439" s="335"/>
      <c r="CV439" s="335"/>
      <c r="CW439" s="335"/>
      <c r="CX439" s="335"/>
      <c r="CY439" s="335"/>
      <c r="CZ439" s="335"/>
      <c r="DA439" s="335"/>
      <c r="DB439" s="335"/>
      <c r="DC439" s="335"/>
      <c r="DD439" s="335"/>
      <c r="DE439" s="335"/>
      <c r="DF439" s="335"/>
      <c r="DG439" s="335"/>
      <c r="DH439" s="335"/>
      <c r="DI439" s="335"/>
      <c r="DJ439" s="335"/>
      <c r="DK439" s="335"/>
      <c r="DL439" s="335"/>
      <c r="DM439" s="335"/>
      <c r="DN439" s="335"/>
      <c r="DO439" s="335"/>
      <c r="DP439" s="335"/>
      <c r="DQ439" s="335"/>
      <c r="DR439" s="335"/>
      <c r="DS439" s="335"/>
      <c r="DT439" s="335"/>
      <c r="DU439" s="335"/>
      <c r="DV439" s="335"/>
      <c r="DW439" s="335"/>
      <c r="DX439" s="335"/>
      <c r="DY439" s="335"/>
      <c r="DZ439" s="335"/>
      <c r="EA439" s="335"/>
      <c r="EB439" s="335"/>
      <c r="EC439" s="335"/>
      <c r="ED439" s="335"/>
      <c r="EE439" s="335"/>
      <c r="EF439" s="335"/>
      <c r="EG439" s="335"/>
      <c r="EH439" s="335"/>
      <c r="EI439" s="335"/>
      <c r="EJ439" s="335"/>
      <c r="EK439" s="335"/>
      <c r="EL439" s="335"/>
      <c r="EM439" s="335"/>
    </row>
    <row r="440" spans="72:143">
      <c r="BT440" s="187"/>
      <c r="BU440" s="187" t="s">
        <v>101</v>
      </c>
      <c r="BV440" s="196">
        <v>120034</v>
      </c>
      <c r="BW440" s="197" t="e">
        <f t="shared" si="141"/>
        <v>#REF!</v>
      </c>
      <c r="BX440" s="198" t="e">
        <f>IF(AND(State_LOB_Code=18,LEFT(BW440,4)&lt;"2009"),81,State_LOB_Code)&amp;"|375"</f>
        <v>#REF!</v>
      </c>
      <c r="BY440" s="215"/>
      <c r="BZ440" s="216"/>
      <c r="CD440" s="163"/>
      <c r="CE440" s="363"/>
      <c r="CF440" s="335"/>
      <c r="CG440" s="335"/>
      <c r="CH440" s="335"/>
      <c r="CI440" s="335"/>
      <c r="CJ440" s="335"/>
      <c r="CK440" s="335"/>
      <c r="CL440" s="335"/>
      <c r="CM440" s="335"/>
      <c r="CN440" s="335"/>
      <c r="CO440" s="335"/>
      <c r="CP440" s="335"/>
      <c r="CQ440" s="335"/>
      <c r="CR440" s="335"/>
      <c r="CS440" s="335"/>
      <c r="CT440" s="335"/>
      <c r="CU440" s="335"/>
      <c r="CV440" s="335"/>
      <c r="CW440" s="335"/>
      <c r="CX440" s="335"/>
      <c r="CY440" s="335"/>
      <c r="CZ440" s="335"/>
      <c r="DA440" s="335"/>
      <c r="DB440" s="335"/>
      <c r="DC440" s="335"/>
      <c r="DD440" s="335"/>
      <c r="DE440" s="335"/>
      <c r="DF440" s="335"/>
      <c r="DG440" s="335"/>
      <c r="DH440" s="335"/>
      <c r="DI440" s="335"/>
      <c r="DJ440" s="335"/>
      <c r="DK440" s="335"/>
      <c r="DL440" s="335"/>
      <c r="DM440" s="335"/>
      <c r="DN440" s="335"/>
      <c r="DO440" s="335"/>
      <c r="DP440" s="335"/>
      <c r="DQ440" s="335"/>
      <c r="DR440" s="335"/>
      <c r="DS440" s="335"/>
      <c r="DT440" s="335"/>
      <c r="DU440" s="335"/>
      <c r="DV440" s="335"/>
      <c r="DW440" s="335"/>
      <c r="DX440" s="335"/>
      <c r="DY440" s="335"/>
      <c r="DZ440" s="335"/>
      <c r="EA440" s="335"/>
      <c r="EB440" s="335"/>
      <c r="EC440" s="335"/>
      <c r="ED440" s="335"/>
      <c r="EE440" s="335"/>
      <c r="EF440" s="335"/>
      <c r="EG440" s="335"/>
      <c r="EH440" s="335"/>
      <c r="EI440" s="335"/>
      <c r="EJ440" s="335"/>
      <c r="EK440" s="335"/>
      <c r="EL440" s="335"/>
      <c r="EM440" s="335"/>
    </row>
    <row r="441" spans="72:143">
      <c r="BT441" s="187"/>
      <c r="BU441" s="187" t="s">
        <v>102</v>
      </c>
      <c r="BV441" s="196">
        <v>120034</v>
      </c>
      <c r="BW441" s="197" t="e">
        <f t="shared" si="141"/>
        <v>#REF!</v>
      </c>
      <c r="BX441" s="198" t="e">
        <f>IF(AND(State_LOB_Code=18,LEFT(BW441,4)&lt;"2009"),81,State_LOB_Code)&amp;"|383"</f>
        <v>#REF!</v>
      </c>
      <c r="BY441" s="215"/>
      <c r="BZ441" s="216"/>
      <c r="CD441" s="163"/>
      <c r="CE441" s="363"/>
      <c r="CF441" s="335"/>
      <c r="CG441" s="335"/>
      <c r="CH441" s="335"/>
      <c r="CI441" s="335"/>
      <c r="CJ441" s="335"/>
      <c r="CK441" s="335"/>
      <c r="CL441" s="335"/>
      <c r="CM441" s="335"/>
      <c r="CN441" s="335"/>
      <c r="CO441" s="335"/>
      <c r="CP441" s="335"/>
      <c r="CQ441" s="335"/>
      <c r="CR441" s="335"/>
      <c r="CS441" s="335"/>
      <c r="CT441" s="335"/>
      <c r="CU441" s="335"/>
      <c r="CV441" s="335"/>
      <c r="CW441" s="335"/>
      <c r="CX441" s="335"/>
      <c r="CY441" s="335"/>
      <c r="CZ441" s="335"/>
      <c r="DA441" s="335"/>
      <c r="DB441" s="335"/>
      <c r="DC441" s="335"/>
      <c r="DD441" s="335"/>
      <c r="DE441" s="335"/>
      <c r="DF441" s="335"/>
      <c r="DG441" s="335"/>
      <c r="DH441" s="335"/>
      <c r="DI441" s="335"/>
      <c r="DJ441" s="335"/>
      <c r="DK441" s="335"/>
      <c r="DL441" s="335"/>
      <c r="DM441" s="335"/>
      <c r="DN441" s="335"/>
      <c r="DO441" s="335"/>
      <c r="DP441" s="335"/>
      <c r="DQ441" s="335"/>
      <c r="DR441" s="335"/>
      <c r="DS441" s="335"/>
      <c r="DT441" s="335"/>
      <c r="DU441" s="335"/>
      <c r="DV441" s="335"/>
      <c r="DW441" s="335"/>
      <c r="DX441" s="335"/>
      <c r="DY441" s="335"/>
      <c r="DZ441" s="335"/>
      <c r="EA441" s="335"/>
      <c r="EB441" s="335"/>
      <c r="EC441" s="335"/>
      <c r="ED441" s="335"/>
      <c r="EE441" s="335"/>
      <c r="EF441" s="335"/>
      <c r="EG441" s="335"/>
      <c r="EH441" s="335"/>
      <c r="EI441" s="335"/>
      <c r="EJ441" s="335"/>
      <c r="EK441" s="335"/>
      <c r="EL441" s="335"/>
      <c r="EM441" s="335"/>
    </row>
    <row r="442" spans="72:143">
      <c r="BT442" s="187"/>
      <c r="BU442" s="187" t="s">
        <v>103</v>
      </c>
      <c r="BV442" s="196">
        <v>120034</v>
      </c>
      <c r="BW442" s="197" t="e">
        <f t="shared" si="141"/>
        <v>#REF!</v>
      </c>
      <c r="BX442" s="198" t="e">
        <f>IF(AND(State_LOB_Code=18,LEFT(BW442,4)&lt;"2009"),81,State_LOB_Code)&amp;"|332"</f>
        <v>#REF!</v>
      </c>
      <c r="BY442" s="215"/>
      <c r="BZ442" s="216"/>
      <c r="CD442" s="163"/>
      <c r="CE442" s="363"/>
      <c r="CF442" s="335"/>
      <c r="CG442" s="335"/>
      <c r="CH442" s="335"/>
      <c r="CI442" s="335"/>
      <c r="CJ442" s="335"/>
      <c r="CK442" s="335"/>
      <c r="CL442" s="335"/>
      <c r="CM442" s="335"/>
      <c r="CN442" s="335"/>
      <c r="CO442" s="335"/>
      <c r="CP442" s="335"/>
      <c r="CQ442" s="335"/>
      <c r="CR442" s="335"/>
      <c r="CS442" s="335"/>
      <c r="CT442" s="335"/>
      <c r="CU442" s="335"/>
      <c r="CV442" s="335"/>
      <c r="CW442" s="335"/>
      <c r="CX442" s="335"/>
      <c r="CY442" s="335"/>
      <c r="CZ442" s="335"/>
      <c r="DA442" s="335"/>
      <c r="DB442" s="335"/>
      <c r="DC442" s="335"/>
      <c r="DD442" s="335"/>
      <c r="DE442" s="335"/>
      <c r="DF442" s="335"/>
      <c r="DG442" s="335"/>
      <c r="DH442" s="335"/>
      <c r="DI442" s="335"/>
      <c r="DJ442" s="335"/>
      <c r="DK442" s="335"/>
      <c r="DL442" s="335"/>
      <c r="DM442" s="335"/>
      <c r="DN442" s="335"/>
      <c r="DO442" s="335"/>
      <c r="DP442" s="335"/>
      <c r="DQ442" s="335"/>
      <c r="DR442" s="335"/>
      <c r="DS442" s="335"/>
      <c r="DT442" s="335"/>
      <c r="DU442" s="335"/>
      <c r="DV442" s="335"/>
      <c r="DW442" s="335"/>
      <c r="DX442" s="335"/>
      <c r="DY442" s="335"/>
      <c r="DZ442" s="335"/>
      <c r="EA442" s="335"/>
      <c r="EB442" s="335"/>
      <c r="EC442" s="335"/>
      <c r="ED442" s="335"/>
      <c r="EE442" s="335"/>
      <c r="EF442" s="335"/>
      <c r="EG442" s="335"/>
      <c r="EH442" s="335"/>
      <c r="EI442" s="335"/>
      <c r="EJ442" s="335"/>
      <c r="EK442" s="335"/>
      <c r="EL442" s="335"/>
      <c r="EM442" s="335"/>
    </row>
    <row r="443" spans="72:143">
      <c r="BT443" s="187"/>
      <c r="BU443" s="187" t="s">
        <v>104</v>
      </c>
      <c r="BV443" s="196">
        <v>120034</v>
      </c>
      <c r="BW443" s="197" t="e">
        <f t="shared" si="141"/>
        <v>#REF!</v>
      </c>
      <c r="BX443" s="198" t="e">
        <f>IF(AND(State_LOB_Code=18,LEFT(BW443,4)&lt;"2009"),81,State_LOB_Code)&amp;"|330"</f>
        <v>#REF!</v>
      </c>
      <c r="BY443" s="215"/>
      <c r="BZ443" s="216"/>
      <c r="CD443" s="163"/>
      <c r="CE443" s="363"/>
      <c r="CF443" s="335"/>
      <c r="CG443" s="335"/>
      <c r="CH443" s="335"/>
      <c r="CI443" s="335"/>
      <c r="CJ443" s="335"/>
      <c r="CK443" s="335"/>
      <c r="CL443" s="335"/>
      <c r="CM443" s="335"/>
      <c r="CN443" s="335"/>
      <c r="CO443" s="335"/>
      <c r="CP443" s="335"/>
      <c r="CQ443" s="335"/>
      <c r="CR443" s="335"/>
      <c r="CS443" s="335"/>
      <c r="CT443" s="335"/>
      <c r="CU443" s="335"/>
      <c r="CV443" s="335"/>
      <c r="CW443" s="335"/>
      <c r="CX443" s="335"/>
      <c r="CY443" s="335"/>
      <c r="CZ443" s="335"/>
      <c r="DA443" s="335"/>
      <c r="DB443" s="335"/>
      <c r="DC443" s="335"/>
      <c r="DD443" s="335"/>
      <c r="DE443" s="335"/>
      <c r="DF443" s="335"/>
      <c r="DG443" s="335"/>
      <c r="DH443" s="335"/>
      <c r="DI443" s="335"/>
      <c r="DJ443" s="335"/>
      <c r="DK443" s="335"/>
      <c r="DL443" s="335"/>
      <c r="DM443" s="335"/>
      <c r="DN443" s="335"/>
      <c r="DO443" s="335"/>
      <c r="DP443" s="335"/>
      <c r="DQ443" s="335"/>
      <c r="DR443" s="335"/>
      <c r="DS443" s="335"/>
      <c r="DT443" s="335"/>
      <c r="DU443" s="335"/>
      <c r="DV443" s="335"/>
      <c r="DW443" s="335"/>
      <c r="DX443" s="335"/>
      <c r="DY443" s="335"/>
      <c r="DZ443" s="335"/>
      <c r="EA443" s="335"/>
      <c r="EB443" s="335"/>
      <c r="EC443" s="335"/>
      <c r="ED443" s="335"/>
      <c r="EE443" s="335"/>
      <c r="EF443" s="335"/>
      <c r="EG443" s="335"/>
      <c r="EH443" s="335"/>
      <c r="EI443" s="335"/>
      <c r="EJ443" s="335"/>
      <c r="EK443" s="335"/>
      <c r="EL443" s="335"/>
      <c r="EM443" s="335"/>
    </row>
    <row r="444" spans="72:143">
      <c r="BT444" s="187"/>
      <c r="BU444" s="190" t="s">
        <v>46</v>
      </c>
      <c r="BV444" s="202">
        <v>124055</v>
      </c>
      <c r="BW444" s="203" t="e">
        <f t="shared" si="141"/>
        <v>#REF!</v>
      </c>
      <c r="BX444" s="204" t="e">
        <f>IF(AND(State_LOB_Code=18,LEFT(BW444,4)&lt;"2009"),81,State_LOB_Code)</f>
        <v>#REF!</v>
      </c>
      <c r="BY444" s="219"/>
      <c r="BZ444" s="220"/>
      <c r="CD444" s="163"/>
      <c r="CE444" s="363"/>
      <c r="CF444" s="335"/>
      <c r="CG444" s="335"/>
      <c r="CH444" s="335"/>
      <c r="CI444" s="335"/>
      <c r="CJ444" s="335"/>
      <c r="CK444" s="335"/>
      <c r="CL444" s="335"/>
      <c r="CM444" s="335"/>
      <c r="CN444" s="335"/>
      <c r="CO444" s="335"/>
      <c r="CP444" s="335"/>
      <c r="CQ444" s="335"/>
      <c r="CR444" s="335"/>
      <c r="CS444" s="335"/>
      <c r="CT444" s="335"/>
      <c r="CU444" s="335"/>
      <c r="CV444" s="335"/>
      <c r="CW444" s="335"/>
      <c r="CX444" s="335"/>
      <c r="CY444" s="335"/>
      <c r="CZ444" s="335"/>
      <c r="DA444" s="335"/>
      <c r="DB444" s="335"/>
      <c r="DC444" s="335"/>
      <c r="DD444" s="335"/>
      <c r="DE444" s="335"/>
      <c r="DF444" s="335"/>
      <c r="DG444" s="335"/>
      <c r="DH444" s="335"/>
      <c r="DI444" s="335"/>
      <c r="DJ444" s="335"/>
      <c r="DK444" s="335"/>
      <c r="DL444" s="335"/>
      <c r="DM444" s="335"/>
      <c r="DN444" s="335"/>
      <c r="DO444" s="335"/>
      <c r="DP444" s="335"/>
      <c r="DQ444" s="335"/>
      <c r="DR444" s="335"/>
      <c r="DS444" s="335"/>
      <c r="DT444" s="335"/>
      <c r="DU444" s="335"/>
      <c r="DV444" s="335"/>
      <c r="DW444" s="335"/>
      <c r="DX444" s="335"/>
      <c r="DY444" s="335"/>
      <c r="DZ444" s="335"/>
      <c r="EA444" s="335"/>
      <c r="EB444" s="335"/>
      <c r="EC444" s="335"/>
      <c r="ED444" s="335"/>
      <c r="EE444" s="335"/>
      <c r="EF444" s="335"/>
      <c r="EG444" s="335"/>
      <c r="EH444" s="335"/>
      <c r="EI444" s="335"/>
      <c r="EJ444" s="335"/>
      <c r="EK444" s="335"/>
      <c r="EL444" s="335"/>
      <c r="EM444" s="335"/>
    </row>
    <row r="445" spans="72:143">
      <c r="BT445" s="187"/>
      <c r="BU445" s="187"/>
      <c r="BV445" s="188"/>
      <c r="BW445" s="188"/>
      <c r="BX445" s="188"/>
      <c r="BY445" s="215"/>
      <c r="BZ445" s="216"/>
      <c r="CD445" s="163"/>
      <c r="CE445" s="363"/>
      <c r="CF445" s="335"/>
      <c r="CG445" s="335"/>
      <c r="CH445" s="335"/>
      <c r="CI445" s="335"/>
      <c r="CJ445" s="335"/>
      <c r="CK445" s="335"/>
      <c r="CL445" s="335"/>
      <c r="CM445" s="335"/>
      <c r="CN445" s="335"/>
      <c r="CO445" s="335"/>
      <c r="CP445" s="335"/>
      <c r="CQ445" s="335"/>
      <c r="CR445" s="335"/>
      <c r="CS445" s="335"/>
      <c r="CT445" s="335"/>
      <c r="CU445" s="335"/>
      <c r="CV445" s="335"/>
      <c r="CW445" s="335"/>
      <c r="CX445" s="335"/>
      <c r="CY445" s="335"/>
      <c r="CZ445" s="335"/>
      <c r="DA445" s="335"/>
      <c r="DB445" s="335"/>
      <c r="DC445" s="335"/>
      <c r="DD445" s="335"/>
      <c r="DE445" s="335"/>
      <c r="DF445" s="335"/>
      <c r="DG445" s="335"/>
      <c r="DH445" s="335"/>
      <c r="DI445" s="335"/>
      <c r="DJ445" s="335"/>
      <c r="DK445" s="335"/>
      <c r="DL445" s="335"/>
      <c r="DM445" s="335"/>
      <c r="DN445" s="335"/>
      <c r="DO445" s="335"/>
      <c r="DP445" s="335"/>
      <c r="DQ445" s="335"/>
      <c r="DR445" s="335"/>
      <c r="DS445" s="335"/>
      <c r="DT445" s="335"/>
      <c r="DU445" s="335"/>
      <c r="DV445" s="335"/>
      <c r="DW445" s="335"/>
      <c r="DX445" s="335"/>
      <c r="DY445" s="335"/>
      <c r="DZ445" s="335"/>
      <c r="EA445" s="335"/>
      <c r="EB445" s="335"/>
      <c r="EC445" s="335"/>
      <c r="ED445" s="335"/>
      <c r="EE445" s="335"/>
      <c r="EF445" s="335"/>
      <c r="EG445" s="335"/>
      <c r="EH445" s="335"/>
      <c r="EI445" s="335"/>
      <c r="EJ445" s="335"/>
      <c r="EK445" s="335"/>
      <c r="EL445" s="335"/>
      <c r="EM445" s="335"/>
    </row>
    <row r="446" spans="72:143">
      <c r="BT446" s="187"/>
      <c r="BU446" s="184" t="s">
        <v>47</v>
      </c>
      <c r="BV446" s="193">
        <v>120034</v>
      </c>
      <c r="BW446" s="194" t="e">
        <f t="shared" ref="BW446:BW477" si="142">LEFT(BW385,4)-1&amp;"Y"</f>
        <v>#REF!</v>
      </c>
      <c r="BX446" s="195" t="e">
        <f>IF(AND(State_LOB_Code=18,LEFT(BW446,4)&lt;"2009"),81,State_LOB_Code)&amp;"|333"</f>
        <v>#REF!</v>
      </c>
      <c r="BY446" s="213"/>
      <c r="BZ446" s="214"/>
      <c r="CD446" s="163"/>
      <c r="CE446" s="363"/>
      <c r="CF446" s="335"/>
      <c r="CG446" s="335"/>
      <c r="CH446" s="335"/>
      <c r="CI446" s="335"/>
      <c r="CJ446" s="335"/>
      <c r="CK446" s="335"/>
      <c r="CL446" s="335"/>
      <c r="CM446" s="335"/>
      <c r="CN446" s="335"/>
      <c r="CO446" s="335"/>
      <c r="CP446" s="335"/>
      <c r="CQ446" s="335"/>
      <c r="CR446" s="335"/>
      <c r="CS446" s="335"/>
      <c r="CT446" s="335"/>
      <c r="CU446" s="335"/>
      <c r="CV446" s="335"/>
      <c r="CW446" s="335"/>
      <c r="CX446" s="335"/>
      <c r="CY446" s="335"/>
      <c r="CZ446" s="335"/>
      <c r="DA446" s="335"/>
      <c r="DB446" s="335"/>
      <c r="DC446" s="335"/>
      <c r="DD446" s="335"/>
      <c r="DE446" s="335"/>
      <c r="DF446" s="335"/>
      <c r="DG446" s="335"/>
      <c r="DH446" s="335"/>
      <c r="DI446" s="335"/>
      <c r="DJ446" s="335"/>
      <c r="DK446" s="335"/>
      <c r="DL446" s="335"/>
      <c r="DM446" s="335"/>
      <c r="DN446" s="335"/>
      <c r="DO446" s="335"/>
      <c r="DP446" s="335"/>
      <c r="DQ446" s="335"/>
      <c r="DR446" s="335"/>
      <c r="DS446" s="335"/>
      <c r="DT446" s="335"/>
      <c r="DU446" s="335"/>
      <c r="DV446" s="335"/>
      <c r="DW446" s="335"/>
      <c r="DX446" s="335"/>
      <c r="DY446" s="335"/>
      <c r="DZ446" s="335"/>
      <c r="EA446" s="335"/>
      <c r="EB446" s="335"/>
      <c r="EC446" s="335"/>
      <c r="ED446" s="335"/>
      <c r="EE446" s="335"/>
      <c r="EF446" s="335"/>
      <c r="EG446" s="335"/>
      <c r="EH446" s="335"/>
      <c r="EI446" s="335"/>
      <c r="EJ446" s="335"/>
      <c r="EK446" s="335"/>
      <c r="EL446" s="335"/>
      <c r="EM446" s="335"/>
    </row>
    <row r="447" spans="72:143">
      <c r="BT447" s="187"/>
      <c r="BU447" s="187" t="s">
        <v>48</v>
      </c>
      <c r="BV447" s="196">
        <v>120034</v>
      </c>
      <c r="BW447" s="197" t="e">
        <f t="shared" si="142"/>
        <v>#REF!</v>
      </c>
      <c r="BX447" s="198" t="e">
        <f>IF(AND(State_LOB_Code=18,LEFT(BW447,4)&lt;"2009"),81,State_LOB_Code)&amp;"|334"</f>
        <v>#REF!</v>
      </c>
      <c r="BY447" s="215"/>
      <c r="BZ447" s="216"/>
      <c r="CD447" s="163"/>
      <c r="CE447" s="363"/>
      <c r="CF447" s="335"/>
      <c r="CG447" s="335"/>
      <c r="CH447" s="335"/>
      <c r="CI447" s="335"/>
      <c r="CJ447" s="335"/>
      <c r="CK447" s="335"/>
      <c r="CL447" s="335"/>
      <c r="CM447" s="335"/>
      <c r="CN447" s="335"/>
      <c r="CO447" s="335"/>
      <c r="CP447" s="335"/>
      <c r="CQ447" s="335"/>
      <c r="CR447" s="335"/>
      <c r="CS447" s="335"/>
      <c r="CT447" s="335"/>
      <c r="CU447" s="335"/>
      <c r="CV447" s="335"/>
      <c r="CW447" s="335"/>
      <c r="CX447" s="335"/>
      <c r="CY447" s="335"/>
      <c r="CZ447" s="335"/>
      <c r="DA447" s="335"/>
      <c r="DB447" s="335"/>
      <c r="DC447" s="335"/>
      <c r="DD447" s="335"/>
      <c r="DE447" s="335"/>
      <c r="DF447" s="335"/>
      <c r="DG447" s="335"/>
      <c r="DH447" s="335"/>
      <c r="DI447" s="335"/>
      <c r="DJ447" s="335"/>
      <c r="DK447" s="335"/>
      <c r="DL447" s="335"/>
      <c r="DM447" s="335"/>
      <c r="DN447" s="335"/>
      <c r="DO447" s="335"/>
      <c r="DP447" s="335"/>
      <c r="DQ447" s="335"/>
      <c r="DR447" s="335"/>
      <c r="DS447" s="335"/>
      <c r="DT447" s="335"/>
      <c r="DU447" s="335"/>
      <c r="DV447" s="335"/>
      <c r="DW447" s="335"/>
      <c r="DX447" s="335"/>
      <c r="DY447" s="335"/>
      <c r="DZ447" s="335"/>
      <c r="EA447" s="335"/>
      <c r="EB447" s="335"/>
      <c r="EC447" s="335"/>
      <c r="ED447" s="335"/>
      <c r="EE447" s="335"/>
      <c r="EF447" s="335"/>
      <c r="EG447" s="335"/>
      <c r="EH447" s="335"/>
      <c r="EI447" s="335"/>
      <c r="EJ447" s="335"/>
      <c r="EK447" s="335"/>
      <c r="EL447" s="335"/>
      <c r="EM447" s="335"/>
    </row>
    <row r="448" spans="72:143">
      <c r="BT448" s="187"/>
      <c r="BU448" s="187" t="s">
        <v>49</v>
      </c>
      <c r="BV448" s="196">
        <v>120034</v>
      </c>
      <c r="BW448" s="197" t="e">
        <f t="shared" si="142"/>
        <v>#REF!</v>
      </c>
      <c r="BX448" s="198" t="e">
        <f>IF(AND(State_LOB_Code=18,LEFT(BW448,4)&lt;"2009"),81,State_LOB_Code)&amp;"|335"</f>
        <v>#REF!</v>
      </c>
      <c r="BY448" s="215"/>
      <c r="BZ448" s="216"/>
      <c r="CD448" s="163"/>
      <c r="CE448" s="363"/>
      <c r="CF448" s="335"/>
      <c r="CG448" s="335"/>
      <c r="CH448" s="335"/>
      <c r="CI448" s="335"/>
      <c r="CJ448" s="335"/>
      <c r="CK448" s="335"/>
      <c r="CL448" s="335"/>
      <c r="CM448" s="335"/>
      <c r="CN448" s="335"/>
      <c r="CO448" s="335"/>
      <c r="CP448" s="335"/>
      <c r="CQ448" s="335"/>
      <c r="CR448" s="335"/>
      <c r="CS448" s="335"/>
      <c r="CT448" s="335"/>
      <c r="CU448" s="335"/>
      <c r="CV448" s="335"/>
      <c r="CW448" s="335"/>
      <c r="CX448" s="335"/>
      <c r="CY448" s="335"/>
      <c r="CZ448" s="335"/>
      <c r="DA448" s="335"/>
      <c r="DB448" s="335"/>
      <c r="DC448" s="335"/>
      <c r="DD448" s="335"/>
      <c r="DE448" s="335"/>
      <c r="DF448" s="335"/>
      <c r="DG448" s="335"/>
      <c r="DH448" s="335"/>
      <c r="DI448" s="335"/>
      <c r="DJ448" s="335"/>
      <c r="DK448" s="335"/>
      <c r="DL448" s="335"/>
      <c r="DM448" s="335"/>
      <c r="DN448" s="335"/>
      <c r="DO448" s="335"/>
      <c r="DP448" s="335"/>
      <c r="DQ448" s="335"/>
      <c r="DR448" s="335"/>
      <c r="DS448" s="335"/>
      <c r="DT448" s="335"/>
      <c r="DU448" s="335"/>
      <c r="DV448" s="335"/>
      <c r="DW448" s="335"/>
      <c r="DX448" s="335"/>
      <c r="DY448" s="335"/>
      <c r="DZ448" s="335"/>
      <c r="EA448" s="335"/>
      <c r="EB448" s="335"/>
      <c r="EC448" s="335"/>
      <c r="ED448" s="335"/>
      <c r="EE448" s="335"/>
      <c r="EF448" s="335"/>
      <c r="EG448" s="335"/>
      <c r="EH448" s="335"/>
      <c r="EI448" s="335"/>
      <c r="EJ448" s="335"/>
      <c r="EK448" s="335"/>
      <c r="EL448" s="335"/>
      <c r="EM448" s="335"/>
    </row>
    <row r="449" spans="72:143">
      <c r="BT449" s="187"/>
      <c r="BU449" s="187" t="s">
        <v>50</v>
      </c>
      <c r="BV449" s="196">
        <v>120034</v>
      </c>
      <c r="BW449" s="197" t="e">
        <f t="shared" si="142"/>
        <v>#REF!</v>
      </c>
      <c r="BX449" s="198" t="e">
        <f>IF(AND(State_LOB_Code=18,LEFT(BW449,4)&lt;"2009"),81,State_LOB_Code)&amp;"|337"</f>
        <v>#REF!</v>
      </c>
      <c r="BY449" s="215"/>
      <c r="BZ449" s="216"/>
      <c r="CD449" s="163"/>
      <c r="CE449" s="363"/>
      <c r="CF449" s="335"/>
      <c r="CG449" s="335"/>
      <c r="CH449" s="335"/>
      <c r="CI449" s="335"/>
      <c r="CJ449" s="335"/>
      <c r="CK449" s="335"/>
      <c r="CL449" s="335"/>
      <c r="CM449" s="335"/>
      <c r="CN449" s="335"/>
      <c r="CO449" s="335"/>
      <c r="CP449" s="335"/>
      <c r="CQ449" s="335"/>
      <c r="CR449" s="335"/>
      <c r="CS449" s="335"/>
      <c r="CT449" s="335"/>
      <c r="CU449" s="335"/>
      <c r="CV449" s="335"/>
      <c r="CW449" s="335"/>
      <c r="CX449" s="335"/>
      <c r="CY449" s="335"/>
      <c r="CZ449" s="335"/>
      <c r="DA449" s="335"/>
      <c r="DB449" s="335"/>
      <c r="DC449" s="335"/>
      <c r="DD449" s="335"/>
      <c r="DE449" s="335"/>
      <c r="DF449" s="335"/>
      <c r="DG449" s="335"/>
      <c r="DH449" s="335"/>
      <c r="DI449" s="335"/>
      <c r="DJ449" s="335"/>
      <c r="DK449" s="335"/>
      <c r="DL449" s="335"/>
      <c r="DM449" s="335"/>
      <c r="DN449" s="335"/>
      <c r="DO449" s="335"/>
      <c r="DP449" s="335"/>
      <c r="DQ449" s="335"/>
      <c r="DR449" s="335"/>
      <c r="DS449" s="335"/>
      <c r="DT449" s="335"/>
      <c r="DU449" s="335"/>
      <c r="DV449" s="335"/>
      <c r="DW449" s="335"/>
      <c r="DX449" s="335"/>
      <c r="DY449" s="335"/>
      <c r="DZ449" s="335"/>
      <c r="EA449" s="335"/>
      <c r="EB449" s="335"/>
      <c r="EC449" s="335"/>
      <c r="ED449" s="335"/>
      <c r="EE449" s="335"/>
      <c r="EF449" s="335"/>
      <c r="EG449" s="335"/>
      <c r="EH449" s="335"/>
      <c r="EI449" s="335"/>
      <c r="EJ449" s="335"/>
      <c r="EK449" s="335"/>
      <c r="EL449" s="335"/>
      <c r="EM449" s="335"/>
    </row>
    <row r="450" spans="72:143">
      <c r="BT450" s="187"/>
      <c r="BU450" s="187" t="s">
        <v>51</v>
      </c>
      <c r="BV450" s="196">
        <v>120034</v>
      </c>
      <c r="BW450" s="197" t="e">
        <f t="shared" si="142"/>
        <v>#REF!</v>
      </c>
      <c r="BX450" s="198" t="e">
        <f>IF(AND(State_LOB_Code=18,LEFT(BW450,4)&lt;"2009"),81,State_LOB_Code)&amp;"|338"</f>
        <v>#REF!</v>
      </c>
      <c r="BY450" s="215"/>
      <c r="BZ450" s="216"/>
      <c r="CD450" s="163"/>
      <c r="CE450" s="363"/>
      <c r="CF450" s="335"/>
      <c r="CG450" s="335"/>
      <c r="CH450" s="335"/>
      <c r="CI450" s="335"/>
      <c r="CJ450" s="335"/>
      <c r="CK450" s="335"/>
      <c r="CL450" s="335"/>
      <c r="CM450" s="335"/>
      <c r="CN450" s="335"/>
      <c r="CO450" s="335"/>
      <c r="CP450" s="335"/>
      <c r="CQ450" s="335"/>
      <c r="CR450" s="335"/>
      <c r="CS450" s="335"/>
      <c r="CT450" s="335"/>
      <c r="CU450" s="335"/>
      <c r="CV450" s="335"/>
      <c r="CW450" s="335"/>
      <c r="CX450" s="335"/>
      <c r="CY450" s="335"/>
      <c r="CZ450" s="335"/>
      <c r="DA450" s="335"/>
      <c r="DB450" s="335"/>
      <c r="DC450" s="335"/>
      <c r="DD450" s="335"/>
      <c r="DE450" s="335"/>
      <c r="DF450" s="335"/>
      <c r="DG450" s="335"/>
      <c r="DH450" s="335"/>
      <c r="DI450" s="335"/>
      <c r="DJ450" s="335"/>
      <c r="DK450" s="335"/>
      <c r="DL450" s="335"/>
      <c r="DM450" s="335"/>
      <c r="DN450" s="335"/>
      <c r="DO450" s="335"/>
      <c r="DP450" s="335"/>
      <c r="DQ450" s="335"/>
      <c r="DR450" s="335"/>
      <c r="DS450" s="335"/>
      <c r="DT450" s="335"/>
      <c r="DU450" s="335"/>
      <c r="DV450" s="335"/>
      <c r="DW450" s="335"/>
      <c r="DX450" s="335"/>
      <c r="DY450" s="335"/>
      <c r="DZ450" s="335"/>
      <c r="EA450" s="335"/>
      <c r="EB450" s="335"/>
      <c r="EC450" s="335"/>
      <c r="ED450" s="335"/>
      <c r="EE450" s="335"/>
      <c r="EF450" s="335"/>
      <c r="EG450" s="335"/>
      <c r="EH450" s="335"/>
      <c r="EI450" s="335"/>
      <c r="EJ450" s="335"/>
      <c r="EK450" s="335"/>
      <c r="EL450" s="335"/>
      <c r="EM450" s="335"/>
    </row>
    <row r="451" spans="72:143">
      <c r="BT451" s="187"/>
      <c r="BU451" s="187" t="s">
        <v>52</v>
      </c>
      <c r="BV451" s="196">
        <v>120034</v>
      </c>
      <c r="BW451" s="197" t="e">
        <f t="shared" si="142"/>
        <v>#REF!</v>
      </c>
      <c r="BX451" s="198" t="e">
        <f>IF(AND(State_LOB_Code=18,LEFT(BW451,4)&lt;"2009"),81,State_LOB_Code)&amp;"|339"</f>
        <v>#REF!</v>
      </c>
      <c r="BY451" s="215"/>
      <c r="BZ451" s="216"/>
      <c r="CD451" s="163"/>
      <c r="CE451" s="363"/>
      <c r="CF451" s="335"/>
      <c r="CG451" s="335"/>
      <c r="CH451" s="335"/>
      <c r="CI451" s="335"/>
      <c r="CJ451" s="335"/>
      <c r="CK451" s="335"/>
      <c r="CL451" s="335"/>
      <c r="CM451" s="335"/>
      <c r="CN451" s="335"/>
      <c r="CO451" s="335"/>
      <c r="CP451" s="335"/>
      <c r="CQ451" s="335"/>
      <c r="CR451" s="335"/>
      <c r="CS451" s="335"/>
      <c r="CT451" s="335"/>
      <c r="CU451" s="335"/>
      <c r="CV451" s="335"/>
      <c r="CW451" s="335"/>
      <c r="CX451" s="335"/>
      <c r="CY451" s="335"/>
      <c r="CZ451" s="335"/>
      <c r="DA451" s="335"/>
      <c r="DB451" s="335"/>
      <c r="DC451" s="335"/>
      <c r="DD451" s="335"/>
      <c r="DE451" s="335"/>
      <c r="DF451" s="335"/>
      <c r="DG451" s="335"/>
      <c r="DH451" s="335"/>
      <c r="DI451" s="335"/>
      <c r="DJ451" s="335"/>
      <c r="DK451" s="335"/>
      <c r="DL451" s="335"/>
      <c r="DM451" s="335"/>
      <c r="DN451" s="335"/>
      <c r="DO451" s="335"/>
      <c r="DP451" s="335"/>
      <c r="DQ451" s="335"/>
      <c r="DR451" s="335"/>
      <c r="DS451" s="335"/>
      <c r="DT451" s="335"/>
      <c r="DU451" s="335"/>
      <c r="DV451" s="335"/>
      <c r="DW451" s="335"/>
      <c r="DX451" s="335"/>
      <c r="DY451" s="335"/>
      <c r="DZ451" s="335"/>
      <c r="EA451" s="335"/>
      <c r="EB451" s="335"/>
      <c r="EC451" s="335"/>
      <c r="ED451" s="335"/>
      <c r="EE451" s="335"/>
      <c r="EF451" s="335"/>
      <c r="EG451" s="335"/>
      <c r="EH451" s="335"/>
      <c r="EI451" s="335"/>
      <c r="EJ451" s="335"/>
      <c r="EK451" s="335"/>
      <c r="EL451" s="335"/>
      <c r="EM451" s="335"/>
    </row>
    <row r="452" spans="72:143">
      <c r="BT452" s="187"/>
      <c r="BU452" s="187" t="s">
        <v>53</v>
      </c>
      <c r="BV452" s="196">
        <v>120034</v>
      </c>
      <c r="BW452" s="197" t="e">
        <f t="shared" si="142"/>
        <v>#REF!</v>
      </c>
      <c r="BX452" s="198" t="e">
        <f>IF(AND(State_LOB_Code=18,LEFT(BW452,4)&lt;"2009"),81,State_LOB_Code)&amp;"|340"</f>
        <v>#REF!</v>
      </c>
      <c r="BY452" s="215"/>
      <c r="BZ452" s="216"/>
      <c r="CD452" s="163"/>
      <c r="CE452" s="363"/>
      <c r="CF452" s="335"/>
      <c r="CG452" s="335"/>
      <c r="CH452" s="335"/>
      <c r="CI452" s="335"/>
      <c r="CJ452" s="335"/>
      <c r="CK452" s="335"/>
      <c r="CL452" s="335"/>
      <c r="CM452" s="335"/>
      <c r="CN452" s="335"/>
      <c r="CO452" s="335"/>
      <c r="CP452" s="335"/>
      <c r="CQ452" s="335"/>
      <c r="CR452" s="335"/>
      <c r="CS452" s="335"/>
      <c r="CT452" s="335"/>
      <c r="CU452" s="335"/>
      <c r="CV452" s="335"/>
      <c r="CW452" s="335"/>
      <c r="CX452" s="335"/>
      <c r="CY452" s="335"/>
      <c r="CZ452" s="335"/>
      <c r="DA452" s="335"/>
      <c r="DB452" s="335"/>
      <c r="DC452" s="335"/>
      <c r="DD452" s="335"/>
      <c r="DE452" s="335"/>
      <c r="DF452" s="335"/>
      <c r="DG452" s="335"/>
      <c r="DH452" s="335"/>
      <c r="DI452" s="335"/>
      <c r="DJ452" s="335"/>
      <c r="DK452" s="335"/>
      <c r="DL452" s="335"/>
      <c r="DM452" s="335"/>
      <c r="DN452" s="335"/>
      <c r="DO452" s="335"/>
      <c r="DP452" s="335"/>
      <c r="DQ452" s="335"/>
      <c r="DR452" s="335"/>
      <c r="DS452" s="335"/>
      <c r="DT452" s="335"/>
      <c r="DU452" s="335"/>
      <c r="DV452" s="335"/>
      <c r="DW452" s="335"/>
      <c r="DX452" s="335"/>
      <c r="DY452" s="335"/>
      <c r="DZ452" s="335"/>
      <c r="EA452" s="335"/>
      <c r="EB452" s="335"/>
      <c r="EC452" s="335"/>
      <c r="ED452" s="335"/>
      <c r="EE452" s="335"/>
      <c r="EF452" s="335"/>
      <c r="EG452" s="335"/>
      <c r="EH452" s="335"/>
      <c r="EI452" s="335"/>
      <c r="EJ452" s="335"/>
      <c r="EK452" s="335"/>
      <c r="EL452" s="335"/>
      <c r="EM452" s="335"/>
    </row>
    <row r="453" spans="72:143">
      <c r="BT453" s="187"/>
      <c r="BU453" s="187" t="s">
        <v>54</v>
      </c>
      <c r="BV453" s="196">
        <v>120034</v>
      </c>
      <c r="BW453" s="197" t="e">
        <f t="shared" si="142"/>
        <v>#REF!</v>
      </c>
      <c r="BX453" s="198" t="e">
        <f>IF(AND(State_LOB_Code=18,LEFT(BW453,4)&lt;"2009"),81,State_LOB_Code)&amp;"|341"</f>
        <v>#REF!</v>
      </c>
      <c r="BY453" s="215"/>
      <c r="BZ453" s="216"/>
      <c r="CD453" s="163"/>
      <c r="CE453" s="363"/>
      <c r="CF453" s="335"/>
      <c r="CG453" s="335"/>
      <c r="CH453" s="335"/>
      <c r="CI453" s="335"/>
      <c r="CJ453" s="335"/>
      <c r="CK453" s="335"/>
      <c r="CL453" s="335"/>
      <c r="CM453" s="335"/>
      <c r="CN453" s="335"/>
      <c r="CO453" s="335"/>
      <c r="CP453" s="335"/>
      <c r="CQ453" s="335"/>
      <c r="CR453" s="335"/>
      <c r="CS453" s="335"/>
      <c r="CT453" s="335"/>
      <c r="CU453" s="335"/>
      <c r="CV453" s="335"/>
      <c r="CW453" s="335"/>
      <c r="CX453" s="335"/>
      <c r="CY453" s="335"/>
      <c r="CZ453" s="335"/>
      <c r="DA453" s="335"/>
      <c r="DB453" s="335"/>
      <c r="DC453" s="335"/>
      <c r="DD453" s="335"/>
      <c r="DE453" s="335"/>
      <c r="DF453" s="335"/>
      <c r="DG453" s="335"/>
      <c r="DH453" s="335"/>
      <c r="DI453" s="335"/>
      <c r="DJ453" s="335"/>
      <c r="DK453" s="335"/>
      <c r="DL453" s="335"/>
      <c r="DM453" s="335"/>
      <c r="DN453" s="335"/>
      <c r="DO453" s="335"/>
      <c r="DP453" s="335"/>
      <c r="DQ453" s="335"/>
      <c r="DR453" s="335"/>
      <c r="DS453" s="335"/>
      <c r="DT453" s="335"/>
      <c r="DU453" s="335"/>
      <c r="DV453" s="335"/>
      <c r="DW453" s="335"/>
      <c r="DX453" s="335"/>
      <c r="DY453" s="335"/>
      <c r="DZ453" s="335"/>
      <c r="EA453" s="335"/>
      <c r="EB453" s="335"/>
      <c r="EC453" s="335"/>
      <c r="ED453" s="335"/>
      <c r="EE453" s="335"/>
      <c r="EF453" s="335"/>
      <c r="EG453" s="335"/>
      <c r="EH453" s="335"/>
      <c r="EI453" s="335"/>
      <c r="EJ453" s="335"/>
      <c r="EK453" s="335"/>
      <c r="EL453" s="335"/>
      <c r="EM453" s="335"/>
    </row>
    <row r="454" spans="72:143">
      <c r="BT454" s="187"/>
      <c r="BU454" s="187" t="s">
        <v>55</v>
      </c>
      <c r="BV454" s="196">
        <v>120034</v>
      </c>
      <c r="BW454" s="197" t="e">
        <f t="shared" si="142"/>
        <v>#REF!</v>
      </c>
      <c r="BX454" s="198" t="e">
        <f>IF(AND(State_LOB_Code=18,LEFT(BW454,4)&lt;"2009"),81,State_LOB_Code)&amp;"|342"</f>
        <v>#REF!</v>
      </c>
      <c r="BY454" s="215"/>
      <c r="BZ454" s="216"/>
      <c r="CD454" s="163"/>
      <c r="CE454" s="363"/>
      <c r="CF454" s="335"/>
      <c r="CG454" s="335"/>
      <c r="CH454" s="335"/>
      <c r="CI454" s="335"/>
      <c r="CJ454" s="335"/>
      <c r="CK454" s="335"/>
      <c r="CL454" s="335"/>
      <c r="CM454" s="335"/>
      <c r="CN454" s="335"/>
      <c r="CO454" s="335"/>
      <c r="CP454" s="335"/>
      <c r="CQ454" s="335"/>
      <c r="CR454" s="335"/>
      <c r="CS454" s="335"/>
      <c r="CT454" s="335"/>
      <c r="CU454" s="335"/>
      <c r="CV454" s="335"/>
      <c r="CW454" s="335"/>
      <c r="CX454" s="335"/>
      <c r="CY454" s="335"/>
      <c r="CZ454" s="335"/>
      <c r="DA454" s="335"/>
      <c r="DB454" s="335"/>
      <c r="DC454" s="335"/>
      <c r="DD454" s="335"/>
      <c r="DE454" s="335"/>
      <c r="DF454" s="335"/>
      <c r="DG454" s="335"/>
      <c r="DH454" s="335"/>
      <c r="DI454" s="335"/>
      <c r="DJ454" s="335"/>
      <c r="DK454" s="335"/>
      <c r="DL454" s="335"/>
      <c r="DM454" s="335"/>
      <c r="DN454" s="335"/>
      <c r="DO454" s="335"/>
      <c r="DP454" s="335"/>
      <c r="DQ454" s="335"/>
      <c r="DR454" s="335"/>
      <c r="DS454" s="335"/>
      <c r="DT454" s="335"/>
      <c r="DU454" s="335"/>
      <c r="DV454" s="335"/>
      <c r="DW454" s="335"/>
      <c r="DX454" s="335"/>
      <c r="DY454" s="335"/>
      <c r="DZ454" s="335"/>
      <c r="EA454" s="335"/>
      <c r="EB454" s="335"/>
      <c r="EC454" s="335"/>
      <c r="ED454" s="335"/>
      <c r="EE454" s="335"/>
      <c r="EF454" s="335"/>
      <c r="EG454" s="335"/>
      <c r="EH454" s="335"/>
      <c r="EI454" s="335"/>
      <c r="EJ454" s="335"/>
      <c r="EK454" s="335"/>
      <c r="EL454" s="335"/>
      <c r="EM454" s="335"/>
    </row>
    <row r="455" spans="72:143">
      <c r="BT455" s="187"/>
      <c r="BU455" s="187" t="s">
        <v>56</v>
      </c>
      <c r="BV455" s="196">
        <v>120034</v>
      </c>
      <c r="BW455" s="197" t="e">
        <f t="shared" si="142"/>
        <v>#REF!</v>
      </c>
      <c r="BX455" s="198" t="e">
        <f>IF(AND(State_LOB_Code=18,LEFT(BW455,4)&lt;"2009"),81,State_LOB_Code)&amp;"|343"</f>
        <v>#REF!</v>
      </c>
      <c r="BY455" s="215"/>
      <c r="BZ455" s="216"/>
      <c r="CD455" s="163"/>
      <c r="CE455" s="363"/>
      <c r="CF455" s="335"/>
      <c r="CG455" s="335"/>
      <c r="CH455" s="335"/>
      <c r="CI455" s="335"/>
      <c r="CJ455" s="335"/>
      <c r="CK455" s="335"/>
      <c r="CL455" s="335"/>
      <c r="CM455" s="335"/>
      <c r="CN455" s="335"/>
      <c r="CO455" s="335"/>
      <c r="CP455" s="335"/>
      <c r="CQ455" s="335"/>
      <c r="CR455" s="335"/>
      <c r="CS455" s="335"/>
      <c r="CT455" s="335"/>
      <c r="CU455" s="335"/>
      <c r="CV455" s="335"/>
      <c r="CW455" s="335"/>
      <c r="CX455" s="335"/>
      <c r="CY455" s="335"/>
      <c r="CZ455" s="335"/>
      <c r="DA455" s="335"/>
      <c r="DB455" s="335"/>
      <c r="DC455" s="335"/>
      <c r="DD455" s="335"/>
      <c r="DE455" s="335"/>
      <c r="DF455" s="335"/>
      <c r="DG455" s="335"/>
      <c r="DH455" s="335"/>
      <c r="DI455" s="335"/>
      <c r="DJ455" s="335"/>
      <c r="DK455" s="335"/>
      <c r="DL455" s="335"/>
      <c r="DM455" s="335"/>
      <c r="DN455" s="335"/>
      <c r="DO455" s="335"/>
      <c r="DP455" s="335"/>
      <c r="DQ455" s="335"/>
      <c r="DR455" s="335"/>
      <c r="DS455" s="335"/>
      <c r="DT455" s="335"/>
      <c r="DU455" s="335"/>
      <c r="DV455" s="335"/>
      <c r="DW455" s="335"/>
      <c r="DX455" s="335"/>
      <c r="DY455" s="335"/>
      <c r="DZ455" s="335"/>
      <c r="EA455" s="335"/>
      <c r="EB455" s="335"/>
      <c r="EC455" s="335"/>
      <c r="ED455" s="335"/>
      <c r="EE455" s="335"/>
      <c r="EF455" s="335"/>
      <c r="EG455" s="335"/>
      <c r="EH455" s="335"/>
      <c r="EI455" s="335"/>
      <c r="EJ455" s="335"/>
      <c r="EK455" s="335"/>
      <c r="EL455" s="335"/>
      <c r="EM455" s="335"/>
    </row>
    <row r="456" spans="72:143">
      <c r="BT456" s="187"/>
      <c r="BU456" s="187" t="s">
        <v>57</v>
      </c>
      <c r="BV456" s="196">
        <v>120034</v>
      </c>
      <c r="BW456" s="197" t="e">
        <f t="shared" si="142"/>
        <v>#REF!</v>
      </c>
      <c r="BX456" s="198" t="e">
        <f>IF(AND(State_LOB_Code=18,LEFT(BW456,4)&lt;"2009"),81,State_LOB_Code)&amp;"|344"</f>
        <v>#REF!</v>
      </c>
      <c r="BY456" s="215"/>
      <c r="BZ456" s="216"/>
      <c r="CD456" s="163"/>
      <c r="CE456" s="363"/>
      <c r="CF456" s="335"/>
      <c r="CG456" s="335"/>
      <c r="CH456" s="335"/>
      <c r="CI456" s="335"/>
      <c r="CJ456" s="335"/>
      <c r="CK456" s="335"/>
      <c r="CL456" s="335"/>
      <c r="CM456" s="335"/>
      <c r="CN456" s="335"/>
      <c r="CO456" s="335"/>
      <c r="CP456" s="335"/>
      <c r="CQ456" s="335"/>
      <c r="CR456" s="335"/>
      <c r="CS456" s="335"/>
      <c r="CT456" s="335"/>
      <c r="CU456" s="335"/>
      <c r="CV456" s="335"/>
      <c r="CW456" s="335"/>
      <c r="CX456" s="335"/>
      <c r="CY456" s="335"/>
      <c r="CZ456" s="335"/>
      <c r="DA456" s="335"/>
      <c r="DB456" s="335"/>
      <c r="DC456" s="335"/>
      <c r="DD456" s="335"/>
      <c r="DE456" s="335"/>
      <c r="DF456" s="335"/>
      <c r="DG456" s="335"/>
      <c r="DH456" s="335"/>
      <c r="DI456" s="335"/>
      <c r="DJ456" s="335"/>
      <c r="DK456" s="335"/>
      <c r="DL456" s="335"/>
      <c r="DM456" s="335"/>
      <c r="DN456" s="335"/>
      <c r="DO456" s="335"/>
      <c r="DP456" s="335"/>
      <c r="DQ456" s="335"/>
      <c r="DR456" s="335"/>
      <c r="DS456" s="335"/>
      <c r="DT456" s="335"/>
      <c r="DU456" s="335"/>
      <c r="DV456" s="335"/>
      <c r="DW456" s="335"/>
      <c r="DX456" s="335"/>
      <c r="DY456" s="335"/>
      <c r="DZ456" s="335"/>
      <c r="EA456" s="335"/>
      <c r="EB456" s="335"/>
      <c r="EC456" s="335"/>
      <c r="ED456" s="335"/>
      <c r="EE456" s="335"/>
      <c r="EF456" s="335"/>
      <c r="EG456" s="335"/>
      <c r="EH456" s="335"/>
      <c r="EI456" s="335"/>
      <c r="EJ456" s="335"/>
      <c r="EK456" s="335"/>
      <c r="EL456" s="335"/>
      <c r="EM456" s="335"/>
    </row>
    <row r="457" spans="72:143">
      <c r="BT457" s="187"/>
      <c r="BU457" s="187" t="s">
        <v>58</v>
      </c>
      <c r="BV457" s="196">
        <v>120034</v>
      </c>
      <c r="BW457" s="197" t="e">
        <f t="shared" si="142"/>
        <v>#REF!</v>
      </c>
      <c r="BX457" s="198" t="e">
        <f>IF(AND(State_LOB_Code=18,LEFT(BW457,4)&lt;"2009"),81,State_LOB_Code)&amp;"|346"</f>
        <v>#REF!</v>
      </c>
      <c r="BY457" s="215"/>
      <c r="BZ457" s="216"/>
      <c r="CD457" s="163"/>
      <c r="CE457" s="363"/>
      <c r="CF457" s="335"/>
      <c r="CG457" s="335"/>
      <c r="CH457" s="335"/>
      <c r="CI457" s="335"/>
      <c r="CJ457" s="335"/>
      <c r="CK457" s="335"/>
      <c r="CL457" s="335"/>
      <c r="CM457" s="335"/>
      <c r="CN457" s="335"/>
      <c r="CO457" s="335"/>
      <c r="CP457" s="335"/>
      <c r="CQ457" s="335"/>
      <c r="CR457" s="335"/>
      <c r="CS457" s="335"/>
      <c r="CT457" s="335"/>
      <c r="CU457" s="335"/>
      <c r="CV457" s="335"/>
      <c r="CW457" s="335"/>
      <c r="CX457" s="335"/>
      <c r="CY457" s="335"/>
      <c r="CZ457" s="335"/>
      <c r="DA457" s="335"/>
      <c r="DB457" s="335"/>
      <c r="DC457" s="335"/>
      <c r="DD457" s="335"/>
      <c r="DE457" s="335"/>
      <c r="DF457" s="335"/>
      <c r="DG457" s="335"/>
      <c r="DH457" s="335"/>
      <c r="DI457" s="335"/>
      <c r="DJ457" s="335"/>
      <c r="DK457" s="335"/>
      <c r="DL457" s="335"/>
      <c r="DM457" s="335"/>
      <c r="DN457" s="335"/>
      <c r="DO457" s="335"/>
      <c r="DP457" s="335"/>
      <c r="DQ457" s="335"/>
      <c r="DR457" s="335"/>
      <c r="DS457" s="335"/>
      <c r="DT457" s="335"/>
      <c r="DU457" s="335"/>
      <c r="DV457" s="335"/>
      <c r="DW457" s="335"/>
      <c r="DX457" s="335"/>
      <c r="DY457" s="335"/>
      <c r="DZ457" s="335"/>
      <c r="EA457" s="335"/>
      <c r="EB457" s="335"/>
      <c r="EC457" s="335"/>
      <c r="ED457" s="335"/>
      <c r="EE457" s="335"/>
      <c r="EF457" s="335"/>
      <c r="EG457" s="335"/>
      <c r="EH457" s="335"/>
      <c r="EI457" s="335"/>
      <c r="EJ457" s="335"/>
      <c r="EK457" s="335"/>
      <c r="EL457" s="335"/>
      <c r="EM457" s="335"/>
    </row>
    <row r="458" spans="72:143">
      <c r="BT458" s="187"/>
      <c r="BU458" s="187" t="s">
        <v>59</v>
      </c>
      <c r="BV458" s="196">
        <v>120034</v>
      </c>
      <c r="BW458" s="197" t="e">
        <f t="shared" si="142"/>
        <v>#REF!</v>
      </c>
      <c r="BX458" s="198" t="e">
        <f>IF(AND(State_LOB_Code=18,LEFT(BW458,4)&lt;"2009"),81,State_LOB_Code)&amp;"|347"</f>
        <v>#REF!</v>
      </c>
      <c r="BY458" s="215"/>
      <c r="BZ458" s="216"/>
      <c r="CD458" s="163"/>
      <c r="CE458" s="363"/>
      <c r="CF458" s="335"/>
      <c r="CG458" s="335"/>
      <c r="CH458" s="335"/>
      <c r="CI458" s="335"/>
      <c r="CJ458" s="335"/>
      <c r="CK458" s="335"/>
      <c r="CL458" s="335"/>
      <c r="CM458" s="335"/>
      <c r="CN458" s="335"/>
      <c r="CO458" s="335"/>
      <c r="CP458" s="335"/>
      <c r="CQ458" s="335"/>
      <c r="CR458" s="335"/>
      <c r="CS458" s="335"/>
      <c r="CT458" s="335"/>
      <c r="CU458" s="335"/>
      <c r="CV458" s="335"/>
      <c r="CW458" s="335"/>
      <c r="CX458" s="335"/>
      <c r="CY458" s="335"/>
      <c r="CZ458" s="335"/>
      <c r="DA458" s="335"/>
      <c r="DB458" s="335"/>
      <c r="DC458" s="335"/>
      <c r="DD458" s="335"/>
      <c r="DE458" s="335"/>
      <c r="DF458" s="335"/>
      <c r="DG458" s="335"/>
      <c r="DH458" s="335"/>
      <c r="DI458" s="335"/>
      <c r="DJ458" s="335"/>
      <c r="DK458" s="335"/>
      <c r="DL458" s="335"/>
      <c r="DM458" s="335"/>
      <c r="DN458" s="335"/>
      <c r="DO458" s="335"/>
      <c r="DP458" s="335"/>
      <c r="DQ458" s="335"/>
      <c r="DR458" s="335"/>
      <c r="DS458" s="335"/>
      <c r="DT458" s="335"/>
      <c r="DU458" s="335"/>
      <c r="DV458" s="335"/>
      <c r="DW458" s="335"/>
      <c r="DX458" s="335"/>
      <c r="DY458" s="335"/>
      <c r="DZ458" s="335"/>
      <c r="EA458" s="335"/>
      <c r="EB458" s="335"/>
      <c r="EC458" s="335"/>
      <c r="ED458" s="335"/>
      <c r="EE458" s="335"/>
      <c r="EF458" s="335"/>
      <c r="EG458" s="335"/>
      <c r="EH458" s="335"/>
      <c r="EI458" s="335"/>
      <c r="EJ458" s="335"/>
      <c r="EK458" s="335"/>
      <c r="EL458" s="335"/>
      <c r="EM458" s="335"/>
    </row>
    <row r="459" spans="72:143">
      <c r="BT459" s="187"/>
      <c r="BU459" s="187" t="s">
        <v>60</v>
      </c>
      <c r="BV459" s="196">
        <v>120034</v>
      </c>
      <c r="BW459" s="197" t="e">
        <f t="shared" si="142"/>
        <v>#REF!</v>
      </c>
      <c r="BX459" s="198" t="e">
        <f>IF(AND(State_LOB_Code=18,LEFT(BW459,4)&lt;"2009"),81,State_LOB_Code)&amp;"|348"</f>
        <v>#REF!</v>
      </c>
      <c r="BY459" s="215"/>
      <c r="BZ459" s="216"/>
      <c r="CD459" s="163"/>
      <c r="CE459" s="363"/>
      <c r="CF459" s="335"/>
      <c r="CG459" s="335"/>
      <c r="CH459" s="335"/>
      <c r="CI459" s="335"/>
      <c r="CJ459" s="335"/>
      <c r="CK459" s="335"/>
      <c r="CL459" s="335"/>
      <c r="CM459" s="335"/>
      <c r="CN459" s="335"/>
      <c r="CO459" s="335"/>
      <c r="CP459" s="335"/>
      <c r="CQ459" s="335"/>
      <c r="CR459" s="335"/>
      <c r="CS459" s="335"/>
      <c r="CT459" s="335"/>
      <c r="CU459" s="335"/>
      <c r="CV459" s="335"/>
      <c r="CW459" s="335"/>
      <c r="CX459" s="335"/>
      <c r="CY459" s="335"/>
      <c r="CZ459" s="335"/>
      <c r="DA459" s="335"/>
      <c r="DB459" s="335"/>
      <c r="DC459" s="335"/>
      <c r="DD459" s="335"/>
      <c r="DE459" s="335"/>
      <c r="DF459" s="335"/>
      <c r="DG459" s="335"/>
      <c r="DH459" s="335"/>
      <c r="DI459" s="335"/>
      <c r="DJ459" s="335"/>
      <c r="DK459" s="335"/>
      <c r="DL459" s="335"/>
      <c r="DM459" s="335"/>
      <c r="DN459" s="335"/>
      <c r="DO459" s="335"/>
      <c r="DP459" s="335"/>
      <c r="DQ459" s="335"/>
      <c r="DR459" s="335"/>
      <c r="DS459" s="335"/>
      <c r="DT459" s="335"/>
      <c r="DU459" s="335"/>
      <c r="DV459" s="335"/>
      <c r="DW459" s="335"/>
      <c r="DX459" s="335"/>
      <c r="DY459" s="335"/>
      <c r="DZ459" s="335"/>
      <c r="EA459" s="335"/>
      <c r="EB459" s="335"/>
      <c r="EC459" s="335"/>
      <c r="ED459" s="335"/>
      <c r="EE459" s="335"/>
      <c r="EF459" s="335"/>
      <c r="EG459" s="335"/>
      <c r="EH459" s="335"/>
      <c r="EI459" s="335"/>
      <c r="EJ459" s="335"/>
      <c r="EK459" s="335"/>
      <c r="EL459" s="335"/>
      <c r="EM459" s="335"/>
    </row>
    <row r="460" spans="72:143">
      <c r="BT460" s="187"/>
      <c r="BU460" s="187" t="s">
        <v>61</v>
      </c>
      <c r="BV460" s="196">
        <v>120034</v>
      </c>
      <c r="BW460" s="197" t="e">
        <f t="shared" si="142"/>
        <v>#REF!</v>
      </c>
      <c r="BX460" s="198" t="e">
        <f>IF(AND(State_LOB_Code=18,LEFT(BW460,4)&lt;"2009"),81,State_LOB_Code)&amp;"|349"</f>
        <v>#REF!</v>
      </c>
      <c r="BY460" s="215"/>
      <c r="BZ460" s="216"/>
      <c r="CD460" s="163"/>
      <c r="CE460" s="363"/>
      <c r="CF460" s="335"/>
      <c r="CG460" s="335"/>
      <c r="CH460" s="335"/>
      <c r="CI460" s="335"/>
      <c r="CJ460" s="335"/>
      <c r="CK460" s="335"/>
      <c r="CL460" s="335"/>
      <c r="CM460" s="335"/>
      <c r="CN460" s="335"/>
      <c r="CO460" s="335"/>
      <c r="CP460" s="335"/>
      <c r="CQ460" s="335"/>
      <c r="CR460" s="335"/>
      <c r="CS460" s="335"/>
      <c r="CT460" s="335"/>
      <c r="CU460" s="335"/>
      <c r="CV460" s="335"/>
      <c r="CW460" s="335"/>
      <c r="CX460" s="335"/>
      <c r="CY460" s="335"/>
      <c r="CZ460" s="335"/>
      <c r="DA460" s="335"/>
      <c r="DB460" s="335"/>
      <c r="DC460" s="335"/>
      <c r="DD460" s="335"/>
      <c r="DE460" s="335"/>
      <c r="DF460" s="335"/>
      <c r="DG460" s="335"/>
      <c r="DH460" s="335"/>
      <c r="DI460" s="335"/>
      <c r="DJ460" s="335"/>
      <c r="DK460" s="335"/>
      <c r="DL460" s="335"/>
      <c r="DM460" s="335"/>
      <c r="DN460" s="335"/>
      <c r="DO460" s="335"/>
      <c r="DP460" s="335"/>
      <c r="DQ460" s="335"/>
      <c r="DR460" s="335"/>
      <c r="DS460" s="335"/>
      <c r="DT460" s="335"/>
      <c r="DU460" s="335"/>
      <c r="DV460" s="335"/>
      <c r="DW460" s="335"/>
      <c r="DX460" s="335"/>
      <c r="DY460" s="335"/>
      <c r="DZ460" s="335"/>
      <c r="EA460" s="335"/>
      <c r="EB460" s="335"/>
      <c r="EC460" s="335"/>
      <c r="ED460" s="335"/>
      <c r="EE460" s="335"/>
      <c r="EF460" s="335"/>
      <c r="EG460" s="335"/>
      <c r="EH460" s="335"/>
      <c r="EI460" s="335"/>
      <c r="EJ460" s="335"/>
      <c r="EK460" s="335"/>
      <c r="EL460" s="335"/>
      <c r="EM460" s="335"/>
    </row>
    <row r="461" spans="72:143">
      <c r="BT461" s="187"/>
      <c r="BU461" s="187" t="s">
        <v>62</v>
      </c>
      <c r="BV461" s="196">
        <v>120034</v>
      </c>
      <c r="BW461" s="197" t="e">
        <f t="shared" si="142"/>
        <v>#REF!</v>
      </c>
      <c r="BX461" s="198" t="e">
        <f>IF(AND(State_LOB_Code=18,LEFT(BW461,4)&lt;"2009"),81,State_LOB_Code)&amp;"|350"</f>
        <v>#REF!</v>
      </c>
      <c r="BY461" s="215"/>
      <c r="BZ461" s="216"/>
      <c r="CD461" s="163"/>
      <c r="CE461" s="363"/>
      <c r="CF461" s="335"/>
      <c r="CG461" s="335"/>
      <c r="CH461" s="335"/>
      <c r="CI461" s="335"/>
      <c r="CJ461" s="335"/>
      <c r="CK461" s="335"/>
      <c r="CL461" s="335"/>
      <c r="CM461" s="335"/>
      <c r="CN461" s="335"/>
      <c r="CO461" s="335"/>
      <c r="CP461" s="335"/>
      <c r="CQ461" s="335"/>
      <c r="CR461" s="335"/>
      <c r="CS461" s="335"/>
      <c r="CT461" s="335"/>
      <c r="CU461" s="335"/>
      <c r="CV461" s="335"/>
      <c r="CW461" s="335"/>
      <c r="CX461" s="335"/>
      <c r="CY461" s="335"/>
      <c r="CZ461" s="335"/>
      <c r="DA461" s="335"/>
      <c r="DB461" s="335"/>
      <c r="DC461" s="335"/>
      <c r="DD461" s="335"/>
      <c r="DE461" s="335"/>
      <c r="DF461" s="335"/>
      <c r="DG461" s="335"/>
      <c r="DH461" s="335"/>
      <c r="DI461" s="335"/>
      <c r="DJ461" s="335"/>
      <c r="DK461" s="335"/>
      <c r="DL461" s="335"/>
      <c r="DM461" s="335"/>
      <c r="DN461" s="335"/>
      <c r="DO461" s="335"/>
      <c r="DP461" s="335"/>
      <c r="DQ461" s="335"/>
      <c r="DR461" s="335"/>
      <c r="DS461" s="335"/>
      <c r="DT461" s="335"/>
      <c r="DU461" s="335"/>
      <c r="DV461" s="335"/>
      <c r="DW461" s="335"/>
      <c r="DX461" s="335"/>
      <c r="DY461" s="335"/>
      <c r="DZ461" s="335"/>
      <c r="EA461" s="335"/>
      <c r="EB461" s="335"/>
      <c r="EC461" s="335"/>
      <c r="ED461" s="335"/>
      <c r="EE461" s="335"/>
      <c r="EF461" s="335"/>
      <c r="EG461" s="335"/>
      <c r="EH461" s="335"/>
      <c r="EI461" s="335"/>
      <c r="EJ461" s="335"/>
      <c r="EK461" s="335"/>
      <c r="EL461" s="335"/>
      <c r="EM461" s="335"/>
    </row>
    <row r="462" spans="72:143">
      <c r="BT462" s="187"/>
      <c r="BU462" s="187" t="s">
        <v>63</v>
      </c>
      <c r="BV462" s="196">
        <v>120034</v>
      </c>
      <c r="BW462" s="197" t="e">
        <f t="shared" si="142"/>
        <v>#REF!</v>
      </c>
      <c r="BX462" s="198" t="e">
        <f>IF(AND(State_LOB_Code=18,LEFT(BW462,4)&lt;"2009"),81,State_LOB_Code)&amp;"|351"</f>
        <v>#REF!</v>
      </c>
      <c r="BY462" s="215"/>
      <c r="BZ462" s="216"/>
      <c r="CD462" s="163"/>
      <c r="CE462" s="363"/>
      <c r="CF462" s="335"/>
      <c r="CG462" s="335"/>
      <c r="CH462" s="335"/>
      <c r="CI462" s="335"/>
      <c r="CJ462" s="335"/>
      <c r="CK462" s="335"/>
      <c r="CL462" s="335"/>
      <c r="CM462" s="335"/>
      <c r="CN462" s="335"/>
      <c r="CO462" s="335"/>
      <c r="CP462" s="335"/>
      <c r="CQ462" s="335"/>
      <c r="CR462" s="335"/>
      <c r="CS462" s="335"/>
      <c r="CT462" s="335"/>
      <c r="CU462" s="335"/>
      <c r="CV462" s="335"/>
      <c r="CW462" s="335"/>
      <c r="CX462" s="335"/>
      <c r="CY462" s="335"/>
      <c r="CZ462" s="335"/>
      <c r="DA462" s="335"/>
      <c r="DB462" s="335"/>
      <c r="DC462" s="335"/>
      <c r="DD462" s="335"/>
      <c r="DE462" s="335"/>
      <c r="DF462" s="335"/>
      <c r="DG462" s="335"/>
      <c r="DH462" s="335"/>
      <c r="DI462" s="335"/>
      <c r="DJ462" s="335"/>
      <c r="DK462" s="335"/>
      <c r="DL462" s="335"/>
      <c r="DM462" s="335"/>
      <c r="DN462" s="335"/>
      <c r="DO462" s="335"/>
      <c r="DP462" s="335"/>
      <c r="DQ462" s="335"/>
      <c r="DR462" s="335"/>
      <c r="DS462" s="335"/>
      <c r="DT462" s="335"/>
      <c r="DU462" s="335"/>
      <c r="DV462" s="335"/>
      <c r="DW462" s="335"/>
      <c r="DX462" s="335"/>
      <c r="DY462" s="335"/>
      <c r="DZ462" s="335"/>
      <c r="EA462" s="335"/>
      <c r="EB462" s="335"/>
      <c r="EC462" s="335"/>
      <c r="ED462" s="335"/>
      <c r="EE462" s="335"/>
      <c r="EF462" s="335"/>
      <c r="EG462" s="335"/>
      <c r="EH462" s="335"/>
      <c r="EI462" s="335"/>
      <c r="EJ462" s="335"/>
      <c r="EK462" s="335"/>
      <c r="EL462" s="335"/>
      <c r="EM462" s="335"/>
    </row>
    <row r="463" spans="72:143">
      <c r="BT463" s="187"/>
      <c r="BU463" s="187" t="s">
        <v>64</v>
      </c>
      <c r="BV463" s="196">
        <v>120034</v>
      </c>
      <c r="BW463" s="197" t="e">
        <f t="shared" si="142"/>
        <v>#REF!</v>
      </c>
      <c r="BX463" s="198" t="e">
        <f>IF(AND(State_LOB_Code=18,LEFT(BW463,4)&lt;"2009"),81,State_LOB_Code)&amp;"|352"</f>
        <v>#REF!</v>
      </c>
      <c r="BY463" s="215"/>
      <c r="BZ463" s="216"/>
      <c r="CD463" s="163"/>
      <c r="CE463" s="363"/>
      <c r="CF463" s="335"/>
      <c r="CG463" s="335"/>
      <c r="CH463" s="335"/>
      <c r="CI463" s="335"/>
      <c r="CJ463" s="335"/>
      <c r="CK463" s="335"/>
      <c r="CL463" s="335"/>
      <c r="CM463" s="335"/>
      <c r="CN463" s="335"/>
      <c r="CO463" s="335"/>
      <c r="CP463" s="335"/>
      <c r="CQ463" s="335"/>
      <c r="CR463" s="335"/>
      <c r="CS463" s="335"/>
      <c r="CT463" s="335"/>
      <c r="CU463" s="335"/>
      <c r="CV463" s="335"/>
      <c r="CW463" s="335"/>
      <c r="CX463" s="335"/>
      <c r="CY463" s="335"/>
      <c r="CZ463" s="335"/>
      <c r="DA463" s="335"/>
      <c r="DB463" s="335"/>
      <c r="DC463" s="335"/>
      <c r="DD463" s="335"/>
      <c r="DE463" s="335"/>
      <c r="DF463" s="335"/>
      <c r="DG463" s="335"/>
      <c r="DH463" s="335"/>
      <c r="DI463" s="335"/>
      <c r="DJ463" s="335"/>
      <c r="DK463" s="335"/>
      <c r="DL463" s="335"/>
      <c r="DM463" s="335"/>
      <c r="DN463" s="335"/>
      <c r="DO463" s="335"/>
      <c r="DP463" s="335"/>
      <c r="DQ463" s="335"/>
      <c r="DR463" s="335"/>
      <c r="DS463" s="335"/>
      <c r="DT463" s="335"/>
      <c r="DU463" s="335"/>
      <c r="DV463" s="335"/>
      <c r="DW463" s="335"/>
      <c r="DX463" s="335"/>
      <c r="DY463" s="335"/>
      <c r="DZ463" s="335"/>
      <c r="EA463" s="335"/>
      <c r="EB463" s="335"/>
      <c r="EC463" s="335"/>
      <c r="ED463" s="335"/>
      <c r="EE463" s="335"/>
      <c r="EF463" s="335"/>
      <c r="EG463" s="335"/>
      <c r="EH463" s="335"/>
      <c r="EI463" s="335"/>
      <c r="EJ463" s="335"/>
      <c r="EK463" s="335"/>
      <c r="EL463" s="335"/>
      <c r="EM463" s="335"/>
    </row>
    <row r="464" spans="72:143">
      <c r="BT464" s="187"/>
      <c r="BU464" s="187" t="s">
        <v>65</v>
      </c>
      <c r="BV464" s="196">
        <v>120034</v>
      </c>
      <c r="BW464" s="197" t="e">
        <f t="shared" si="142"/>
        <v>#REF!</v>
      </c>
      <c r="BX464" s="198" t="e">
        <f>IF(AND(State_LOB_Code=18,LEFT(BW464,4)&lt;"2009"),81,State_LOB_Code)&amp;"|353"</f>
        <v>#REF!</v>
      </c>
      <c r="BY464" s="215"/>
      <c r="BZ464" s="216"/>
      <c r="CD464" s="163"/>
      <c r="CE464" s="363"/>
      <c r="CF464" s="335"/>
      <c r="CG464" s="335"/>
      <c r="CH464" s="335"/>
      <c r="CI464" s="335"/>
      <c r="CJ464" s="335"/>
      <c r="CK464" s="335"/>
      <c r="CL464" s="335"/>
      <c r="CM464" s="335"/>
      <c r="CN464" s="335"/>
      <c r="CO464" s="335"/>
      <c r="CP464" s="335"/>
      <c r="CQ464" s="335"/>
      <c r="CR464" s="335"/>
      <c r="CS464" s="335"/>
      <c r="CT464" s="335"/>
      <c r="CU464" s="335"/>
      <c r="CV464" s="335"/>
      <c r="CW464" s="335"/>
      <c r="CX464" s="335"/>
      <c r="CY464" s="335"/>
      <c r="CZ464" s="335"/>
      <c r="DA464" s="335"/>
      <c r="DB464" s="335"/>
      <c r="DC464" s="335"/>
      <c r="DD464" s="335"/>
      <c r="DE464" s="335"/>
      <c r="DF464" s="335"/>
      <c r="DG464" s="335"/>
      <c r="DH464" s="335"/>
      <c r="DI464" s="335"/>
      <c r="DJ464" s="335"/>
      <c r="DK464" s="335"/>
      <c r="DL464" s="335"/>
      <c r="DM464" s="335"/>
      <c r="DN464" s="335"/>
      <c r="DO464" s="335"/>
      <c r="DP464" s="335"/>
      <c r="DQ464" s="335"/>
      <c r="DR464" s="335"/>
      <c r="DS464" s="335"/>
      <c r="DT464" s="335"/>
      <c r="DU464" s="335"/>
      <c r="DV464" s="335"/>
      <c r="DW464" s="335"/>
      <c r="DX464" s="335"/>
      <c r="DY464" s="335"/>
      <c r="DZ464" s="335"/>
      <c r="EA464" s="335"/>
      <c r="EB464" s="335"/>
      <c r="EC464" s="335"/>
      <c r="ED464" s="335"/>
      <c r="EE464" s="335"/>
      <c r="EF464" s="335"/>
      <c r="EG464" s="335"/>
      <c r="EH464" s="335"/>
      <c r="EI464" s="335"/>
      <c r="EJ464" s="335"/>
      <c r="EK464" s="335"/>
      <c r="EL464" s="335"/>
      <c r="EM464" s="335"/>
    </row>
    <row r="465" spans="72:143">
      <c r="BT465" s="187"/>
      <c r="BU465" s="187" t="s">
        <v>66</v>
      </c>
      <c r="BV465" s="196">
        <v>120034</v>
      </c>
      <c r="BW465" s="197" t="e">
        <f t="shared" si="142"/>
        <v>#REF!</v>
      </c>
      <c r="BX465" s="198" t="e">
        <f>IF(AND(State_LOB_Code=18,LEFT(BW465,4)&lt;"2009"),81,State_LOB_Code)&amp;"|354"</f>
        <v>#REF!</v>
      </c>
      <c r="BY465" s="215"/>
      <c r="BZ465" s="216"/>
      <c r="CD465" s="163"/>
      <c r="CE465" s="363"/>
      <c r="CF465" s="335"/>
      <c r="CG465" s="335"/>
      <c r="CH465" s="335"/>
      <c r="CI465" s="335"/>
      <c r="CJ465" s="335"/>
      <c r="CK465" s="335"/>
      <c r="CL465" s="335"/>
      <c r="CM465" s="335"/>
      <c r="CN465" s="335"/>
      <c r="CO465" s="335"/>
      <c r="CP465" s="335"/>
      <c r="CQ465" s="335"/>
      <c r="CR465" s="335"/>
      <c r="CS465" s="335"/>
      <c r="CT465" s="335"/>
      <c r="CU465" s="335"/>
      <c r="CV465" s="335"/>
      <c r="CW465" s="335"/>
      <c r="CX465" s="335"/>
      <c r="CY465" s="335"/>
      <c r="CZ465" s="335"/>
      <c r="DA465" s="335"/>
      <c r="DB465" s="335"/>
      <c r="DC465" s="335"/>
      <c r="DD465" s="335"/>
      <c r="DE465" s="335"/>
      <c r="DF465" s="335"/>
      <c r="DG465" s="335"/>
      <c r="DH465" s="335"/>
      <c r="DI465" s="335"/>
      <c r="DJ465" s="335"/>
      <c r="DK465" s="335"/>
      <c r="DL465" s="335"/>
      <c r="DM465" s="335"/>
      <c r="DN465" s="335"/>
      <c r="DO465" s="335"/>
      <c r="DP465" s="335"/>
      <c r="DQ465" s="335"/>
      <c r="DR465" s="335"/>
      <c r="DS465" s="335"/>
      <c r="DT465" s="335"/>
      <c r="DU465" s="335"/>
      <c r="DV465" s="335"/>
      <c r="DW465" s="335"/>
      <c r="DX465" s="335"/>
      <c r="DY465" s="335"/>
      <c r="DZ465" s="335"/>
      <c r="EA465" s="335"/>
      <c r="EB465" s="335"/>
      <c r="EC465" s="335"/>
      <c r="ED465" s="335"/>
      <c r="EE465" s="335"/>
      <c r="EF465" s="335"/>
      <c r="EG465" s="335"/>
      <c r="EH465" s="335"/>
      <c r="EI465" s="335"/>
      <c r="EJ465" s="335"/>
      <c r="EK465" s="335"/>
      <c r="EL465" s="335"/>
      <c r="EM465" s="335"/>
    </row>
    <row r="466" spans="72:143">
      <c r="BT466" s="187"/>
      <c r="BU466" s="187" t="s">
        <v>67</v>
      </c>
      <c r="BV466" s="196">
        <v>120034</v>
      </c>
      <c r="BW466" s="197" t="e">
        <f t="shared" si="142"/>
        <v>#REF!</v>
      </c>
      <c r="BX466" s="198" t="e">
        <f>IF(AND(State_LOB_Code=18,LEFT(BW466,4)&lt;"2009"),81,State_LOB_Code)&amp;"|355"</f>
        <v>#REF!</v>
      </c>
      <c r="BY466" s="215"/>
      <c r="BZ466" s="216"/>
      <c r="CD466" s="163"/>
      <c r="CE466" s="363"/>
      <c r="CF466" s="335"/>
      <c r="CG466" s="335"/>
      <c r="CH466" s="335"/>
      <c r="CI466" s="335"/>
      <c r="CJ466" s="335"/>
      <c r="CK466" s="335"/>
      <c r="CL466" s="335"/>
      <c r="CM466" s="335"/>
      <c r="CN466" s="335"/>
      <c r="CO466" s="335"/>
      <c r="CP466" s="335"/>
      <c r="CQ466" s="335"/>
      <c r="CR466" s="335"/>
      <c r="CS466" s="335"/>
      <c r="CT466" s="335"/>
      <c r="CU466" s="335"/>
      <c r="CV466" s="335"/>
      <c r="CW466" s="335"/>
      <c r="CX466" s="335"/>
      <c r="CY466" s="335"/>
      <c r="CZ466" s="335"/>
      <c r="DA466" s="335"/>
      <c r="DB466" s="335"/>
      <c r="DC466" s="335"/>
      <c r="DD466" s="335"/>
      <c r="DE466" s="335"/>
      <c r="DF466" s="335"/>
      <c r="DG466" s="335"/>
      <c r="DH466" s="335"/>
      <c r="DI466" s="335"/>
      <c r="DJ466" s="335"/>
      <c r="DK466" s="335"/>
      <c r="DL466" s="335"/>
      <c r="DM466" s="335"/>
      <c r="DN466" s="335"/>
      <c r="DO466" s="335"/>
      <c r="DP466" s="335"/>
      <c r="DQ466" s="335"/>
      <c r="DR466" s="335"/>
      <c r="DS466" s="335"/>
      <c r="DT466" s="335"/>
      <c r="DU466" s="335"/>
      <c r="DV466" s="335"/>
      <c r="DW466" s="335"/>
      <c r="DX466" s="335"/>
      <c r="DY466" s="335"/>
      <c r="DZ466" s="335"/>
      <c r="EA466" s="335"/>
      <c r="EB466" s="335"/>
      <c r="EC466" s="335"/>
      <c r="ED466" s="335"/>
      <c r="EE466" s="335"/>
      <c r="EF466" s="335"/>
      <c r="EG466" s="335"/>
      <c r="EH466" s="335"/>
      <c r="EI466" s="335"/>
      <c r="EJ466" s="335"/>
      <c r="EK466" s="335"/>
      <c r="EL466" s="335"/>
      <c r="EM466" s="335"/>
    </row>
    <row r="467" spans="72:143">
      <c r="BT467" s="187"/>
      <c r="BU467" s="187" t="s">
        <v>68</v>
      </c>
      <c r="BV467" s="196">
        <v>120034</v>
      </c>
      <c r="BW467" s="197" t="e">
        <f t="shared" si="142"/>
        <v>#REF!</v>
      </c>
      <c r="BX467" s="198" t="e">
        <f>IF(AND(State_LOB_Code=18,LEFT(BW467,4)&lt;"2009"),81,State_LOB_Code)&amp;"|356"</f>
        <v>#REF!</v>
      </c>
      <c r="BY467" s="215"/>
      <c r="BZ467" s="216"/>
      <c r="CD467" s="163"/>
      <c r="CE467" s="363"/>
      <c r="CF467" s="335"/>
      <c r="CG467" s="335"/>
      <c r="CH467" s="335"/>
      <c r="CI467" s="335"/>
      <c r="CJ467" s="335"/>
      <c r="CK467" s="335"/>
      <c r="CL467" s="335"/>
      <c r="CM467" s="335"/>
      <c r="CN467" s="335"/>
      <c r="CO467" s="335"/>
      <c r="CP467" s="335"/>
      <c r="CQ467" s="335"/>
      <c r="CR467" s="335"/>
      <c r="CS467" s="335"/>
      <c r="CT467" s="335"/>
      <c r="CU467" s="335"/>
      <c r="CV467" s="335"/>
      <c r="CW467" s="335"/>
      <c r="CX467" s="335"/>
      <c r="CY467" s="335"/>
      <c r="CZ467" s="335"/>
      <c r="DA467" s="335"/>
      <c r="DB467" s="335"/>
      <c r="DC467" s="335"/>
      <c r="DD467" s="335"/>
      <c r="DE467" s="335"/>
      <c r="DF467" s="335"/>
      <c r="DG467" s="335"/>
      <c r="DH467" s="335"/>
      <c r="DI467" s="335"/>
      <c r="DJ467" s="335"/>
      <c r="DK467" s="335"/>
      <c r="DL467" s="335"/>
      <c r="DM467" s="335"/>
      <c r="DN467" s="335"/>
      <c r="DO467" s="335"/>
      <c r="DP467" s="335"/>
      <c r="DQ467" s="335"/>
      <c r="DR467" s="335"/>
      <c r="DS467" s="335"/>
      <c r="DT467" s="335"/>
      <c r="DU467" s="335"/>
      <c r="DV467" s="335"/>
      <c r="DW467" s="335"/>
      <c r="DX467" s="335"/>
      <c r="DY467" s="335"/>
      <c r="DZ467" s="335"/>
      <c r="EA467" s="335"/>
      <c r="EB467" s="335"/>
      <c r="EC467" s="335"/>
      <c r="ED467" s="335"/>
      <c r="EE467" s="335"/>
      <c r="EF467" s="335"/>
      <c r="EG467" s="335"/>
      <c r="EH467" s="335"/>
      <c r="EI467" s="335"/>
      <c r="EJ467" s="335"/>
      <c r="EK467" s="335"/>
      <c r="EL467" s="335"/>
      <c r="EM467" s="335"/>
    </row>
    <row r="468" spans="72:143">
      <c r="BT468" s="187"/>
      <c r="BU468" s="187" t="s">
        <v>69</v>
      </c>
      <c r="BV468" s="196">
        <v>120034</v>
      </c>
      <c r="BW468" s="197" t="e">
        <f t="shared" si="142"/>
        <v>#REF!</v>
      </c>
      <c r="BX468" s="198" t="e">
        <f>IF(AND(State_LOB_Code=18,LEFT(BW468,4)&lt;"2009"),81,State_LOB_Code)&amp;"|357"</f>
        <v>#REF!</v>
      </c>
      <c r="BY468" s="215"/>
      <c r="BZ468" s="216"/>
      <c r="CD468" s="163"/>
      <c r="CE468" s="363"/>
      <c r="CF468" s="335"/>
      <c r="CG468" s="335"/>
      <c r="CH468" s="335"/>
      <c r="CI468" s="335"/>
      <c r="CJ468" s="335"/>
      <c r="CK468" s="335"/>
      <c r="CL468" s="335"/>
      <c r="CM468" s="335"/>
      <c r="CN468" s="335"/>
      <c r="CO468" s="335"/>
      <c r="CP468" s="335"/>
      <c r="CQ468" s="335"/>
      <c r="CR468" s="335"/>
      <c r="CS468" s="335"/>
      <c r="CT468" s="335"/>
      <c r="CU468" s="335"/>
      <c r="CV468" s="335"/>
      <c r="CW468" s="335"/>
      <c r="CX468" s="335"/>
      <c r="CY468" s="335"/>
      <c r="CZ468" s="335"/>
      <c r="DA468" s="335"/>
      <c r="DB468" s="335"/>
      <c r="DC468" s="335"/>
      <c r="DD468" s="335"/>
      <c r="DE468" s="335"/>
      <c r="DF468" s="335"/>
      <c r="DG468" s="335"/>
      <c r="DH468" s="335"/>
      <c r="DI468" s="335"/>
      <c r="DJ468" s="335"/>
      <c r="DK468" s="335"/>
      <c r="DL468" s="335"/>
      <c r="DM468" s="335"/>
      <c r="DN468" s="335"/>
      <c r="DO468" s="335"/>
      <c r="DP468" s="335"/>
      <c r="DQ468" s="335"/>
      <c r="DR468" s="335"/>
      <c r="DS468" s="335"/>
      <c r="DT468" s="335"/>
      <c r="DU468" s="335"/>
      <c r="DV468" s="335"/>
      <c r="DW468" s="335"/>
      <c r="DX468" s="335"/>
      <c r="DY468" s="335"/>
      <c r="DZ468" s="335"/>
      <c r="EA468" s="335"/>
      <c r="EB468" s="335"/>
      <c r="EC468" s="335"/>
      <c r="ED468" s="335"/>
      <c r="EE468" s="335"/>
      <c r="EF468" s="335"/>
      <c r="EG468" s="335"/>
      <c r="EH468" s="335"/>
      <c r="EI468" s="335"/>
      <c r="EJ468" s="335"/>
      <c r="EK468" s="335"/>
      <c r="EL468" s="335"/>
      <c r="EM468" s="335"/>
    </row>
    <row r="469" spans="72:143">
      <c r="BT469" s="187"/>
      <c r="BU469" s="187" t="s">
        <v>70</v>
      </c>
      <c r="BV469" s="196">
        <v>120034</v>
      </c>
      <c r="BW469" s="197" t="e">
        <f t="shared" si="142"/>
        <v>#REF!</v>
      </c>
      <c r="BX469" s="198" t="e">
        <f>IF(AND(State_LOB_Code=18,LEFT(BW469,4)&lt;"2009"),81,State_LOB_Code)&amp;"|358"</f>
        <v>#REF!</v>
      </c>
      <c r="BY469" s="215"/>
      <c r="BZ469" s="216"/>
      <c r="CD469" s="163"/>
      <c r="CE469" s="363"/>
      <c r="CF469" s="335"/>
      <c r="CG469" s="335"/>
      <c r="CH469" s="335"/>
      <c r="CI469" s="335"/>
      <c r="CJ469" s="335"/>
      <c r="CK469" s="335"/>
      <c r="CL469" s="335"/>
      <c r="CM469" s="335"/>
      <c r="CN469" s="335"/>
      <c r="CO469" s="335"/>
      <c r="CP469" s="335"/>
      <c r="CQ469" s="335"/>
      <c r="CR469" s="335"/>
      <c r="CS469" s="335"/>
      <c r="CT469" s="335"/>
      <c r="CU469" s="335"/>
      <c r="CV469" s="335"/>
      <c r="CW469" s="335"/>
      <c r="CX469" s="335"/>
      <c r="CY469" s="335"/>
      <c r="CZ469" s="335"/>
      <c r="DA469" s="335"/>
      <c r="DB469" s="335"/>
      <c r="DC469" s="335"/>
      <c r="DD469" s="335"/>
      <c r="DE469" s="335"/>
      <c r="DF469" s="335"/>
      <c r="DG469" s="335"/>
      <c r="DH469" s="335"/>
      <c r="DI469" s="335"/>
      <c r="DJ469" s="335"/>
      <c r="DK469" s="335"/>
      <c r="DL469" s="335"/>
      <c r="DM469" s="335"/>
      <c r="DN469" s="335"/>
      <c r="DO469" s="335"/>
      <c r="DP469" s="335"/>
      <c r="DQ469" s="335"/>
      <c r="DR469" s="335"/>
      <c r="DS469" s="335"/>
      <c r="DT469" s="335"/>
      <c r="DU469" s="335"/>
      <c r="DV469" s="335"/>
      <c r="DW469" s="335"/>
      <c r="DX469" s="335"/>
      <c r="DY469" s="335"/>
      <c r="DZ469" s="335"/>
      <c r="EA469" s="335"/>
      <c r="EB469" s="335"/>
      <c r="EC469" s="335"/>
      <c r="ED469" s="335"/>
      <c r="EE469" s="335"/>
      <c r="EF469" s="335"/>
      <c r="EG469" s="335"/>
      <c r="EH469" s="335"/>
      <c r="EI469" s="335"/>
      <c r="EJ469" s="335"/>
      <c r="EK469" s="335"/>
      <c r="EL469" s="335"/>
      <c r="EM469" s="335"/>
    </row>
    <row r="470" spans="72:143">
      <c r="BT470" s="187"/>
      <c r="BU470" s="187" t="s">
        <v>71</v>
      </c>
      <c r="BV470" s="196">
        <v>120034</v>
      </c>
      <c r="BW470" s="197" t="e">
        <f t="shared" si="142"/>
        <v>#REF!</v>
      </c>
      <c r="BX470" s="198" t="e">
        <f>IF(AND(State_LOB_Code=18,LEFT(BW470,4)&lt;"2009"),81,State_LOB_Code)&amp;"|359"</f>
        <v>#REF!</v>
      </c>
      <c r="BY470" s="215"/>
      <c r="BZ470" s="216"/>
      <c r="CD470" s="163"/>
      <c r="CE470" s="363"/>
      <c r="CF470" s="335"/>
      <c r="CG470" s="335"/>
      <c r="CH470" s="335"/>
      <c r="CI470" s="335"/>
      <c r="CJ470" s="335"/>
      <c r="CK470" s="335"/>
      <c r="CL470" s="335"/>
      <c r="CM470" s="335"/>
      <c r="CN470" s="335"/>
      <c r="CO470" s="335"/>
      <c r="CP470" s="335"/>
      <c r="CQ470" s="335"/>
      <c r="CR470" s="335"/>
      <c r="CS470" s="335"/>
      <c r="CT470" s="335"/>
      <c r="CU470" s="335"/>
      <c r="CV470" s="335"/>
      <c r="CW470" s="335"/>
      <c r="CX470" s="335"/>
      <c r="CY470" s="335"/>
      <c r="CZ470" s="335"/>
      <c r="DA470" s="335"/>
      <c r="DB470" s="335"/>
      <c r="DC470" s="335"/>
      <c r="DD470" s="335"/>
      <c r="DE470" s="335"/>
      <c r="DF470" s="335"/>
      <c r="DG470" s="335"/>
      <c r="DH470" s="335"/>
      <c r="DI470" s="335"/>
      <c r="DJ470" s="335"/>
      <c r="DK470" s="335"/>
      <c r="DL470" s="335"/>
      <c r="DM470" s="335"/>
      <c r="DN470" s="335"/>
      <c r="DO470" s="335"/>
      <c r="DP470" s="335"/>
      <c r="DQ470" s="335"/>
      <c r="DR470" s="335"/>
      <c r="DS470" s="335"/>
      <c r="DT470" s="335"/>
      <c r="DU470" s="335"/>
      <c r="DV470" s="335"/>
      <c r="DW470" s="335"/>
      <c r="DX470" s="335"/>
      <c r="DY470" s="335"/>
      <c r="DZ470" s="335"/>
      <c r="EA470" s="335"/>
      <c r="EB470" s="335"/>
      <c r="EC470" s="335"/>
      <c r="ED470" s="335"/>
      <c r="EE470" s="335"/>
      <c r="EF470" s="335"/>
      <c r="EG470" s="335"/>
      <c r="EH470" s="335"/>
      <c r="EI470" s="335"/>
      <c r="EJ470" s="335"/>
      <c r="EK470" s="335"/>
      <c r="EL470" s="335"/>
      <c r="EM470" s="335"/>
    </row>
    <row r="471" spans="72:143">
      <c r="BT471" s="187"/>
      <c r="BU471" s="187" t="s">
        <v>72</v>
      </c>
      <c r="BV471" s="196">
        <v>120034</v>
      </c>
      <c r="BW471" s="197" t="e">
        <f t="shared" si="142"/>
        <v>#REF!</v>
      </c>
      <c r="BX471" s="198" t="e">
        <f>IF(AND(State_LOB_Code=18,LEFT(BW471,4)&lt;"2009"),81,State_LOB_Code)&amp;"|361"</f>
        <v>#REF!</v>
      </c>
      <c r="BY471" s="215"/>
      <c r="BZ471" s="216"/>
      <c r="CD471" s="163"/>
      <c r="CE471" s="363"/>
      <c r="CF471" s="335"/>
      <c r="CG471" s="335"/>
      <c r="CH471" s="335"/>
      <c r="CI471" s="335"/>
      <c r="CJ471" s="335"/>
      <c r="CK471" s="335"/>
      <c r="CL471" s="335"/>
      <c r="CM471" s="335"/>
      <c r="CN471" s="335"/>
      <c r="CO471" s="335"/>
      <c r="CP471" s="335"/>
      <c r="CQ471" s="335"/>
      <c r="CR471" s="335"/>
      <c r="CS471" s="335"/>
      <c r="CT471" s="335"/>
      <c r="CU471" s="335"/>
      <c r="CV471" s="335"/>
      <c r="CW471" s="335"/>
      <c r="CX471" s="335"/>
      <c r="CY471" s="335"/>
      <c r="CZ471" s="335"/>
      <c r="DA471" s="335"/>
      <c r="DB471" s="335"/>
      <c r="DC471" s="335"/>
      <c r="DD471" s="335"/>
      <c r="DE471" s="335"/>
      <c r="DF471" s="335"/>
      <c r="DG471" s="335"/>
      <c r="DH471" s="335"/>
      <c r="DI471" s="335"/>
      <c r="DJ471" s="335"/>
      <c r="DK471" s="335"/>
      <c r="DL471" s="335"/>
      <c r="DM471" s="335"/>
      <c r="DN471" s="335"/>
      <c r="DO471" s="335"/>
      <c r="DP471" s="335"/>
      <c r="DQ471" s="335"/>
      <c r="DR471" s="335"/>
      <c r="DS471" s="335"/>
      <c r="DT471" s="335"/>
      <c r="DU471" s="335"/>
      <c r="DV471" s="335"/>
      <c r="DW471" s="335"/>
      <c r="DX471" s="335"/>
      <c r="DY471" s="335"/>
      <c r="DZ471" s="335"/>
      <c r="EA471" s="335"/>
      <c r="EB471" s="335"/>
      <c r="EC471" s="335"/>
      <c r="ED471" s="335"/>
      <c r="EE471" s="335"/>
      <c r="EF471" s="335"/>
      <c r="EG471" s="335"/>
      <c r="EH471" s="335"/>
      <c r="EI471" s="335"/>
      <c r="EJ471" s="335"/>
      <c r="EK471" s="335"/>
      <c r="EL471" s="335"/>
      <c r="EM471" s="335"/>
    </row>
    <row r="472" spans="72:143">
      <c r="BT472" s="187"/>
      <c r="BU472" s="187" t="s">
        <v>73</v>
      </c>
      <c r="BV472" s="196">
        <v>120034</v>
      </c>
      <c r="BW472" s="197" t="e">
        <f t="shared" si="142"/>
        <v>#REF!</v>
      </c>
      <c r="BX472" s="198" t="e">
        <f>IF(AND(State_LOB_Code=18,LEFT(BW472,4)&lt;"2009"),81,State_LOB_Code)&amp;"|362"</f>
        <v>#REF!</v>
      </c>
      <c r="BY472" s="215"/>
      <c r="BZ472" s="216"/>
      <c r="CD472" s="163"/>
      <c r="CE472" s="363"/>
      <c r="CF472" s="335"/>
      <c r="CG472" s="335"/>
      <c r="CH472" s="335"/>
      <c r="CI472" s="335"/>
      <c r="CJ472" s="335"/>
      <c r="CK472" s="335"/>
      <c r="CL472" s="335"/>
      <c r="CM472" s="335"/>
      <c r="CN472" s="335"/>
      <c r="CO472" s="335"/>
      <c r="CP472" s="335"/>
      <c r="CQ472" s="335"/>
      <c r="CR472" s="335"/>
      <c r="CS472" s="335"/>
      <c r="CT472" s="335"/>
      <c r="CU472" s="335"/>
      <c r="CV472" s="335"/>
      <c r="CW472" s="335"/>
      <c r="CX472" s="335"/>
      <c r="CY472" s="335"/>
      <c r="CZ472" s="335"/>
      <c r="DA472" s="335"/>
      <c r="DB472" s="335"/>
      <c r="DC472" s="335"/>
      <c r="DD472" s="335"/>
      <c r="DE472" s="335"/>
      <c r="DF472" s="335"/>
      <c r="DG472" s="335"/>
      <c r="DH472" s="335"/>
      <c r="DI472" s="335"/>
      <c r="DJ472" s="335"/>
      <c r="DK472" s="335"/>
      <c r="DL472" s="335"/>
      <c r="DM472" s="335"/>
      <c r="DN472" s="335"/>
      <c r="DO472" s="335"/>
      <c r="DP472" s="335"/>
      <c r="DQ472" s="335"/>
      <c r="DR472" s="335"/>
      <c r="DS472" s="335"/>
      <c r="DT472" s="335"/>
      <c r="DU472" s="335"/>
      <c r="DV472" s="335"/>
      <c r="DW472" s="335"/>
      <c r="DX472" s="335"/>
      <c r="DY472" s="335"/>
      <c r="DZ472" s="335"/>
      <c r="EA472" s="335"/>
      <c r="EB472" s="335"/>
      <c r="EC472" s="335"/>
      <c r="ED472" s="335"/>
      <c r="EE472" s="335"/>
      <c r="EF472" s="335"/>
      <c r="EG472" s="335"/>
      <c r="EH472" s="335"/>
      <c r="EI472" s="335"/>
      <c r="EJ472" s="335"/>
      <c r="EK472" s="335"/>
      <c r="EL472" s="335"/>
      <c r="EM472" s="335"/>
    </row>
    <row r="473" spans="72:143">
      <c r="BT473" s="187"/>
      <c r="BU473" s="187" t="s">
        <v>74</v>
      </c>
      <c r="BV473" s="196">
        <v>120034</v>
      </c>
      <c r="BW473" s="197" t="e">
        <f t="shared" si="142"/>
        <v>#REF!</v>
      </c>
      <c r="BX473" s="198" t="e">
        <f>IF(AND(State_LOB_Code=18,LEFT(BW473,4)&lt;"2009"),81,State_LOB_Code)&amp;"|363"</f>
        <v>#REF!</v>
      </c>
      <c r="BY473" s="215"/>
      <c r="BZ473" s="216"/>
      <c r="CD473" s="163"/>
      <c r="CE473" s="363"/>
      <c r="CF473" s="335"/>
      <c r="CG473" s="335"/>
      <c r="CH473" s="335"/>
      <c r="CI473" s="335"/>
      <c r="CJ473" s="335"/>
      <c r="CK473" s="335"/>
      <c r="CL473" s="335"/>
      <c r="CM473" s="335"/>
      <c r="CN473" s="335"/>
      <c r="CO473" s="335"/>
      <c r="CP473" s="335"/>
      <c r="CQ473" s="335"/>
      <c r="CR473" s="335"/>
      <c r="CS473" s="335"/>
      <c r="CT473" s="335"/>
      <c r="CU473" s="335"/>
      <c r="CV473" s="335"/>
      <c r="CW473" s="335"/>
      <c r="CX473" s="335"/>
      <c r="CY473" s="335"/>
      <c r="CZ473" s="335"/>
      <c r="DA473" s="335"/>
      <c r="DB473" s="335"/>
      <c r="DC473" s="335"/>
      <c r="DD473" s="335"/>
      <c r="DE473" s="335"/>
      <c r="DF473" s="335"/>
      <c r="DG473" s="335"/>
      <c r="DH473" s="335"/>
      <c r="DI473" s="335"/>
      <c r="DJ473" s="335"/>
      <c r="DK473" s="335"/>
      <c r="DL473" s="335"/>
      <c r="DM473" s="335"/>
      <c r="DN473" s="335"/>
      <c r="DO473" s="335"/>
      <c r="DP473" s="335"/>
      <c r="DQ473" s="335"/>
      <c r="DR473" s="335"/>
      <c r="DS473" s="335"/>
      <c r="DT473" s="335"/>
      <c r="DU473" s="335"/>
      <c r="DV473" s="335"/>
      <c r="DW473" s="335"/>
      <c r="DX473" s="335"/>
      <c r="DY473" s="335"/>
      <c r="DZ473" s="335"/>
      <c r="EA473" s="335"/>
      <c r="EB473" s="335"/>
      <c r="EC473" s="335"/>
      <c r="ED473" s="335"/>
      <c r="EE473" s="335"/>
      <c r="EF473" s="335"/>
      <c r="EG473" s="335"/>
      <c r="EH473" s="335"/>
      <c r="EI473" s="335"/>
      <c r="EJ473" s="335"/>
      <c r="EK473" s="335"/>
      <c r="EL473" s="335"/>
      <c r="EM473" s="335"/>
    </row>
    <row r="474" spans="72:143">
      <c r="BT474" s="187"/>
      <c r="BU474" s="187" t="s">
        <v>75</v>
      </c>
      <c r="BV474" s="196">
        <v>120034</v>
      </c>
      <c r="BW474" s="197" t="e">
        <f t="shared" si="142"/>
        <v>#REF!</v>
      </c>
      <c r="BX474" s="198" t="e">
        <f>IF(AND(State_LOB_Code=18,LEFT(BW474,4)&lt;"2009"),81,State_LOB_Code)&amp;"|364"</f>
        <v>#REF!</v>
      </c>
      <c r="BY474" s="215"/>
      <c r="BZ474" s="216"/>
      <c r="CD474" s="163"/>
      <c r="CE474" s="363"/>
      <c r="CF474" s="335"/>
      <c r="CG474" s="335"/>
      <c r="CH474" s="335"/>
      <c r="CI474" s="335"/>
      <c r="CJ474" s="335"/>
      <c r="CK474" s="335"/>
      <c r="CL474" s="335"/>
      <c r="CM474" s="335"/>
      <c r="CN474" s="335"/>
      <c r="CO474" s="335"/>
      <c r="CP474" s="335"/>
      <c r="CQ474" s="335"/>
      <c r="CR474" s="335"/>
      <c r="CS474" s="335"/>
      <c r="CT474" s="335"/>
      <c r="CU474" s="335"/>
      <c r="CV474" s="335"/>
      <c r="CW474" s="335"/>
      <c r="CX474" s="335"/>
      <c r="CY474" s="335"/>
      <c r="CZ474" s="335"/>
      <c r="DA474" s="335"/>
      <c r="DB474" s="335"/>
      <c r="DC474" s="335"/>
      <c r="DD474" s="335"/>
      <c r="DE474" s="335"/>
      <c r="DF474" s="335"/>
      <c r="DG474" s="335"/>
      <c r="DH474" s="335"/>
      <c r="DI474" s="335"/>
      <c r="DJ474" s="335"/>
      <c r="DK474" s="335"/>
      <c r="DL474" s="335"/>
      <c r="DM474" s="335"/>
      <c r="DN474" s="335"/>
      <c r="DO474" s="335"/>
      <c r="DP474" s="335"/>
      <c r="DQ474" s="335"/>
      <c r="DR474" s="335"/>
      <c r="DS474" s="335"/>
      <c r="DT474" s="335"/>
      <c r="DU474" s="335"/>
      <c r="DV474" s="335"/>
      <c r="DW474" s="335"/>
      <c r="DX474" s="335"/>
      <c r="DY474" s="335"/>
      <c r="DZ474" s="335"/>
      <c r="EA474" s="335"/>
      <c r="EB474" s="335"/>
      <c r="EC474" s="335"/>
      <c r="ED474" s="335"/>
      <c r="EE474" s="335"/>
      <c r="EF474" s="335"/>
      <c r="EG474" s="335"/>
      <c r="EH474" s="335"/>
      <c r="EI474" s="335"/>
      <c r="EJ474" s="335"/>
      <c r="EK474" s="335"/>
      <c r="EL474" s="335"/>
      <c r="EM474" s="335"/>
    </row>
    <row r="475" spans="72:143">
      <c r="BT475" s="187"/>
      <c r="BU475" s="187" t="s">
        <v>76</v>
      </c>
      <c r="BV475" s="196">
        <v>120034</v>
      </c>
      <c r="BW475" s="197" t="e">
        <f t="shared" si="142"/>
        <v>#REF!</v>
      </c>
      <c r="BX475" s="198" t="e">
        <f>IF(AND(State_LOB_Code=18,LEFT(BW475,4)&lt;"2009"),81,State_LOB_Code)&amp;"|365"</f>
        <v>#REF!</v>
      </c>
      <c r="BY475" s="215"/>
      <c r="BZ475" s="216"/>
      <c r="CD475" s="163"/>
      <c r="CE475" s="363"/>
      <c r="CF475" s="335"/>
      <c r="CG475" s="335"/>
      <c r="CH475" s="335"/>
      <c r="CI475" s="335"/>
      <c r="CJ475" s="335"/>
      <c r="CK475" s="335"/>
      <c r="CL475" s="335"/>
      <c r="CM475" s="335"/>
      <c r="CN475" s="335"/>
      <c r="CO475" s="335"/>
      <c r="CP475" s="335"/>
      <c r="CQ475" s="335"/>
      <c r="CR475" s="335"/>
      <c r="CS475" s="335"/>
      <c r="CT475" s="335"/>
      <c r="CU475" s="335"/>
      <c r="CV475" s="335"/>
      <c r="CW475" s="335"/>
      <c r="CX475" s="335"/>
      <c r="CY475" s="335"/>
      <c r="CZ475" s="335"/>
      <c r="DA475" s="335"/>
      <c r="DB475" s="335"/>
      <c r="DC475" s="335"/>
      <c r="DD475" s="335"/>
      <c r="DE475" s="335"/>
      <c r="DF475" s="335"/>
      <c r="DG475" s="335"/>
      <c r="DH475" s="335"/>
      <c r="DI475" s="335"/>
      <c r="DJ475" s="335"/>
      <c r="DK475" s="335"/>
      <c r="DL475" s="335"/>
      <c r="DM475" s="335"/>
      <c r="DN475" s="335"/>
      <c r="DO475" s="335"/>
      <c r="DP475" s="335"/>
      <c r="DQ475" s="335"/>
      <c r="DR475" s="335"/>
      <c r="DS475" s="335"/>
      <c r="DT475" s="335"/>
      <c r="DU475" s="335"/>
      <c r="DV475" s="335"/>
      <c r="DW475" s="335"/>
      <c r="DX475" s="335"/>
      <c r="DY475" s="335"/>
      <c r="DZ475" s="335"/>
      <c r="EA475" s="335"/>
      <c r="EB475" s="335"/>
      <c r="EC475" s="335"/>
      <c r="ED475" s="335"/>
      <c r="EE475" s="335"/>
      <c r="EF475" s="335"/>
      <c r="EG475" s="335"/>
      <c r="EH475" s="335"/>
      <c r="EI475" s="335"/>
      <c r="EJ475" s="335"/>
      <c r="EK475" s="335"/>
      <c r="EL475" s="335"/>
      <c r="EM475" s="335"/>
    </row>
    <row r="476" spans="72:143">
      <c r="BT476" s="187"/>
      <c r="BU476" s="187" t="s">
        <v>77</v>
      </c>
      <c r="BV476" s="196">
        <v>120034</v>
      </c>
      <c r="BW476" s="197" t="e">
        <f t="shared" si="142"/>
        <v>#REF!</v>
      </c>
      <c r="BX476" s="198" t="e">
        <f>IF(AND(State_LOB_Code=18,LEFT(BW476,4)&lt;"2009"),81,State_LOB_Code)&amp;"|366"</f>
        <v>#REF!</v>
      </c>
      <c r="BY476" s="215"/>
      <c r="BZ476" s="216"/>
      <c r="CD476" s="163"/>
      <c r="CE476" s="363"/>
      <c r="CF476" s="335"/>
      <c r="CG476" s="335"/>
      <c r="CH476" s="335"/>
      <c r="CI476" s="335"/>
      <c r="CJ476" s="335"/>
      <c r="CK476" s="335"/>
      <c r="CL476" s="335"/>
      <c r="CM476" s="335"/>
      <c r="CN476" s="335"/>
      <c r="CO476" s="335"/>
      <c r="CP476" s="335"/>
      <c r="CQ476" s="335"/>
      <c r="CR476" s="335"/>
      <c r="CS476" s="335"/>
      <c r="CT476" s="335"/>
      <c r="CU476" s="335"/>
      <c r="CV476" s="335"/>
      <c r="CW476" s="335"/>
      <c r="CX476" s="335"/>
      <c r="CY476" s="335"/>
      <c r="CZ476" s="335"/>
      <c r="DA476" s="335"/>
      <c r="DB476" s="335"/>
      <c r="DC476" s="335"/>
      <c r="DD476" s="335"/>
      <c r="DE476" s="335"/>
      <c r="DF476" s="335"/>
      <c r="DG476" s="335"/>
      <c r="DH476" s="335"/>
      <c r="DI476" s="335"/>
      <c r="DJ476" s="335"/>
      <c r="DK476" s="335"/>
      <c r="DL476" s="335"/>
      <c r="DM476" s="335"/>
      <c r="DN476" s="335"/>
      <c r="DO476" s="335"/>
      <c r="DP476" s="335"/>
      <c r="DQ476" s="335"/>
      <c r="DR476" s="335"/>
      <c r="DS476" s="335"/>
      <c r="DT476" s="335"/>
      <c r="DU476" s="335"/>
      <c r="DV476" s="335"/>
      <c r="DW476" s="335"/>
      <c r="DX476" s="335"/>
      <c r="DY476" s="335"/>
      <c r="DZ476" s="335"/>
      <c r="EA476" s="335"/>
      <c r="EB476" s="335"/>
      <c r="EC476" s="335"/>
      <c r="ED476" s="335"/>
      <c r="EE476" s="335"/>
      <c r="EF476" s="335"/>
      <c r="EG476" s="335"/>
      <c r="EH476" s="335"/>
      <c r="EI476" s="335"/>
      <c r="EJ476" s="335"/>
      <c r="EK476" s="335"/>
      <c r="EL476" s="335"/>
      <c r="EM476" s="335"/>
    </row>
    <row r="477" spans="72:143">
      <c r="BT477" s="187"/>
      <c r="BU477" s="187" t="s">
        <v>78</v>
      </c>
      <c r="BV477" s="196">
        <v>120034</v>
      </c>
      <c r="BW477" s="197" t="e">
        <f t="shared" si="142"/>
        <v>#REF!</v>
      </c>
      <c r="BX477" s="198" t="e">
        <f>IF(AND(State_LOB_Code=18,LEFT(BW477,4)&lt;"2009"),81,State_LOB_Code)&amp;"|367"</f>
        <v>#REF!</v>
      </c>
      <c r="BY477" s="215"/>
      <c r="BZ477" s="216"/>
      <c r="CD477" s="163"/>
      <c r="CE477" s="363"/>
      <c r="CF477" s="335"/>
      <c r="CG477" s="335"/>
      <c r="CH477" s="335"/>
      <c r="CI477" s="335"/>
      <c r="CJ477" s="335"/>
      <c r="CK477" s="335"/>
      <c r="CL477" s="335"/>
      <c r="CM477" s="335"/>
      <c r="CN477" s="335"/>
      <c r="CO477" s="335"/>
      <c r="CP477" s="335"/>
      <c r="CQ477" s="335"/>
      <c r="CR477" s="335"/>
      <c r="CS477" s="335"/>
      <c r="CT477" s="335"/>
      <c r="CU477" s="335"/>
      <c r="CV477" s="335"/>
      <c r="CW477" s="335"/>
      <c r="CX477" s="335"/>
      <c r="CY477" s="335"/>
      <c r="CZ477" s="335"/>
      <c r="DA477" s="335"/>
      <c r="DB477" s="335"/>
      <c r="DC477" s="335"/>
      <c r="DD477" s="335"/>
      <c r="DE477" s="335"/>
      <c r="DF477" s="335"/>
      <c r="DG477" s="335"/>
      <c r="DH477" s="335"/>
      <c r="DI477" s="335"/>
      <c r="DJ477" s="335"/>
      <c r="DK477" s="335"/>
      <c r="DL477" s="335"/>
      <c r="DM477" s="335"/>
      <c r="DN477" s="335"/>
      <c r="DO477" s="335"/>
      <c r="DP477" s="335"/>
      <c r="DQ477" s="335"/>
      <c r="DR477" s="335"/>
      <c r="DS477" s="335"/>
      <c r="DT477" s="335"/>
      <c r="DU477" s="335"/>
      <c r="DV477" s="335"/>
      <c r="DW477" s="335"/>
      <c r="DX477" s="335"/>
      <c r="DY477" s="335"/>
      <c r="DZ477" s="335"/>
      <c r="EA477" s="335"/>
      <c r="EB477" s="335"/>
      <c r="EC477" s="335"/>
      <c r="ED477" s="335"/>
      <c r="EE477" s="335"/>
      <c r="EF477" s="335"/>
      <c r="EG477" s="335"/>
      <c r="EH477" s="335"/>
      <c r="EI477" s="335"/>
      <c r="EJ477" s="335"/>
      <c r="EK477" s="335"/>
      <c r="EL477" s="335"/>
      <c r="EM477" s="335"/>
    </row>
    <row r="478" spans="72:143">
      <c r="BT478" s="187"/>
      <c r="BU478" s="187" t="s">
        <v>79</v>
      </c>
      <c r="BV478" s="196">
        <v>120034</v>
      </c>
      <c r="BW478" s="197" t="e">
        <f t="shared" ref="BW478:BW505" si="143">LEFT(BW417,4)-1&amp;"Y"</f>
        <v>#REF!</v>
      </c>
      <c r="BX478" s="198" t="e">
        <f>IF(AND(State_LOB_Code=18,LEFT(BW478,4)&lt;"2009"),81,State_LOB_Code)&amp;"|368"</f>
        <v>#REF!</v>
      </c>
      <c r="BY478" s="215"/>
      <c r="BZ478" s="216"/>
      <c r="CD478" s="163"/>
      <c r="CE478" s="363"/>
      <c r="CF478" s="335"/>
      <c r="CG478" s="335"/>
      <c r="CH478" s="335"/>
      <c r="CI478" s="335"/>
      <c r="CJ478" s="335"/>
      <c r="CK478" s="335"/>
      <c r="CL478" s="335"/>
      <c r="CM478" s="335"/>
      <c r="CN478" s="335"/>
      <c r="CO478" s="335"/>
      <c r="CP478" s="335"/>
      <c r="CQ478" s="335"/>
      <c r="CR478" s="335"/>
      <c r="CS478" s="335"/>
      <c r="CT478" s="335"/>
      <c r="CU478" s="335"/>
      <c r="CV478" s="335"/>
      <c r="CW478" s="335"/>
      <c r="CX478" s="335"/>
      <c r="CY478" s="335"/>
      <c r="CZ478" s="335"/>
      <c r="DA478" s="335"/>
      <c r="DB478" s="335"/>
      <c r="DC478" s="335"/>
      <c r="DD478" s="335"/>
      <c r="DE478" s="335"/>
      <c r="DF478" s="335"/>
      <c r="DG478" s="335"/>
      <c r="DH478" s="335"/>
      <c r="DI478" s="335"/>
      <c r="DJ478" s="335"/>
      <c r="DK478" s="335"/>
      <c r="DL478" s="335"/>
      <c r="DM478" s="335"/>
      <c r="DN478" s="335"/>
      <c r="DO478" s="335"/>
      <c r="DP478" s="335"/>
      <c r="DQ478" s="335"/>
      <c r="DR478" s="335"/>
      <c r="DS478" s="335"/>
      <c r="DT478" s="335"/>
      <c r="DU478" s="335"/>
      <c r="DV478" s="335"/>
      <c r="DW478" s="335"/>
      <c r="DX478" s="335"/>
      <c r="DY478" s="335"/>
      <c r="DZ478" s="335"/>
      <c r="EA478" s="335"/>
      <c r="EB478" s="335"/>
      <c r="EC478" s="335"/>
      <c r="ED478" s="335"/>
      <c r="EE478" s="335"/>
      <c r="EF478" s="335"/>
      <c r="EG478" s="335"/>
      <c r="EH478" s="335"/>
      <c r="EI478" s="335"/>
      <c r="EJ478" s="335"/>
      <c r="EK478" s="335"/>
      <c r="EL478" s="335"/>
      <c r="EM478" s="335"/>
    </row>
    <row r="479" spans="72:143">
      <c r="BT479" s="187"/>
      <c r="BU479" s="187" t="s">
        <v>80</v>
      </c>
      <c r="BV479" s="196">
        <v>120034</v>
      </c>
      <c r="BW479" s="197" t="e">
        <f t="shared" si="143"/>
        <v>#REF!</v>
      </c>
      <c r="BX479" s="198" t="e">
        <f>IF(AND(State_LOB_Code=18,LEFT(BW479,4)&lt;"2009"),81,State_LOB_Code)&amp;"|369"</f>
        <v>#REF!</v>
      </c>
      <c r="BY479" s="215"/>
      <c r="BZ479" s="216"/>
      <c r="CD479" s="163"/>
      <c r="CE479" s="363"/>
      <c r="CF479" s="335"/>
      <c r="CG479" s="335"/>
      <c r="CH479" s="335"/>
      <c r="CI479" s="335"/>
      <c r="CJ479" s="335"/>
      <c r="CK479" s="335"/>
      <c r="CL479" s="335"/>
      <c r="CM479" s="335"/>
      <c r="CN479" s="335"/>
      <c r="CO479" s="335"/>
      <c r="CP479" s="335"/>
      <c r="CQ479" s="335"/>
      <c r="CR479" s="335"/>
      <c r="CS479" s="335"/>
      <c r="CT479" s="335"/>
      <c r="CU479" s="335"/>
      <c r="CV479" s="335"/>
      <c r="CW479" s="335"/>
      <c r="CX479" s="335"/>
      <c r="CY479" s="335"/>
      <c r="CZ479" s="335"/>
      <c r="DA479" s="335"/>
      <c r="DB479" s="335"/>
      <c r="DC479" s="335"/>
      <c r="DD479" s="335"/>
      <c r="DE479" s="335"/>
      <c r="DF479" s="335"/>
      <c r="DG479" s="335"/>
      <c r="DH479" s="335"/>
      <c r="DI479" s="335"/>
      <c r="DJ479" s="335"/>
      <c r="DK479" s="335"/>
      <c r="DL479" s="335"/>
      <c r="DM479" s="335"/>
      <c r="DN479" s="335"/>
      <c r="DO479" s="335"/>
      <c r="DP479" s="335"/>
      <c r="DQ479" s="335"/>
      <c r="DR479" s="335"/>
      <c r="DS479" s="335"/>
      <c r="DT479" s="335"/>
      <c r="DU479" s="335"/>
      <c r="DV479" s="335"/>
      <c r="DW479" s="335"/>
      <c r="DX479" s="335"/>
      <c r="DY479" s="335"/>
      <c r="DZ479" s="335"/>
      <c r="EA479" s="335"/>
      <c r="EB479" s="335"/>
      <c r="EC479" s="335"/>
      <c r="ED479" s="335"/>
      <c r="EE479" s="335"/>
      <c r="EF479" s="335"/>
      <c r="EG479" s="335"/>
      <c r="EH479" s="335"/>
      <c r="EI479" s="335"/>
      <c r="EJ479" s="335"/>
      <c r="EK479" s="335"/>
      <c r="EL479" s="335"/>
      <c r="EM479" s="335"/>
    </row>
    <row r="480" spans="72:143">
      <c r="BT480" s="187"/>
      <c r="BU480" s="187" t="s">
        <v>81</v>
      </c>
      <c r="BV480" s="196">
        <v>120034</v>
      </c>
      <c r="BW480" s="197" t="e">
        <f t="shared" si="143"/>
        <v>#REF!</v>
      </c>
      <c r="BX480" s="198" t="e">
        <f>IF(AND(State_LOB_Code=18,LEFT(BW480,4)&lt;"2009"),81,State_LOB_Code)&amp;"|370"</f>
        <v>#REF!</v>
      </c>
      <c r="BY480" s="215"/>
      <c r="BZ480" s="216"/>
      <c r="CD480" s="163"/>
      <c r="CE480" s="363"/>
      <c r="CF480" s="335"/>
      <c r="CG480" s="335"/>
      <c r="CH480" s="335"/>
      <c r="CI480" s="335"/>
      <c r="CJ480" s="335"/>
      <c r="CK480" s="335"/>
      <c r="CL480" s="335"/>
      <c r="CM480" s="335"/>
      <c r="CN480" s="335"/>
      <c r="CO480" s="335"/>
      <c r="CP480" s="335"/>
      <c r="CQ480" s="335"/>
      <c r="CR480" s="335"/>
      <c r="CS480" s="335"/>
      <c r="CT480" s="335"/>
      <c r="CU480" s="335"/>
      <c r="CV480" s="335"/>
      <c r="CW480" s="335"/>
      <c r="CX480" s="335"/>
      <c r="CY480" s="335"/>
      <c r="CZ480" s="335"/>
      <c r="DA480" s="335"/>
      <c r="DB480" s="335"/>
      <c r="DC480" s="335"/>
      <c r="DD480" s="335"/>
      <c r="DE480" s="335"/>
      <c r="DF480" s="335"/>
      <c r="DG480" s="335"/>
      <c r="DH480" s="335"/>
      <c r="DI480" s="335"/>
      <c r="DJ480" s="335"/>
      <c r="DK480" s="335"/>
      <c r="DL480" s="335"/>
      <c r="DM480" s="335"/>
      <c r="DN480" s="335"/>
      <c r="DO480" s="335"/>
      <c r="DP480" s="335"/>
      <c r="DQ480" s="335"/>
      <c r="DR480" s="335"/>
      <c r="DS480" s="335"/>
      <c r="DT480" s="335"/>
      <c r="DU480" s="335"/>
      <c r="DV480" s="335"/>
      <c r="DW480" s="335"/>
      <c r="DX480" s="335"/>
      <c r="DY480" s="335"/>
      <c r="DZ480" s="335"/>
      <c r="EA480" s="335"/>
      <c r="EB480" s="335"/>
      <c r="EC480" s="335"/>
      <c r="ED480" s="335"/>
      <c r="EE480" s="335"/>
      <c r="EF480" s="335"/>
      <c r="EG480" s="335"/>
      <c r="EH480" s="335"/>
      <c r="EI480" s="335"/>
      <c r="EJ480" s="335"/>
      <c r="EK480" s="335"/>
      <c r="EL480" s="335"/>
      <c r="EM480" s="335"/>
    </row>
    <row r="481" spans="72:143">
      <c r="BT481" s="187"/>
      <c r="BU481" s="187" t="s">
        <v>82</v>
      </c>
      <c r="BV481" s="196">
        <v>120034</v>
      </c>
      <c r="BW481" s="197" t="e">
        <f t="shared" si="143"/>
        <v>#REF!</v>
      </c>
      <c r="BX481" s="198" t="e">
        <f>IF(AND(State_LOB_Code=18,LEFT(BW481,4)&lt;"2009"),81,State_LOB_Code)&amp;"|371"</f>
        <v>#REF!</v>
      </c>
      <c r="BY481" s="215"/>
      <c r="BZ481" s="216"/>
      <c r="CD481" s="163"/>
      <c r="CE481" s="363"/>
      <c r="CF481" s="335"/>
      <c r="CG481" s="335"/>
      <c r="CH481" s="335"/>
      <c r="CI481" s="335"/>
      <c r="CJ481" s="335"/>
      <c r="CK481" s="335"/>
      <c r="CL481" s="335"/>
      <c r="CM481" s="335"/>
      <c r="CN481" s="335"/>
      <c r="CO481" s="335"/>
      <c r="CP481" s="335"/>
      <c r="CQ481" s="335"/>
      <c r="CR481" s="335"/>
      <c r="CS481" s="335"/>
      <c r="CT481" s="335"/>
      <c r="CU481" s="335"/>
      <c r="CV481" s="335"/>
      <c r="CW481" s="335"/>
      <c r="CX481" s="335"/>
      <c r="CY481" s="335"/>
      <c r="CZ481" s="335"/>
      <c r="DA481" s="335"/>
      <c r="DB481" s="335"/>
      <c r="DC481" s="335"/>
      <c r="DD481" s="335"/>
      <c r="DE481" s="335"/>
      <c r="DF481" s="335"/>
      <c r="DG481" s="335"/>
      <c r="DH481" s="335"/>
      <c r="DI481" s="335"/>
      <c r="DJ481" s="335"/>
      <c r="DK481" s="335"/>
      <c r="DL481" s="335"/>
      <c r="DM481" s="335"/>
      <c r="DN481" s="335"/>
      <c r="DO481" s="335"/>
      <c r="DP481" s="335"/>
      <c r="DQ481" s="335"/>
      <c r="DR481" s="335"/>
      <c r="DS481" s="335"/>
      <c r="DT481" s="335"/>
      <c r="DU481" s="335"/>
      <c r="DV481" s="335"/>
      <c r="DW481" s="335"/>
      <c r="DX481" s="335"/>
      <c r="DY481" s="335"/>
      <c r="DZ481" s="335"/>
      <c r="EA481" s="335"/>
      <c r="EB481" s="335"/>
      <c r="EC481" s="335"/>
      <c r="ED481" s="335"/>
      <c r="EE481" s="335"/>
      <c r="EF481" s="335"/>
      <c r="EG481" s="335"/>
      <c r="EH481" s="335"/>
      <c r="EI481" s="335"/>
      <c r="EJ481" s="335"/>
      <c r="EK481" s="335"/>
      <c r="EL481" s="335"/>
      <c r="EM481" s="335"/>
    </row>
    <row r="482" spans="72:143">
      <c r="BT482" s="187"/>
      <c r="BU482" s="187" t="s">
        <v>83</v>
      </c>
      <c r="BV482" s="196">
        <v>120034</v>
      </c>
      <c r="BW482" s="197" t="e">
        <f t="shared" si="143"/>
        <v>#REF!</v>
      </c>
      <c r="BX482" s="198" t="e">
        <f>IF(AND(State_LOB_Code=18,LEFT(BW482,4)&lt;"2009"),81,State_LOB_Code)&amp;"|372"</f>
        <v>#REF!</v>
      </c>
      <c r="BY482" s="215"/>
      <c r="BZ482" s="216"/>
      <c r="CD482" s="163"/>
      <c r="CE482" s="363"/>
      <c r="CF482" s="335"/>
      <c r="CG482" s="335"/>
      <c r="CH482" s="335"/>
      <c r="CI482" s="335"/>
      <c r="CJ482" s="335"/>
      <c r="CK482" s="335"/>
      <c r="CL482" s="335"/>
      <c r="CM482" s="335"/>
      <c r="CN482" s="335"/>
      <c r="CO482" s="335"/>
      <c r="CP482" s="335"/>
      <c r="CQ482" s="335"/>
      <c r="CR482" s="335"/>
      <c r="CS482" s="335"/>
      <c r="CT482" s="335"/>
      <c r="CU482" s="335"/>
      <c r="CV482" s="335"/>
      <c r="CW482" s="335"/>
      <c r="CX482" s="335"/>
      <c r="CY482" s="335"/>
      <c r="CZ482" s="335"/>
      <c r="DA482" s="335"/>
      <c r="DB482" s="335"/>
      <c r="DC482" s="335"/>
      <c r="DD482" s="335"/>
      <c r="DE482" s="335"/>
      <c r="DF482" s="335"/>
      <c r="DG482" s="335"/>
      <c r="DH482" s="335"/>
      <c r="DI482" s="335"/>
      <c r="DJ482" s="335"/>
      <c r="DK482" s="335"/>
      <c r="DL482" s="335"/>
      <c r="DM482" s="335"/>
      <c r="DN482" s="335"/>
      <c r="DO482" s="335"/>
      <c r="DP482" s="335"/>
      <c r="DQ482" s="335"/>
      <c r="DR482" s="335"/>
      <c r="DS482" s="335"/>
      <c r="DT482" s="335"/>
      <c r="DU482" s="335"/>
      <c r="DV482" s="335"/>
      <c r="DW482" s="335"/>
      <c r="DX482" s="335"/>
      <c r="DY482" s="335"/>
      <c r="DZ482" s="335"/>
      <c r="EA482" s="335"/>
      <c r="EB482" s="335"/>
      <c r="EC482" s="335"/>
      <c r="ED482" s="335"/>
      <c r="EE482" s="335"/>
      <c r="EF482" s="335"/>
      <c r="EG482" s="335"/>
      <c r="EH482" s="335"/>
      <c r="EI482" s="335"/>
      <c r="EJ482" s="335"/>
      <c r="EK482" s="335"/>
      <c r="EL482" s="335"/>
      <c r="EM482" s="335"/>
    </row>
    <row r="483" spans="72:143">
      <c r="BT483" s="187"/>
      <c r="BU483" s="187" t="s">
        <v>84</v>
      </c>
      <c r="BV483" s="196">
        <v>120034</v>
      </c>
      <c r="BW483" s="197" t="e">
        <f t="shared" si="143"/>
        <v>#REF!</v>
      </c>
      <c r="BX483" s="198" t="e">
        <f>IF(AND(State_LOB_Code=18,LEFT(BW483,4)&lt;"2009"),81,State_LOB_Code)&amp;"|373"</f>
        <v>#REF!</v>
      </c>
      <c r="BY483" s="215"/>
      <c r="BZ483" s="216"/>
      <c r="CD483" s="163"/>
      <c r="CE483" s="363"/>
      <c r="CF483" s="335"/>
      <c r="CG483" s="335"/>
      <c r="CH483" s="335"/>
      <c r="CI483" s="335"/>
      <c r="CJ483" s="335"/>
      <c r="CK483" s="335"/>
      <c r="CL483" s="335"/>
      <c r="CM483" s="335"/>
      <c r="CN483" s="335"/>
      <c r="CO483" s="335"/>
      <c r="CP483" s="335"/>
      <c r="CQ483" s="335"/>
      <c r="CR483" s="335"/>
      <c r="CS483" s="335"/>
      <c r="CT483" s="335"/>
      <c r="CU483" s="335"/>
      <c r="CV483" s="335"/>
      <c r="CW483" s="335"/>
      <c r="CX483" s="335"/>
      <c r="CY483" s="335"/>
      <c r="CZ483" s="335"/>
      <c r="DA483" s="335"/>
      <c r="DB483" s="335"/>
      <c r="DC483" s="335"/>
      <c r="DD483" s="335"/>
      <c r="DE483" s="335"/>
      <c r="DF483" s="335"/>
      <c r="DG483" s="335"/>
      <c r="DH483" s="335"/>
      <c r="DI483" s="335"/>
      <c r="DJ483" s="335"/>
      <c r="DK483" s="335"/>
      <c r="DL483" s="335"/>
      <c r="DM483" s="335"/>
      <c r="DN483" s="335"/>
      <c r="DO483" s="335"/>
      <c r="DP483" s="335"/>
      <c r="DQ483" s="335"/>
      <c r="DR483" s="335"/>
      <c r="DS483" s="335"/>
      <c r="DT483" s="335"/>
      <c r="DU483" s="335"/>
      <c r="DV483" s="335"/>
      <c r="DW483" s="335"/>
      <c r="DX483" s="335"/>
      <c r="DY483" s="335"/>
      <c r="DZ483" s="335"/>
      <c r="EA483" s="335"/>
      <c r="EB483" s="335"/>
      <c r="EC483" s="335"/>
      <c r="ED483" s="335"/>
      <c r="EE483" s="335"/>
      <c r="EF483" s="335"/>
      <c r="EG483" s="335"/>
      <c r="EH483" s="335"/>
      <c r="EI483" s="335"/>
      <c r="EJ483" s="335"/>
      <c r="EK483" s="335"/>
      <c r="EL483" s="335"/>
      <c r="EM483" s="335"/>
    </row>
    <row r="484" spans="72:143">
      <c r="BT484" s="187"/>
      <c r="BU484" s="187" t="s">
        <v>85</v>
      </c>
      <c r="BV484" s="196">
        <v>120034</v>
      </c>
      <c r="BW484" s="197" t="e">
        <f t="shared" si="143"/>
        <v>#REF!</v>
      </c>
      <c r="BX484" s="198" t="e">
        <f>IF(AND(State_LOB_Code=18,LEFT(BW484,4)&lt;"2009"),81,State_LOB_Code)&amp;"|374"</f>
        <v>#REF!</v>
      </c>
      <c r="BY484" s="215"/>
      <c r="BZ484" s="216"/>
      <c r="CD484" s="163"/>
      <c r="CE484" s="363"/>
      <c r="CF484" s="335"/>
      <c r="CG484" s="335"/>
      <c r="CH484" s="335"/>
      <c r="CI484" s="335"/>
      <c r="CJ484" s="335"/>
      <c r="CK484" s="335"/>
      <c r="CL484" s="335"/>
      <c r="CM484" s="335"/>
      <c r="CN484" s="335"/>
      <c r="CO484" s="335"/>
      <c r="CP484" s="335"/>
      <c r="CQ484" s="335"/>
      <c r="CR484" s="335"/>
      <c r="CS484" s="335"/>
      <c r="CT484" s="335"/>
      <c r="CU484" s="335"/>
      <c r="CV484" s="335"/>
      <c r="CW484" s="335"/>
      <c r="CX484" s="335"/>
      <c r="CY484" s="335"/>
      <c r="CZ484" s="335"/>
      <c r="DA484" s="335"/>
      <c r="DB484" s="335"/>
      <c r="DC484" s="335"/>
      <c r="DD484" s="335"/>
      <c r="DE484" s="335"/>
      <c r="DF484" s="335"/>
      <c r="DG484" s="335"/>
      <c r="DH484" s="335"/>
      <c r="DI484" s="335"/>
      <c r="DJ484" s="335"/>
      <c r="DK484" s="335"/>
      <c r="DL484" s="335"/>
      <c r="DM484" s="335"/>
      <c r="DN484" s="335"/>
      <c r="DO484" s="335"/>
      <c r="DP484" s="335"/>
      <c r="DQ484" s="335"/>
      <c r="DR484" s="335"/>
      <c r="DS484" s="335"/>
      <c r="DT484" s="335"/>
      <c r="DU484" s="335"/>
      <c r="DV484" s="335"/>
      <c r="DW484" s="335"/>
      <c r="DX484" s="335"/>
      <c r="DY484" s="335"/>
      <c r="DZ484" s="335"/>
      <c r="EA484" s="335"/>
      <c r="EB484" s="335"/>
      <c r="EC484" s="335"/>
      <c r="ED484" s="335"/>
      <c r="EE484" s="335"/>
      <c r="EF484" s="335"/>
      <c r="EG484" s="335"/>
      <c r="EH484" s="335"/>
      <c r="EI484" s="335"/>
      <c r="EJ484" s="335"/>
      <c r="EK484" s="335"/>
      <c r="EL484" s="335"/>
      <c r="EM484" s="335"/>
    </row>
    <row r="485" spans="72:143">
      <c r="BT485" s="187"/>
      <c r="BU485" s="187" t="s">
        <v>86</v>
      </c>
      <c r="BV485" s="196">
        <v>120034</v>
      </c>
      <c r="BW485" s="197" t="e">
        <f t="shared" si="143"/>
        <v>#REF!</v>
      </c>
      <c r="BX485" s="198" t="e">
        <f>IF(AND(State_LOB_Code=18,LEFT(BW485,4)&lt;"2009"),81,State_LOB_Code)&amp;"|376"</f>
        <v>#REF!</v>
      </c>
      <c r="BY485" s="215"/>
      <c r="BZ485" s="216"/>
      <c r="CD485" s="163"/>
      <c r="CE485" s="363"/>
      <c r="CF485" s="335"/>
      <c r="CG485" s="335"/>
      <c r="CH485" s="335"/>
      <c r="CI485" s="335"/>
      <c r="CJ485" s="335"/>
      <c r="CK485" s="335"/>
      <c r="CL485" s="335"/>
      <c r="CM485" s="335"/>
      <c r="CN485" s="335"/>
      <c r="CO485" s="335"/>
      <c r="CP485" s="335"/>
      <c r="CQ485" s="335"/>
      <c r="CR485" s="335"/>
      <c r="CS485" s="335"/>
      <c r="CT485" s="335"/>
      <c r="CU485" s="335"/>
      <c r="CV485" s="335"/>
      <c r="CW485" s="335"/>
      <c r="CX485" s="335"/>
      <c r="CY485" s="335"/>
      <c r="CZ485" s="335"/>
      <c r="DA485" s="335"/>
      <c r="DB485" s="335"/>
      <c r="DC485" s="335"/>
      <c r="DD485" s="335"/>
      <c r="DE485" s="335"/>
      <c r="DF485" s="335"/>
      <c r="DG485" s="335"/>
      <c r="DH485" s="335"/>
      <c r="DI485" s="335"/>
      <c r="DJ485" s="335"/>
      <c r="DK485" s="335"/>
      <c r="DL485" s="335"/>
      <c r="DM485" s="335"/>
      <c r="DN485" s="335"/>
      <c r="DO485" s="335"/>
      <c r="DP485" s="335"/>
      <c r="DQ485" s="335"/>
      <c r="DR485" s="335"/>
      <c r="DS485" s="335"/>
      <c r="DT485" s="335"/>
      <c r="DU485" s="335"/>
      <c r="DV485" s="335"/>
      <c r="DW485" s="335"/>
      <c r="DX485" s="335"/>
      <c r="DY485" s="335"/>
      <c r="DZ485" s="335"/>
      <c r="EA485" s="335"/>
      <c r="EB485" s="335"/>
      <c r="EC485" s="335"/>
      <c r="ED485" s="335"/>
      <c r="EE485" s="335"/>
      <c r="EF485" s="335"/>
      <c r="EG485" s="335"/>
      <c r="EH485" s="335"/>
      <c r="EI485" s="335"/>
      <c r="EJ485" s="335"/>
      <c r="EK485" s="335"/>
      <c r="EL485" s="335"/>
      <c r="EM485" s="335"/>
    </row>
    <row r="486" spans="72:143">
      <c r="BT486" s="187"/>
      <c r="BU486" s="187" t="s">
        <v>87</v>
      </c>
      <c r="BV486" s="196">
        <v>120034</v>
      </c>
      <c r="BW486" s="197" t="e">
        <f t="shared" si="143"/>
        <v>#REF!</v>
      </c>
      <c r="BX486" s="198" t="e">
        <f>IF(AND(State_LOB_Code=18,LEFT(BW486,4)&lt;"2009"),81,State_LOB_Code)&amp;"|377"</f>
        <v>#REF!</v>
      </c>
      <c r="BY486" s="215"/>
      <c r="BZ486" s="216"/>
      <c r="CD486" s="163"/>
      <c r="CE486" s="363"/>
      <c r="CF486" s="335"/>
      <c r="CG486" s="335"/>
      <c r="CH486" s="335"/>
      <c r="CI486" s="335"/>
      <c r="CJ486" s="335"/>
      <c r="CK486" s="335"/>
      <c r="CL486" s="335"/>
      <c r="CM486" s="335"/>
      <c r="CN486" s="335"/>
      <c r="CO486" s="335"/>
      <c r="CP486" s="335"/>
      <c r="CQ486" s="335"/>
      <c r="CR486" s="335"/>
      <c r="CS486" s="335"/>
      <c r="CT486" s="335"/>
      <c r="CU486" s="335"/>
      <c r="CV486" s="335"/>
      <c r="CW486" s="335"/>
      <c r="CX486" s="335"/>
      <c r="CY486" s="335"/>
      <c r="CZ486" s="335"/>
      <c r="DA486" s="335"/>
      <c r="DB486" s="335"/>
      <c r="DC486" s="335"/>
      <c r="DD486" s="335"/>
      <c r="DE486" s="335"/>
      <c r="DF486" s="335"/>
      <c r="DG486" s="335"/>
      <c r="DH486" s="335"/>
      <c r="DI486" s="335"/>
      <c r="DJ486" s="335"/>
      <c r="DK486" s="335"/>
      <c r="DL486" s="335"/>
      <c r="DM486" s="335"/>
      <c r="DN486" s="335"/>
      <c r="DO486" s="335"/>
      <c r="DP486" s="335"/>
      <c r="DQ486" s="335"/>
      <c r="DR486" s="335"/>
      <c r="DS486" s="335"/>
      <c r="DT486" s="335"/>
      <c r="DU486" s="335"/>
      <c r="DV486" s="335"/>
      <c r="DW486" s="335"/>
      <c r="DX486" s="335"/>
      <c r="DY486" s="335"/>
      <c r="DZ486" s="335"/>
      <c r="EA486" s="335"/>
      <c r="EB486" s="335"/>
      <c r="EC486" s="335"/>
      <c r="ED486" s="335"/>
      <c r="EE486" s="335"/>
      <c r="EF486" s="335"/>
      <c r="EG486" s="335"/>
      <c r="EH486" s="335"/>
      <c r="EI486" s="335"/>
      <c r="EJ486" s="335"/>
      <c r="EK486" s="335"/>
      <c r="EL486" s="335"/>
      <c r="EM486" s="335"/>
    </row>
    <row r="487" spans="72:143">
      <c r="BT487" s="187"/>
      <c r="BU487" s="187" t="s">
        <v>88</v>
      </c>
      <c r="BV487" s="196">
        <v>120034</v>
      </c>
      <c r="BW487" s="197" t="e">
        <f t="shared" si="143"/>
        <v>#REF!</v>
      </c>
      <c r="BX487" s="198" t="e">
        <f>IF(AND(State_LOB_Code=18,LEFT(BW487,4)&lt;"2009"),81,State_LOB_Code)&amp;"|378"</f>
        <v>#REF!</v>
      </c>
      <c r="BY487" s="215"/>
      <c r="BZ487" s="216"/>
      <c r="CD487" s="163"/>
      <c r="CE487" s="363"/>
      <c r="CF487" s="335"/>
      <c r="CG487" s="335"/>
      <c r="CH487" s="335"/>
      <c r="CI487" s="335"/>
      <c r="CJ487" s="335"/>
      <c r="CK487" s="335"/>
      <c r="CL487" s="335"/>
      <c r="CM487" s="335"/>
      <c r="CN487" s="335"/>
      <c r="CO487" s="335"/>
      <c r="CP487" s="335"/>
      <c r="CQ487" s="335"/>
      <c r="CR487" s="335"/>
      <c r="CS487" s="335"/>
      <c r="CT487" s="335"/>
      <c r="CU487" s="335"/>
      <c r="CV487" s="335"/>
      <c r="CW487" s="335"/>
      <c r="CX487" s="335"/>
      <c r="CY487" s="335"/>
      <c r="CZ487" s="335"/>
      <c r="DA487" s="335"/>
      <c r="DB487" s="335"/>
      <c r="DC487" s="335"/>
      <c r="DD487" s="335"/>
      <c r="DE487" s="335"/>
      <c r="DF487" s="335"/>
      <c r="DG487" s="335"/>
      <c r="DH487" s="335"/>
      <c r="DI487" s="335"/>
      <c r="DJ487" s="335"/>
      <c r="DK487" s="335"/>
      <c r="DL487" s="335"/>
      <c r="DM487" s="335"/>
      <c r="DN487" s="335"/>
      <c r="DO487" s="335"/>
      <c r="DP487" s="335"/>
      <c r="DQ487" s="335"/>
      <c r="DR487" s="335"/>
      <c r="DS487" s="335"/>
      <c r="DT487" s="335"/>
      <c r="DU487" s="335"/>
      <c r="DV487" s="335"/>
      <c r="DW487" s="335"/>
      <c r="DX487" s="335"/>
      <c r="DY487" s="335"/>
      <c r="DZ487" s="335"/>
      <c r="EA487" s="335"/>
      <c r="EB487" s="335"/>
      <c r="EC487" s="335"/>
      <c r="ED487" s="335"/>
      <c r="EE487" s="335"/>
      <c r="EF487" s="335"/>
      <c r="EG487" s="335"/>
      <c r="EH487" s="335"/>
      <c r="EI487" s="335"/>
      <c r="EJ487" s="335"/>
      <c r="EK487" s="335"/>
      <c r="EL487" s="335"/>
      <c r="EM487" s="335"/>
    </row>
    <row r="488" spans="72:143">
      <c r="BT488" s="187"/>
      <c r="BU488" s="187" t="s">
        <v>89</v>
      </c>
      <c r="BV488" s="196">
        <v>120034</v>
      </c>
      <c r="BW488" s="197" t="e">
        <f t="shared" si="143"/>
        <v>#REF!</v>
      </c>
      <c r="BX488" s="198" t="e">
        <f>IF(AND(State_LOB_Code=18,LEFT(BW488,4)&lt;"2009"),81,State_LOB_Code)&amp;"|379"</f>
        <v>#REF!</v>
      </c>
      <c r="BY488" s="215"/>
      <c r="BZ488" s="216"/>
      <c r="CD488" s="163"/>
      <c r="CE488" s="363"/>
      <c r="CF488" s="335"/>
      <c r="CG488" s="335"/>
      <c r="CH488" s="335"/>
      <c r="CI488" s="335"/>
      <c r="CJ488" s="335"/>
      <c r="CK488" s="335"/>
      <c r="CL488" s="335"/>
      <c r="CM488" s="335"/>
      <c r="CN488" s="335"/>
      <c r="CO488" s="335"/>
      <c r="CP488" s="335"/>
      <c r="CQ488" s="335"/>
      <c r="CR488" s="335"/>
      <c r="CS488" s="335"/>
      <c r="CT488" s="335"/>
      <c r="CU488" s="335"/>
      <c r="CV488" s="335"/>
      <c r="CW488" s="335"/>
      <c r="CX488" s="335"/>
      <c r="CY488" s="335"/>
      <c r="CZ488" s="335"/>
      <c r="DA488" s="335"/>
      <c r="DB488" s="335"/>
      <c r="DC488" s="335"/>
      <c r="DD488" s="335"/>
      <c r="DE488" s="335"/>
      <c r="DF488" s="335"/>
      <c r="DG488" s="335"/>
      <c r="DH488" s="335"/>
      <c r="DI488" s="335"/>
      <c r="DJ488" s="335"/>
      <c r="DK488" s="335"/>
      <c r="DL488" s="335"/>
      <c r="DM488" s="335"/>
      <c r="DN488" s="335"/>
      <c r="DO488" s="335"/>
      <c r="DP488" s="335"/>
      <c r="DQ488" s="335"/>
      <c r="DR488" s="335"/>
      <c r="DS488" s="335"/>
      <c r="DT488" s="335"/>
      <c r="DU488" s="335"/>
      <c r="DV488" s="335"/>
      <c r="DW488" s="335"/>
      <c r="DX488" s="335"/>
      <c r="DY488" s="335"/>
      <c r="DZ488" s="335"/>
      <c r="EA488" s="335"/>
      <c r="EB488" s="335"/>
      <c r="EC488" s="335"/>
      <c r="ED488" s="335"/>
      <c r="EE488" s="335"/>
      <c r="EF488" s="335"/>
      <c r="EG488" s="335"/>
      <c r="EH488" s="335"/>
      <c r="EI488" s="335"/>
      <c r="EJ488" s="335"/>
      <c r="EK488" s="335"/>
      <c r="EL488" s="335"/>
      <c r="EM488" s="335"/>
    </row>
    <row r="489" spans="72:143">
      <c r="BT489" s="187"/>
      <c r="BU489" s="187" t="s">
        <v>90</v>
      </c>
      <c r="BV489" s="196">
        <v>120034</v>
      </c>
      <c r="BW489" s="197" t="e">
        <f t="shared" si="143"/>
        <v>#REF!</v>
      </c>
      <c r="BX489" s="198" t="e">
        <f>IF(AND(State_LOB_Code=18,LEFT(BW489,4)&lt;"2009"),81,State_LOB_Code)&amp;"|380"</f>
        <v>#REF!</v>
      </c>
      <c r="BY489" s="215"/>
      <c r="BZ489" s="216"/>
      <c r="CD489" s="163"/>
      <c r="CE489" s="363"/>
      <c r="CF489" s="335"/>
      <c r="CG489" s="335"/>
      <c r="CH489" s="335"/>
      <c r="CI489" s="335"/>
      <c r="CJ489" s="335"/>
      <c r="CK489" s="335"/>
      <c r="CL489" s="335"/>
      <c r="CM489" s="335"/>
      <c r="CN489" s="335"/>
      <c r="CO489" s="335"/>
      <c r="CP489" s="335"/>
      <c r="CQ489" s="335"/>
      <c r="CR489" s="335"/>
      <c r="CS489" s="335"/>
      <c r="CT489" s="335"/>
      <c r="CU489" s="335"/>
      <c r="CV489" s="335"/>
      <c r="CW489" s="335"/>
      <c r="CX489" s="335"/>
      <c r="CY489" s="335"/>
      <c r="CZ489" s="335"/>
      <c r="DA489" s="335"/>
      <c r="DB489" s="335"/>
      <c r="DC489" s="335"/>
      <c r="DD489" s="335"/>
      <c r="DE489" s="335"/>
      <c r="DF489" s="335"/>
      <c r="DG489" s="335"/>
      <c r="DH489" s="335"/>
      <c r="DI489" s="335"/>
      <c r="DJ489" s="335"/>
      <c r="DK489" s="335"/>
      <c r="DL489" s="335"/>
      <c r="DM489" s="335"/>
      <c r="DN489" s="335"/>
      <c r="DO489" s="335"/>
      <c r="DP489" s="335"/>
      <c r="DQ489" s="335"/>
      <c r="DR489" s="335"/>
      <c r="DS489" s="335"/>
      <c r="DT489" s="335"/>
      <c r="DU489" s="335"/>
      <c r="DV489" s="335"/>
      <c r="DW489" s="335"/>
      <c r="DX489" s="335"/>
      <c r="DY489" s="335"/>
      <c r="DZ489" s="335"/>
      <c r="EA489" s="335"/>
      <c r="EB489" s="335"/>
      <c r="EC489" s="335"/>
      <c r="ED489" s="335"/>
      <c r="EE489" s="335"/>
      <c r="EF489" s="335"/>
      <c r="EG489" s="335"/>
      <c r="EH489" s="335"/>
      <c r="EI489" s="335"/>
      <c r="EJ489" s="335"/>
      <c r="EK489" s="335"/>
      <c r="EL489" s="335"/>
      <c r="EM489" s="335"/>
    </row>
    <row r="490" spans="72:143">
      <c r="BT490" s="187"/>
      <c r="BU490" s="187" t="s">
        <v>91</v>
      </c>
      <c r="BV490" s="196">
        <v>120034</v>
      </c>
      <c r="BW490" s="197" t="e">
        <f t="shared" si="143"/>
        <v>#REF!</v>
      </c>
      <c r="BX490" s="198" t="e">
        <f>IF(AND(State_LOB_Code=18,LEFT(BW490,4)&lt;"2009"),81,State_LOB_Code)&amp;"|381"</f>
        <v>#REF!</v>
      </c>
      <c r="BY490" s="215"/>
      <c r="BZ490" s="216"/>
      <c r="CD490" s="163"/>
      <c r="CE490" s="363"/>
      <c r="CF490" s="335"/>
      <c r="CG490" s="335"/>
      <c r="CH490" s="335"/>
      <c r="CI490" s="335"/>
      <c r="CJ490" s="335"/>
      <c r="CK490" s="335"/>
      <c r="CL490" s="335"/>
      <c r="CM490" s="335"/>
      <c r="CN490" s="335"/>
      <c r="CO490" s="335"/>
      <c r="CP490" s="335"/>
      <c r="CQ490" s="335"/>
      <c r="CR490" s="335"/>
      <c r="CS490" s="335"/>
      <c r="CT490" s="335"/>
      <c r="CU490" s="335"/>
      <c r="CV490" s="335"/>
      <c r="CW490" s="335"/>
      <c r="CX490" s="335"/>
      <c r="CY490" s="335"/>
      <c r="CZ490" s="335"/>
      <c r="DA490" s="335"/>
      <c r="DB490" s="335"/>
      <c r="DC490" s="335"/>
      <c r="DD490" s="335"/>
      <c r="DE490" s="335"/>
      <c r="DF490" s="335"/>
      <c r="DG490" s="335"/>
      <c r="DH490" s="335"/>
      <c r="DI490" s="335"/>
      <c r="DJ490" s="335"/>
      <c r="DK490" s="335"/>
      <c r="DL490" s="335"/>
      <c r="DM490" s="335"/>
      <c r="DN490" s="335"/>
      <c r="DO490" s="335"/>
      <c r="DP490" s="335"/>
      <c r="DQ490" s="335"/>
      <c r="DR490" s="335"/>
      <c r="DS490" s="335"/>
      <c r="DT490" s="335"/>
      <c r="DU490" s="335"/>
      <c r="DV490" s="335"/>
      <c r="DW490" s="335"/>
      <c r="DX490" s="335"/>
      <c r="DY490" s="335"/>
      <c r="DZ490" s="335"/>
      <c r="EA490" s="335"/>
      <c r="EB490" s="335"/>
      <c r="EC490" s="335"/>
      <c r="ED490" s="335"/>
      <c r="EE490" s="335"/>
      <c r="EF490" s="335"/>
      <c r="EG490" s="335"/>
      <c r="EH490" s="335"/>
      <c r="EI490" s="335"/>
      <c r="EJ490" s="335"/>
      <c r="EK490" s="335"/>
      <c r="EL490" s="335"/>
      <c r="EM490" s="335"/>
    </row>
    <row r="491" spans="72:143">
      <c r="BT491" s="187"/>
      <c r="BU491" s="187" t="s">
        <v>92</v>
      </c>
      <c r="BV491" s="196">
        <v>120034</v>
      </c>
      <c r="BW491" s="197" t="e">
        <f t="shared" si="143"/>
        <v>#REF!</v>
      </c>
      <c r="BX491" s="198" t="e">
        <f>IF(AND(State_LOB_Code=18,LEFT(BW491,4)&lt;"2009"),81,State_LOB_Code)&amp;"|382"</f>
        <v>#REF!</v>
      </c>
      <c r="BY491" s="215"/>
      <c r="BZ491" s="216"/>
      <c r="CD491" s="163"/>
      <c r="CE491" s="363"/>
      <c r="CF491" s="335"/>
      <c r="CG491" s="335"/>
      <c r="CH491" s="335"/>
      <c r="CI491" s="335"/>
      <c r="CJ491" s="335"/>
      <c r="CK491" s="335"/>
      <c r="CL491" s="335"/>
      <c r="CM491" s="335"/>
      <c r="CN491" s="335"/>
      <c r="CO491" s="335"/>
      <c r="CP491" s="335"/>
      <c r="CQ491" s="335"/>
      <c r="CR491" s="335"/>
      <c r="CS491" s="335"/>
      <c r="CT491" s="335"/>
      <c r="CU491" s="335"/>
      <c r="CV491" s="335"/>
      <c r="CW491" s="335"/>
      <c r="CX491" s="335"/>
      <c r="CY491" s="335"/>
      <c r="CZ491" s="335"/>
      <c r="DA491" s="335"/>
      <c r="DB491" s="335"/>
      <c r="DC491" s="335"/>
      <c r="DD491" s="335"/>
      <c r="DE491" s="335"/>
      <c r="DF491" s="335"/>
      <c r="DG491" s="335"/>
      <c r="DH491" s="335"/>
      <c r="DI491" s="335"/>
      <c r="DJ491" s="335"/>
      <c r="DK491" s="335"/>
      <c r="DL491" s="335"/>
      <c r="DM491" s="335"/>
      <c r="DN491" s="335"/>
      <c r="DO491" s="335"/>
      <c r="DP491" s="335"/>
      <c r="DQ491" s="335"/>
      <c r="DR491" s="335"/>
      <c r="DS491" s="335"/>
      <c r="DT491" s="335"/>
      <c r="DU491" s="335"/>
      <c r="DV491" s="335"/>
      <c r="DW491" s="335"/>
      <c r="DX491" s="335"/>
      <c r="DY491" s="335"/>
      <c r="DZ491" s="335"/>
      <c r="EA491" s="335"/>
      <c r="EB491" s="335"/>
      <c r="EC491" s="335"/>
      <c r="ED491" s="335"/>
      <c r="EE491" s="335"/>
      <c r="EF491" s="335"/>
      <c r="EG491" s="335"/>
      <c r="EH491" s="335"/>
      <c r="EI491" s="335"/>
      <c r="EJ491" s="335"/>
      <c r="EK491" s="335"/>
      <c r="EL491" s="335"/>
      <c r="EM491" s="335"/>
    </row>
    <row r="492" spans="72:143">
      <c r="BT492" s="187"/>
      <c r="BU492" s="187" t="s">
        <v>93</v>
      </c>
      <c r="BV492" s="196">
        <v>120034</v>
      </c>
      <c r="BW492" s="197" t="e">
        <f t="shared" si="143"/>
        <v>#REF!</v>
      </c>
      <c r="BX492" s="198" t="e">
        <f>IF(AND(State_LOB_Code=18,LEFT(BW492,4)&lt;"2009"),81,State_LOB_Code)&amp;"|384"</f>
        <v>#REF!</v>
      </c>
      <c r="BY492" s="215"/>
      <c r="BZ492" s="216"/>
      <c r="CD492" s="163"/>
      <c r="CE492" s="363"/>
      <c r="CF492" s="335"/>
      <c r="CG492" s="335"/>
      <c r="CH492" s="335"/>
      <c r="CI492" s="335"/>
      <c r="CJ492" s="335"/>
      <c r="CK492" s="335"/>
      <c r="CL492" s="335"/>
      <c r="CM492" s="335"/>
      <c r="CN492" s="335"/>
      <c r="CO492" s="335"/>
      <c r="CP492" s="335"/>
      <c r="CQ492" s="335"/>
      <c r="CR492" s="335"/>
      <c r="CS492" s="335"/>
      <c r="CT492" s="335"/>
      <c r="CU492" s="335"/>
      <c r="CV492" s="335"/>
      <c r="CW492" s="335"/>
      <c r="CX492" s="335"/>
      <c r="CY492" s="335"/>
      <c r="CZ492" s="335"/>
      <c r="DA492" s="335"/>
      <c r="DB492" s="335"/>
      <c r="DC492" s="335"/>
      <c r="DD492" s="335"/>
      <c r="DE492" s="335"/>
      <c r="DF492" s="335"/>
      <c r="DG492" s="335"/>
      <c r="DH492" s="335"/>
      <c r="DI492" s="335"/>
      <c r="DJ492" s="335"/>
      <c r="DK492" s="335"/>
      <c r="DL492" s="335"/>
      <c r="DM492" s="335"/>
      <c r="DN492" s="335"/>
      <c r="DO492" s="335"/>
      <c r="DP492" s="335"/>
      <c r="DQ492" s="335"/>
      <c r="DR492" s="335"/>
      <c r="DS492" s="335"/>
      <c r="DT492" s="335"/>
      <c r="DU492" s="335"/>
      <c r="DV492" s="335"/>
      <c r="DW492" s="335"/>
      <c r="DX492" s="335"/>
      <c r="DY492" s="335"/>
      <c r="DZ492" s="335"/>
      <c r="EA492" s="335"/>
      <c r="EB492" s="335"/>
      <c r="EC492" s="335"/>
      <c r="ED492" s="335"/>
      <c r="EE492" s="335"/>
      <c r="EF492" s="335"/>
      <c r="EG492" s="335"/>
      <c r="EH492" s="335"/>
      <c r="EI492" s="335"/>
      <c r="EJ492" s="335"/>
      <c r="EK492" s="335"/>
      <c r="EL492" s="335"/>
      <c r="EM492" s="335"/>
    </row>
    <row r="493" spans="72:143">
      <c r="BT493" s="187"/>
      <c r="BU493" s="187" t="s">
        <v>94</v>
      </c>
      <c r="BV493" s="196">
        <v>120034</v>
      </c>
      <c r="BW493" s="197" t="e">
        <f t="shared" si="143"/>
        <v>#REF!</v>
      </c>
      <c r="BX493" s="198" t="e">
        <f>IF(AND(State_LOB_Code=18,LEFT(BW493,4)&lt;"2009"),81,State_LOB_Code)&amp;"|385"</f>
        <v>#REF!</v>
      </c>
      <c r="BY493" s="215"/>
      <c r="BZ493" s="216"/>
      <c r="CD493" s="163"/>
      <c r="CE493" s="363"/>
      <c r="CF493" s="335"/>
      <c r="CG493" s="335"/>
      <c r="CH493" s="335"/>
      <c r="CI493" s="335"/>
      <c r="CJ493" s="335"/>
      <c r="CK493" s="335"/>
      <c r="CL493" s="335"/>
      <c r="CM493" s="335"/>
      <c r="CN493" s="335"/>
      <c r="CO493" s="335"/>
      <c r="CP493" s="335"/>
      <c r="CQ493" s="335"/>
      <c r="CR493" s="335"/>
      <c r="CS493" s="335"/>
      <c r="CT493" s="335"/>
      <c r="CU493" s="335"/>
      <c r="CV493" s="335"/>
      <c r="CW493" s="335"/>
      <c r="CX493" s="335"/>
      <c r="CY493" s="335"/>
      <c r="CZ493" s="335"/>
      <c r="DA493" s="335"/>
      <c r="DB493" s="335"/>
      <c r="DC493" s="335"/>
      <c r="DD493" s="335"/>
      <c r="DE493" s="335"/>
      <c r="DF493" s="335"/>
      <c r="DG493" s="335"/>
      <c r="DH493" s="335"/>
      <c r="DI493" s="335"/>
      <c r="DJ493" s="335"/>
      <c r="DK493" s="335"/>
      <c r="DL493" s="335"/>
      <c r="DM493" s="335"/>
      <c r="DN493" s="335"/>
      <c r="DO493" s="335"/>
      <c r="DP493" s="335"/>
      <c r="DQ493" s="335"/>
      <c r="DR493" s="335"/>
      <c r="DS493" s="335"/>
      <c r="DT493" s="335"/>
      <c r="DU493" s="335"/>
      <c r="DV493" s="335"/>
      <c r="DW493" s="335"/>
      <c r="DX493" s="335"/>
      <c r="DY493" s="335"/>
      <c r="DZ493" s="335"/>
      <c r="EA493" s="335"/>
      <c r="EB493" s="335"/>
      <c r="EC493" s="335"/>
      <c r="ED493" s="335"/>
      <c r="EE493" s="335"/>
      <c r="EF493" s="335"/>
      <c r="EG493" s="335"/>
      <c r="EH493" s="335"/>
      <c r="EI493" s="335"/>
      <c r="EJ493" s="335"/>
      <c r="EK493" s="335"/>
      <c r="EL493" s="335"/>
      <c r="EM493" s="335"/>
    </row>
    <row r="494" spans="72:143">
      <c r="BT494" s="187"/>
      <c r="BU494" s="187" t="s">
        <v>95</v>
      </c>
      <c r="BV494" s="196">
        <v>120034</v>
      </c>
      <c r="BW494" s="197" t="e">
        <f t="shared" si="143"/>
        <v>#REF!</v>
      </c>
      <c r="BX494" s="198" t="e">
        <f>IF(AND(State_LOB_Code=18,LEFT(BW494,4)&lt;"2009"),81,State_LOB_Code)&amp;"|386"</f>
        <v>#REF!</v>
      </c>
      <c r="BY494" s="215"/>
      <c r="BZ494" s="216"/>
      <c r="CD494" s="163"/>
      <c r="CE494" s="363"/>
      <c r="CF494" s="335"/>
      <c r="CG494" s="335"/>
      <c r="CH494" s="335"/>
      <c r="CI494" s="335"/>
      <c r="CJ494" s="335"/>
      <c r="CK494" s="335"/>
      <c r="CL494" s="335"/>
      <c r="CM494" s="335"/>
      <c r="CN494" s="335"/>
      <c r="CO494" s="335"/>
      <c r="CP494" s="335"/>
      <c r="CQ494" s="335"/>
      <c r="CR494" s="335"/>
      <c r="CS494" s="335"/>
      <c r="CT494" s="335"/>
      <c r="CU494" s="335"/>
      <c r="CV494" s="335"/>
      <c r="CW494" s="335"/>
      <c r="CX494" s="335"/>
      <c r="CY494" s="335"/>
      <c r="CZ494" s="335"/>
      <c r="DA494" s="335"/>
      <c r="DB494" s="335"/>
      <c r="DC494" s="335"/>
      <c r="DD494" s="335"/>
      <c r="DE494" s="335"/>
      <c r="DF494" s="335"/>
      <c r="DG494" s="335"/>
      <c r="DH494" s="335"/>
      <c r="DI494" s="335"/>
      <c r="DJ494" s="335"/>
      <c r="DK494" s="335"/>
      <c r="DL494" s="335"/>
      <c r="DM494" s="335"/>
      <c r="DN494" s="335"/>
      <c r="DO494" s="335"/>
      <c r="DP494" s="335"/>
      <c r="DQ494" s="335"/>
      <c r="DR494" s="335"/>
      <c r="DS494" s="335"/>
      <c r="DT494" s="335"/>
      <c r="DU494" s="335"/>
      <c r="DV494" s="335"/>
      <c r="DW494" s="335"/>
      <c r="DX494" s="335"/>
      <c r="DY494" s="335"/>
      <c r="DZ494" s="335"/>
      <c r="EA494" s="335"/>
      <c r="EB494" s="335"/>
      <c r="EC494" s="335"/>
      <c r="ED494" s="335"/>
      <c r="EE494" s="335"/>
      <c r="EF494" s="335"/>
      <c r="EG494" s="335"/>
      <c r="EH494" s="335"/>
      <c r="EI494" s="335"/>
      <c r="EJ494" s="335"/>
      <c r="EK494" s="335"/>
      <c r="EL494" s="335"/>
      <c r="EM494" s="335"/>
    </row>
    <row r="495" spans="72:143">
      <c r="BT495" s="187"/>
      <c r="BU495" s="187" t="s">
        <v>96</v>
      </c>
      <c r="BV495" s="196">
        <v>120034</v>
      </c>
      <c r="BW495" s="197" t="e">
        <f t="shared" si="143"/>
        <v>#REF!</v>
      </c>
      <c r="BX495" s="198" t="e">
        <f>IF(AND(State_LOB_Code=18,LEFT(BW495,4)&lt;"2009"),81,State_LOB_Code)&amp;"|387"</f>
        <v>#REF!</v>
      </c>
      <c r="BY495" s="215"/>
      <c r="BZ495" s="216"/>
      <c r="CD495" s="163"/>
      <c r="CE495" s="363"/>
      <c r="CF495" s="335"/>
      <c r="CG495" s="335"/>
      <c r="CH495" s="335"/>
      <c r="CI495" s="335"/>
      <c r="CJ495" s="335"/>
      <c r="CK495" s="335"/>
      <c r="CL495" s="335"/>
      <c r="CM495" s="335"/>
      <c r="CN495" s="335"/>
      <c r="CO495" s="335"/>
      <c r="CP495" s="335"/>
      <c r="CQ495" s="335"/>
      <c r="CR495" s="335"/>
      <c r="CS495" s="335"/>
      <c r="CT495" s="335"/>
      <c r="CU495" s="335"/>
      <c r="CV495" s="335"/>
      <c r="CW495" s="335"/>
      <c r="CX495" s="335"/>
      <c r="CY495" s="335"/>
      <c r="CZ495" s="335"/>
      <c r="DA495" s="335"/>
      <c r="DB495" s="335"/>
      <c r="DC495" s="335"/>
      <c r="DD495" s="335"/>
      <c r="DE495" s="335"/>
      <c r="DF495" s="335"/>
      <c r="DG495" s="335"/>
      <c r="DH495" s="335"/>
      <c r="DI495" s="335"/>
      <c r="DJ495" s="335"/>
      <c r="DK495" s="335"/>
      <c r="DL495" s="335"/>
      <c r="DM495" s="335"/>
      <c r="DN495" s="335"/>
      <c r="DO495" s="335"/>
      <c r="DP495" s="335"/>
      <c r="DQ495" s="335"/>
      <c r="DR495" s="335"/>
      <c r="DS495" s="335"/>
      <c r="DT495" s="335"/>
      <c r="DU495" s="335"/>
      <c r="DV495" s="335"/>
      <c r="DW495" s="335"/>
      <c r="DX495" s="335"/>
      <c r="DY495" s="335"/>
      <c r="DZ495" s="335"/>
      <c r="EA495" s="335"/>
      <c r="EB495" s="335"/>
      <c r="EC495" s="335"/>
      <c r="ED495" s="335"/>
      <c r="EE495" s="335"/>
      <c r="EF495" s="335"/>
      <c r="EG495" s="335"/>
      <c r="EH495" s="335"/>
      <c r="EI495" s="335"/>
      <c r="EJ495" s="335"/>
      <c r="EK495" s="335"/>
      <c r="EL495" s="335"/>
      <c r="EM495" s="335"/>
    </row>
    <row r="496" spans="72:143">
      <c r="BT496" s="187"/>
      <c r="BU496" s="187" t="s">
        <v>97</v>
      </c>
      <c r="BV496" s="196">
        <v>120034</v>
      </c>
      <c r="BW496" s="197" t="e">
        <f t="shared" si="143"/>
        <v>#REF!</v>
      </c>
      <c r="BX496" s="198" t="e">
        <f>IF(AND(State_LOB_Code=18,LEFT(BW496,4)&lt;"2009"),81,State_LOB_Code)&amp;"|388"</f>
        <v>#REF!</v>
      </c>
      <c r="BY496" s="215"/>
      <c r="BZ496" s="216"/>
      <c r="CD496" s="163"/>
      <c r="CE496" s="363"/>
      <c r="CF496" s="335"/>
      <c r="CG496" s="335"/>
      <c r="CH496" s="335"/>
      <c r="CI496" s="335"/>
      <c r="CJ496" s="335"/>
      <c r="CK496" s="335"/>
      <c r="CL496" s="335"/>
      <c r="CM496" s="335"/>
      <c r="CN496" s="335"/>
      <c r="CO496" s="335"/>
      <c r="CP496" s="335"/>
      <c r="CQ496" s="335"/>
      <c r="CR496" s="335"/>
      <c r="CS496" s="335"/>
      <c r="CT496" s="335"/>
      <c r="CU496" s="335"/>
      <c r="CV496" s="335"/>
      <c r="CW496" s="335"/>
      <c r="CX496" s="335"/>
      <c r="CY496" s="335"/>
      <c r="CZ496" s="335"/>
      <c r="DA496" s="335"/>
      <c r="DB496" s="335"/>
      <c r="DC496" s="335"/>
      <c r="DD496" s="335"/>
      <c r="DE496" s="335"/>
      <c r="DF496" s="335"/>
      <c r="DG496" s="335"/>
      <c r="DH496" s="335"/>
      <c r="DI496" s="335"/>
      <c r="DJ496" s="335"/>
      <c r="DK496" s="335"/>
      <c r="DL496" s="335"/>
      <c r="DM496" s="335"/>
      <c r="DN496" s="335"/>
      <c r="DO496" s="335"/>
      <c r="DP496" s="335"/>
      <c r="DQ496" s="335"/>
      <c r="DR496" s="335"/>
      <c r="DS496" s="335"/>
      <c r="DT496" s="335"/>
      <c r="DU496" s="335"/>
      <c r="DV496" s="335"/>
      <c r="DW496" s="335"/>
      <c r="DX496" s="335"/>
      <c r="DY496" s="335"/>
      <c r="DZ496" s="335"/>
      <c r="EA496" s="335"/>
      <c r="EB496" s="335"/>
      <c r="EC496" s="335"/>
      <c r="ED496" s="335"/>
      <c r="EE496" s="335"/>
      <c r="EF496" s="335"/>
      <c r="EG496" s="335"/>
      <c r="EH496" s="335"/>
      <c r="EI496" s="335"/>
      <c r="EJ496" s="335"/>
      <c r="EK496" s="335"/>
      <c r="EL496" s="335"/>
      <c r="EM496" s="335"/>
    </row>
    <row r="497" spans="72:143">
      <c r="BT497" s="187"/>
      <c r="BU497" s="189" t="s">
        <v>137</v>
      </c>
      <c r="BV497" s="199">
        <v>120034</v>
      </c>
      <c r="BW497" s="200" t="e">
        <f t="shared" si="143"/>
        <v>#REF!</v>
      </c>
      <c r="BX497" s="201" t="e">
        <f>IF(AND(State_LOB_Code=18,LEFT(BW497,4)&lt;"2009"),81,State_LOB_Code)&amp;"|600"</f>
        <v>#REF!</v>
      </c>
      <c r="BY497" s="217"/>
      <c r="BZ497" s="218"/>
      <c r="CD497" s="163"/>
      <c r="CE497" s="363"/>
      <c r="CF497" s="335"/>
      <c r="CG497" s="335"/>
      <c r="CH497" s="335"/>
      <c r="CI497" s="335"/>
      <c r="CJ497" s="335"/>
      <c r="CK497" s="335"/>
      <c r="CL497" s="335"/>
      <c r="CM497" s="335"/>
      <c r="CN497" s="335"/>
      <c r="CO497" s="335"/>
      <c r="CP497" s="335"/>
      <c r="CQ497" s="335"/>
      <c r="CR497" s="335"/>
      <c r="CS497" s="335"/>
      <c r="CT497" s="335"/>
      <c r="CU497" s="335"/>
      <c r="CV497" s="335"/>
      <c r="CW497" s="335"/>
      <c r="CX497" s="335"/>
      <c r="CY497" s="335"/>
      <c r="CZ497" s="335"/>
      <c r="DA497" s="335"/>
      <c r="DB497" s="335"/>
      <c r="DC497" s="335"/>
      <c r="DD497" s="335"/>
      <c r="DE497" s="335"/>
      <c r="DF497" s="335"/>
      <c r="DG497" s="335"/>
      <c r="DH497" s="335"/>
      <c r="DI497" s="335"/>
      <c r="DJ497" s="335"/>
      <c r="DK497" s="335"/>
      <c r="DL497" s="335"/>
      <c r="DM497" s="335"/>
      <c r="DN497" s="335"/>
      <c r="DO497" s="335"/>
      <c r="DP497" s="335"/>
      <c r="DQ497" s="335"/>
      <c r="DR497" s="335"/>
      <c r="DS497" s="335"/>
      <c r="DT497" s="335"/>
      <c r="DU497" s="335"/>
      <c r="DV497" s="335"/>
      <c r="DW497" s="335"/>
      <c r="DX497" s="335"/>
      <c r="DY497" s="335"/>
      <c r="DZ497" s="335"/>
      <c r="EA497" s="335"/>
      <c r="EB497" s="335"/>
      <c r="EC497" s="335"/>
      <c r="ED497" s="335"/>
      <c r="EE497" s="335"/>
      <c r="EF497" s="335"/>
      <c r="EG497" s="335"/>
      <c r="EH497" s="335"/>
      <c r="EI497" s="335"/>
      <c r="EJ497" s="335"/>
      <c r="EK497" s="335"/>
      <c r="EL497" s="335"/>
      <c r="EM497" s="335"/>
    </row>
    <row r="498" spans="72:143">
      <c r="BT498" s="187"/>
      <c r="BU498" s="187" t="s">
        <v>98</v>
      </c>
      <c r="BV498" s="196">
        <v>120034</v>
      </c>
      <c r="BW498" s="197" t="e">
        <f t="shared" si="143"/>
        <v>#REF!</v>
      </c>
      <c r="BX498" s="198" t="e">
        <f>IF(AND(State_LOB_Code=18,LEFT(BW498,4)&lt;"2009"),81,State_LOB_Code)&amp;"|336"</f>
        <v>#REF!</v>
      </c>
      <c r="BY498" s="215"/>
      <c r="BZ498" s="216"/>
      <c r="CD498" s="163"/>
      <c r="CE498" s="363"/>
      <c r="CF498" s="335"/>
      <c r="CG498" s="335"/>
      <c r="CH498" s="335"/>
      <c r="CI498" s="335"/>
      <c r="CJ498" s="335"/>
      <c r="CK498" s="335"/>
      <c r="CL498" s="335"/>
      <c r="CM498" s="335"/>
      <c r="CN498" s="335"/>
      <c r="CO498" s="335"/>
      <c r="CP498" s="335"/>
      <c r="CQ498" s="335"/>
      <c r="CR498" s="335"/>
      <c r="CS498" s="335"/>
      <c r="CT498" s="335"/>
      <c r="CU498" s="335"/>
      <c r="CV498" s="335"/>
      <c r="CW498" s="335"/>
      <c r="CX498" s="335"/>
      <c r="CY498" s="335"/>
      <c r="CZ498" s="335"/>
      <c r="DA498" s="335"/>
      <c r="DB498" s="335"/>
      <c r="DC498" s="335"/>
      <c r="DD498" s="335"/>
      <c r="DE498" s="335"/>
      <c r="DF498" s="335"/>
      <c r="DG498" s="335"/>
      <c r="DH498" s="335"/>
      <c r="DI498" s="335"/>
      <c r="DJ498" s="335"/>
      <c r="DK498" s="335"/>
      <c r="DL498" s="335"/>
      <c r="DM498" s="335"/>
      <c r="DN498" s="335"/>
      <c r="DO498" s="335"/>
      <c r="DP498" s="335"/>
      <c r="DQ498" s="335"/>
      <c r="DR498" s="335"/>
      <c r="DS498" s="335"/>
      <c r="DT498" s="335"/>
      <c r="DU498" s="335"/>
      <c r="DV498" s="335"/>
      <c r="DW498" s="335"/>
      <c r="DX498" s="335"/>
      <c r="DY498" s="335"/>
      <c r="DZ498" s="335"/>
      <c r="EA498" s="335"/>
      <c r="EB498" s="335"/>
      <c r="EC498" s="335"/>
      <c r="ED498" s="335"/>
      <c r="EE498" s="335"/>
      <c r="EF498" s="335"/>
      <c r="EG498" s="335"/>
      <c r="EH498" s="335"/>
      <c r="EI498" s="335"/>
      <c r="EJ498" s="335"/>
      <c r="EK498" s="335"/>
      <c r="EL498" s="335"/>
      <c r="EM498" s="335"/>
    </row>
    <row r="499" spans="72:143">
      <c r="BT499" s="187"/>
      <c r="BU499" s="187" t="s">
        <v>99</v>
      </c>
      <c r="BV499" s="196">
        <v>120034</v>
      </c>
      <c r="BW499" s="197" t="e">
        <f t="shared" si="143"/>
        <v>#REF!</v>
      </c>
      <c r="BX499" s="198" t="e">
        <f>IF(AND(State_LOB_Code=18,LEFT(BW499,4)&lt;"2009"),81,State_LOB_Code)&amp;"|345"</f>
        <v>#REF!</v>
      </c>
      <c r="BY499" s="215"/>
      <c r="BZ499" s="216"/>
      <c r="CD499" s="163"/>
      <c r="CE499" s="363"/>
      <c r="CF499" s="335"/>
      <c r="CG499" s="335"/>
      <c r="CH499" s="335"/>
      <c r="CI499" s="335"/>
      <c r="CJ499" s="335"/>
      <c r="CK499" s="335"/>
      <c r="CL499" s="335"/>
      <c r="CM499" s="335"/>
      <c r="CN499" s="335"/>
      <c r="CO499" s="335"/>
      <c r="CP499" s="335"/>
      <c r="CQ499" s="335"/>
      <c r="CR499" s="335"/>
      <c r="CS499" s="335"/>
      <c r="CT499" s="335"/>
      <c r="CU499" s="335"/>
      <c r="CV499" s="335"/>
      <c r="CW499" s="335"/>
      <c r="CX499" s="335"/>
      <c r="CY499" s="335"/>
      <c r="CZ499" s="335"/>
      <c r="DA499" s="335"/>
      <c r="DB499" s="335"/>
      <c r="DC499" s="335"/>
      <c r="DD499" s="335"/>
      <c r="DE499" s="335"/>
      <c r="DF499" s="335"/>
      <c r="DG499" s="335"/>
      <c r="DH499" s="335"/>
      <c r="DI499" s="335"/>
      <c r="DJ499" s="335"/>
      <c r="DK499" s="335"/>
      <c r="DL499" s="335"/>
      <c r="DM499" s="335"/>
      <c r="DN499" s="335"/>
      <c r="DO499" s="335"/>
      <c r="DP499" s="335"/>
      <c r="DQ499" s="335"/>
      <c r="DR499" s="335"/>
      <c r="DS499" s="335"/>
      <c r="DT499" s="335"/>
      <c r="DU499" s="335"/>
      <c r="DV499" s="335"/>
      <c r="DW499" s="335"/>
      <c r="DX499" s="335"/>
      <c r="DY499" s="335"/>
      <c r="DZ499" s="335"/>
      <c r="EA499" s="335"/>
      <c r="EB499" s="335"/>
      <c r="EC499" s="335"/>
      <c r="ED499" s="335"/>
      <c r="EE499" s="335"/>
      <c r="EF499" s="335"/>
      <c r="EG499" s="335"/>
      <c r="EH499" s="335"/>
      <c r="EI499" s="335"/>
      <c r="EJ499" s="335"/>
      <c r="EK499" s="335"/>
      <c r="EL499" s="335"/>
      <c r="EM499" s="335"/>
    </row>
    <row r="500" spans="72:143">
      <c r="BT500" s="187"/>
      <c r="BU500" s="187" t="s">
        <v>100</v>
      </c>
      <c r="BV500" s="196">
        <v>120034</v>
      </c>
      <c r="BW500" s="197" t="e">
        <f t="shared" si="143"/>
        <v>#REF!</v>
      </c>
      <c r="BX500" s="198" t="e">
        <f>IF(AND(State_LOB_Code=18,LEFT(BW500,4)&lt;"2009"),81,State_LOB_Code)&amp;"|360"</f>
        <v>#REF!</v>
      </c>
      <c r="BY500" s="215"/>
      <c r="BZ500" s="216"/>
      <c r="CD500" s="163"/>
      <c r="CE500" s="363"/>
      <c r="CF500" s="335"/>
      <c r="CG500" s="335"/>
      <c r="CH500" s="335"/>
      <c r="CI500" s="335"/>
      <c r="CJ500" s="335"/>
      <c r="CK500" s="335"/>
      <c r="CL500" s="335"/>
      <c r="CM500" s="335"/>
      <c r="CN500" s="335"/>
      <c r="CO500" s="335"/>
      <c r="CP500" s="335"/>
      <c r="CQ500" s="335"/>
      <c r="CR500" s="335"/>
      <c r="CS500" s="335"/>
      <c r="CT500" s="335"/>
      <c r="CU500" s="335"/>
      <c r="CV500" s="335"/>
      <c r="CW500" s="335"/>
      <c r="CX500" s="335"/>
      <c r="CY500" s="335"/>
      <c r="CZ500" s="335"/>
      <c r="DA500" s="335"/>
      <c r="DB500" s="335"/>
      <c r="DC500" s="335"/>
      <c r="DD500" s="335"/>
      <c r="DE500" s="335"/>
      <c r="DF500" s="335"/>
      <c r="DG500" s="335"/>
      <c r="DH500" s="335"/>
      <c r="DI500" s="335"/>
      <c r="DJ500" s="335"/>
      <c r="DK500" s="335"/>
      <c r="DL500" s="335"/>
      <c r="DM500" s="335"/>
      <c r="DN500" s="335"/>
      <c r="DO500" s="335"/>
      <c r="DP500" s="335"/>
      <c r="DQ500" s="335"/>
      <c r="DR500" s="335"/>
      <c r="DS500" s="335"/>
      <c r="DT500" s="335"/>
      <c r="DU500" s="335"/>
      <c r="DV500" s="335"/>
      <c r="DW500" s="335"/>
      <c r="DX500" s="335"/>
      <c r="DY500" s="335"/>
      <c r="DZ500" s="335"/>
      <c r="EA500" s="335"/>
      <c r="EB500" s="335"/>
      <c r="EC500" s="335"/>
      <c r="ED500" s="335"/>
      <c r="EE500" s="335"/>
      <c r="EF500" s="335"/>
      <c r="EG500" s="335"/>
      <c r="EH500" s="335"/>
      <c r="EI500" s="335"/>
      <c r="EJ500" s="335"/>
      <c r="EK500" s="335"/>
      <c r="EL500" s="335"/>
      <c r="EM500" s="335"/>
    </row>
    <row r="501" spans="72:143">
      <c r="BT501" s="187"/>
      <c r="BU501" s="187" t="s">
        <v>101</v>
      </c>
      <c r="BV501" s="196">
        <v>120034</v>
      </c>
      <c r="BW501" s="197" t="e">
        <f t="shared" si="143"/>
        <v>#REF!</v>
      </c>
      <c r="BX501" s="198" t="e">
        <f>IF(AND(State_LOB_Code=18,LEFT(BW501,4)&lt;"2009"),81,State_LOB_Code)&amp;"|375"</f>
        <v>#REF!</v>
      </c>
      <c r="BY501" s="215"/>
      <c r="BZ501" s="216"/>
      <c r="CD501" s="163"/>
      <c r="CE501" s="363"/>
      <c r="CF501" s="335"/>
      <c r="CG501" s="335"/>
      <c r="CH501" s="335"/>
      <c r="CI501" s="335"/>
      <c r="CJ501" s="335"/>
      <c r="CK501" s="335"/>
      <c r="CL501" s="335"/>
      <c r="CM501" s="335"/>
      <c r="CN501" s="335"/>
      <c r="CO501" s="335"/>
      <c r="CP501" s="335"/>
      <c r="CQ501" s="335"/>
      <c r="CR501" s="335"/>
      <c r="CS501" s="335"/>
      <c r="CT501" s="335"/>
      <c r="CU501" s="335"/>
      <c r="CV501" s="335"/>
      <c r="CW501" s="335"/>
      <c r="CX501" s="335"/>
      <c r="CY501" s="335"/>
      <c r="CZ501" s="335"/>
      <c r="DA501" s="335"/>
      <c r="DB501" s="335"/>
      <c r="DC501" s="335"/>
      <c r="DD501" s="335"/>
      <c r="DE501" s="335"/>
      <c r="DF501" s="335"/>
      <c r="DG501" s="335"/>
      <c r="DH501" s="335"/>
      <c r="DI501" s="335"/>
      <c r="DJ501" s="335"/>
      <c r="DK501" s="335"/>
      <c r="DL501" s="335"/>
      <c r="DM501" s="335"/>
      <c r="DN501" s="335"/>
      <c r="DO501" s="335"/>
      <c r="DP501" s="335"/>
      <c r="DQ501" s="335"/>
      <c r="DR501" s="335"/>
      <c r="DS501" s="335"/>
      <c r="DT501" s="335"/>
      <c r="DU501" s="335"/>
      <c r="DV501" s="335"/>
      <c r="DW501" s="335"/>
      <c r="DX501" s="335"/>
      <c r="DY501" s="335"/>
      <c r="DZ501" s="335"/>
      <c r="EA501" s="335"/>
      <c r="EB501" s="335"/>
      <c r="EC501" s="335"/>
      <c r="ED501" s="335"/>
      <c r="EE501" s="335"/>
      <c r="EF501" s="335"/>
      <c r="EG501" s="335"/>
      <c r="EH501" s="335"/>
      <c r="EI501" s="335"/>
      <c r="EJ501" s="335"/>
      <c r="EK501" s="335"/>
      <c r="EL501" s="335"/>
      <c r="EM501" s="335"/>
    </row>
    <row r="502" spans="72:143">
      <c r="BT502" s="187"/>
      <c r="BU502" s="187" t="s">
        <v>102</v>
      </c>
      <c r="BV502" s="196">
        <v>120034</v>
      </c>
      <c r="BW502" s="197" t="e">
        <f t="shared" si="143"/>
        <v>#REF!</v>
      </c>
      <c r="BX502" s="198" t="e">
        <f>IF(AND(State_LOB_Code=18,LEFT(BW502,4)&lt;"2009"),81,State_LOB_Code)&amp;"|383"</f>
        <v>#REF!</v>
      </c>
      <c r="BY502" s="215"/>
      <c r="BZ502" s="216"/>
      <c r="CD502" s="163"/>
      <c r="CE502" s="363"/>
      <c r="CF502" s="335"/>
      <c r="CG502" s="335"/>
      <c r="CH502" s="335"/>
      <c r="CI502" s="335"/>
      <c r="CJ502" s="335"/>
      <c r="CK502" s="335"/>
      <c r="CL502" s="335"/>
      <c r="CM502" s="335"/>
      <c r="CN502" s="335"/>
      <c r="CO502" s="335"/>
      <c r="CP502" s="335"/>
      <c r="CQ502" s="335"/>
      <c r="CR502" s="335"/>
      <c r="CS502" s="335"/>
      <c r="CT502" s="335"/>
      <c r="CU502" s="335"/>
      <c r="CV502" s="335"/>
      <c r="CW502" s="335"/>
      <c r="CX502" s="335"/>
      <c r="CY502" s="335"/>
      <c r="CZ502" s="335"/>
      <c r="DA502" s="335"/>
      <c r="DB502" s="335"/>
      <c r="DC502" s="335"/>
      <c r="DD502" s="335"/>
      <c r="DE502" s="335"/>
      <c r="DF502" s="335"/>
      <c r="DG502" s="335"/>
      <c r="DH502" s="335"/>
      <c r="DI502" s="335"/>
      <c r="DJ502" s="335"/>
      <c r="DK502" s="335"/>
      <c r="DL502" s="335"/>
      <c r="DM502" s="335"/>
      <c r="DN502" s="335"/>
      <c r="DO502" s="335"/>
      <c r="DP502" s="335"/>
      <c r="DQ502" s="335"/>
      <c r="DR502" s="335"/>
      <c r="DS502" s="335"/>
      <c r="DT502" s="335"/>
      <c r="DU502" s="335"/>
      <c r="DV502" s="335"/>
      <c r="DW502" s="335"/>
      <c r="DX502" s="335"/>
      <c r="DY502" s="335"/>
      <c r="DZ502" s="335"/>
      <c r="EA502" s="335"/>
      <c r="EB502" s="335"/>
      <c r="EC502" s="335"/>
      <c r="ED502" s="335"/>
      <c r="EE502" s="335"/>
      <c r="EF502" s="335"/>
      <c r="EG502" s="335"/>
      <c r="EH502" s="335"/>
      <c r="EI502" s="335"/>
      <c r="EJ502" s="335"/>
      <c r="EK502" s="335"/>
      <c r="EL502" s="335"/>
      <c r="EM502" s="335"/>
    </row>
    <row r="503" spans="72:143">
      <c r="BT503" s="187"/>
      <c r="BU503" s="187" t="s">
        <v>103</v>
      </c>
      <c r="BV503" s="196">
        <v>120034</v>
      </c>
      <c r="BW503" s="197" t="e">
        <f t="shared" si="143"/>
        <v>#REF!</v>
      </c>
      <c r="BX503" s="198" t="e">
        <f>IF(AND(State_LOB_Code=18,LEFT(BW503,4)&lt;"2009"),81,State_LOB_Code)&amp;"|332"</f>
        <v>#REF!</v>
      </c>
      <c r="BY503" s="215"/>
      <c r="BZ503" s="216"/>
      <c r="CD503" s="163"/>
      <c r="CE503" s="363"/>
      <c r="CF503" s="335"/>
      <c r="CG503" s="335"/>
      <c r="CH503" s="335"/>
      <c r="CI503" s="335"/>
      <c r="CJ503" s="335"/>
      <c r="CK503" s="335"/>
      <c r="CL503" s="335"/>
      <c r="CM503" s="335"/>
      <c r="CN503" s="335"/>
      <c r="CO503" s="335"/>
      <c r="CP503" s="335"/>
      <c r="CQ503" s="335"/>
      <c r="CR503" s="335"/>
      <c r="CS503" s="335"/>
      <c r="CT503" s="335"/>
      <c r="CU503" s="335"/>
      <c r="CV503" s="335"/>
      <c r="CW503" s="335"/>
      <c r="CX503" s="335"/>
      <c r="CY503" s="335"/>
      <c r="CZ503" s="335"/>
      <c r="DA503" s="335"/>
      <c r="DB503" s="335"/>
      <c r="DC503" s="335"/>
      <c r="DD503" s="335"/>
      <c r="DE503" s="335"/>
      <c r="DF503" s="335"/>
      <c r="DG503" s="335"/>
      <c r="DH503" s="335"/>
      <c r="DI503" s="335"/>
      <c r="DJ503" s="335"/>
      <c r="DK503" s="335"/>
      <c r="DL503" s="335"/>
      <c r="DM503" s="335"/>
      <c r="DN503" s="335"/>
      <c r="DO503" s="335"/>
      <c r="DP503" s="335"/>
      <c r="DQ503" s="335"/>
      <c r="DR503" s="335"/>
      <c r="DS503" s="335"/>
      <c r="DT503" s="335"/>
      <c r="DU503" s="335"/>
      <c r="DV503" s="335"/>
      <c r="DW503" s="335"/>
      <c r="DX503" s="335"/>
      <c r="DY503" s="335"/>
      <c r="DZ503" s="335"/>
      <c r="EA503" s="335"/>
      <c r="EB503" s="335"/>
      <c r="EC503" s="335"/>
      <c r="ED503" s="335"/>
      <c r="EE503" s="335"/>
      <c r="EF503" s="335"/>
      <c r="EG503" s="335"/>
      <c r="EH503" s="335"/>
      <c r="EI503" s="335"/>
      <c r="EJ503" s="335"/>
      <c r="EK503" s="335"/>
      <c r="EL503" s="335"/>
      <c r="EM503" s="335"/>
    </row>
    <row r="504" spans="72:143">
      <c r="BT504" s="187"/>
      <c r="BU504" s="187" t="s">
        <v>104</v>
      </c>
      <c r="BV504" s="196">
        <v>120034</v>
      </c>
      <c r="BW504" s="197" t="e">
        <f t="shared" si="143"/>
        <v>#REF!</v>
      </c>
      <c r="BX504" s="198" t="e">
        <f>IF(AND(State_LOB_Code=18,LEFT(BW504,4)&lt;"2009"),81,State_LOB_Code)&amp;"|330"</f>
        <v>#REF!</v>
      </c>
      <c r="BY504" s="215"/>
      <c r="BZ504" s="216"/>
      <c r="CD504" s="163"/>
      <c r="CE504" s="363"/>
      <c r="CF504" s="335"/>
      <c r="CG504" s="335"/>
      <c r="CH504" s="335"/>
      <c r="CI504" s="335"/>
      <c r="CJ504" s="335"/>
      <c r="CK504" s="335"/>
      <c r="CL504" s="335"/>
      <c r="CM504" s="335"/>
      <c r="CN504" s="335"/>
      <c r="CO504" s="335"/>
      <c r="CP504" s="335"/>
      <c r="CQ504" s="335"/>
      <c r="CR504" s="335"/>
      <c r="CS504" s="335"/>
      <c r="CT504" s="335"/>
      <c r="CU504" s="335"/>
      <c r="CV504" s="335"/>
      <c r="CW504" s="335"/>
      <c r="CX504" s="335"/>
      <c r="CY504" s="335"/>
      <c r="CZ504" s="335"/>
      <c r="DA504" s="335"/>
      <c r="DB504" s="335"/>
      <c r="DC504" s="335"/>
      <c r="DD504" s="335"/>
      <c r="DE504" s="335"/>
      <c r="DF504" s="335"/>
      <c r="DG504" s="335"/>
      <c r="DH504" s="335"/>
      <c r="DI504" s="335"/>
      <c r="DJ504" s="335"/>
      <c r="DK504" s="335"/>
      <c r="DL504" s="335"/>
      <c r="DM504" s="335"/>
      <c r="DN504" s="335"/>
      <c r="DO504" s="335"/>
      <c r="DP504" s="335"/>
      <c r="DQ504" s="335"/>
      <c r="DR504" s="335"/>
      <c r="DS504" s="335"/>
      <c r="DT504" s="335"/>
      <c r="DU504" s="335"/>
      <c r="DV504" s="335"/>
      <c r="DW504" s="335"/>
      <c r="DX504" s="335"/>
      <c r="DY504" s="335"/>
      <c r="DZ504" s="335"/>
      <c r="EA504" s="335"/>
      <c r="EB504" s="335"/>
      <c r="EC504" s="335"/>
      <c r="ED504" s="335"/>
      <c r="EE504" s="335"/>
      <c r="EF504" s="335"/>
      <c r="EG504" s="335"/>
      <c r="EH504" s="335"/>
      <c r="EI504" s="335"/>
      <c r="EJ504" s="335"/>
      <c r="EK504" s="335"/>
      <c r="EL504" s="335"/>
      <c r="EM504" s="335"/>
    </row>
    <row r="505" spans="72:143">
      <c r="BT505" s="187"/>
      <c r="BU505" s="190" t="s">
        <v>46</v>
      </c>
      <c r="BV505" s="202">
        <v>124055</v>
      </c>
      <c r="BW505" s="203" t="e">
        <f t="shared" si="143"/>
        <v>#REF!</v>
      </c>
      <c r="BX505" s="204" t="e">
        <f>IF(AND(State_LOB_Code=18,LEFT(BW505,4)&lt;"2009"),81,State_LOB_Code)</f>
        <v>#REF!</v>
      </c>
      <c r="BY505" s="219"/>
      <c r="BZ505" s="220"/>
      <c r="CD505" s="163"/>
      <c r="CE505" s="363"/>
      <c r="CF505" s="335"/>
      <c r="CG505" s="335"/>
      <c r="CH505" s="335"/>
      <c r="CI505" s="335"/>
      <c r="CJ505" s="335"/>
      <c r="CK505" s="335"/>
      <c r="CL505" s="335"/>
      <c r="CM505" s="335"/>
      <c r="CN505" s="335"/>
      <c r="CO505" s="335"/>
      <c r="CP505" s="335"/>
      <c r="CQ505" s="335"/>
      <c r="CR505" s="335"/>
      <c r="CS505" s="335"/>
      <c r="CT505" s="335"/>
      <c r="CU505" s="335"/>
      <c r="CV505" s="335"/>
      <c r="CW505" s="335"/>
      <c r="CX505" s="335"/>
      <c r="CY505" s="335"/>
      <c r="CZ505" s="335"/>
      <c r="DA505" s="335"/>
      <c r="DB505" s="335"/>
      <c r="DC505" s="335"/>
      <c r="DD505" s="335"/>
      <c r="DE505" s="335"/>
      <c r="DF505" s="335"/>
      <c r="DG505" s="335"/>
      <c r="DH505" s="335"/>
      <c r="DI505" s="335"/>
      <c r="DJ505" s="335"/>
      <c r="DK505" s="335"/>
      <c r="DL505" s="335"/>
      <c r="DM505" s="335"/>
      <c r="DN505" s="335"/>
      <c r="DO505" s="335"/>
      <c r="DP505" s="335"/>
      <c r="DQ505" s="335"/>
      <c r="DR505" s="335"/>
      <c r="DS505" s="335"/>
      <c r="DT505" s="335"/>
      <c r="DU505" s="335"/>
      <c r="DV505" s="335"/>
      <c r="DW505" s="335"/>
      <c r="DX505" s="335"/>
      <c r="DY505" s="335"/>
      <c r="DZ505" s="335"/>
      <c r="EA505" s="335"/>
      <c r="EB505" s="335"/>
      <c r="EC505" s="335"/>
      <c r="ED505" s="335"/>
      <c r="EE505" s="335"/>
      <c r="EF505" s="335"/>
      <c r="EG505" s="335"/>
      <c r="EH505" s="335"/>
      <c r="EI505" s="335"/>
      <c r="EJ505" s="335"/>
      <c r="EK505" s="335"/>
      <c r="EL505" s="335"/>
      <c r="EM505" s="335"/>
    </row>
    <row r="506" spans="72:143">
      <c r="BT506" s="187"/>
      <c r="BU506" s="187"/>
      <c r="BV506" s="188"/>
      <c r="BW506" s="188"/>
      <c r="BX506" s="188"/>
      <c r="BY506" s="215"/>
      <c r="BZ506" s="216"/>
      <c r="CD506" s="163"/>
      <c r="CE506" s="363"/>
      <c r="CF506" s="335"/>
      <c r="CG506" s="335"/>
      <c r="CH506" s="335"/>
      <c r="CI506" s="335"/>
      <c r="CJ506" s="335"/>
      <c r="CK506" s="335"/>
      <c r="CL506" s="335"/>
      <c r="CM506" s="335"/>
      <c r="CN506" s="335"/>
      <c r="CO506" s="335"/>
      <c r="CP506" s="335"/>
      <c r="CQ506" s="335"/>
      <c r="CR506" s="335"/>
      <c r="CS506" s="335"/>
      <c r="CT506" s="335"/>
      <c r="CU506" s="335"/>
      <c r="CV506" s="335"/>
      <c r="CW506" s="335"/>
      <c r="CX506" s="335"/>
      <c r="CY506" s="335"/>
      <c r="CZ506" s="335"/>
      <c r="DA506" s="335"/>
      <c r="DB506" s="335"/>
      <c r="DC506" s="335"/>
      <c r="DD506" s="335"/>
      <c r="DE506" s="335"/>
      <c r="DF506" s="335"/>
      <c r="DG506" s="335"/>
      <c r="DH506" s="335"/>
      <c r="DI506" s="335"/>
      <c r="DJ506" s="335"/>
      <c r="DK506" s="335"/>
      <c r="DL506" s="335"/>
      <c r="DM506" s="335"/>
      <c r="DN506" s="335"/>
      <c r="DO506" s="335"/>
      <c r="DP506" s="335"/>
      <c r="DQ506" s="335"/>
      <c r="DR506" s="335"/>
      <c r="DS506" s="335"/>
      <c r="DT506" s="335"/>
      <c r="DU506" s="335"/>
      <c r="DV506" s="335"/>
      <c r="DW506" s="335"/>
      <c r="DX506" s="335"/>
      <c r="DY506" s="335"/>
      <c r="DZ506" s="335"/>
      <c r="EA506" s="335"/>
      <c r="EB506" s="335"/>
      <c r="EC506" s="335"/>
      <c r="ED506" s="335"/>
      <c r="EE506" s="335"/>
      <c r="EF506" s="335"/>
      <c r="EG506" s="335"/>
      <c r="EH506" s="335"/>
      <c r="EI506" s="335"/>
      <c r="EJ506" s="335"/>
      <c r="EK506" s="335"/>
      <c r="EL506" s="335"/>
      <c r="EM506" s="335"/>
    </row>
    <row r="507" spans="72:143">
      <c r="BT507" s="187"/>
      <c r="BU507" s="184" t="s">
        <v>47</v>
      </c>
      <c r="BV507" s="193">
        <v>120034</v>
      </c>
      <c r="BW507" s="194" t="e">
        <f t="shared" ref="BW507:BW538" si="144">LEFT(BW446,4)-1&amp;"Y"</f>
        <v>#REF!</v>
      </c>
      <c r="BX507" s="195" t="e">
        <f>IF(AND(State_LOB_Code=18,LEFT(BW507,4)&lt;"2009"),81,State_LOB_Code)&amp;"|333"</f>
        <v>#REF!</v>
      </c>
      <c r="BY507" s="213"/>
      <c r="BZ507" s="214"/>
      <c r="CD507" s="163"/>
      <c r="CE507" s="363"/>
      <c r="CF507" s="335"/>
      <c r="CG507" s="335"/>
      <c r="CH507" s="335"/>
      <c r="CI507" s="335"/>
      <c r="CJ507" s="335"/>
      <c r="CK507" s="335"/>
      <c r="CL507" s="335"/>
      <c r="CM507" s="335"/>
      <c r="CN507" s="335"/>
      <c r="CO507" s="335"/>
      <c r="CP507" s="335"/>
      <c r="CQ507" s="335"/>
      <c r="CR507" s="335"/>
      <c r="CS507" s="335"/>
      <c r="CT507" s="335"/>
      <c r="CU507" s="335"/>
      <c r="CV507" s="335"/>
      <c r="CW507" s="335"/>
      <c r="CX507" s="335"/>
      <c r="CY507" s="335"/>
      <c r="CZ507" s="335"/>
      <c r="DA507" s="335"/>
      <c r="DB507" s="335"/>
      <c r="DC507" s="335"/>
      <c r="DD507" s="335"/>
      <c r="DE507" s="335"/>
      <c r="DF507" s="335"/>
      <c r="DG507" s="335"/>
      <c r="DH507" s="335"/>
      <c r="DI507" s="335"/>
      <c r="DJ507" s="335"/>
      <c r="DK507" s="335"/>
      <c r="DL507" s="335"/>
      <c r="DM507" s="335"/>
      <c r="DN507" s="335"/>
      <c r="DO507" s="335"/>
      <c r="DP507" s="335"/>
      <c r="DQ507" s="335"/>
      <c r="DR507" s="335"/>
      <c r="DS507" s="335"/>
      <c r="DT507" s="335"/>
      <c r="DU507" s="335"/>
      <c r="DV507" s="335"/>
      <c r="DW507" s="335"/>
      <c r="DX507" s="335"/>
      <c r="DY507" s="335"/>
      <c r="DZ507" s="335"/>
      <c r="EA507" s="335"/>
      <c r="EB507" s="335"/>
      <c r="EC507" s="335"/>
      <c r="ED507" s="335"/>
      <c r="EE507" s="335"/>
      <c r="EF507" s="335"/>
      <c r="EG507" s="335"/>
      <c r="EH507" s="335"/>
      <c r="EI507" s="335"/>
      <c r="EJ507" s="335"/>
      <c r="EK507" s="335"/>
      <c r="EL507" s="335"/>
      <c r="EM507" s="335"/>
    </row>
    <row r="508" spans="72:143">
      <c r="BT508" s="187"/>
      <c r="BU508" s="187" t="s">
        <v>48</v>
      </c>
      <c r="BV508" s="196">
        <v>120034</v>
      </c>
      <c r="BW508" s="197" t="e">
        <f t="shared" si="144"/>
        <v>#REF!</v>
      </c>
      <c r="BX508" s="198" t="e">
        <f>IF(AND(State_LOB_Code=18,LEFT(BW508,4)&lt;"2009"),81,State_LOB_Code)&amp;"|334"</f>
        <v>#REF!</v>
      </c>
      <c r="BY508" s="215"/>
      <c r="BZ508" s="216"/>
      <c r="CD508" s="163"/>
      <c r="CE508" s="363"/>
      <c r="CF508" s="335"/>
      <c r="CG508" s="335"/>
      <c r="CH508" s="335"/>
      <c r="CI508" s="335"/>
      <c r="CJ508" s="335"/>
      <c r="CK508" s="335"/>
      <c r="CL508" s="335"/>
      <c r="CM508" s="335"/>
      <c r="CN508" s="335"/>
      <c r="CO508" s="335"/>
      <c r="CP508" s="335"/>
      <c r="CQ508" s="335"/>
      <c r="CR508" s="335"/>
      <c r="CS508" s="335"/>
      <c r="CT508" s="335"/>
      <c r="CU508" s="335"/>
      <c r="CV508" s="335"/>
      <c r="CW508" s="335"/>
      <c r="CX508" s="335"/>
      <c r="CY508" s="335"/>
      <c r="CZ508" s="335"/>
      <c r="DA508" s="335"/>
      <c r="DB508" s="335"/>
      <c r="DC508" s="335"/>
      <c r="DD508" s="335"/>
      <c r="DE508" s="335"/>
      <c r="DF508" s="335"/>
      <c r="DG508" s="335"/>
      <c r="DH508" s="335"/>
      <c r="DI508" s="335"/>
      <c r="DJ508" s="335"/>
      <c r="DK508" s="335"/>
      <c r="DL508" s="335"/>
      <c r="DM508" s="335"/>
      <c r="DN508" s="335"/>
      <c r="DO508" s="335"/>
      <c r="DP508" s="335"/>
      <c r="DQ508" s="335"/>
      <c r="DR508" s="335"/>
      <c r="DS508" s="335"/>
      <c r="DT508" s="335"/>
      <c r="DU508" s="335"/>
      <c r="DV508" s="335"/>
      <c r="DW508" s="335"/>
      <c r="DX508" s="335"/>
      <c r="DY508" s="335"/>
      <c r="DZ508" s="335"/>
      <c r="EA508" s="335"/>
      <c r="EB508" s="335"/>
      <c r="EC508" s="335"/>
      <c r="ED508" s="335"/>
      <c r="EE508" s="335"/>
      <c r="EF508" s="335"/>
      <c r="EG508" s="335"/>
      <c r="EH508" s="335"/>
      <c r="EI508" s="335"/>
      <c r="EJ508" s="335"/>
      <c r="EK508" s="335"/>
      <c r="EL508" s="335"/>
      <c r="EM508" s="335"/>
    </row>
    <row r="509" spans="72:143">
      <c r="BT509" s="187"/>
      <c r="BU509" s="187" t="s">
        <v>49</v>
      </c>
      <c r="BV509" s="196">
        <v>120034</v>
      </c>
      <c r="BW509" s="197" t="e">
        <f t="shared" si="144"/>
        <v>#REF!</v>
      </c>
      <c r="BX509" s="198" t="e">
        <f>IF(AND(State_LOB_Code=18,LEFT(BW509,4)&lt;"2009"),81,State_LOB_Code)&amp;"|335"</f>
        <v>#REF!</v>
      </c>
      <c r="BY509" s="215"/>
      <c r="BZ509" s="216"/>
      <c r="CD509" s="163"/>
      <c r="CE509" s="363"/>
      <c r="CF509" s="335"/>
      <c r="CG509" s="335"/>
      <c r="CH509" s="335"/>
      <c r="CI509" s="335"/>
      <c r="CJ509" s="335"/>
      <c r="CK509" s="335"/>
      <c r="CL509" s="335"/>
      <c r="CM509" s="335"/>
      <c r="CN509" s="335"/>
      <c r="CO509" s="335"/>
      <c r="CP509" s="335"/>
      <c r="CQ509" s="335"/>
      <c r="CR509" s="335"/>
      <c r="CS509" s="335"/>
      <c r="CT509" s="335"/>
      <c r="CU509" s="335"/>
      <c r="CV509" s="335"/>
      <c r="CW509" s="335"/>
      <c r="CX509" s="335"/>
      <c r="CY509" s="335"/>
      <c r="CZ509" s="335"/>
      <c r="DA509" s="335"/>
      <c r="DB509" s="335"/>
      <c r="DC509" s="335"/>
      <c r="DD509" s="335"/>
      <c r="DE509" s="335"/>
      <c r="DF509" s="335"/>
      <c r="DG509" s="335"/>
      <c r="DH509" s="335"/>
      <c r="DI509" s="335"/>
      <c r="DJ509" s="335"/>
      <c r="DK509" s="335"/>
      <c r="DL509" s="335"/>
      <c r="DM509" s="335"/>
      <c r="DN509" s="335"/>
      <c r="DO509" s="335"/>
      <c r="DP509" s="335"/>
      <c r="DQ509" s="335"/>
      <c r="DR509" s="335"/>
      <c r="DS509" s="335"/>
      <c r="DT509" s="335"/>
      <c r="DU509" s="335"/>
      <c r="DV509" s="335"/>
      <c r="DW509" s="335"/>
      <c r="DX509" s="335"/>
      <c r="DY509" s="335"/>
      <c r="DZ509" s="335"/>
      <c r="EA509" s="335"/>
      <c r="EB509" s="335"/>
      <c r="EC509" s="335"/>
      <c r="ED509" s="335"/>
      <c r="EE509" s="335"/>
      <c r="EF509" s="335"/>
      <c r="EG509" s="335"/>
      <c r="EH509" s="335"/>
      <c r="EI509" s="335"/>
      <c r="EJ509" s="335"/>
      <c r="EK509" s="335"/>
      <c r="EL509" s="335"/>
      <c r="EM509" s="335"/>
    </row>
    <row r="510" spans="72:143">
      <c r="BT510" s="187"/>
      <c r="BU510" s="187" t="s">
        <v>50</v>
      </c>
      <c r="BV510" s="196">
        <v>120034</v>
      </c>
      <c r="BW510" s="197" t="e">
        <f t="shared" si="144"/>
        <v>#REF!</v>
      </c>
      <c r="BX510" s="198" t="e">
        <f>IF(AND(State_LOB_Code=18,LEFT(BW510,4)&lt;"2009"),81,State_LOB_Code)&amp;"|337"</f>
        <v>#REF!</v>
      </c>
      <c r="BY510" s="215"/>
      <c r="BZ510" s="216"/>
      <c r="CD510" s="163"/>
      <c r="CE510" s="363"/>
      <c r="CF510" s="335"/>
      <c r="CG510" s="335"/>
      <c r="CH510" s="335"/>
      <c r="CI510" s="335"/>
      <c r="CJ510" s="335"/>
      <c r="CK510" s="335"/>
      <c r="CL510" s="335"/>
      <c r="CM510" s="335"/>
      <c r="CN510" s="335"/>
      <c r="CO510" s="335"/>
      <c r="CP510" s="335"/>
      <c r="CQ510" s="335"/>
      <c r="CR510" s="335"/>
      <c r="CS510" s="335"/>
      <c r="CT510" s="335"/>
      <c r="CU510" s="335"/>
      <c r="CV510" s="335"/>
      <c r="CW510" s="335"/>
      <c r="CX510" s="335"/>
      <c r="CY510" s="335"/>
      <c r="CZ510" s="335"/>
      <c r="DA510" s="335"/>
      <c r="DB510" s="335"/>
      <c r="DC510" s="335"/>
      <c r="DD510" s="335"/>
      <c r="DE510" s="335"/>
      <c r="DF510" s="335"/>
      <c r="DG510" s="335"/>
      <c r="DH510" s="335"/>
      <c r="DI510" s="335"/>
      <c r="DJ510" s="335"/>
      <c r="DK510" s="335"/>
      <c r="DL510" s="335"/>
      <c r="DM510" s="335"/>
      <c r="DN510" s="335"/>
      <c r="DO510" s="335"/>
      <c r="DP510" s="335"/>
      <c r="DQ510" s="335"/>
      <c r="DR510" s="335"/>
      <c r="DS510" s="335"/>
      <c r="DT510" s="335"/>
      <c r="DU510" s="335"/>
      <c r="DV510" s="335"/>
      <c r="DW510" s="335"/>
      <c r="DX510" s="335"/>
      <c r="DY510" s="335"/>
      <c r="DZ510" s="335"/>
      <c r="EA510" s="335"/>
      <c r="EB510" s="335"/>
      <c r="EC510" s="335"/>
      <c r="ED510" s="335"/>
      <c r="EE510" s="335"/>
      <c r="EF510" s="335"/>
      <c r="EG510" s="335"/>
      <c r="EH510" s="335"/>
      <c r="EI510" s="335"/>
      <c r="EJ510" s="335"/>
      <c r="EK510" s="335"/>
      <c r="EL510" s="335"/>
      <c r="EM510" s="335"/>
    </row>
    <row r="511" spans="72:143">
      <c r="BT511" s="187"/>
      <c r="BU511" s="187" t="s">
        <v>51</v>
      </c>
      <c r="BV511" s="196">
        <v>120034</v>
      </c>
      <c r="BW511" s="197" t="e">
        <f t="shared" si="144"/>
        <v>#REF!</v>
      </c>
      <c r="BX511" s="198" t="e">
        <f>IF(AND(State_LOB_Code=18,LEFT(BW511,4)&lt;"2009"),81,State_LOB_Code)&amp;"|338"</f>
        <v>#REF!</v>
      </c>
      <c r="BY511" s="215"/>
      <c r="BZ511" s="216"/>
      <c r="CD511" s="163"/>
      <c r="CE511" s="363"/>
      <c r="CF511" s="335"/>
      <c r="CG511" s="335"/>
      <c r="CH511" s="335"/>
      <c r="CI511" s="335"/>
      <c r="CJ511" s="335"/>
      <c r="CK511" s="335"/>
      <c r="CL511" s="335"/>
      <c r="CM511" s="335"/>
      <c r="CN511" s="335"/>
      <c r="CO511" s="335"/>
      <c r="CP511" s="335"/>
      <c r="CQ511" s="335"/>
      <c r="CR511" s="335"/>
      <c r="CS511" s="335"/>
      <c r="CT511" s="335"/>
      <c r="CU511" s="335"/>
      <c r="CV511" s="335"/>
      <c r="CW511" s="335"/>
      <c r="CX511" s="335"/>
      <c r="CY511" s="335"/>
      <c r="CZ511" s="335"/>
      <c r="DA511" s="335"/>
      <c r="DB511" s="335"/>
      <c r="DC511" s="335"/>
      <c r="DD511" s="335"/>
      <c r="DE511" s="335"/>
      <c r="DF511" s="335"/>
      <c r="DG511" s="335"/>
      <c r="DH511" s="335"/>
      <c r="DI511" s="335"/>
      <c r="DJ511" s="335"/>
      <c r="DK511" s="335"/>
      <c r="DL511" s="335"/>
      <c r="DM511" s="335"/>
      <c r="DN511" s="335"/>
      <c r="DO511" s="335"/>
      <c r="DP511" s="335"/>
      <c r="DQ511" s="335"/>
      <c r="DR511" s="335"/>
      <c r="DS511" s="335"/>
      <c r="DT511" s="335"/>
      <c r="DU511" s="335"/>
      <c r="DV511" s="335"/>
      <c r="DW511" s="335"/>
      <c r="DX511" s="335"/>
      <c r="DY511" s="335"/>
      <c r="DZ511" s="335"/>
      <c r="EA511" s="335"/>
      <c r="EB511" s="335"/>
      <c r="EC511" s="335"/>
      <c r="ED511" s="335"/>
      <c r="EE511" s="335"/>
      <c r="EF511" s="335"/>
      <c r="EG511" s="335"/>
      <c r="EH511" s="335"/>
      <c r="EI511" s="335"/>
      <c r="EJ511" s="335"/>
      <c r="EK511" s="335"/>
      <c r="EL511" s="335"/>
      <c r="EM511" s="335"/>
    </row>
    <row r="512" spans="72:143">
      <c r="BT512" s="187"/>
      <c r="BU512" s="187" t="s">
        <v>52</v>
      </c>
      <c r="BV512" s="196">
        <v>120034</v>
      </c>
      <c r="BW512" s="197" t="e">
        <f t="shared" si="144"/>
        <v>#REF!</v>
      </c>
      <c r="BX512" s="198" t="e">
        <f>IF(AND(State_LOB_Code=18,LEFT(BW512,4)&lt;"2009"),81,State_LOB_Code)&amp;"|339"</f>
        <v>#REF!</v>
      </c>
      <c r="BY512" s="215"/>
      <c r="BZ512" s="216"/>
      <c r="CD512" s="163"/>
      <c r="CE512" s="363"/>
      <c r="CF512" s="335"/>
      <c r="CG512" s="335"/>
      <c r="CH512" s="335"/>
      <c r="CI512" s="335"/>
      <c r="CJ512" s="335"/>
      <c r="CK512" s="335"/>
      <c r="CL512" s="335"/>
      <c r="CM512" s="335"/>
      <c r="CN512" s="335"/>
      <c r="CO512" s="335"/>
      <c r="CP512" s="335"/>
      <c r="CQ512" s="335"/>
      <c r="CR512" s="335"/>
      <c r="CS512" s="335"/>
      <c r="CT512" s="335"/>
      <c r="CU512" s="335"/>
      <c r="CV512" s="335"/>
      <c r="CW512" s="335"/>
      <c r="CX512" s="335"/>
      <c r="CY512" s="335"/>
      <c r="CZ512" s="335"/>
      <c r="DA512" s="335"/>
      <c r="DB512" s="335"/>
      <c r="DC512" s="335"/>
      <c r="DD512" s="335"/>
      <c r="DE512" s="335"/>
      <c r="DF512" s="335"/>
      <c r="DG512" s="335"/>
      <c r="DH512" s="335"/>
      <c r="DI512" s="335"/>
      <c r="DJ512" s="335"/>
      <c r="DK512" s="335"/>
      <c r="DL512" s="335"/>
      <c r="DM512" s="335"/>
      <c r="DN512" s="335"/>
      <c r="DO512" s="335"/>
      <c r="DP512" s="335"/>
      <c r="DQ512" s="335"/>
      <c r="DR512" s="335"/>
      <c r="DS512" s="335"/>
      <c r="DT512" s="335"/>
      <c r="DU512" s="335"/>
      <c r="DV512" s="335"/>
      <c r="DW512" s="335"/>
      <c r="DX512" s="335"/>
      <c r="DY512" s="335"/>
      <c r="DZ512" s="335"/>
      <c r="EA512" s="335"/>
      <c r="EB512" s="335"/>
      <c r="EC512" s="335"/>
      <c r="ED512" s="335"/>
      <c r="EE512" s="335"/>
      <c r="EF512" s="335"/>
      <c r="EG512" s="335"/>
      <c r="EH512" s="335"/>
      <c r="EI512" s="335"/>
      <c r="EJ512" s="335"/>
      <c r="EK512" s="335"/>
      <c r="EL512" s="335"/>
      <c r="EM512" s="335"/>
    </row>
    <row r="513" spans="72:143">
      <c r="BT513" s="187"/>
      <c r="BU513" s="187" t="s">
        <v>53</v>
      </c>
      <c r="BV513" s="196">
        <v>120034</v>
      </c>
      <c r="BW513" s="197" t="e">
        <f t="shared" si="144"/>
        <v>#REF!</v>
      </c>
      <c r="BX513" s="198" t="e">
        <f>IF(AND(State_LOB_Code=18,LEFT(BW513,4)&lt;"2009"),81,State_LOB_Code)&amp;"|340"</f>
        <v>#REF!</v>
      </c>
      <c r="BY513" s="215"/>
      <c r="BZ513" s="216"/>
      <c r="CD513" s="163"/>
      <c r="CE513" s="363"/>
      <c r="CF513" s="335"/>
      <c r="CG513" s="335"/>
      <c r="CH513" s="335"/>
      <c r="CI513" s="335"/>
      <c r="CJ513" s="335"/>
      <c r="CK513" s="335"/>
      <c r="CL513" s="335"/>
      <c r="CM513" s="335"/>
      <c r="CN513" s="335"/>
      <c r="CO513" s="335"/>
      <c r="CP513" s="335"/>
      <c r="CQ513" s="335"/>
      <c r="CR513" s="335"/>
      <c r="CS513" s="335"/>
      <c r="CT513" s="335"/>
      <c r="CU513" s="335"/>
      <c r="CV513" s="335"/>
      <c r="CW513" s="335"/>
      <c r="CX513" s="335"/>
      <c r="CY513" s="335"/>
      <c r="CZ513" s="335"/>
      <c r="DA513" s="335"/>
      <c r="DB513" s="335"/>
      <c r="DC513" s="335"/>
      <c r="DD513" s="335"/>
      <c r="DE513" s="335"/>
      <c r="DF513" s="335"/>
      <c r="DG513" s="335"/>
      <c r="DH513" s="335"/>
      <c r="DI513" s="335"/>
      <c r="DJ513" s="335"/>
      <c r="DK513" s="335"/>
      <c r="DL513" s="335"/>
      <c r="DM513" s="335"/>
      <c r="DN513" s="335"/>
      <c r="DO513" s="335"/>
      <c r="DP513" s="335"/>
      <c r="DQ513" s="335"/>
      <c r="DR513" s="335"/>
      <c r="DS513" s="335"/>
      <c r="DT513" s="335"/>
      <c r="DU513" s="335"/>
      <c r="DV513" s="335"/>
      <c r="DW513" s="335"/>
      <c r="DX513" s="335"/>
      <c r="DY513" s="335"/>
      <c r="DZ513" s="335"/>
      <c r="EA513" s="335"/>
      <c r="EB513" s="335"/>
      <c r="EC513" s="335"/>
      <c r="ED513" s="335"/>
      <c r="EE513" s="335"/>
      <c r="EF513" s="335"/>
      <c r="EG513" s="335"/>
      <c r="EH513" s="335"/>
      <c r="EI513" s="335"/>
      <c r="EJ513" s="335"/>
      <c r="EK513" s="335"/>
      <c r="EL513" s="335"/>
      <c r="EM513" s="335"/>
    </row>
    <row r="514" spans="72:143">
      <c r="BT514" s="187"/>
      <c r="BU514" s="187" t="s">
        <v>54</v>
      </c>
      <c r="BV514" s="196">
        <v>120034</v>
      </c>
      <c r="BW514" s="197" t="e">
        <f t="shared" si="144"/>
        <v>#REF!</v>
      </c>
      <c r="BX514" s="198" t="e">
        <f>IF(AND(State_LOB_Code=18,LEFT(BW514,4)&lt;"2009"),81,State_LOB_Code)&amp;"|341"</f>
        <v>#REF!</v>
      </c>
      <c r="BY514" s="215"/>
      <c r="BZ514" s="216"/>
      <c r="CD514" s="163"/>
      <c r="CE514" s="363"/>
      <c r="CF514" s="335"/>
      <c r="CG514" s="335"/>
      <c r="CH514" s="335"/>
      <c r="CI514" s="335"/>
      <c r="CJ514" s="335"/>
      <c r="CK514" s="335"/>
      <c r="CL514" s="335"/>
      <c r="CM514" s="335"/>
      <c r="CN514" s="335"/>
      <c r="CO514" s="335"/>
      <c r="CP514" s="335"/>
      <c r="CQ514" s="335"/>
      <c r="CR514" s="335"/>
      <c r="CS514" s="335"/>
      <c r="CT514" s="335"/>
      <c r="CU514" s="335"/>
      <c r="CV514" s="335"/>
      <c r="CW514" s="335"/>
      <c r="CX514" s="335"/>
      <c r="CY514" s="335"/>
      <c r="CZ514" s="335"/>
      <c r="DA514" s="335"/>
      <c r="DB514" s="335"/>
      <c r="DC514" s="335"/>
      <c r="DD514" s="335"/>
      <c r="DE514" s="335"/>
      <c r="DF514" s="335"/>
      <c r="DG514" s="335"/>
      <c r="DH514" s="335"/>
      <c r="DI514" s="335"/>
      <c r="DJ514" s="335"/>
      <c r="DK514" s="335"/>
      <c r="DL514" s="335"/>
      <c r="DM514" s="335"/>
      <c r="DN514" s="335"/>
      <c r="DO514" s="335"/>
      <c r="DP514" s="335"/>
      <c r="DQ514" s="335"/>
      <c r="DR514" s="335"/>
      <c r="DS514" s="335"/>
      <c r="DT514" s="335"/>
      <c r="DU514" s="335"/>
      <c r="DV514" s="335"/>
      <c r="DW514" s="335"/>
      <c r="DX514" s="335"/>
      <c r="DY514" s="335"/>
      <c r="DZ514" s="335"/>
      <c r="EA514" s="335"/>
      <c r="EB514" s="335"/>
      <c r="EC514" s="335"/>
      <c r="ED514" s="335"/>
      <c r="EE514" s="335"/>
      <c r="EF514" s="335"/>
      <c r="EG514" s="335"/>
      <c r="EH514" s="335"/>
      <c r="EI514" s="335"/>
      <c r="EJ514" s="335"/>
      <c r="EK514" s="335"/>
      <c r="EL514" s="335"/>
      <c r="EM514" s="335"/>
    </row>
    <row r="515" spans="72:143">
      <c r="BT515" s="187"/>
      <c r="BU515" s="187" t="s">
        <v>55</v>
      </c>
      <c r="BV515" s="196">
        <v>120034</v>
      </c>
      <c r="BW515" s="197" t="e">
        <f t="shared" si="144"/>
        <v>#REF!</v>
      </c>
      <c r="BX515" s="198" t="e">
        <f>IF(AND(State_LOB_Code=18,LEFT(BW515,4)&lt;"2009"),81,State_LOB_Code)&amp;"|342"</f>
        <v>#REF!</v>
      </c>
      <c r="BY515" s="215"/>
      <c r="BZ515" s="216"/>
      <c r="CD515" s="163"/>
      <c r="CE515" s="363"/>
      <c r="CF515" s="335"/>
      <c r="CG515" s="335"/>
      <c r="CH515" s="335"/>
      <c r="CI515" s="335"/>
      <c r="CJ515" s="335"/>
      <c r="CK515" s="335"/>
      <c r="CL515" s="335"/>
      <c r="CM515" s="335"/>
      <c r="CN515" s="335"/>
      <c r="CO515" s="335"/>
      <c r="CP515" s="335"/>
      <c r="CQ515" s="335"/>
      <c r="CR515" s="335"/>
      <c r="CS515" s="335"/>
      <c r="CT515" s="335"/>
      <c r="CU515" s="335"/>
      <c r="CV515" s="335"/>
      <c r="CW515" s="335"/>
      <c r="CX515" s="335"/>
      <c r="CY515" s="335"/>
      <c r="CZ515" s="335"/>
      <c r="DA515" s="335"/>
      <c r="DB515" s="335"/>
      <c r="DC515" s="335"/>
      <c r="DD515" s="335"/>
      <c r="DE515" s="335"/>
      <c r="DF515" s="335"/>
      <c r="DG515" s="335"/>
      <c r="DH515" s="335"/>
      <c r="DI515" s="335"/>
      <c r="DJ515" s="335"/>
      <c r="DK515" s="335"/>
      <c r="DL515" s="335"/>
      <c r="DM515" s="335"/>
      <c r="DN515" s="335"/>
      <c r="DO515" s="335"/>
      <c r="DP515" s="335"/>
      <c r="DQ515" s="335"/>
      <c r="DR515" s="335"/>
      <c r="DS515" s="335"/>
      <c r="DT515" s="335"/>
      <c r="DU515" s="335"/>
      <c r="DV515" s="335"/>
      <c r="DW515" s="335"/>
      <c r="DX515" s="335"/>
      <c r="DY515" s="335"/>
      <c r="DZ515" s="335"/>
      <c r="EA515" s="335"/>
      <c r="EB515" s="335"/>
      <c r="EC515" s="335"/>
      <c r="ED515" s="335"/>
      <c r="EE515" s="335"/>
      <c r="EF515" s="335"/>
      <c r="EG515" s="335"/>
      <c r="EH515" s="335"/>
      <c r="EI515" s="335"/>
      <c r="EJ515" s="335"/>
      <c r="EK515" s="335"/>
      <c r="EL515" s="335"/>
      <c r="EM515" s="335"/>
    </row>
    <row r="516" spans="72:143">
      <c r="BT516" s="187"/>
      <c r="BU516" s="187" t="s">
        <v>56</v>
      </c>
      <c r="BV516" s="196">
        <v>120034</v>
      </c>
      <c r="BW516" s="197" t="e">
        <f t="shared" si="144"/>
        <v>#REF!</v>
      </c>
      <c r="BX516" s="198" t="e">
        <f>IF(AND(State_LOB_Code=18,LEFT(BW516,4)&lt;"2009"),81,State_LOB_Code)&amp;"|343"</f>
        <v>#REF!</v>
      </c>
      <c r="BY516" s="215"/>
      <c r="BZ516" s="216"/>
      <c r="CD516" s="163"/>
      <c r="CE516" s="363"/>
      <c r="CF516" s="335"/>
      <c r="CG516" s="335"/>
      <c r="CH516" s="335"/>
      <c r="CI516" s="335"/>
      <c r="CJ516" s="335"/>
      <c r="CK516" s="335"/>
      <c r="CL516" s="335"/>
      <c r="CM516" s="335"/>
      <c r="CN516" s="335"/>
      <c r="CO516" s="335"/>
      <c r="CP516" s="335"/>
      <c r="CQ516" s="335"/>
      <c r="CR516" s="335"/>
      <c r="CS516" s="335"/>
      <c r="CT516" s="335"/>
      <c r="CU516" s="335"/>
      <c r="CV516" s="335"/>
      <c r="CW516" s="335"/>
      <c r="CX516" s="335"/>
      <c r="CY516" s="335"/>
      <c r="CZ516" s="335"/>
      <c r="DA516" s="335"/>
      <c r="DB516" s="335"/>
      <c r="DC516" s="335"/>
      <c r="DD516" s="335"/>
      <c r="DE516" s="335"/>
      <c r="DF516" s="335"/>
      <c r="DG516" s="335"/>
      <c r="DH516" s="335"/>
      <c r="DI516" s="335"/>
      <c r="DJ516" s="335"/>
      <c r="DK516" s="335"/>
      <c r="DL516" s="335"/>
      <c r="DM516" s="335"/>
      <c r="DN516" s="335"/>
      <c r="DO516" s="335"/>
      <c r="DP516" s="335"/>
      <c r="DQ516" s="335"/>
      <c r="DR516" s="335"/>
      <c r="DS516" s="335"/>
      <c r="DT516" s="335"/>
      <c r="DU516" s="335"/>
      <c r="DV516" s="335"/>
      <c r="DW516" s="335"/>
      <c r="DX516" s="335"/>
      <c r="DY516" s="335"/>
      <c r="DZ516" s="335"/>
      <c r="EA516" s="335"/>
      <c r="EB516" s="335"/>
      <c r="EC516" s="335"/>
      <c r="ED516" s="335"/>
      <c r="EE516" s="335"/>
      <c r="EF516" s="335"/>
      <c r="EG516" s="335"/>
      <c r="EH516" s="335"/>
      <c r="EI516" s="335"/>
      <c r="EJ516" s="335"/>
      <c r="EK516" s="335"/>
      <c r="EL516" s="335"/>
      <c r="EM516" s="335"/>
    </row>
    <row r="517" spans="72:143">
      <c r="BT517" s="187"/>
      <c r="BU517" s="187" t="s">
        <v>57</v>
      </c>
      <c r="BV517" s="196">
        <v>120034</v>
      </c>
      <c r="BW517" s="197" t="e">
        <f t="shared" si="144"/>
        <v>#REF!</v>
      </c>
      <c r="BX517" s="198" t="e">
        <f>IF(AND(State_LOB_Code=18,LEFT(BW517,4)&lt;"2009"),81,State_LOB_Code)&amp;"|344"</f>
        <v>#REF!</v>
      </c>
      <c r="BY517" s="215"/>
      <c r="BZ517" s="216"/>
      <c r="CD517" s="163"/>
      <c r="CE517" s="363"/>
      <c r="CF517" s="335"/>
      <c r="CG517" s="335"/>
      <c r="CH517" s="335"/>
      <c r="CI517" s="335"/>
      <c r="CJ517" s="335"/>
      <c r="CK517" s="335"/>
      <c r="CL517" s="335"/>
      <c r="CM517" s="335"/>
      <c r="CN517" s="335"/>
      <c r="CO517" s="335"/>
      <c r="CP517" s="335"/>
      <c r="CQ517" s="335"/>
      <c r="CR517" s="335"/>
      <c r="CS517" s="335"/>
      <c r="CT517" s="335"/>
      <c r="CU517" s="335"/>
      <c r="CV517" s="335"/>
      <c r="CW517" s="335"/>
      <c r="CX517" s="335"/>
      <c r="CY517" s="335"/>
      <c r="CZ517" s="335"/>
      <c r="DA517" s="335"/>
      <c r="DB517" s="335"/>
      <c r="DC517" s="335"/>
      <c r="DD517" s="335"/>
      <c r="DE517" s="335"/>
      <c r="DF517" s="335"/>
      <c r="DG517" s="335"/>
      <c r="DH517" s="335"/>
      <c r="DI517" s="335"/>
      <c r="DJ517" s="335"/>
      <c r="DK517" s="335"/>
      <c r="DL517" s="335"/>
      <c r="DM517" s="335"/>
      <c r="DN517" s="335"/>
      <c r="DO517" s="335"/>
      <c r="DP517" s="335"/>
      <c r="DQ517" s="335"/>
      <c r="DR517" s="335"/>
      <c r="DS517" s="335"/>
      <c r="DT517" s="335"/>
      <c r="DU517" s="335"/>
      <c r="DV517" s="335"/>
      <c r="DW517" s="335"/>
      <c r="DX517" s="335"/>
      <c r="DY517" s="335"/>
      <c r="DZ517" s="335"/>
      <c r="EA517" s="335"/>
      <c r="EB517" s="335"/>
      <c r="EC517" s="335"/>
      <c r="ED517" s="335"/>
      <c r="EE517" s="335"/>
      <c r="EF517" s="335"/>
      <c r="EG517" s="335"/>
      <c r="EH517" s="335"/>
      <c r="EI517" s="335"/>
      <c r="EJ517" s="335"/>
      <c r="EK517" s="335"/>
      <c r="EL517" s="335"/>
      <c r="EM517" s="335"/>
    </row>
    <row r="518" spans="72:143">
      <c r="BT518" s="187"/>
      <c r="BU518" s="187" t="s">
        <v>58</v>
      </c>
      <c r="BV518" s="196">
        <v>120034</v>
      </c>
      <c r="BW518" s="197" t="e">
        <f t="shared" si="144"/>
        <v>#REF!</v>
      </c>
      <c r="BX518" s="198" t="e">
        <f>IF(AND(State_LOB_Code=18,LEFT(BW518,4)&lt;"2009"),81,State_LOB_Code)&amp;"|346"</f>
        <v>#REF!</v>
      </c>
      <c r="BY518" s="215"/>
      <c r="BZ518" s="216"/>
      <c r="CD518" s="163"/>
      <c r="CE518" s="363"/>
      <c r="CF518" s="335"/>
      <c r="CG518" s="335"/>
      <c r="CH518" s="335"/>
      <c r="CI518" s="335"/>
      <c r="CJ518" s="335"/>
      <c r="CK518" s="335"/>
      <c r="CL518" s="335"/>
      <c r="CM518" s="335"/>
      <c r="CN518" s="335"/>
      <c r="CO518" s="335"/>
      <c r="CP518" s="335"/>
      <c r="CQ518" s="335"/>
      <c r="CR518" s="335"/>
      <c r="CS518" s="335"/>
      <c r="CT518" s="335"/>
      <c r="CU518" s="335"/>
      <c r="CV518" s="335"/>
      <c r="CW518" s="335"/>
      <c r="CX518" s="335"/>
      <c r="CY518" s="335"/>
      <c r="CZ518" s="335"/>
      <c r="DA518" s="335"/>
      <c r="DB518" s="335"/>
      <c r="DC518" s="335"/>
      <c r="DD518" s="335"/>
      <c r="DE518" s="335"/>
      <c r="DF518" s="335"/>
      <c r="DG518" s="335"/>
      <c r="DH518" s="335"/>
      <c r="DI518" s="335"/>
      <c r="DJ518" s="335"/>
      <c r="DK518" s="335"/>
      <c r="DL518" s="335"/>
      <c r="DM518" s="335"/>
      <c r="DN518" s="335"/>
      <c r="DO518" s="335"/>
      <c r="DP518" s="335"/>
      <c r="DQ518" s="335"/>
      <c r="DR518" s="335"/>
      <c r="DS518" s="335"/>
      <c r="DT518" s="335"/>
      <c r="DU518" s="335"/>
      <c r="DV518" s="335"/>
      <c r="DW518" s="335"/>
      <c r="DX518" s="335"/>
      <c r="DY518" s="335"/>
      <c r="DZ518" s="335"/>
      <c r="EA518" s="335"/>
      <c r="EB518" s="335"/>
      <c r="EC518" s="335"/>
      <c r="ED518" s="335"/>
      <c r="EE518" s="335"/>
      <c r="EF518" s="335"/>
      <c r="EG518" s="335"/>
      <c r="EH518" s="335"/>
      <c r="EI518" s="335"/>
      <c r="EJ518" s="335"/>
      <c r="EK518" s="335"/>
      <c r="EL518" s="335"/>
      <c r="EM518" s="335"/>
    </row>
    <row r="519" spans="72:143">
      <c r="BT519" s="187"/>
      <c r="BU519" s="187" t="s">
        <v>59</v>
      </c>
      <c r="BV519" s="196">
        <v>120034</v>
      </c>
      <c r="BW519" s="197" t="e">
        <f t="shared" si="144"/>
        <v>#REF!</v>
      </c>
      <c r="BX519" s="198" t="e">
        <f>IF(AND(State_LOB_Code=18,LEFT(BW519,4)&lt;"2009"),81,State_LOB_Code)&amp;"|347"</f>
        <v>#REF!</v>
      </c>
      <c r="BY519" s="215"/>
      <c r="BZ519" s="216"/>
      <c r="CD519" s="163"/>
      <c r="CE519" s="363"/>
      <c r="CF519" s="335"/>
      <c r="CG519" s="335"/>
      <c r="CH519" s="335"/>
      <c r="CI519" s="335"/>
      <c r="CJ519" s="335"/>
      <c r="CK519" s="335"/>
      <c r="CL519" s="335"/>
      <c r="CM519" s="335"/>
      <c r="CN519" s="335"/>
      <c r="CO519" s="335"/>
      <c r="CP519" s="335"/>
      <c r="CQ519" s="335"/>
      <c r="CR519" s="335"/>
      <c r="CS519" s="335"/>
      <c r="CT519" s="335"/>
      <c r="CU519" s="335"/>
      <c r="CV519" s="335"/>
      <c r="CW519" s="335"/>
      <c r="CX519" s="335"/>
      <c r="CY519" s="335"/>
      <c r="CZ519" s="335"/>
      <c r="DA519" s="335"/>
      <c r="DB519" s="335"/>
      <c r="DC519" s="335"/>
      <c r="DD519" s="335"/>
      <c r="DE519" s="335"/>
      <c r="DF519" s="335"/>
      <c r="DG519" s="335"/>
      <c r="DH519" s="335"/>
      <c r="DI519" s="335"/>
      <c r="DJ519" s="335"/>
      <c r="DK519" s="335"/>
      <c r="DL519" s="335"/>
      <c r="DM519" s="335"/>
      <c r="DN519" s="335"/>
      <c r="DO519" s="335"/>
      <c r="DP519" s="335"/>
      <c r="DQ519" s="335"/>
      <c r="DR519" s="335"/>
      <c r="DS519" s="335"/>
      <c r="DT519" s="335"/>
      <c r="DU519" s="335"/>
      <c r="DV519" s="335"/>
      <c r="DW519" s="335"/>
      <c r="DX519" s="335"/>
      <c r="DY519" s="335"/>
      <c r="DZ519" s="335"/>
      <c r="EA519" s="335"/>
      <c r="EB519" s="335"/>
      <c r="EC519" s="335"/>
      <c r="ED519" s="335"/>
      <c r="EE519" s="335"/>
      <c r="EF519" s="335"/>
      <c r="EG519" s="335"/>
      <c r="EH519" s="335"/>
      <c r="EI519" s="335"/>
      <c r="EJ519" s="335"/>
      <c r="EK519" s="335"/>
      <c r="EL519" s="335"/>
      <c r="EM519" s="335"/>
    </row>
    <row r="520" spans="72:143">
      <c r="BT520" s="187"/>
      <c r="BU520" s="187" t="s">
        <v>60</v>
      </c>
      <c r="BV520" s="196">
        <v>120034</v>
      </c>
      <c r="BW520" s="197" t="e">
        <f t="shared" si="144"/>
        <v>#REF!</v>
      </c>
      <c r="BX520" s="198" t="e">
        <f>IF(AND(State_LOB_Code=18,LEFT(BW520,4)&lt;"2009"),81,State_LOB_Code)&amp;"|348"</f>
        <v>#REF!</v>
      </c>
      <c r="BY520" s="215"/>
      <c r="BZ520" s="216"/>
      <c r="CD520" s="163"/>
      <c r="CE520" s="363"/>
      <c r="CF520" s="335"/>
      <c r="CG520" s="335"/>
      <c r="CH520" s="335"/>
      <c r="CI520" s="335"/>
      <c r="CJ520" s="335"/>
      <c r="CK520" s="335"/>
      <c r="CL520" s="335"/>
      <c r="CM520" s="335"/>
      <c r="CN520" s="335"/>
      <c r="CO520" s="335"/>
      <c r="CP520" s="335"/>
      <c r="CQ520" s="335"/>
      <c r="CR520" s="335"/>
      <c r="CS520" s="335"/>
      <c r="CT520" s="335"/>
      <c r="CU520" s="335"/>
      <c r="CV520" s="335"/>
      <c r="CW520" s="335"/>
      <c r="CX520" s="335"/>
      <c r="CY520" s="335"/>
      <c r="CZ520" s="335"/>
      <c r="DA520" s="335"/>
      <c r="DB520" s="335"/>
      <c r="DC520" s="335"/>
      <c r="DD520" s="335"/>
      <c r="DE520" s="335"/>
      <c r="DF520" s="335"/>
      <c r="DG520" s="335"/>
      <c r="DH520" s="335"/>
      <c r="DI520" s="335"/>
      <c r="DJ520" s="335"/>
      <c r="DK520" s="335"/>
      <c r="DL520" s="335"/>
      <c r="DM520" s="335"/>
      <c r="DN520" s="335"/>
      <c r="DO520" s="335"/>
      <c r="DP520" s="335"/>
      <c r="DQ520" s="335"/>
      <c r="DR520" s="335"/>
      <c r="DS520" s="335"/>
      <c r="DT520" s="335"/>
      <c r="DU520" s="335"/>
      <c r="DV520" s="335"/>
      <c r="DW520" s="335"/>
      <c r="DX520" s="335"/>
      <c r="DY520" s="335"/>
      <c r="DZ520" s="335"/>
      <c r="EA520" s="335"/>
      <c r="EB520" s="335"/>
      <c r="EC520" s="335"/>
      <c r="ED520" s="335"/>
      <c r="EE520" s="335"/>
      <c r="EF520" s="335"/>
      <c r="EG520" s="335"/>
      <c r="EH520" s="335"/>
      <c r="EI520" s="335"/>
      <c r="EJ520" s="335"/>
      <c r="EK520" s="335"/>
      <c r="EL520" s="335"/>
      <c r="EM520" s="335"/>
    </row>
    <row r="521" spans="72:143">
      <c r="BT521" s="187"/>
      <c r="BU521" s="187" t="s">
        <v>61</v>
      </c>
      <c r="BV521" s="196">
        <v>120034</v>
      </c>
      <c r="BW521" s="197" t="e">
        <f t="shared" si="144"/>
        <v>#REF!</v>
      </c>
      <c r="BX521" s="198" t="e">
        <f>IF(AND(State_LOB_Code=18,LEFT(BW521,4)&lt;"2009"),81,State_LOB_Code)&amp;"|349"</f>
        <v>#REF!</v>
      </c>
      <c r="BY521" s="215"/>
      <c r="BZ521" s="216"/>
      <c r="CD521" s="163"/>
      <c r="CE521" s="363"/>
      <c r="CF521" s="335"/>
      <c r="CG521" s="335"/>
      <c r="CH521" s="335"/>
      <c r="CI521" s="335"/>
      <c r="CJ521" s="335"/>
      <c r="CK521" s="335"/>
      <c r="CL521" s="335"/>
      <c r="CM521" s="335"/>
      <c r="CN521" s="335"/>
      <c r="CO521" s="335"/>
      <c r="CP521" s="335"/>
      <c r="CQ521" s="335"/>
      <c r="CR521" s="335"/>
      <c r="CS521" s="335"/>
      <c r="CT521" s="335"/>
      <c r="CU521" s="335"/>
      <c r="CV521" s="335"/>
      <c r="CW521" s="335"/>
      <c r="CX521" s="335"/>
      <c r="CY521" s="335"/>
      <c r="CZ521" s="335"/>
      <c r="DA521" s="335"/>
      <c r="DB521" s="335"/>
      <c r="DC521" s="335"/>
      <c r="DD521" s="335"/>
      <c r="DE521" s="335"/>
      <c r="DF521" s="335"/>
      <c r="DG521" s="335"/>
      <c r="DH521" s="335"/>
      <c r="DI521" s="335"/>
      <c r="DJ521" s="335"/>
      <c r="DK521" s="335"/>
      <c r="DL521" s="335"/>
      <c r="DM521" s="335"/>
      <c r="DN521" s="335"/>
      <c r="DO521" s="335"/>
      <c r="DP521" s="335"/>
      <c r="DQ521" s="335"/>
      <c r="DR521" s="335"/>
      <c r="DS521" s="335"/>
      <c r="DT521" s="335"/>
      <c r="DU521" s="335"/>
      <c r="DV521" s="335"/>
      <c r="DW521" s="335"/>
      <c r="DX521" s="335"/>
      <c r="DY521" s="335"/>
      <c r="DZ521" s="335"/>
      <c r="EA521" s="335"/>
      <c r="EB521" s="335"/>
      <c r="EC521" s="335"/>
      <c r="ED521" s="335"/>
      <c r="EE521" s="335"/>
      <c r="EF521" s="335"/>
      <c r="EG521" s="335"/>
      <c r="EH521" s="335"/>
      <c r="EI521" s="335"/>
      <c r="EJ521" s="335"/>
      <c r="EK521" s="335"/>
      <c r="EL521" s="335"/>
      <c r="EM521" s="335"/>
    </row>
    <row r="522" spans="72:143">
      <c r="BT522" s="187"/>
      <c r="BU522" s="187" t="s">
        <v>62</v>
      </c>
      <c r="BV522" s="196">
        <v>120034</v>
      </c>
      <c r="BW522" s="197" t="e">
        <f t="shared" si="144"/>
        <v>#REF!</v>
      </c>
      <c r="BX522" s="198" t="e">
        <f>IF(AND(State_LOB_Code=18,LEFT(BW522,4)&lt;"2009"),81,State_LOB_Code)&amp;"|350"</f>
        <v>#REF!</v>
      </c>
      <c r="BY522" s="215"/>
      <c r="BZ522" s="216"/>
      <c r="CD522" s="163"/>
      <c r="CE522" s="363"/>
      <c r="CF522" s="335"/>
      <c r="CG522" s="335"/>
      <c r="CH522" s="335"/>
      <c r="CI522" s="335"/>
      <c r="CJ522" s="335"/>
      <c r="CK522" s="335"/>
      <c r="CL522" s="335"/>
      <c r="CM522" s="335"/>
      <c r="CN522" s="335"/>
      <c r="CO522" s="335"/>
      <c r="CP522" s="335"/>
      <c r="CQ522" s="335"/>
      <c r="CR522" s="335"/>
      <c r="CS522" s="335"/>
      <c r="CT522" s="335"/>
      <c r="CU522" s="335"/>
      <c r="CV522" s="335"/>
      <c r="CW522" s="335"/>
      <c r="CX522" s="335"/>
      <c r="CY522" s="335"/>
      <c r="CZ522" s="335"/>
      <c r="DA522" s="335"/>
      <c r="DB522" s="335"/>
      <c r="DC522" s="335"/>
      <c r="DD522" s="335"/>
      <c r="DE522" s="335"/>
      <c r="DF522" s="335"/>
      <c r="DG522" s="335"/>
      <c r="DH522" s="335"/>
      <c r="DI522" s="335"/>
      <c r="DJ522" s="335"/>
      <c r="DK522" s="335"/>
      <c r="DL522" s="335"/>
      <c r="DM522" s="335"/>
      <c r="DN522" s="335"/>
      <c r="DO522" s="335"/>
      <c r="DP522" s="335"/>
      <c r="DQ522" s="335"/>
      <c r="DR522" s="335"/>
      <c r="DS522" s="335"/>
      <c r="DT522" s="335"/>
      <c r="DU522" s="335"/>
      <c r="DV522" s="335"/>
      <c r="DW522" s="335"/>
      <c r="DX522" s="335"/>
      <c r="DY522" s="335"/>
      <c r="DZ522" s="335"/>
      <c r="EA522" s="335"/>
      <c r="EB522" s="335"/>
      <c r="EC522" s="335"/>
      <c r="ED522" s="335"/>
      <c r="EE522" s="335"/>
      <c r="EF522" s="335"/>
      <c r="EG522" s="335"/>
      <c r="EH522" s="335"/>
      <c r="EI522" s="335"/>
      <c r="EJ522" s="335"/>
      <c r="EK522" s="335"/>
      <c r="EL522" s="335"/>
      <c r="EM522" s="335"/>
    </row>
    <row r="523" spans="72:143">
      <c r="BT523" s="187"/>
      <c r="BU523" s="187" t="s">
        <v>63</v>
      </c>
      <c r="BV523" s="196">
        <v>120034</v>
      </c>
      <c r="BW523" s="197" t="e">
        <f t="shared" si="144"/>
        <v>#REF!</v>
      </c>
      <c r="BX523" s="198" t="e">
        <f>IF(AND(State_LOB_Code=18,LEFT(BW523,4)&lt;"2009"),81,State_LOB_Code)&amp;"|351"</f>
        <v>#REF!</v>
      </c>
      <c r="BY523" s="215"/>
      <c r="BZ523" s="216"/>
      <c r="CD523" s="163"/>
      <c r="CE523" s="363"/>
      <c r="CF523" s="335"/>
      <c r="CG523" s="335"/>
      <c r="CH523" s="335"/>
      <c r="CI523" s="335"/>
      <c r="CJ523" s="335"/>
      <c r="CK523" s="335"/>
      <c r="CL523" s="335"/>
      <c r="CM523" s="335"/>
      <c r="CN523" s="335"/>
      <c r="CO523" s="335"/>
      <c r="CP523" s="335"/>
      <c r="CQ523" s="335"/>
      <c r="CR523" s="335"/>
      <c r="CS523" s="335"/>
      <c r="CT523" s="335"/>
      <c r="CU523" s="335"/>
      <c r="CV523" s="335"/>
      <c r="CW523" s="335"/>
      <c r="CX523" s="335"/>
      <c r="CY523" s="335"/>
      <c r="CZ523" s="335"/>
      <c r="DA523" s="335"/>
      <c r="DB523" s="335"/>
      <c r="DC523" s="335"/>
      <c r="DD523" s="335"/>
      <c r="DE523" s="335"/>
      <c r="DF523" s="335"/>
      <c r="DG523" s="335"/>
      <c r="DH523" s="335"/>
      <c r="DI523" s="335"/>
      <c r="DJ523" s="335"/>
      <c r="DK523" s="335"/>
      <c r="DL523" s="335"/>
      <c r="DM523" s="335"/>
      <c r="DN523" s="335"/>
      <c r="DO523" s="335"/>
      <c r="DP523" s="335"/>
      <c r="DQ523" s="335"/>
      <c r="DR523" s="335"/>
      <c r="DS523" s="335"/>
      <c r="DT523" s="335"/>
      <c r="DU523" s="335"/>
      <c r="DV523" s="335"/>
      <c r="DW523" s="335"/>
      <c r="DX523" s="335"/>
      <c r="DY523" s="335"/>
      <c r="DZ523" s="335"/>
      <c r="EA523" s="335"/>
      <c r="EB523" s="335"/>
      <c r="EC523" s="335"/>
      <c r="ED523" s="335"/>
      <c r="EE523" s="335"/>
      <c r="EF523" s="335"/>
      <c r="EG523" s="335"/>
      <c r="EH523" s="335"/>
      <c r="EI523" s="335"/>
      <c r="EJ523" s="335"/>
      <c r="EK523" s="335"/>
      <c r="EL523" s="335"/>
      <c r="EM523" s="335"/>
    </row>
    <row r="524" spans="72:143">
      <c r="BT524" s="187"/>
      <c r="BU524" s="187" t="s">
        <v>64</v>
      </c>
      <c r="BV524" s="196">
        <v>120034</v>
      </c>
      <c r="BW524" s="197" t="e">
        <f t="shared" si="144"/>
        <v>#REF!</v>
      </c>
      <c r="BX524" s="198" t="e">
        <f>IF(AND(State_LOB_Code=18,LEFT(BW524,4)&lt;"2009"),81,State_LOB_Code)&amp;"|352"</f>
        <v>#REF!</v>
      </c>
      <c r="BY524" s="215"/>
      <c r="BZ524" s="216"/>
      <c r="CD524" s="163"/>
      <c r="CE524" s="363"/>
      <c r="CF524" s="335"/>
      <c r="CG524" s="335"/>
      <c r="CH524" s="335"/>
      <c r="CI524" s="335"/>
      <c r="CJ524" s="335"/>
      <c r="CK524" s="335"/>
      <c r="CL524" s="335"/>
      <c r="CM524" s="335"/>
      <c r="CN524" s="335"/>
      <c r="CO524" s="335"/>
      <c r="CP524" s="335"/>
      <c r="CQ524" s="335"/>
      <c r="CR524" s="335"/>
      <c r="CS524" s="335"/>
      <c r="CT524" s="335"/>
      <c r="CU524" s="335"/>
      <c r="CV524" s="335"/>
      <c r="CW524" s="335"/>
      <c r="CX524" s="335"/>
      <c r="CY524" s="335"/>
      <c r="CZ524" s="335"/>
      <c r="DA524" s="335"/>
      <c r="DB524" s="335"/>
      <c r="DC524" s="335"/>
      <c r="DD524" s="335"/>
      <c r="DE524" s="335"/>
      <c r="DF524" s="335"/>
      <c r="DG524" s="335"/>
      <c r="DH524" s="335"/>
      <c r="DI524" s="335"/>
      <c r="DJ524" s="335"/>
      <c r="DK524" s="335"/>
      <c r="DL524" s="335"/>
      <c r="DM524" s="335"/>
      <c r="DN524" s="335"/>
      <c r="DO524" s="335"/>
      <c r="DP524" s="335"/>
      <c r="DQ524" s="335"/>
      <c r="DR524" s="335"/>
      <c r="DS524" s="335"/>
      <c r="DT524" s="335"/>
      <c r="DU524" s="335"/>
      <c r="DV524" s="335"/>
      <c r="DW524" s="335"/>
      <c r="DX524" s="335"/>
      <c r="DY524" s="335"/>
      <c r="DZ524" s="335"/>
      <c r="EA524" s="335"/>
      <c r="EB524" s="335"/>
      <c r="EC524" s="335"/>
      <c r="ED524" s="335"/>
      <c r="EE524" s="335"/>
      <c r="EF524" s="335"/>
      <c r="EG524" s="335"/>
      <c r="EH524" s="335"/>
      <c r="EI524" s="335"/>
      <c r="EJ524" s="335"/>
      <c r="EK524" s="335"/>
      <c r="EL524" s="335"/>
      <c r="EM524" s="335"/>
    </row>
    <row r="525" spans="72:143">
      <c r="BT525" s="187"/>
      <c r="BU525" s="187" t="s">
        <v>65</v>
      </c>
      <c r="BV525" s="196">
        <v>120034</v>
      </c>
      <c r="BW525" s="197" t="e">
        <f t="shared" si="144"/>
        <v>#REF!</v>
      </c>
      <c r="BX525" s="198" t="e">
        <f>IF(AND(State_LOB_Code=18,LEFT(BW525,4)&lt;"2009"),81,State_LOB_Code)&amp;"|353"</f>
        <v>#REF!</v>
      </c>
      <c r="BY525" s="215"/>
      <c r="BZ525" s="216"/>
      <c r="CD525" s="163"/>
      <c r="CE525" s="363"/>
      <c r="CF525" s="335"/>
      <c r="CG525" s="335"/>
      <c r="CH525" s="335"/>
      <c r="CI525" s="335"/>
      <c r="CJ525" s="335"/>
      <c r="CK525" s="335"/>
      <c r="CL525" s="335"/>
      <c r="CM525" s="335"/>
      <c r="CN525" s="335"/>
      <c r="CO525" s="335"/>
      <c r="CP525" s="335"/>
      <c r="CQ525" s="335"/>
      <c r="CR525" s="335"/>
      <c r="CS525" s="335"/>
      <c r="CT525" s="335"/>
      <c r="CU525" s="335"/>
      <c r="CV525" s="335"/>
      <c r="CW525" s="335"/>
      <c r="CX525" s="335"/>
      <c r="CY525" s="335"/>
      <c r="CZ525" s="335"/>
      <c r="DA525" s="335"/>
      <c r="DB525" s="335"/>
      <c r="DC525" s="335"/>
      <c r="DD525" s="335"/>
      <c r="DE525" s="335"/>
      <c r="DF525" s="335"/>
      <c r="DG525" s="335"/>
      <c r="DH525" s="335"/>
      <c r="DI525" s="335"/>
      <c r="DJ525" s="335"/>
      <c r="DK525" s="335"/>
      <c r="DL525" s="335"/>
      <c r="DM525" s="335"/>
      <c r="DN525" s="335"/>
      <c r="DO525" s="335"/>
      <c r="DP525" s="335"/>
      <c r="DQ525" s="335"/>
      <c r="DR525" s="335"/>
      <c r="DS525" s="335"/>
      <c r="DT525" s="335"/>
      <c r="DU525" s="335"/>
      <c r="DV525" s="335"/>
      <c r="DW525" s="335"/>
      <c r="DX525" s="335"/>
      <c r="DY525" s="335"/>
      <c r="DZ525" s="335"/>
      <c r="EA525" s="335"/>
      <c r="EB525" s="335"/>
      <c r="EC525" s="335"/>
      <c r="ED525" s="335"/>
      <c r="EE525" s="335"/>
      <c r="EF525" s="335"/>
      <c r="EG525" s="335"/>
      <c r="EH525" s="335"/>
      <c r="EI525" s="335"/>
      <c r="EJ525" s="335"/>
      <c r="EK525" s="335"/>
      <c r="EL525" s="335"/>
      <c r="EM525" s="335"/>
    </row>
    <row r="526" spans="72:143">
      <c r="BT526" s="187"/>
      <c r="BU526" s="187" t="s">
        <v>66</v>
      </c>
      <c r="BV526" s="196">
        <v>120034</v>
      </c>
      <c r="BW526" s="197" t="e">
        <f t="shared" si="144"/>
        <v>#REF!</v>
      </c>
      <c r="BX526" s="198" t="e">
        <f>IF(AND(State_LOB_Code=18,LEFT(BW526,4)&lt;"2009"),81,State_LOB_Code)&amp;"|354"</f>
        <v>#REF!</v>
      </c>
      <c r="BY526" s="215"/>
      <c r="BZ526" s="216"/>
      <c r="CD526" s="163"/>
      <c r="CE526" s="363"/>
      <c r="CF526" s="335"/>
      <c r="CG526" s="335"/>
      <c r="CH526" s="335"/>
      <c r="CI526" s="335"/>
      <c r="CJ526" s="335"/>
      <c r="CK526" s="335"/>
      <c r="CL526" s="335"/>
      <c r="CM526" s="335"/>
      <c r="CN526" s="335"/>
      <c r="CO526" s="335"/>
      <c r="CP526" s="335"/>
      <c r="CQ526" s="335"/>
      <c r="CR526" s="335"/>
      <c r="CS526" s="335"/>
      <c r="CT526" s="335"/>
      <c r="CU526" s="335"/>
      <c r="CV526" s="335"/>
      <c r="CW526" s="335"/>
      <c r="CX526" s="335"/>
      <c r="CY526" s="335"/>
      <c r="CZ526" s="335"/>
      <c r="DA526" s="335"/>
      <c r="DB526" s="335"/>
      <c r="DC526" s="335"/>
      <c r="DD526" s="335"/>
      <c r="DE526" s="335"/>
      <c r="DF526" s="335"/>
      <c r="DG526" s="335"/>
      <c r="DH526" s="335"/>
      <c r="DI526" s="335"/>
      <c r="DJ526" s="335"/>
      <c r="DK526" s="335"/>
      <c r="DL526" s="335"/>
      <c r="DM526" s="335"/>
      <c r="DN526" s="335"/>
      <c r="DO526" s="335"/>
      <c r="DP526" s="335"/>
      <c r="DQ526" s="335"/>
      <c r="DR526" s="335"/>
      <c r="DS526" s="335"/>
      <c r="DT526" s="335"/>
      <c r="DU526" s="335"/>
      <c r="DV526" s="335"/>
      <c r="DW526" s="335"/>
      <c r="DX526" s="335"/>
      <c r="DY526" s="335"/>
      <c r="DZ526" s="335"/>
      <c r="EA526" s="335"/>
      <c r="EB526" s="335"/>
      <c r="EC526" s="335"/>
      <c r="ED526" s="335"/>
      <c r="EE526" s="335"/>
      <c r="EF526" s="335"/>
      <c r="EG526" s="335"/>
      <c r="EH526" s="335"/>
      <c r="EI526" s="335"/>
      <c r="EJ526" s="335"/>
      <c r="EK526" s="335"/>
      <c r="EL526" s="335"/>
      <c r="EM526" s="335"/>
    </row>
    <row r="527" spans="72:143">
      <c r="BT527" s="187"/>
      <c r="BU527" s="187" t="s">
        <v>67</v>
      </c>
      <c r="BV527" s="196">
        <v>120034</v>
      </c>
      <c r="BW527" s="197" t="e">
        <f t="shared" si="144"/>
        <v>#REF!</v>
      </c>
      <c r="BX527" s="198" t="e">
        <f>IF(AND(State_LOB_Code=18,LEFT(BW527,4)&lt;"2009"),81,State_LOB_Code)&amp;"|355"</f>
        <v>#REF!</v>
      </c>
      <c r="BY527" s="215"/>
      <c r="BZ527" s="216"/>
      <c r="CD527" s="163"/>
      <c r="CE527" s="363"/>
      <c r="CF527" s="335"/>
      <c r="CG527" s="335"/>
      <c r="CH527" s="335"/>
      <c r="CI527" s="335"/>
      <c r="CJ527" s="335"/>
      <c r="CK527" s="335"/>
      <c r="CL527" s="335"/>
      <c r="CM527" s="335"/>
      <c r="CN527" s="335"/>
      <c r="CO527" s="335"/>
      <c r="CP527" s="335"/>
      <c r="CQ527" s="335"/>
      <c r="CR527" s="335"/>
      <c r="CS527" s="335"/>
      <c r="CT527" s="335"/>
      <c r="CU527" s="335"/>
      <c r="CV527" s="335"/>
      <c r="CW527" s="335"/>
      <c r="CX527" s="335"/>
      <c r="CY527" s="335"/>
      <c r="CZ527" s="335"/>
      <c r="DA527" s="335"/>
      <c r="DB527" s="335"/>
      <c r="DC527" s="335"/>
      <c r="DD527" s="335"/>
      <c r="DE527" s="335"/>
      <c r="DF527" s="335"/>
      <c r="DG527" s="335"/>
      <c r="DH527" s="335"/>
      <c r="DI527" s="335"/>
      <c r="DJ527" s="335"/>
      <c r="DK527" s="335"/>
      <c r="DL527" s="335"/>
      <c r="DM527" s="335"/>
      <c r="DN527" s="335"/>
      <c r="DO527" s="335"/>
      <c r="DP527" s="335"/>
      <c r="DQ527" s="335"/>
      <c r="DR527" s="335"/>
      <c r="DS527" s="335"/>
      <c r="DT527" s="335"/>
      <c r="DU527" s="335"/>
      <c r="DV527" s="335"/>
      <c r="DW527" s="335"/>
      <c r="DX527" s="335"/>
      <c r="DY527" s="335"/>
      <c r="DZ527" s="335"/>
      <c r="EA527" s="335"/>
      <c r="EB527" s="335"/>
      <c r="EC527" s="335"/>
      <c r="ED527" s="335"/>
      <c r="EE527" s="335"/>
      <c r="EF527" s="335"/>
      <c r="EG527" s="335"/>
      <c r="EH527" s="335"/>
      <c r="EI527" s="335"/>
      <c r="EJ527" s="335"/>
      <c r="EK527" s="335"/>
      <c r="EL527" s="335"/>
      <c r="EM527" s="335"/>
    </row>
    <row r="528" spans="72:143">
      <c r="BT528" s="187"/>
      <c r="BU528" s="187" t="s">
        <v>68</v>
      </c>
      <c r="BV528" s="196">
        <v>120034</v>
      </c>
      <c r="BW528" s="197" t="e">
        <f t="shared" si="144"/>
        <v>#REF!</v>
      </c>
      <c r="BX528" s="198" t="e">
        <f>IF(AND(State_LOB_Code=18,LEFT(BW528,4)&lt;"2009"),81,State_LOB_Code)&amp;"|356"</f>
        <v>#REF!</v>
      </c>
      <c r="BY528" s="215"/>
      <c r="BZ528" s="216"/>
      <c r="CD528" s="163"/>
      <c r="CE528" s="363"/>
      <c r="CF528" s="335"/>
      <c r="CG528" s="335"/>
      <c r="CH528" s="335"/>
      <c r="CI528" s="335"/>
      <c r="CJ528" s="335"/>
      <c r="CK528" s="335"/>
      <c r="CL528" s="335"/>
      <c r="CM528" s="335"/>
      <c r="CN528" s="335"/>
      <c r="CO528" s="335"/>
      <c r="CP528" s="335"/>
      <c r="CQ528" s="335"/>
      <c r="CR528" s="335"/>
      <c r="CS528" s="335"/>
      <c r="CT528" s="335"/>
      <c r="CU528" s="335"/>
      <c r="CV528" s="335"/>
      <c r="CW528" s="335"/>
      <c r="CX528" s="335"/>
      <c r="CY528" s="335"/>
      <c r="CZ528" s="335"/>
      <c r="DA528" s="335"/>
      <c r="DB528" s="335"/>
      <c r="DC528" s="335"/>
      <c r="DD528" s="335"/>
      <c r="DE528" s="335"/>
      <c r="DF528" s="335"/>
      <c r="DG528" s="335"/>
      <c r="DH528" s="335"/>
      <c r="DI528" s="335"/>
      <c r="DJ528" s="335"/>
      <c r="DK528" s="335"/>
      <c r="DL528" s="335"/>
      <c r="DM528" s="335"/>
      <c r="DN528" s="335"/>
      <c r="DO528" s="335"/>
      <c r="DP528" s="335"/>
      <c r="DQ528" s="335"/>
      <c r="DR528" s="335"/>
      <c r="DS528" s="335"/>
      <c r="DT528" s="335"/>
      <c r="DU528" s="335"/>
      <c r="DV528" s="335"/>
      <c r="DW528" s="335"/>
      <c r="DX528" s="335"/>
      <c r="DY528" s="335"/>
      <c r="DZ528" s="335"/>
      <c r="EA528" s="335"/>
      <c r="EB528" s="335"/>
      <c r="EC528" s="335"/>
      <c r="ED528" s="335"/>
      <c r="EE528" s="335"/>
      <c r="EF528" s="335"/>
      <c r="EG528" s="335"/>
      <c r="EH528" s="335"/>
      <c r="EI528" s="335"/>
      <c r="EJ528" s="335"/>
      <c r="EK528" s="335"/>
      <c r="EL528" s="335"/>
      <c r="EM528" s="335"/>
    </row>
    <row r="529" spans="72:143">
      <c r="BT529" s="187"/>
      <c r="BU529" s="187" t="s">
        <v>69</v>
      </c>
      <c r="BV529" s="196">
        <v>120034</v>
      </c>
      <c r="BW529" s="197" t="e">
        <f t="shared" si="144"/>
        <v>#REF!</v>
      </c>
      <c r="BX529" s="198" t="e">
        <f>IF(AND(State_LOB_Code=18,LEFT(BW529,4)&lt;"2009"),81,State_LOB_Code)&amp;"|357"</f>
        <v>#REF!</v>
      </c>
      <c r="BY529" s="215"/>
      <c r="BZ529" s="216"/>
      <c r="CD529" s="163"/>
      <c r="CE529" s="363"/>
      <c r="CF529" s="335"/>
      <c r="CG529" s="335"/>
      <c r="CH529" s="335"/>
      <c r="CI529" s="335"/>
      <c r="CJ529" s="335"/>
      <c r="CK529" s="335"/>
      <c r="CL529" s="335"/>
      <c r="CM529" s="335"/>
      <c r="CN529" s="335"/>
      <c r="CO529" s="335"/>
      <c r="CP529" s="335"/>
      <c r="CQ529" s="335"/>
      <c r="CR529" s="335"/>
      <c r="CS529" s="335"/>
      <c r="CT529" s="335"/>
      <c r="CU529" s="335"/>
      <c r="CV529" s="335"/>
      <c r="CW529" s="335"/>
      <c r="CX529" s="335"/>
      <c r="CY529" s="335"/>
      <c r="CZ529" s="335"/>
      <c r="DA529" s="335"/>
      <c r="DB529" s="335"/>
      <c r="DC529" s="335"/>
      <c r="DD529" s="335"/>
      <c r="DE529" s="335"/>
      <c r="DF529" s="335"/>
      <c r="DG529" s="335"/>
      <c r="DH529" s="335"/>
      <c r="DI529" s="335"/>
      <c r="DJ529" s="335"/>
      <c r="DK529" s="335"/>
      <c r="DL529" s="335"/>
      <c r="DM529" s="335"/>
      <c r="DN529" s="335"/>
      <c r="DO529" s="335"/>
      <c r="DP529" s="335"/>
      <c r="DQ529" s="335"/>
      <c r="DR529" s="335"/>
      <c r="DS529" s="335"/>
      <c r="DT529" s="335"/>
      <c r="DU529" s="335"/>
      <c r="DV529" s="335"/>
      <c r="DW529" s="335"/>
      <c r="DX529" s="335"/>
      <c r="DY529" s="335"/>
      <c r="DZ529" s="335"/>
      <c r="EA529" s="335"/>
      <c r="EB529" s="335"/>
      <c r="EC529" s="335"/>
      <c r="ED529" s="335"/>
      <c r="EE529" s="335"/>
      <c r="EF529" s="335"/>
      <c r="EG529" s="335"/>
      <c r="EH529" s="335"/>
      <c r="EI529" s="335"/>
      <c r="EJ529" s="335"/>
      <c r="EK529" s="335"/>
      <c r="EL529" s="335"/>
      <c r="EM529" s="335"/>
    </row>
    <row r="530" spans="72:143">
      <c r="BT530" s="187"/>
      <c r="BU530" s="187" t="s">
        <v>70</v>
      </c>
      <c r="BV530" s="196">
        <v>120034</v>
      </c>
      <c r="BW530" s="197" t="e">
        <f t="shared" si="144"/>
        <v>#REF!</v>
      </c>
      <c r="BX530" s="198" t="e">
        <f>IF(AND(State_LOB_Code=18,LEFT(BW530,4)&lt;"2009"),81,State_LOB_Code)&amp;"|358"</f>
        <v>#REF!</v>
      </c>
      <c r="BY530" s="215"/>
      <c r="BZ530" s="216"/>
      <c r="CD530" s="163"/>
      <c r="CE530" s="363"/>
      <c r="CF530" s="335"/>
      <c r="CG530" s="335"/>
      <c r="CH530" s="335"/>
      <c r="CI530" s="335"/>
      <c r="CJ530" s="335"/>
      <c r="CK530" s="335"/>
      <c r="CL530" s="335"/>
      <c r="CM530" s="335"/>
      <c r="CN530" s="335"/>
      <c r="CO530" s="335"/>
      <c r="CP530" s="335"/>
      <c r="CQ530" s="335"/>
      <c r="CR530" s="335"/>
      <c r="CS530" s="335"/>
      <c r="CT530" s="335"/>
      <c r="CU530" s="335"/>
      <c r="CV530" s="335"/>
      <c r="CW530" s="335"/>
      <c r="CX530" s="335"/>
      <c r="CY530" s="335"/>
      <c r="CZ530" s="335"/>
      <c r="DA530" s="335"/>
      <c r="DB530" s="335"/>
      <c r="DC530" s="335"/>
      <c r="DD530" s="335"/>
      <c r="DE530" s="335"/>
      <c r="DF530" s="335"/>
      <c r="DG530" s="335"/>
      <c r="DH530" s="335"/>
      <c r="DI530" s="335"/>
      <c r="DJ530" s="335"/>
      <c r="DK530" s="335"/>
      <c r="DL530" s="335"/>
      <c r="DM530" s="335"/>
      <c r="DN530" s="335"/>
      <c r="DO530" s="335"/>
      <c r="DP530" s="335"/>
      <c r="DQ530" s="335"/>
      <c r="DR530" s="335"/>
      <c r="DS530" s="335"/>
      <c r="DT530" s="335"/>
      <c r="DU530" s="335"/>
      <c r="DV530" s="335"/>
      <c r="DW530" s="335"/>
      <c r="DX530" s="335"/>
      <c r="DY530" s="335"/>
      <c r="DZ530" s="335"/>
      <c r="EA530" s="335"/>
      <c r="EB530" s="335"/>
      <c r="EC530" s="335"/>
      <c r="ED530" s="335"/>
      <c r="EE530" s="335"/>
      <c r="EF530" s="335"/>
      <c r="EG530" s="335"/>
      <c r="EH530" s="335"/>
      <c r="EI530" s="335"/>
      <c r="EJ530" s="335"/>
      <c r="EK530" s="335"/>
      <c r="EL530" s="335"/>
      <c r="EM530" s="335"/>
    </row>
    <row r="531" spans="72:143">
      <c r="BT531" s="187"/>
      <c r="BU531" s="187" t="s">
        <v>71</v>
      </c>
      <c r="BV531" s="196">
        <v>120034</v>
      </c>
      <c r="BW531" s="197" t="e">
        <f t="shared" si="144"/>
        <v>#REF!</v>
      </c>
      <c r="BX531" s="198" t="e">
        <f>IF(AND(State_LOB_Code=18,LEFT(BW531,4)&lt;"2009"),81,State_LOB_Code)&amp;"|359"</f>
        <v>#REF!</v>
      </c>
      <c r="BY531" s="215"/>
      <c r="BZ531" s="216"/>
      <c r="CD531" s="163"/>
      <c r="CE531" s="363"/>
      <c r="CF531" s="335"/>
      <c r="CG531" s="335"/>
      <c r="CH531" s="335"/>
      <c r="CI531" s="335"/>
      <c r="CJ531" s="335"/>
      <c r="CK531" s="335"/>
      <c r="CL531" s="335"/>
      <c r="CM531" s="335"/>
      <c r="CN531" s="335"/>
      <c r="CO531" s="335"/>
      <c r="CP531" s="335"/>
      <c r="CQ531" s="335"/>
      <c r="CR531" s="335"/>
      <c r="CS531" s="335"/>
      <c r="CT531" s="335"/>
      <c r="CU531" s="335"/>
      <c r="CV531" s="335"/>
      <c r="CW531" s="335"/>
      <c r="CX531" s="335"/>
      <c r="CY531" s="335"/>
      <c r="CZ531" s="335"/>
      <c r="DA531" s="335"/>
      <c r="DB531" s="335"/>
      <c r="DC531" s="335"/>
      <c r="DD531" s="335"/>
      <c r="DE531" s="335"/>
      <c r="DF531" s="335"/>
      <c r="DG531" s="335"/>
      <c r="DH531" s="335"/>
      <c r="DI531" s="335"/>
      <c r="DJ531" s="335"/>
      <c r="DK531" s="335"/>
      <c r="DL531" s="335"/>
      <c r="DM531" s="335"/>
      <c r="DN531" s="335"/>
      <c r="DO531" s="335"/>
      <c r="DP531" s="335"/>
      <c r="DQ531" s="335"/>
      <c r="DR531" s="335"/>
      <c r="DS531" s="335"/>
      <c r="DT531" s="335"/>
      <c r="DU531" s="335"/>
      <c r="DV531" s="335"/>
      <c r="DW531" s="335"/>
      <c r="DX531" s="335"/>
      <c r="DY531" s="335"/>
      <c r="DZ531" s="335"/>
      <c r="EA531" s="335"/>
      <c r="EB531" s="335"/>
      <c r="EC531" s="335"/>
      <c r="ED531" s="335"/>
      <c r="EE531" s="335"/>
      <c r="EF531" s="335"/>
      <c r="EG531" s="335"/>
      <c r="EH531" s="335"/>
      <c r="EI531" s="335"/>
      <c r="EJ531" s="335"/>
      <c r="EK531" s="335"/>
      <c r="EL531" s="335"/>
      <c r="EM531" s="335"/>
    </row>
    <row r="532" spans="72:143">
      <c r="BT532" s="187"/>
      <c r="BU532" s="187" t="s">
        <v>72</v>
      </c>
      <c r="BV532" s="196">
        <v>120034</v>
      </c>
      <c r="BW532" s="197" t="e">
        <f t="shared" si="144"/>
        <v>#REF!</v>
      </c>
      <c r="BX532" s="198" t="e">
        <f>IF(AND(State_LOB_Code=18,LEFT(BW532,4)&lt;"2009"),81,State_LOB_Code)&amp;"|361"</f>
        <v>#REF!</v>
      </c>
      <c r="BY532" s="215"/>
      <c r="BZ532" s="216"/>
      <c r="CD532" s="163"/>
      <c r="CE532" s="363"/>
      <c r="CF532" s="335"/>
      <c r="CG532" s="335"/>
      <c r="CH532" s="335"/>
      <c r="CI532" s="335"/>
      <c r="CJ532" s="335"/>
      <c r="CK532" s="335"/>
      <c r="CL532" s="335"/>
      <c r="CM532" s="335"/>
      <c r="CN532" s="335"/>
      <c r="CO532" s="335"/>
      <c r="CP532" s="335"/>
      <c r="CQ532" s="335"/>
      <c r="CR532" s="335"/>
      <c r="CS532" s="335"/>
      <c r="CT532" s="335"/>
      <c r="CU532" s="335"/>
      <c r="CV532" s="335"/>
      <c r="CW532" s="335"/>
      <c r="CX532" s="335"/>
      <c r="CY532" s="335"/>
      <c r="CZ532" s="335"/>
      <c r="DA532" s="335"/>
      <c r="DB532" s="335"/>
      <c r="DC532" s="335"/>
      <c r="DD532" s="335"/>
      <c r="DE532" s="335"/>
      <c r="DF532" s="335"/>
      <c r="DG532" s="335"/>
      <c r="DH532" s="335"/>
      <c r="DI532" s="335"/>
      <c r="DJ532" s="335"/>
      <c r="DK532" s="335"/>
      <c r="DL532" s="335"/>
      <c r="DM532" s="335"/>
      <c r="DN532" s="335"/>
      <c r="DO532" s="335"/>
      <c r="DP532" s="335"/>
      <c r="DQ532" s="335"/>
      <c r="DR532" s="335"/>
      <c r="DS532" s="335"/>
      <c r="DT532" s="335"/>
      <c r="DU532" s="335"/>
      <c r="DV532" s="335"/>
      <c r="DW532" s="335"/>
      <c r="DX532" s="335"/>
      <c r="DY532" s="335"/>
      <c r="DZ532" s="335"/>
      <c r="EA532" s="335"/>
      <c r="EB532" s="335"/>
      <c r="EC532" s="335"/>
      <c r="ED532" s="335"/>
      <c r="EE532" s="335"/>
      <c r="EF532" s="335"/>
      <c r="EG532" s="335"/>
      <c r="EH532" s="335"/>
      <c r="EI532" s="335"/>
      <c r="EJ532" s="335"/>
      <c r="EK532" s="335"/>
      <c r="EL532" s="335"/>
      <c r="EM532" s="335"/>
    </row>
    <row r="533" spans="72:143">
      <c r="BT533" s="187"/>
      <c r="BU533" s="187" t="s">
        <v>73</v>
      </c>
      <c r="BV533" s="196">
        <v>120034</v>
      </c>
      <c r="BW533" s="197" t="e">
        <f t="shared" si="144"/>
        <v>#REF!</v>
      </c>
      <c r="BX533" s="198" t="e">
        <f>IF(AND(State_LOB_Code=18,LEFT(BW533,4)&lt;"2009"),81,State_LOB_Code)&amp;"|362"</f>
        <v>#REF!</v>
      </c>
      <c r="BY533" s="215"/>
      <c r="BZ533" s="216"/>
      <c r="CD533" s="163"/>
      <c r="CE533" s="363"/>
      <c r="CF533" s="335"/>
      <c r="CG533" s="335"/>
      <c r="CH533" s="335"/>
      <c r="CI533" s="335"/>
      <c r="CJ533" s="335"/>
      <c r="CK533" s="335"/>
      <c r="CL533" s="335"/>
      <c r="CM533" s="335"/>
      <c r="CN533" s="335"/>
      <c r="CO533" s="335"/>
      <c r="CP533" s="335"/>
      <c r="CQ533" s="335"/>
      <c r="CR533" s="335"/>
      <c r="CS533" s="335"/>
      <c r="CT533" s="335"/>
      <c r="CU533" s="335"/>
      <c r="CV533" s="335"/>
      <c r="CW533" s="335"/>
      <c r="CX533" s="335"/>
      <c r="CY533" s="335"/>
      <c r="CZ533" s="335"/>
      <c r="DA533" s="335"/>
      <c r="DB533" s="335"/>
      <c r="DC533" s="335"/>
      <c r="DD533" s="335"/>
      <c r="DE533" s="335"/>
      <c r="DF533" s="335"/>
      <c r="DG533" s="335"/>
      <c r="DH533" s="335"/>
      <c r="DI533" s="335"/>
      <c r="DJ533" s="335"/>
      <c r="DK533" s="335"/>
      <c r="DL533" s="335"/>
      <c r="DM533" s="335"/>
      <c r="DN533" s="335"/>
      <c r="DO533" s="335"/>
      <c r="DP533" s="335"/>
      <c r="DQ533" s="335"/>
      <c r="DR533" s="335"/>
      <c r="DS533" s="335"/>
      <c r="DT533" s="335"/>
      <c r="DU533" s="335"/>
      <c r="DV533" s="335"/>
      <c r="DW533" s="335"/>
      <c r="DX533" s="335"/>
      <c r="DY533" s="335"/>
      <c r="DZ533" s="335"/>
      <c r="EA533" s="335"/>
      <c r="EB533" s="335"/>
      <c r="EC533" s="335"/>
      <c r="ED533" s="335"/>
      <c r="EE533" s="335"/>
      <c r="EF533" s="335"/>
      <c r="EG533" s="335"/>
      <c r="EH533" s="335"/>
      <c r="EI533" s="335"/>
      <c r="EJ533" s="335"/>
      <c r="EK533" s="335"/>
      <c r="EL533" s="335"/>
      <c r="EM533" s="335"/>
    </row>
    <row r="534" spans="72:143">
      <c r="BT534" s="187"/>
      <c r="BU534" s="187" t="s">
        <v>74</v>
      </c>
      <c r="BV534" s="196">
        <v>120034</v>
      </c>
      <c r="BW534" s="197" t="e">
        <f t="shared" si="144"/>
        <v>#REF!</v>
      </c>
      <c r="BX534" s="198" t="e">
        <f>IF(AND(State_LOB_Code=18,LEFT(BW534,4)&lt;"2009"),81,State_LOB_Code)&amp;"|363"</f>
        <v>#REF!</v>
      </c>
      <c r="BY534" s="215"/>
      <c r="BZ534" s="216"/>
      <c r="CD534" s="163"/>
      <c r="CE534" s="363"/>
      <c r="CF534" s="335"/>
      <c r="CG534" s="335"/>
      <c r="CH534" s="335"/>
      <c r="CI534" s="335"/>
      <c r="CJ534" s="335"/>
      <c r="CK534" s="335"/>
      <c r="CL534" s="335"/>
      <c r="CM534" s="335"/>
      <c r="CN534" s="335"/>
      <c r="CO534" s="335"/>
      <c r="CP534" s="335"/>
      <c r="CQ534" s="335"/>
      <c r="CR534" s="335"/>
      <c r="CS534" s="335"/>
      <c r="CT534" s="335"/>
      <c r="CU534" s="335"/>
      <c r="CV534" s="335"/>
      <c r="CW534" s="335"/>
      <c r="CX534" s="335"/>
      <c r="CY534" s="335"/>
      <c r="CZ534" s="335"/>
      <c r="DA534" s="335"/>
      <c r="DB534" s="335"/>
      <c r="DC534" s="335"/>
      <c r="DD534" s="335"/>
      <c r="DE534" s="335"/>
      <c r="DF534" s="335"/>
      <c r="DG534" s="335"/>
      <c r="DH534" s="335"/>
      <c r="DI534" s="335"/>
      <c r="DJ534" s="335"/>
      <c r="DK534" s="335"/>
      <c r="DL534" s="335"/>
      <c r="DM534" s="335"/>
      <c r="DN534" s="335"/>
      <c r="DO534" s="335"/>
      <c r="DP534" s="335"/>
      <c r="DQ534" s="335"/>
      <c r="DR534" s="335"/>
      <c r="DS534" s="335"/>
      <c r="DT534" s="335"/>
      <c r="DU534" s="335"/>
      <c r="DV534" s="335"/>
      <c r="DW534" s="335"/>
      <c r="DX534" s="335"/>
      <c r="DY534" s="335"/>
      <c r="DZ534" s="335"/>
      <c r="EA534" s="335"/>
      <c r="EB534" s="335"/>
      <c r="EC534" s="335"/>
      <c r="ED534" s="335"/>
      <c r="EE534" s="335"/>
      <c r="EF534" s="335"/>
      <c r="EG534" s="335"/>
      <c r="EH534" s="335"/>
      <c r="EI534" s="335"/>
      <c r="EJ534" s="335"/>
      <c r="EK534" s="335"/>
      <c r="EL534" s="335"/>
      <c r="EM534" s="335"/>
    </row>
    <row r="535" spans="72:143">
      <c r="BT535" s="187"/>
      <c r="BU535" s="187" t="s">
        <v>75</v>
      </c>
      <c r="BV535" s="196">
        <v>120034</v>
      </c>
      <c r="BW535" s="197" t="e">
        <f t="shared" si="144"/>
        <v>#REF!</v>
      </c>
      <c r="BX535" s="198" t="e">
        <f>IF(AND(State_LOB_Code=18,LEFT(BW535,4)&lt;"2009"),81,State_LOB_Code)&amp;"|364"</f>
        <v>#REF!</v>
      </c>
      <c r="BY535" s="215"/>
      <c r="BZ535" s="216"/>
      <c r="CD535" s="163"/>
      <c r="CE535" s="363"/>
      <c r="CF535" s="335"/>
      <c r="CG535" s="335"/>
      <c r="CH535" s="335"/>
      <c r="CI535" s="335"/>
      <c r="CJ535" s="335"/>
      <c r="CK535" s="335"/>
      <c r="CL535" s="335"/>
      <c r="CM535" s="335"/>
      <c r="CN535" s="335"/>
      <c r="CO535" s="335"/>
      <c r="CP535" s="335"/>
      <c r="CQ535" s="335"/>
      <c r="CR535" s="335"/>
      <c r="CS535" s="335"/>
      <c r="CT535" s="335"/>
      <c r="CU535" s="335"/>
      <c r="CV535" s="335"/>
      <c r="CW535" s="335"/>
      <c r="CX535" s="335"/>
      <c r="CY535" s="335"/>
      <c r="CZ535" s="335"/>
      <c r="DA535" s="335"/>
      <c r="DB535" s="335"/>
      <c r="DC535" s="335"/>
      <c r="DD535" s="335"/>
      <c r="DE535" s="335"/>
      <c r="DF535" s="335"/>
      <c r="DG535" s="335"/>
      <c r="DH535" s="335"/>
      <c r="DI535" s="335"/>
      <c r="DJ535" s="335"/>
      <c r="DK535" s="335"/>
      <c r="DL535" s="335"/>
      <c r="DM535" s="335"/>
      <c r="DN535" s="335"/>
      <c r="DO535" s="335"/>
      <c r="DP535" s="335"/>
      <c r="DQ535" s="335"/>
      <c r="DR535" s="335"/>
      <c r="DS535" s="335"/>
      <c r="DT535" s="335"/>
      <c r="DU535" s="335"/>
      <c r="DV535" s="335"/>
      <c r="DW535" s="335"/>
      <c r="DX535" s="335"/>
      <c r="DY535" s="335"/>
      <c r="DZ535" s="335"/>
      <c r="EA535" s="335"/>
      <c r="EB535" s="335"/>
      <c r="EC535" s="335"/>
      <c r="ED535" s="335"/>
      <c r="EE535" s="335"/>
      <c r="EF535" s="335"/>
      <c r="EG535" s="335"/>
      <c r="EH535" s="335"/>
      <c r="EI535" s="335"/>
      <c r="EJ535" s="335"/>
      <c r="EK535" s="335"/>
      <c r="EL535" s="335"/>
      <c r="EM535" s="335"/>
    </row>
    <row r="536" spans="72:143">
      <c r="BT536" s="187"/>
      <c r="BU536" s="187" t="s">
        <v>76</v>
      </c>
      <c r="BV536" s="196">
        <v>120034</v>
      </c>
      <c r="BW536" s="197" t="e">
        <f t="shared" si="144"/>
        <v>#REF!</v>
      </c>
      <c r="BX536" s="198" t="e">
        <f>IF(AND(State_LOB_Code=18,LEFT(BW536,4)&lt;"2009"),81,State_LOB_Code)&amp;"|365"</f>
        <v>#REF!</v>
      </c>
      <c r="BY536" s="215"/>
      <c r="BZ536" s="216"/>
      <c r="CD536" s="163"/>
      <c r="CE536" s="363"/>
      <c r="CF536" s="335"/>
      <c r="CG536" s="335"/>
      <c r="CH536" s="335"/>
      <c r="CI536" s="335"/>
      <c r="CJ536" s="335"/>
      <c r="CK536" s="335"/>
      <c r="CL536" s="335"/>
      <c r="CM536" s="335"/>
      <c r="CN536" s="335"/>
      <c r="CO536" s="335"/>
      <c r="CP536" s="335"/>
      <c r="CQ536" s="335"/>
      <c r="CR536" s="335"/>
      <c r="CS536" s="335"/>
      <c r="CT536" s="335"/>
      <c r="CU536" s="335"/>
      <c r="CV536" s="335"/>
      <c r="CW536" s="335"/>
      <c r="CX536" s="335"/>
      <c r="CY536" s="335"/>
      <c r="CZ536" s="335"/>
      <c r="DA536" s="335"/>
      <c r="DB536" s="335"/>
      <c r="DC536" s="335"/>
      <c r="DD536" s="335"/>
      <c r="DE536" s="335"/>
      <c r="DF536" s="335"/>
      <c r="DG536" s="335"/>
      <c r="DH536" s="335"/>
      <c r="DI536" s="335"/>
      <c r="DJ536" s="335"/>
      <c r="DK536" s="335"/>
      <c r="DL536" s="335"/>
      <c r="DM536" s="335"/>
      <c r="DN536" s="335"/>
      <c r="DO536" s="335"/>
      <c r="DP536" s="335"/>
      <c r="DQ536" s="335"/>
      <c r="DR536" s="335"/>
      <c r="DS536" s="335"/>
      <c r="DT536" s="335"/>
      <c r="DU536" s="335"/>
      <c r="DV536" s="335"/>
      <c r="DW536" s="335"/>
      <c r="DX536" s="335"/>
      <c r="DY536" s="335"/>
      <c r="DZ536" s="335"/>
      <c r="EA536" s="335"/>
      <c r="EB536" s="335"/>
      <c r="EC536" s="335"/>
      <c r="ED536" s="335"/>
      <c r="EE536" s="335"/>
      <c r="EF536" s="335"/>
      <c r="EG536" s="335"/>
      <c r="EH536" s="335"/>
      <c r="EI536" s="335"/>
      <c r="EJ536" s="335"/>
      <c r="EK536" s="335"/>
      <c r="EL536" s="335"/>
      <c r="EM536" s="335"/>
    </row>
    <row r="537" spans="72:143">
      <c r="BT537" s="187"/>
      <c r="BU537" s="187" t="s">
        <v>77</v>
      </c>
      <c r="BV537" s="196">
        <v>120034</v>
      </c>
      <c r="BW537" s="197" t="e">
        <f t="shared" si="144"/>
        <v>#REF!</v>
      </c>
      <c r="BX537" s="198" t="e">
        <f>IF(AND(State_LOB_Code=18,LEFT(BW537,4)&lt;"2009"),81,State_LOB_Code)&amp;"|366"</f>
        <v>#REF!</v>
      </c>
      <c r="BY537" s="215"/>
      <c r="BZ537" s="216"/>
      <c r="CD537" s="163"/>
      <c r="CE537" s="363"/>
      <c r="CF537" s="335"/>
      <c r="CG537" s="335"/>
      <c r="CH537" s="335"/>
      <c r="CI537" s="335"/>
      <c r="CJ537" s="335"/>
      <c r="CK537" s="335"/>
      <c r="CL537" s="335"/>
      <c r="CM537" s="335"/>
      <c r="CN537" s="335"/>
      <c r="CO537" s="335"/>
      <c r="CP537" s="335"/>
      <c r="CQ537" s="335"/>
      <c r="CR537" s="335"/>
      <c r="CS537" s="335"/>
      <c r="CT537" s="335"/>
      <c r="CU537" s="335"/>
      <c r="CV537" s="335"/>
      <c r="CW537" s="335"/>
      <c r="CX537" s="335"/>
      <c r="CY537" s="335"/>
      <c r="CZ537" s="335"/>
      <c r="DA537" s="335"/>
      <c r="DB537" s="335"/>
      <c r="DC537" s="335"/>
      <c r="DD537" s="335"/>
      <c r="DE537" s="335"/>
      <c r="DF537" s="335"/>
      <c r="DG537" s="335"/>
      <c r="DH537" s="335"/>
      <c r="DI537" s="335"/>
      <c r="DJ537" s="335"/>
      <c r="DK537" s="335"/>
      <c r="DL537" s="335"/>
      <c r="DM537" s="335"/>
      <c r="DN537" s="335"/>
      <c r="DO537" s="335"/>
      <c r="DP537" s="335"/>
      <c r="DQ537" s="335"/>
      <c r="DR537" s="335"/>
      <c r="DS537" s="335"/>
      <c r="DT537" s="335"/>
      <c r="DU537" s="335"/>
      <c r="DV537" s="335"/>
      <c r="DW537" s="335"/>
      <c r="DX537" s="335"/>
      <c r="DY537" s="335"/>
      <c r="DZ537" s="335"/>
      <c r="EA537" s="335"/>
      <c r="EB537" s="335"/>
      <c r="EC537" s="335"/>
      <c r="ED537" s="335"/>
      <c r="EE537" s="335"/>
      <c r="EF537" s="335"/>
      <c r="EG537" s="335"/>
      <c r="EH537" s="335"/>
      <c r="EI537" s="335"/>
      <c r="EJ537" s="335"/>
      <c r="EK537" s="335"/>
      <c r="EL537" s="335"/>
      <c r="EM537" s="335"/>
    </row>
    <row r="538" spans="72:143">
      <c r="BT538" s="187"/>
      <c r="BU538" s="187" t="s">
        <v>78</v>
      </c>
      <c r="BV538" s="196">
        <v>120034</v>
      </c>
      <c r="BW538" s="197" t="e">
        <f t="shared" si="144"/>
        <v>#REF!</v>
      </c>
      <c r="BX538" s="198" t="e">
        <f>IF(AND(State_LOB_Code=18,LEFT(BW538,4)&lt;"2009"),81,State_LOB_Code)&amp;"|367"</f>
        <v>#REF!</v>
      </c>
      <c r="BY538" s="215"/>
      <c r="BZ538" s="216"/>
      <c r="CD538" s="163"/>
      <c r="CE538" s="363"/>
      <c r="CF538" s="335"/>
      <c r="CG538" s="335"/>
      <c r="CH538" s="335"/>
      <c r="CI538" s="335"/>
      <c r="CJ538" s="335"/>
      <c r="CK538" s="335"/>
      <c r="CL538" s="335"/>
      <c r="CM538" s="335"/>
      <c r="CN538" s="335"/>
      <c r="CO538" s="335"/>
      <c r="CP538" s="335"/>
      <c r="CQ538" s="335"/>
      <c r="CR538" s="335"/>
      <c r="CS538" s="335"/>
      <c r="CT538" s="335"/>
      <c r="CU538" s="335"/>
      <c r="CV538" s="335"/>
      <c r="CW538" s="335"/>
      <c r="CX538" s="335"/>
      <c r="CY538" s="335"/>
      <c r="CZ538" s="335"/>
      <c r="DA538" s="335"/>
      <c r="DB538" s="335"/>
      <c r="DC538" s="335"/>
      <c r="DD538" s="335"/>
      <c r="DE538" s="335"/>
      <c r="DF538" s="335"/>
      <c r="DG538" s="335"/>
      <c r="DH538" s="335"/>
      <c r="DI538" s="335"/>
      <c r="DJ538" s="335"/>
      <c r="DK538" s="335"/>
      <c r="DL538" s="335"/>
      <c r="DM538" s="335"/>
      <c r="DN538" s="335"/>
      <c r="DO538" s="335"/>
      <c r="DP538" s="335"/>
      <c r="DQ538" s="335"/>
      <c r="DR538" s="335"/>
      <c r="DS538" s="335"/>
      <c r="DT538" s="335"/>
      <c r="DU538" s="335"/>
      <c r="DV538" s="335"/>
      <c r="DW538" s="335"/>
      <c r="DX538" s="335"/>
      <c r="DY538" s="335"/>
      <c r="DZ538" s="335"/>
      <c r="EA538" s="335"/>
      <c r="EB538" s="335"/>
      <c r="EC538" s="335"/>
      <c r="ED538" s="335"/>
      <c r="EE538" s="335"/>
      <c r="EF538" s="335"/>
      <c r="EG538" s="335"/>
      <c r="EH538" s="335"/>
      <c r="EI538" s="335"/>
      <c r="EJ538" s="335"/>
      <c r="EK538" s="335"/>
      <c r="EL538" s="335"/>
      <c r="EM538" s="335"/>
    </row>
    <row r="539" spans="72:143">
      <c r="BT539" s="187"/>
      <c r="BU539" s="187" t="s">
        <v>79</v>
      </c>
      <c r="BV539" s="196">
        <v>120034</v>
      </c>
      <c r="BW539" s="197" t="e">
        <f t="shared" ref="BW539:BW566" si="145">LEFT(BW478,4)-1&amp;"Y"</f>
        <v>#REF!</v>
      </c>
      <c r="BX539" s="198" t="e">
        <f>IF(AND(State_LOB_Code=18,LEFT(BW539,4)&lt;"2009"),81,State_LOB_Code)&amp;"|368"</f>
        <v>#REF!</v>
      </c>
      <c r="BY539" s="215"/>
      <c r="BZ539" s="216"/>
      <c r="CD539" s="163"/>
      <c r="CE539" s="363"/>
      <c r="CF539" s="335"/>
      <c r="CG539" s="335"/>
      <c r="CH539" s="335"/>
      <c r="CI539" s="335"/>
      <c r="CJ539" s="335"/>
      <c r="CK539" s="335"/>
      <c r="CL539" s="335"/>
      <c r="CM539" s="335"/>
      <c r="CN539" s="335"/>
      <c r="CO539" s="335"/>
      <c r="CP539" s="335"/>
      <c r="CQ539" s="335"/>
      <c r="CR539" s="335"/>
      <c r="CS539" s="335"/>
      <c r="CT539" s="335"/>
      <c r="CU539" s="335"/>
      <c r="CV539" s="335"/>
      <c r="CW539" s="335"/>
      <c r="CX539" s="335"/>
      <c r="CY539" s="335"/>
      <c r="CZ539" s="335"/>
      <c r="DA539" s="335"/>
      <c r="DB539" s="335"/>
      <c r="DC539" s="335"/>
      <c r="DD539" s="335"/>
      <c r="DE539" s="335"/>
      <c r="DF539" s="335"/>
      <c r="DG539" s="335"/>
      <c r="DH539" s="335"/>
      <c r="DI539" s="335"/>
      <c r="DJ539" s="335"/>
      <c r="DK539" s="335"/>
      <c r="DL539" s="335"/>
      <c r="DM539" s="335"/>
      <c r="DN539" s="335"/>
      <c r="DO539" s="335"/>
      <c r="DP539" s="335"/>
      <c r="DQ539" s="335"/>
      <c r="DR539" s="335"/>
      <c r="DS539" s="335"/>
      <c r="DT539" s="335"/>
      <c r="DU539" s="335"/>
      <c r="DV539" s="335"/>
      <c r="DW539" s="335"/>
      <c r="DX539" s="335"/>
      <c r="DY539" s="335"/>
      <c r="DZ539" s="335"/>
      <c r="EA539" s="335"/>
      <c r="EB539" s="335"/>
      <c r="EC539" s="335"/>
      <c r="ED539" s="335"/>
      <c r="EE539" s="335"/>
      <c r="EF539" s="335"/>
      <c r="EG539" s="335"/>
      <c r="EH539" s="335"/>
      <c r="EI539" s="335"/>
      <c r="EJ539" s="335"/>
      <c r="EK539" s="335"/>
      <c r="EL539" s="335"/>
      <c r="EM539" s="335"/>
    </row>
    <row r="540" spans="72:143">
      <c r="BT540" s="187"/>
      <c r="BU540" s="187" t="s">
        <v>80</v>
      </c>
      <c r="BV540" s="196">
        <v>120034</v>
      </c>
      <c r="BW540" s="197" t="e">
        <f t="shared" si="145"/>
        <v>#REF!</v>
      </c>
      <c r="BX540" s="198" t="e">
        <f>IF(AND(State_LOB_Code=18,LEFT(BW540,4)&lt;"2009"),81,State_LOB_Code)&amp;"|369"</f>
        <v>#REF!</v>
      </c>
      <c r="BY540" s="215"/>
      <c r="BZ540" s="216"/>
      <c r="CD540" s="163"/>
      <c r="CE540" s="363"/>
      <c r="CF540" s="335"/>
      <c r="CG540" s="335"/>
      <c r="CH540" s="335"/>
      <c r="CI540" s="335"/>
      <c r="CJ540" s="335"/>
      <c r="CK540" s="335"/>
      <c r="CL540" s="335"/>
      <c r="CM540" s="335"/>
      <c r="CN540" s="335"/>
      <c r="CO540" s="335"/>
      <c r="CP540" s="335"/>
      <c r="CQ540" s="335"/>
      <c r="CR540" s="335"/>
      <c r="CS540" s="335"/>
      <c r="CT540" s="335"/>
      <c r="CU540" s="335"/>
      <c r="CV540" s="335"/>
      <c r="CW540" s="335"/>
      <c r="CX540" s="335"/>
      <c r="CY540" s="335"/>
      <c r="CZ540" s="335"/>
      <c r="DA540" s="335"/>
      <c r="DB540" s="335"/>
      <c r="DC540" s="335"/>
      <c r="DD540" s="335"/>
      <c r="DE540" s="335"/>
      <c r="DF540" s="335"/>
      <c r="DG540" s="335"/>
      <c r="DH540" s="335"/>
      <c r="DI540" s="335"/>
      <c r="DJ540" s="335"/>
      <c r="DK540" s="335"/>
      <c r="DL540" s="335"/>
      <c r="DM540" s="335"/>
      <c r="DN540" s="335"/>
      <c r="DO540" s="335"/>
      <c r="DP540" s="335"/>
      <c r="DQ540" s="335"/>
      <c r="DR540" s="335"/>
      <c r="DS540" s="335"/>
      <c r="DT540" s="335"/>
      <c r="DU540" s="335"/>
      <c r="DV540" s="335"/>
      <c r="DW540" s="335"/>
      <c r="DX540" s="335"/>
      <c r="DY540" s="335"/>
      <c r="DZ540" s="335"/>
      <c r="EA540" s="335"/>
      <c r="EB540" s="335"/>
      <c r="EC540" s="335"/>
      <c r="ED540" s="335"/>
      <c r="EE540" s="335"/>
      <c r="EF540" s="335"/>
      <c r="EG540" s="335"/>
      <c r="EH540" s="335"/>
      <c r="EI540" s="335"/>
      <c r="EJ540" s="335"/>
      <c r="EK540" s="335"/>
      <c r="EL540" s="335"/>
      <c r="EM540" s="335"/>
    </row>
    <row r="541" spans="72:143">
      <c r="BT541" s="187"/>
      <c r="BU541" s="187" t="s">
        <v>81</v>
      </c>
      <c r="BV541" s="196">
        <v>120034</v>
      </c>
      <c r="BW541" s="197" t="e">
        <f t="shared" si="145"/>
        <v>#REF!</v>
      </c>
      <c r="BX541" s="198" t="e">
        <f>IF(AND(State_LOB_Code=18,LEFT(BW541,4)&lt;"2009"),81,State_LOB_Code)&amp;"|370"</f>
        <v>#REF!</v>
      </c>
      <c r="BY541" s="215"/>
      <c r="BZ541" s="216"/>
      <c r="CD541" s="163"/>
      <c r="CE541" s="363"/>
      <c r="CF541" s="335"/>
      <c r="CG541" s="335"/>
      <c r="CH541" s="335"/>
      <c r="CI541" s="335"/>
      <c r="CJ541" s="335"/>
      <c r="CK541" s="335"/>
      <c r="CL541" s="335"/>
      <c r="CM541" s="335"/>
      <c r="CN541" s="335"/>
      <c r="CO541" s="335"/>
      <c r="CP541" s="335"/>
      <c r="CQ541" s="335"/>
      <c r="CR541" s="335"/>
      <c r="CS541" s="335"/>
      <c r="CT541" s="335"/>
      <c r="CU541" s="335"/>
      <c r="CV541" s="335"/>
      <c r="CW541" s="335"/>
      <c r="CX541" s="335"/>
      <c r="CY541" s="335"/>
      <c r="CZ541" s="335"/>
      <c r="DA541" s="335"/>
      <c r="DB541" s="335"/>
      <c r="DC541" s="335"/>
      <c r="DD541" s="335"/>
      <c r="DE541" s="335"/>
      <c r="DF541" s="335"/>
      <c r="DG541" s="335"/>
      <c r="DH541" s="335"/>
      <c r="DI541" s="335"/>
      <c r="DJ541" s="335"/>
      <c r="DK541" s="335"/>
      <c r="DL541" s="335"/>
      <c r="DM541" s="335"/>
      <c r="DN541" s="335"/>
      <c r="DO541" s="335"/>
      <c r="DP541" s="335"/>
      <c r="DQ541" s="335"/>
      <c r="DR541" s="335"/>
      <c r="DS541" s="335"/>
      <c r="DT541" s="335"/>
      <c r="DU541" s="335"/>
      <c r="DV541" s="335"/>
      <c r="DW541" s="335"/>
      <c r="DX541" s="335"/>
      <c r="DY541" s="335"/>
      <c r="DZ541" s="335"/>
      <c r="EA541" s="335"/>
      <c r="EB541" s="335"/>
      <c r="EC541" s="335"/>
      <c r="ED541" s="335"/>
      <c r="EE541" s="335"/>
      <c r="EF541" s="335"/>
      <c r="EG541" s="335"/>
      <c r="EH541" s="335"/>
      <c r="EI541" s="335"/>
      <c r="EJ541" s="335"/>
      <c r="EK541" s="335"/>
      <c r="EL541" s="335"/>
      <c r="EM541" s="335"/>
    </row>
    <row r="542" spans="72:143">
      <c r="BT542" s="187"/>
      <c r="BU542" s="187" t="s">
        <v>82</v>
      </c>
      <c r="BV542" s="196">
        <v>120034</v>
      </c>
      <c r="BW542" s="197" t="e">
        <f t="shared" si="145"/>
        <v>#REF!</v>
      </c>
      <c r="BX542" s="198" t="e">
        <f>IF(AND(State_LOB_Code=18,LEFT(BW542,4)&lt;"2009"),81,State_LOB_Code)&amp;"|371"</f>
        <v>#REF!</v>
      </c>
      <c r="BY542" s="215"/>
      <c r="BZ542" s="216"/>
      <c r="CD542" s="163"/>
      <c r="CE542" s="363"/>
      <c r="CF542" s="335"/>
      <c r="CG542" s="335"/>
      <c r="CH542" s="335"/>
      <c r="CI542" s="335"/>
      <c r="CJ542" s="335"/>
      <c r="CK542" s="335"/>
      <c r="CL542" s="335"/>
      <c r="CM542" s="335"/>
      <c r="CN542" s="335"/>
      <c r="CO542" s="335"/>
      <c r="CP542" s="335"/>
      <c r="CQ542" s="335"/>
      <c r="CR542" s="335"/>
      <c r="CS542" s="335"/>
      <c r="CT542" s="335"/>
      <c r="CU542" s="335"/>
      <c r="CV542" s="335"/>
      <c r="CW542" s="335"/>
      <c r="CX542" s="335"/>
      <c r="CY542" s="335"/>
      <c r="CZ542" s="335"/>
      <c r="DA542" s="335"/>
      <c r="DB542" s="335"/>
      <c r="DC542" s="335"/>
      <c r="DD542" s="335"/>
      <c r="DE542" s="335"/>
      <c r="DF542" s="335"/>
      <c r="DG542" s="335"/>
      <c r="DH542" s="335"/>
      <c r="DI542" s="335"/>
      <c r="DJ542" s="335"/>
      <c r="DK542" s="335"/>
      <c r="DL542" s="335"/>
      <c r="DM542" s="335"/>
      <c r="DN542" s="335"/>
      <c r="DO542" s="335"/>
      <c r="DP542" s="335"/>
      <c r="DQ542" s="335"/>
      <c r="DR542" s="335"/>
      <c r="DS542" s="335"/>
      <c r="DT542" s="335"/>
      <c r="DU542" s="335"/>
      <c r="DV542" s="335"/>
      <c r="DW542" s="335"/>
      <c r="DX542" s="335"/>
      <c r="DY542" s="335"/>
      <c r="DZ542" s="335"/>
      <c r="EA542" s="335"/>
      <c r="EB542" s="335"/>
      <c r="EC542" s="335"/>
      <c r="ED542" s="335"/>
      <c r="EE542" s="335"/>
      <c r="EF542" s="335"/>
      <c r="EG542" s="335"/>
      <c r="EH542" s="335"/>
      <c r="EI542" s="335"/>
      <c r="EJ542" s="335"/>
      <c r="EK542" s="335"/>
      <c r="EL542" s="335"/>
      <c r="EM542" s="335"/>
    </row>
    <row r="543" spans="72:143">
      <c r="BT543" s="187"/>
      <c r="BU543" s="187" t="s">
        <v>83</v>
      </c>
      <c r="BV543" s="196">
        <v>120034</v>
      </c>
      <c r="BW543" s="197" t="e">
        <f t="shared" si="145"/>
        <v>#REF!</v>
      </c>
      <c r="BX543" s="198" t="e">
        <f>IF(AND(State_LOB_Code=18,LEFT(BW543,4)&lt;"2009"),81,State_LOB_Code)&amp;"|372"</f>
        <v>#REF!</v>
      </c>
      <c r="BY543" s="215"/>
      <c r="BZ543" s="216"/>
      <c r="CD543" s="163"/>
      <c r="CE543" s="363"/>
      <c r="CF543" s="335"/>
      <c r="CG543" s="335"/>
      <c r="CH543" s="335"/>
      <c r="CI543" s="335"/>
      <c r="CJ543" s="335"/>
      <c r="CK543" s="335"/>
      <c r="CL543" s="335"/>
      <c r="CM543" s="335"/>
      <c r="CN543" s="335"/>
      <c r="CO543" s="335"/>
      <c r="CP543" s="335"/>
      <c r="CQ543" s="335"/>
      <c r="CR543" s="335"/>
      <c r="CS543" s="335"/>
      <c r="CT543" s="335"/>
      <c r="CU543" s="335"/>
      <c r="CV543" s="335"/>
      <c r="CW543" s="335"/>
      <c r="CX543" s="335"/>
      <c r="CY543" s="335"/>
      <c r="CZ543" s="335"/>
      <c r="DA543" s="335"/>
      <c r="DB543" s="335"/>
      <c r="DC543" s="335"/>
      <c r="DD543" s="335"/>
      <c r="DE543" s="335"/>
      <c r="DF543" s="335"/>
      <c r="DG543" s="335"/>
      <c r="DH543" s="335"/>
      <c r="DI543" s="335"/>
      <c r="DJ543" s="335"/>
      <c r="DK543" s="335"/>
      <c r="DL543" s="335"/>
      <c r="DM543" s="335"/>
      <c r="DN543" s="335"/>
      <c r="DO543" s="335"/>
      <c r="DP543" s="335"/>
      <c r="DQ543" s="335"/>
      <c r="DR543" s="335"/>
      <c r="DS543" s="335"/>
      <c r="DT543" s="335"/>
      <c r="DU543" s="335"/>
      <c r="DV543" s="335"/>
      <c r="DW543" s="335"/>
      <c r="DX543" s="335"/>
      <c r="DY543" s="335"/>
      <c r="DZ543" s="335"/>
      <c r="EA543" s="335"/>
      <c r="EB543" s="335"/>
      <c r="EC543" s="335"/>
      <c r="ED543" s="335"/>
      <c r="EE543" s="335"/>
      <c r="EF543" s="335"/>
      <c r="EG543" s="335"/>
      <c r="EH543" s="335"/>
      <c r="EI543" s="335"/>
      <c r="EJ543" s="335"/>
      <c r="EK543" s="335"/>
      <c r="EL543" s="335"/>
      <c r="EM543" s="335"/>
    </row>
    <row r="544" spans="72:143">
      <c r="BT544" s="187"/>
      <c r="BU544" s="187" t="s">
        <v>84</v>
      </c>
      <c r="BV544" s="196">
        <v>120034</v>
      </c>
      <c r="BW544" s="197" t="e">
        <f t="shared" si="145"/>
        <v>#REF!</v>
      </c>
      <c r="BX544" s="198" t="e">
        <f>IF(AND(State_LOB_Code=18,LEFT(BW544,4)&lt;"2009"),81,State_LOB_Code)&amp;"|373"</f>
        <v>#REF!</v>
      </c>
      <c r="BY544" s="215"/>
      <c r="BZ544" s="216"/>
      <c r="CD544" s="163"/>
      <c r="CE544" s="363"/>
      <c r="CF544" s="335"/>
      <c r="CG544" s="335"/>
      <c r="CH544" s="335"/>
      <c r="CI544" s="335"/>
      <c r="CJ544" s="335"/>
      <c r="CK544" s="335"/>
      <c r="CL544" s="335"/>
      <c r="CM544" s="335"/>
      <c r="CN544" s="335"/>
      <c r="CO544" s="335"/>
      <c r="CP544" s="335"/>
      <c r="CQ544" s="335"/>
      <c r="CR544" s="335"/>
      <c r="CS544" s="335"/>
      <c r="CT544" s="335"/>
      <c r="CU544" s="335"/>
      <c r="CV544" s="335"/>
      <c r="CW544" s="335"/>
      <c r="CX544" s="335"/>
      <c r="CY544" s="335"/>
      <c r="CZ544" s="335"/>
      <c r="DA544" s="335"/>
      <c r="DB544" s="335"/>
      <c r="DC544" s="335"/>
      <c r="DD544" s="335"/>
      <c r="DE544" s="335"/>
      <c r="DF544" s="335"/>
      <c r="DG544" s="335"/>
      <c r="DH544" s="335"/>
      <c r="DI544" s="335"/>
      <c r="DJ544" s="335"/>
      <c r="DK544" s="335"/>
      <c r="DL544" s="335"/>
      <c r="DM544" s="335"/>
      <c r="DN544" s="335"/>
      <c r="DO544" s="335"/>
      <c r="DP544" s="335"/>
      <c r="DQ544" s="335"/>
      <c r="DR544" s="335"/>
      <c r="DS544" s="335"/>
      <c r="DT544" s="335"/>
      <c r="DU544" s="335"/>
      <c r="DV544" s="335"/>
      <c r="DW544" s="335"/>
      <c r="DX544" s="335"/>
      <c r="DY544" s="335"/>
      <c r="DZ544" s="335"/>
      <c r="EA544" s="335"/>
      <c r="EB544" s="335"/>
      <c r="EC544" s="335"/>
      <c r="ED544" s="335"/>
      <c r="EE544" s="335"/>
      <c r="EF544" s="335"/>
      <c r="EG544" s="335"/>
      <c r="EH544" s="335"/>
      <c r="EI544" s="335"/>
      <c r="EJ544" s="335"/>
      <c r="EK544" s="335"/>
      <c r="EL544" s="335"/>
      <c r="EM544" s="335"/>
    </row>
    <row r="545" spans="72:143">
      <c r="BT545" s="187"/>
      <c r="BU545" s="187" t="s">
        <v>85</v>
      </c>
      <c r="BV545" s="196">
        <v>120034</v>
      </c>
      <c r="BW545" s="197" t="e">
        <f t="shared" si="145"/>
        <v>#REF!</v>
      </c>
      <c r="BX545" s="198" t="e">
        <f>IF(AND(State_LOB_Code=18,LEFT(BW545,4)&lt;"2009"),81,State_LOB_Code)&amp;"|374"</f>
        <v>#REF!</v>
      </c>
      <c r="BY545" s="215"/>
      <c r="BZ545" s="216"/>
      <c r="CD545" s="163"/>
      <c r="CE545" s="363"/>
      <c r="CF545" s="335"/>
      <c r="CG545" s="335"/>
      <c r="CH545" s="335"/>
      <c r="CI545" s="335"/>
      <c r="CJ545" s="335"/>
      <c r="CK545" s="335"/>
      <c r="CL545" s="335"/>
      <c r="CM545" s="335"/>
      <c r="CN545" s="335"/>
      <c r="CO545" s="335"/>
      <c r="CP545" s="335"/>
      <c r="CQ545" s="335"/>
      <c r="CR545" s="335"/>
      <c r="CS545" s="335"/>
      <c r="CT545" s="335"/>
      <c r="CU545" s="335"/>
      <c r="CV545" s="335"/>
      <c r="CW545" s="335"/>
      <c r="CX545" s="335"/>
      <c r="CY545" s="335"/>
      <c r="CZ545" s="335"/>
      <c r="DA545" s="335"/>
      <c r="DB545" s="335"/>
      <c r="DC545" s="335"/>
      <c r="DD545" s="335"/>
      <c r="DE545" s="335"/>
      <c r="DF545" s="335"/>
      <c r="DG545" s="335"/>
      <c r="DH545" s="335"/>
      <c r="DI545" s="335"/>
      <c r="DJ545" s="335"/>
      <c r="DK545" s="335"/>
      <c r="DL545" s="335"/>
      <c r="DM545" s="335"/>
      <c r="DN545" s="335"/>
      <c r="DO545" s="335"/>
      <c r="DP545" s="335"/>
      <c r="DQ545" s="335"/>
      <c r="DR545" s="335"/>
      <c r="DS545" s="335"/>
      <c r="DT545" s="335"/>
      <c r="DU545" s="335"/>
      <c r="DV545" s="335"/>
      <c r="DW545" s="335"/>
      <c r="DX545" s="335"/>
      <c r="DY545" s="335"/>
      <c r="DZ545" s="335"/>
      <c r="EA545" s="335"/>
      <c r="EB545" s="335"/>
      <c r="EC545" s="335"/>
      <c r="ED545" s="335"/>
      <c r="EE545" s="335"/>
      <c r="EF545" s="335"/>
      <c r="EG545" s="335"/>
      <c r="EH545" s="335"/>
      <c r="EI545" s="335"/>
      <c r="EJ545" s="335"/>
      <c r="EK545" s="335"/>
      <c r="EL545" s="335"/>
      <c r="EM545" s="335"/>
    </row>
    <row r="546" spans="72:143">
      <c r="BT546" s="187"/>
      <c r="BU546" s="187" t="s">
        <v>86</v>
      </c>
      <c r="BV546" s="196">
        <v>120034</v>
      </c>
      <c r="BW546" s="197" t="e">
        <f t="shared" si="145"/>
        <v>#REF!</v>
      </c>
      <c r="BX546" s="198" t="e">
        <f>IF(AND(State_LOB_Code=18,LEFT(BW546,4)&lt;"2009"),81,State_LOB_Code)&amp;"|376"</f>
        <v>#REF!</v>
      </c>
      <c r="BY546" s="215"/>
      <c r="BZ546" s="216"/>
      <c r="CD546" s="163"/>
      <c r="CE546" s="363"/>
      <c r="CF546" s="335"/>
      <c r="CG546" s="335"/>
      <c r="CH546" s="335"/>
      <c r="CI546" s="335"/>
      <c r="CJ546" s="335"/>
      <c r="CK546" s="335"/>
      <c r="CL546" s="335"/>
      <c r="CM546" s="335"/>
      <c r="CN546" s="335"/>
      <c r="CO546" s="335"/>
      <c r="CP546" s="335"/>
      <c r="CQ546" s="335"/>
      <c r="CR546" s="335"/>
      <c r="CS546" s="335"/>
      <c r="CT546" s="335"/>
      <c r="CU546" s="335"/>
      <c r="CV546" s="335"/>
      <c r="CW546" s="335"/>
      <c r="CX546" s="335"/>
      <c r="CY546" s="335"/>
      <c r="CZ546" s="335"/>
      <c r="DA546" s="335"/>
      <c r="DB546" s="335"/>
      <c r="DC546" s="335"/>
      <c r="DD546" s="335"/>
      <c r="DE546" s="335"/>
      <c r="DF546" s="335"/>
      <c r="DG546" s="335"/>
      <c r="DH546" s="335"/>
      <c r="DI546" s="335"/>
      <c r="DJ546" s="335"/>
      <c r="DK546" s="335"/>
      <c r="DL546" s="335"/>
      <c r="DM546" s="335"/>
      <c r="DN546" s="335"/>
      <c r="DO546" s="335"/>
      <c r="DP546" s="335"/>
      <c r="DQ546" s="335"/>
      <c r="DR546" s="335"/>
      <c r="DS546" s="335"/>
      <c r="DT546" s="335"/>
      <c r="DU546" s="335"/>
      <c r="DV546" s="335"/>
      <c r="DW546" s="335"/>
      <c r="DX546" s="335"/>
      <c r="DY546" s="335"/>
      <c r="DZ546" s="335"/>
      <c r="EA546" s="335"/>
      <c r="EB546" s="335"/>
      <c r="EC546" s="335"/>
      <c r="ED546" s="335"/>
      <c r="EE546" s="335"/>
      <c r="EF546" s="335"/>
      <c r="EG546" s="335"/>
      <c r="EH546" s="335"/>
      <c r="EI546" s="335"/>
      <c r="EJ546" s="335"/>
      <c r="EK546" s="335"/>
      <c r="EL546" s="335"/>
      <c r="EM546" s="335"/>
    </row>
    <row r="547" spans="72:143">
      <c r="BT547" s="187"/>
      <c r="BU547" s="187" t="s">
        <v>87</v>
      </c>
      <c r="BV547" s="196">
        <v>120034</v>
      </c>
      <c r="BW547" s="197" t="e">
        <f t="shared" si="145"/>
        <v>#REF!</v>
      </c>
      <c r="BX547" s="198" t="e">
        <f>IF(AND(State_LOB_Code=18,LEFT(BW547,4)&lt;"2009"),81,State_LOB_Code)&amp;"|377"</f>
        <v>#REF!</v>
      </c>
      <c r="BY547" s="215"/>
      <c r="BZ547" s="216"/>
      <c r="CD547" s="163"/>
      <c r="CE547" s="363"/>
      <c r="CF547" s="335"/>
      <c r="CG547" s="335"/>
      <c r="CH547" s="335"/>
      <c r="CI547" s="335"/>
      <c r="CJ547" s="335"/>
      <c r="CK547" s="335"/>
      <c r="CL547" s="335"/>
      <c r="CM547" s="335"/>
      <c r="CN547" s="335"/>
      <c r="CO547" s="335"/>
      <c r="CP547" s="335"/>
      <c r="CQ547" s="335"/>
      <c r="CR547" s="335"/>
      <c r="CS547" s="335"/>
      <c r="CT547" s="335"/>
      <c r="CU547" s="335"/>
      <c r="CV547" s="335"/>
      <c r="CW547" s="335"/>
      <c r="CX547" s="335"/>
      <c r="CY547" s="335"/>
      <c r="CZ547" s="335"/>
      <c r="DA547" s="335"/>
      <c r="DB547" s="335"/>
      <c r="DC547" s="335"/>
      <c r="DD547" s="335"/>
      <c r="DE547" s="335"/>
      <c r="DF547" s="335"/>
      <c r="DG547" s="335"/>
      <c r="DH547" s="335"/>
      <c r="DI547" s="335"/>
      <c r="DJ547" s="335"/>
      <c r="DK547" s="335"/>
      <c r="DL547" s="335"/>
      <c r="DM547" s="335"/>
      <c r="DN547" s="335"/>
      <c r="DO547" s="335"/>
      <c r="DP547" s="335"/>
      <c r="DQ547" s="335"/>
      <c r="DR547" s="335"/>
      <c r="DS547" s="335"/>
      <c r="DT547" s="335"/>
      <c r="DU547" s="335"/>
      <c r="DV547" s="335"/>
      <c r="DW547" s="335"/>
      <c r="DX547" s="335"/>
      <c r="DY547" s="335"/>
      <c r="DZ547" s="335"/>
      <c r="EA547" s="335"/>
      <c r="EB547" s="335"/>
      <c r="EC547" s="335"/>
      <c r="ED547" s="335"/>
      <c r="EE547" s="335"/>
      <c r="EF547" s="335"/>
      <c r="EG547" s="335"/>
      <c r="EH547" s="335"/>
      <c r="EI547" s="335"/>
      <c r="EJ547" s="335"/>
      <c r="EK547" s="335"/>
      <c r="EL547" s="335"/>
      <c r="EM547" s="335"/>
    </row>
    <row r="548" spans="72:143">
      <c r="BT548" s="187"/>
      <c r="BU548" s="187" t="s">
        <v>88</v>
      </c>
      <c r="BV548" s="196">
        <v>120034</v>
      </c>
      <c r="BW548" s="197" t="e">
        <f t="shared" si="145"/>
        <v>#REF!</v>
      </c>
      <c r="BX548" s="198" t="e">
        <f>IF(AND(State_LOB_Code=18,LEFT(BW548,4)&lt;"2009"),81,State_LOB_Code)&amp;"|378"</f>
        <v>#REF!</v>
      </c>
      <c r="BY548" s="215"/>
      <c r="BZ548" s="216"/>
      <c r="CD548" s="163"/>
      <c r="CE548" s="363"/>
      <c r="CF548" s="335"/>
      <c r="CG548" s="335"/>
      <c r="CH548" s="335"/>
      <c r="CI548" s="335"/>
      <c r="CJ548" s="335"/>
      <c r="CK548" s="335"/>
      <c r="CL548" s="335"/>
      <c r="CM548" s="335"/>
      <c r="CN548" s="335"/>
      <c r="CO548" s="335"/>
      <c r="CP548" s="335"/>
      <c r="CQ548" s="335"/>
      <c r="CR548" s="335"/>
      <c r="CS548" s="335"/>
      <c r="CT548" s="335"/>
      <c r="CU548" s="335"/>
      <c r="CV548" s="335"/>
      <c r="CW548" s="335"/>
      <c r="CX548" s="335"/>
      <c r="CY548" s="335"/>
      <c r="CZ548" s="335"/>
      <c r="DA548" s="335"/>
      <c r="DB548" s="335"/>
      <c r="DC548" s="335"/>
      <c r="DD548" s="335"/>
      <c r="DE548" s="335"/>
      <c r="DF548" s="335"/>
      <c r="DG548" s="335"/>
      <c r="DH548" s="335"/>
      <c r="DI548" s="335"/>
      <c r="DJ548" s="335"/>
      <c r="DK548" s="335"/>
      <c r="DL548" s="335"/>
      <c r="DM548" s="335"/>
      <c r="DN548" s="335"/>
      <c r="DO548" s="335"/>
      <c r="DP548" s="335"/>
      <c r="DQ548" s="335"/>
      <c r="DR548" s="335"/>
      <c r="DS548" s="335"/>
      <c r="DT548" s="335"/>
      <c r="DU548" s="335"/>
      <c r="DV548" s="335"/>
      <c r="DW548" s="335"/>
      <c r="DX548" s="335"/>
      <c r="DY548" s="335"/>
      <c r="DZ548" s="335"/>
      <c r="EA548" s="335"/>
      <c r="EB548" s="335"/>
      <c r="EC548" s="335"/>
      <c r="ED548" s="335"/>
      <c r="EE548" s="335"/>
      <c r="EF548" s="335"/>
      <c r="EG548" s="335"/>
      <c r="EH548" s="335"/>
      <c r="EI548" s="335"/>
      <c r="EJ548" s="335"/>
      <c r="EK548" s="335"/>
      <c r="EL548" s="335"/>
      <c r="EM548" s="335"/>
    </row>
    <row r="549" spans="72:143">
      <c r="BT549" s="187"/>
      <c r="BU549" s="187" t="s">
        <v>89</v>
      </c>
      <c r="BV549" s="196">
        <v>120034</v>
      </c>
      <c r="BW549" s="197" t="e">
        <f t="shared" si="145"/>
        <v>#REF!</v>
      </c>
      <c r="BX549" s="198" t="e">
        <f>IF(AND(State_LOB_Code=18,LEFT(BW549,4)&lt;"2009"),81,State_LOB_Code)&amp;"|379"</f>
        <v>#REF!</v>
      </c>
      <c r="BY549" s="215"/>
      <c r="BZ549" s="216"/>
      <c r="CD549" s="163"/>
      <c r="CE549" s="363"/>
      <c r="CF549" s="335"/>
      <c r="CG549" s="335"/>
      <c r="CH549" s="335"/>
      <c r="CI549" s="335"/>
      <c r="CJ549" s="335"/>
      <c r="CK549" s="335"/>
      <c r="CL549" s="335"/>
      <c r="CM549" s="335"/>
      <c r="CN549" s="335"/>
      <c r="CO549" s="335"/>
      <c r="CP549" s="335"/>
      <c r="CQ549" s="335"/>
      <c r="CR549" s="335"/>
      <c r="CS549" s="335"/>
      <c r="CT549" s="335"/>
      <c r="CU549" s="335"/>
      <c r="CV549" s="335"/>
      <c r="CW549" s="335"/>
      <c r="CX549" s="335"/>
      <c r="CY549" s="335"/>
      <c r="CZ549" s="335"/>
      <c r="DA549" s="335"/>
      <c r="DB549" s="335"/>
      <c r="DC549" s="335"/>
      <c r="DD549" s="335"/>
      <c r="DE549" s="335"/>
      <c r="DF549" s="335"/>
      <c r="DG549" s="335"/>
      <c r="DH549" s="335"/>
      <c r="DI549" s="335"/>
      <c r="DJ549" s="335"/>
      <c r="DK549" s="335"/>
      <c r="DL549" s="335"/>
      <c r="DM549" s="335"/>
      <c r="DN549" s="335"/>
      <c r="DO549" s="335"/>
      <c r="DP549" s="335"/>
      <c r="DQ549" s="335"/>
      <c r="DR549" s="335"/>
      <c r="DS549" s="335"/>
      <c r="DT549" s="335"/>
      <c r="DU549" s="335"/>
      <c r="DV549" s="335"/>
      <c r="DW549" s="335"/>
      <c r="DX549" s="335"/>
      <c r="DY549" s="335"/>
      <c r="DZ549" s="335"/>
      <c r="EA549" s="335"/>
      <c r="EB549" s="335"/>
      <c r="EC549" s="335"/>
      <c r="ED549" s="335"/>
      <c r="EE549" s="335"/>
      <c r="EF549" s="335"/>
      <c r="EG549" s="335"/>
      <c r="EH549" s="335"/>
      <c r="EI549" s="335"/>
      <c r="EJ549" s="335"/>
      <c r="EK549" s="335"/>
      <c r="EL549" s="335"/>
      <c r="EM549" s="335"/>
    </row>
    <row r="550" spans="72:143">
      <c r="BT550" s="187"/>
      <c r="BU550" s="187" t="s">
        <v>90</v>
      </c>
      <c r="BV550" s="196">
        <v>120034</v>
      </c>
      <c r="BW550" s="197" t="e">
        <f t="shared" si="145"/>
        <v>#REF!</v>
      </c>
      <c r="BX550" s="198" t="e">
        <f>IF(AND(State_LOB_Code=18,LEFT(BW550,4)&lt;"2009"),81,State_LOB_Code)&amp;"|380"</f>
        <v>#REF!</v>
      </c>
      <c r="BY550" s="215"/>
      <c r="BZ550" s="216"/>
      <c r="CD550" s="163"/>
      <c r="CE550" s="363"/>
      <c r="CF550" s="335"/>
      <c r="CG550" s="335"/>
      <c r="CH550" s="335"/>
      <c r="CI550" s="335"/>
      <c r="CJ550" s="335"/>
      <c r="CK550" s="335"/>
      <c r="CL550" s="335"/>
      <c r="CM550" s="335"/>
      <c r="CN550" s="335"/>
      <c r="CO550" s="335"/>
      <c r="CP550" s="335"/>
      <c r="CQ550" s="335"/>
      <c r="CR550" s="335"/>
      <c r="CS550" s="335"/>
      <c r="CT550" s="335"/>
      <c r="CU550" s="335"/>
      <c r="CV550" s="335"/>
      <c r="CW550" s="335"/>
      <c r="CX550" s="335"/>
      <c r="CY550" s="335"/>
      <c r="CZ550" s="335"/>
      <c r="DA550" s="335"/>
      <c r="DB550" s="335"/>
      <c r="DC550" s="335"/>
      <c r="DD550" s="335"/>
      <c r="DE550" s="335"/>
      <c r="DF550" s="335"/>
      <c r="DG550" s="335"/>
      <c r="DH550" s="335"/>
      <c r="DI550" s="335"/>
      <c r="DJ550" s="335"/>
      <c r="DK550" s="335"/>
      <c r="DL550" s="335"/>
      <c r="DM550" s="335"/>
      <c r="DN550" s="335"/>
      <c r="DO550" s="335"/>
      <c r="DP550" s="335"/>
      <c r="DQ550" s="335"/>
      <c r="DR550" s="335"/>
      <c r="DS550" s="335"/>
      <c r="DT550" s="335"/>
      <c r="DU550" s="335"/>
      <c r="DV550" s="335"/>
      <c r="DW550" s="335"/>
      <c r="DX550" s="335"/>
      <c r="DY550" s="335"/>
      <c r="DZ550" s="335"/>
      <c r="EA550" s="335"/>
      <c r="EB550" s="335"/>
      <c r="EC550" s="335"/>
      <c r="ED550" s="335"/>
      <c r="EE550" s="335"/>
      <c r="EF550" s="335"/>
      <c r="EG550" s="335"/>
      <c r="EH550" s="335"/>
      <c r="EI550" s="335"/>
      <c r="EJ550" s="335"/>
      <c r="EK550" s="335"/>
      <c r="EL550" s="335"/>
      <c r="EM550" s="335"/>
    </row>
    <row r="551" spans="72:143">
      <c r="BT551" s="187"/>
      <c r="BU551" s="187" t="s">
        <v>91</v>
      </c>
      <c r="BV551" s="196">
        <v>120034</v>
      </c>
      <c r="BW551" s="197" t="e">
        <f t="shared" si="145"/>
        <v>#REF!</v>
      </c>
      <c r="BX551" s="198" t="e">
        <f>IF(AND(State_LOB_Code=18,LEFT(BW551,4)&lt;"2009"),81,State_LOB_Code)&amp;"|381"</f>
        <v>#REF!</v>
      </c>
      <c r="BY551" s="215"/>
      <c r="BZ551" s="216"/>
      <c r="CD551" s="163"/>
      <c r="CE551" s="363"/>
      <c r="CF551" s="335"/>
      <c r="CG551" s="335"/>
      <c r="CH551" s="335"/>
      <c r="CI551" s="335"/>
      <c r="CJ551" s="335"/>
      <c r="CK551" s="335"/>
      <c r="CL551" s="335"/>
      <c r="CM551" s="335"/>
      <c r="CN551" s="335"/>
      <c r="CO551" s="335"/>
      <c r="CP551" s="335"/>
      <c r="CQ551" s="335"/>
      <c r="CR551" s="335"/>
      <c r="CS551" s="335"/>
      <c r="CT551" s="335"/>
      <c r="CU551" s="335"/>
      <c r="CV551" s="335"/>
      <c r="CW551" s="335"/>
      <c r="CX551" s="335"/>
      <c r="CY551" s="335"/>
      <c r="CZ551" s="335"/>
      <c r="DA551" s="335"/>
      <c r="DB551" s="335"/>
      <c r="DC551" s="335"/>
      <c r="DD551" s="335"/>
      <c r="DE551" s="335"/>
      <c r="DF551" s="335"/>
      <c r="DG551" s="335"/>
      <c r="DH551" s="335"/>
      <c r="DI551" s="335"/>
      <c r="DJ551" s="335"/>
      <c r="DK551" s="335"/>
      <c r="DL551" s="335"/>
      <c r="DM551" s="335"/>
      <c r="DN551" s="335"/>
      <c r="DO551" s="335"/>
      <c r="DP551" s="335"/>
      <c r="DQ551" s="335"/>
      <c r="DR551" s="335"/>
      <c r="DS551" s="335"/>
      <c r="DT551" s="335"/>
      <c r="DU551" s="335"/>
      <c r="DV551" s="335"/>
      <c r="DW551" s="335"/>
      <c r="DX551" s="335"/>
      <c r="DY551" s="335"/>
      <c r="DZ551" s="335"/>
      <c r="EA551" s="335"/>
      <c r="EB551" s="335"/>
      <c r="EC551" s="335"/>
      <c r="ED551" s="335"/>
      <c r="EE551" s="335"/>
      <c r="EF551" s="335"/>
      <c r="EG551" s="335"/>
      <c r="EH551" s="335"/>
      <c r="EI551" s="335"/>
      <c r="EJ551" s="335"/>
      <c r="EK551" s="335"/>
      <c r="EL551" s="335"/>
      <c r="EM551" s="335"/>
    </row>
    <row r="552" spans="72:143">
      <c r="BT552" s="187"/>
      <c r="BU552" s="187" t="s">
        <v>92</v>
      </c>
      <c r="BV552" s="196">
        <v>120034</v>
      </c>
      <c r="BW552" s="197" t="e">
        <f t="shared" si="145"/>
        <v>#REF!</v>
      </c>
      <c r="BX552" s="198" t="e">
        <f>IF(AND(State_LOB_Code=18,LEFT(BW552,4)&lt;"2009"),81,State_LOB_Code)&amp;"|382"</f>
        <v>#REF!</v>
      </c>
      <c r="BY552" s="215"/>
      <c r="BZ552" s="216"/>
      <c r="CD552" s="163"/>
      <c r="CE552" s="363"/>
      <c r="CF552" s="335"/>
      <c r="CG552" s="335"/>
      <c r="CH552" s="335"/>
      <c r="CI552" s="335"/>
      <c r="CJ552" s="335"/>
      <c r="CK552" s="335"/>
      <c r="CL552" s="335"/>
      <c r="CM552" s="335"/>
      <c r="CN552" s="335"/>
      <c r="CO552" s="335"/>
      <c r="CP552" s="335"/>
      <c r="CQ552" s="335"/>
      <c r="CR552" s="335"/>
      <c r="CS552" s="335"/>
      <c r="CT552" s="335"/>
      <c r="CU552" s="335"/>
      <c r="CV552" s="335"/>
      <c r="CW552" s="335"/>
      <c r="CX552" s="335"/>
      <c r="CY552" s="335"/>
      <c r="CZ552" s="335"/>
      <c r="DA552" s="335"/>
      <c r="DB552" s="335"/>
      <c r="DC552" s="335"/>
      <c r="DD552" s="335"/>
      <c r="DE552" s="335"/>
      <c r="DF552" s="335"/>
      <c r="DG552" s="335"/>
      <c r="DH552" s="335"/>
      <c r="DI552" s="335"/>
      <c r="DJ552" s="335"/>
      <c r="DK552" s="335"/>
      <c r="DL552" s="335"/>
      <c r="DM552" s="335"/>
      <c r="DN552" s="335"/>
      <c r="DO552" s="335"/>
      <c r="DP552" s="335"/>
      <c r="DQ552" s="335"/>
      <c r="DR552" s="335"/>
      <c r="DS552" s="335"/>
      <c r="DT552" s="335"/>
      <c r="DU552" s="335"/>
      <c r="DV552" s="335"/>
      <c r="DW552" s="335"/>
      <c r="DX552" s="335"/>
      <c r="DY552" s="335"/>
      <c r="DZ552" s="335"/>
      <c r="EA552" s="335"/>
      <c r="EB552" s="335"/>
      <c r="EC552" s="335"/>
      <c r="ED552" s="335"/>
      <c r="EE552" s="335"/>
      <c r="EF552" s="335"/>
      <c r="EG552" s="335"/>
      <c r="EH552" s="335"/>
      <c r="EI552" s="335"/>
      <c r="EJ552" s="335"/>
      <c r="EK552" s="335"/>
      <c r="EL552" s="335"/>
      <c r="EM552" s="335"/>
    </row>
    <row r="553" spans="72:143">
      <c r="BT553" s="187"/>
      <c r="BU553" s="187" t="s">
        <v>93</v>
      </c>
      <c r="BV553" s="196">
        <v>120034</v>
      </c>
      <c r="BW553" s="197" t="e">
        <f t="shared" si="145"/>
        <v>#REF!</v>
      </c>
      <c r="BX553" s="198" t="e">
        <f>IF(AND(State_LOB_Code=18,LEFT(BW553,4)&lt;"2009"),81,State_LOB_Code)&amp;"|384"</f>
        <v>#REF!</v>
      </c>
      <c r="BY553" s="215"/>
      <c r="BZ553" s="216"/>
      <c r="CD553" s="163"/>
      <c r="CE553" s="363"/>
      <c r="CF553" s="335"/>
      <c r="CG553" s="335"/>
      <c r="CH553" s="335"/>
      <c r="CI553" s="335"/>
      <c r="CJ553" s="335"/>
      <c r="CK553" s="335"/>
      <c r="CL553" s="335"/>
      <c r="CM553" s="335"/>
      <c r="CN553" s="335"/>
      <c r="CO553" s="335"/>
      <c r="CP553" s="335"/>
      <c r="CQ553" s="335"/>
      <c r="CR553" s="335"/>
      <c r="CS553" s="335"/>
      <c r="CT553" s="335"/>
      <c r="CU553" s="335"/>
      <c r="CV553" s="335"/>
      <c r="CW553" s="335"/>
      <c r="CX553" s="335"/>
      <c r="CY553" s="335"/>
      <c r="CZ553" s="335"/>
      <c r="DA553" s="335"/>
      <c r="DB553" s="335"/>
      <c r="DC553" s="335"/>
      <c r="DD553" s="335"/>
      <c r="DE553" s="335"/>
      <c r="DF553" s="335"/>
      <c r="DG553" s="335"/>
      <c r="DH553" s="335"/>
      <c r="DI553" s="335"/>
      <c r="DJ553" s="335"/>
      <c r="DK553" s="335"/>
      <c r="DL553" s="335"/>
      <c r="DM553" s="335"/>
      <c r="DN553" s="335"/>
      <c r="DO553" s="335"/>
      <c r="DP553" s="335"/>
      <c r="DQ553" s="335"/>
      <c r="DR553" s="335"/>
      <c r="DS553" s="335"/>
      <c r="DT553" s="335"/>
      <c r="DU553" s="335"/>
      <c r="DV553" s="335"/>
      <c r="DW553" s="335"/>
      <c r="DX553" s="335"/>
      <c r="DY553" s="335"/>
      <c r="DZ553" s="335"/>
      <c r="EA553" s="335"/>
      <c r="EB553" s="335"/>
      <c r="EC553" s="335"/>
      <c r="ED553" s="335"/>
      <c r="EE553" s="335"/>
      <c r="EF553" s="335"/>
      <c r="EG553" s="335"/>
      <c r="EH553" s="335"/>
      <c r="EI553" s="335"/>
      <c r="EJ553" s="335"/>
      <c r="EK553" s="335"/>
      <c r="EL553" s="335"/>
      <c r="EM553" s="335"/>
    </row>
    <row r="554" spans="72:143">
      <c r="BT554" s="187"/>
      <c r="BU554" s="187" t="s">
        <v>94</v>
      </c>
      <c r="BV554" s="196">
        <v>120034</v>
      </c>
      <c r="BW554" s="197" t="e">
        <f t="shared" si="145"/>
        <v>#REF!</v>
      </c>
      <c r="BX554" s="198" t="e">
        <f>IF(AND(State_LOB_Code=18,LEFT(BW554,4)&lt;"2009"),81,State_LOB_Code)&amp;"|385"</f>
        <v>#REF!</v>
      </c>
      <c r="BY554" s="215"/>
      <c r="BZ554" s="216"/>
      <c r="CD554" s="163"/>
      <c r="CE554" s="363"/>
      <c r="CF554" s="335"/>
      <c r="CG554" s="335"/>
      <c r="CH554" s="335"/>
      <c r="CI554" s="335"/>
      <c r="CJ554" s="335"/>
      <c r="CK554" s="335"/>
      <c r="CL554" s="335"/>
      <c r="CM554" s="335"/>
      <c r="CN554" s="335"/>
      <c r="CO554" s="335"/>
      <c r="CP554" s="335"/>
      <c r="CQ554" s="335"/>
      <c r="CR554" s="335"/>
      <c r="CS554" s="335"/>
      <c r="CT554" s="335"/>
      <c r="CU554" s="335"/>
      <c r="CV554" s="335"/>
      <c r="CW554" s="335"/>
      <c r="CX554" s="335"/>
      <c r="CY554" s="335"/>
      <c r="CZ554" s="335"/>
      <c r="DA554" s="335"/>
      <c r="DB554" s="335"/>
      <c r="DC554" s="335"/>
      <c r="DD554" s="335"/>
      <c r="DE554" s="335"/>
      <c r="DF554" s="335"/>
      <c r="DG554" s="335"/>
      <c r="DH554" s="335"/>
      <c r="DI554" s="335"/>
      <c r="DJ554" s="335"/>
      <c r="DK554" s="335"/>
      <c r="DL554" s="335"/>
      <c r="DM554" s="335"/>
      <c r="DN554" s="335"/>
      <c r="DO554" s="335"/>
      <c r="DP554" s="335"/>
      <c r="DQ554" s="335"/>
      <c r="DR554" s="335"/>
      <c r="DS554" s="335"/>
      <c r="DT554" s="335"/>
      <c r="DU554" s="335"/>
      <c r="DV554" s="335"/>
      <c r="DW554" s="335"/>
      <c r="DX554" s="335"/>
      <c r="DY554" s="335"/>
      <c r="DZ554" s="335"/>
      <c r="EA554" s="335"/>
      <c r="EB554" s="335"/>
      <c r="EC554" s="335"/>
      <c r="ED554" s="335"/>
      <c r="EE554" s="335"/>
      <c r="EF554" s="335"/>
      <c r="EG554" s="335"/>
      <c r="EH554" s="335"/>
      <c r="EI554" s="335"/>
      <c r="EJ554" s="335"/>
      <c r="EK554" s="335"/>
      <c r="EL554" s="335"/>
      <c r="EM554" s="335"/>
    </row>
    <row r="555" spans="72:143">
      <c r="BT555" s="187"/>
      <c r="BU555" s="187" t="s">
        <v>95</v>
      </c>
      <c r="BV555" s="196">
        <v>120034</v>
      </c>
      <c r="BW555" s="197" t="e">
        <f t="shared" si="145"/>
        <v>#REF!</v>
      </c>
      <c r="BX555" s="198" t="e">
        <f>IF(AND(State_LOB_Code=18,LEFT(BW555,4)&lt;"2009"),81,State_LOB_Code)&amp;"|386"</f>
        <v>#REF!</v>
      </c>
      <c r="BY555" s="215"/>
      <c r="BZ555" s="216"/>
      <c r="CD555" s="163"/>
      <c r="CE555" s="363"/>
      <c r="CF555" s="335"/>
      <c r="CG555" s="335"/>
      <c r="CH555" s="335"/>
      <c r="CI555" s="335"/>
      <c r="CJ555" s="335"/>
      <c r="CK555" s="335"/>
      <c r="CL555" s="335"/>
      <c r="CM555" s="335"/>
      <c r="CN555" s="335"/>
      <c r="CO555" s="335"/>
      <c r="CP555" s="335"/>
      <c r="CQ555" s="335"/>
      <c r="CR555" s="335"/>
      <c r="CS555" s="335"/>
      <c r="CT555" s="335"/>
      <c r="CU555" s="335"/>
      <c r="CV555" s="335"/>
      <c r="CW555" s="335"/>
      <c r="CX555" s="335"/>
      <c r="CY555" s="335"/>
      <c r="CZ555" s="335"/>
      <c r="DA555" s="335"/>
      <c r="DB555" s="335"/>
      <c r="DC555" s="335"/>
      <c r="DD555" s="335"/>
      <c r="DE555" s="335"/>
      <c r="DF555" s="335"/>
      <c r="DG555" s="335"/>
      <c r="DH555" s="335"/>
      <c r="DI555" s="335"/>
      <c r="DJ555" s="335"/>
      <c r="DK555" s="335"/>
      <c r="DL555" s="335"/>
      <c r="DM555" s="335"/>
      <c r="DN555" s="335"/>
      <c r="DO555" s="335"/>
      <c r="DP555" s="335"/>
      <c r="DQ555" s="335"/>
      <c r="DR555" s="335"/>
      <c r="DS555" s="335"/>
      <c r="DT555" s="335"/>
      <c r="DU555" s="335"/>
      <c r="DV555" s="335"/>
      <c r="DW555" s="335"/>
      <c r="DX555" s="335"/>
      <c r="DY555" s="335"/>
      <c r="DZ555" s="335"/>
      <c r="EA555" s="335"/>
      <c r="EB555" s="335"/>
      <c r="EC555" s="335"/>
      <c r="ED555" s="335"/>
      <c r="EE555" s="335"/>
      <c r="EF555" s="335"/>
      <c r="EG555" s="335"/>
      <c r="EH555" s="335"/>
      <c r="EI555" s="335"/>
      <c r="EJ555" s="335"/>
      <c r="EK555" s="335"/>
      <c r="EL555" s="335"/>
      <c r="EM555" s="335"/>
    </row>
    <row r="556" spans="72:143">
      <c r="BT556" s="187"/>
      <c r="BU556" s="187" t="s">
        <v>96</v>
      </c>
      <c r="BV556" s="196">
        <v>120034</v>
      </c>
      <c r="BW556" s="197" t="e">
        <f t="shared" si="145"/>
        <v>#REF!</v>
      </c>
      <c r="BX556" s="198" t="e">
        <f>IF(AND(State_LOB_Code=18,LEFT(BW556,4)&lt;"2009"),81,State_LOB_Code)&amp;"|387"</f>
        <v>#REF!</v>
      </c>
      <c r="BY556" s="215"/>
      <c r="BZ556" s="216"/>
      <c r="CD556" s="163"/>
      <c r="CE556" s="363"/>
      <c r="CF556" s="335"/>
      <c r="CG556" s="335"/>
      <c r="CH556" s="335"/>
      <c r="CI556" s="335"/>
      <c r="CJ556" s="335"/>
      <c r="CK556" s="335"/>
      <c r="CL556" s="335"/>
      <c r="CM556" s="335"/>
      <c r="CN556" s="335"/>
      <c r="CO556" s="335"/>
      <c r="CP556" s="335"/>
      <c r="CQ556" s="335"/>
      <c r="CR556" s="335"/>
      <c r="CS556" s="335"/>
      <c r="CT556" s="335"/>
      <c r="CU556" s="335"/>
      <c r="CV556" s="335"/>
      <c r="CW556" s="335"/>
      <c r="CX556" s="335"/>
      <c r="CY556" s="335"/>
      <c r="CZ556" s="335"/>
      <c r="DA556" s="335"/>
      <c r="DB556" s="335"/>
      <c r="DC556" s="335"/>
      <c r="DD556" s="335"/>
      <c r="DE556" s="335"/>
      <c r="DF556" s="335"/>
      <c r="DG556" s="335"/>
      <c r="DH556" s="335"/>
      <c r="DI556" s="335"/>
      <c r="DJ556" s="335"/>
      <c r="DK556" s="335"/>
      <c r="DL556" s="335"/>
      <c r="DM556" s="335"/>
      <c r="DN556" s="335"/>
      <c r="DO556" s="335"/>
      <c r="DP556" s="335"/>
      <c r="DQ556" s="335"/>
      <c r="DR556" s="335"/>
      <c r="DS556" s="335"/>
      <c r="DT556" s="335"/>
      <c r="DU556" s="335"/>
      <c r="DV556" s="335"/>
      <c r="DW556" s="335"/>
      <c r="DX556" s="335"/>
      <c r="DY556" s="335"/>
      <c r="DZ556" s="335"/>
      <c r="EA556" s="335"/>
      <c r="EB556" s="335"/>
      <c r="EC556" s="335"/>
      <c r="ED556" s="335"/>
      <c r="EE556" s="335"/>
      <c r="EF556" s="335"/>
      <c r="EG556" s="335"/>
      <c r="EH556" s="335"/>
      <c r="EI556" s="335"/>
      <c r="EJ556" s="335"/>
      <c r="EK556" s="335"/>
      <c r="EL556" s="335"/>
      <c r="EM556" s="335"/>
    </row>
    <row r="557" spans="72:143">
      <c r="BT557" s="187"/>
      <c r="BU557" s="187" t="s">
        <v>97</v>
      </c>
      <c r="BV557" s="196">
        <v>120034</v>
      </c>
      <c r="BW557" s="197" t="e">
        <f t="shared" si="145"/>
        <v>#REF!</v>
      </c>
      <c r="BX557" s="198" t="e">
        <f>IF(AND(State_LOB_Code=18,LEFT(BW557,4)&lt;"2009"),81,State_LOB_Code)&amp;"|388"</f>
        <v>#REF!</v>
      </c>
      <c r="BY557" s="215"/>
      <c r="BZ557" s="216"/>
      <c r="CD557" s="163"/>
      <c r="CE557" s="363"/>
      <c r="CF557" s="335"/>
      <c r="CG557" s="335"/>
      <c r="CH557" s="335"/>
      <c r="CI557" s="335"/>
      <c r="CJ557" s="335"/>
      <c r="CK557" s="335"/>
      <c r="CL557" s="335"/>
      <c r="CM557" s="335"/>
      <c r="CN557" s="335"/>
      <c r="CO557" s="335"/>
      <c r="CP557" s="335"/>
      <c r="CQ557" s="335"/>
      <c r="CR557" s="335"/>
      <c r="CS557" s="335"/>
      <c r="CT557" s="335"/>
      <c r="CU557" s="335"/>
      <c r="CV557" s="335"/>
      <c r="CW557" s="335"/>
      <c r="CX557" s="335"/>
      <c r="CY557" s="335"/>
      <c r="CZ557" s="335"/>
      <c r="DA557" s="335"/>
      <c r="DB557" s="335"/>
      <c r="DC557" s="335"/>
      <c r="DD557" s="335"/>
      <c r="DE557" s="335"/>
      <c r="DF557" s="335"/>
      <c r="DG557" s="335"/>
      <c r="DH557" s="335"/>
      <c r="DI557" s="335"/>
      <c r="DJ557" s="335"/>
      <c r="DK557" s="335"/>
      <c r="DL557" s="335"/>
      <c r="DM557" s="335"/>
      <c r="DN557" s="335"/>
      <c r="DO557" s="335"/>
      <c r="DP557" s="335"/>
      <c r="DQ557" s="335"/>
      <c r="DR557" s="335"/>
      <c r="DS557" s="335"/>
      <c r="DT557" s="335"/>
      <c r="DU557" s="335"/>
      <c r="DV557" s="335"/>
      <c r="DW557" s="335"/>
      <c r="DX557" s="335"/>
      <c r="DY557" s="335"/>
      <c r="DZ557" s="335"/>
      <c r="EA557" s="335"/>
      <c r="EB557" s="335"/>
      <c r="EC557" s="335"/>
      <c r="ED557" s="335"/>
      <c r="EE557" s="335"/>
      <c r="EF557" s="335"/>
      <c r="EG557" s="335"/>
      <c r="EH557" s="335"/>
      <c r="EI557" s="335"/>
      <c r="EJ557" s="335"/>
      <c r="EK557" s="335"/>
      <c r="EL557" s="335"/>
      <c r="EM557" s="335"/>
    </row>
    <row r="558" spans="72:143">
      <c r="BT558" s="187"/>
      <c r="BU558" s="189" t="s">
        <v>137</v>
      </c>
      <c r="BV558" s="199">
        <v>120034</v>
      </c>
      <c r="BW558" s="200" t="e">
        <f t="shared" si="145"/>
        <v>#REF!</v>
      </c>
      <c r="BX558" s="201" t="e">
        <f>IF(AND(State_LOB_Code=18,LEFT(BW558,4)&lt;"2009"),81,State_LOB_Code)&amp;"|600"</f>
        <v>#REF!</v>
      </c>
      <c r="BY558" s="217"/>
      <c r="BZ558" s="218"/>
      <c r="CD558" s="163"/>
      <c r="CE558" s="363"/>
      <c r="CF558" s="335"/>
      <c r="CG558" s="335"/>
      <c r="CH558" s="335"/>
      <c r="CI558" s="335"/>
      <c r="CJ558" s="335"/>
      <c r="CK558" s="335"/>
      <c r="CL558" s="335"/>
      <c r="CM558" s="335"/>
      <c r="CN558" s="335"/>
      <c r="CO558" s="335"/>
      <c r="CP558" s="335"/>
      <c r="CQ558" s="335"/>
      <c r="CR558" s="335"/>
      <c r="CS558" s="335"/>
      <c r="CT558" s="335"/>
      <c r="CU558" s="335"/>
      <c r="CV558" s="335"/>
      <c r="CW558" s="335"/>
      <c r="CX558" s="335"/>
      <c r="CY558" s="335"/>
      <c r="CZ558" s="335"/>
      <c r="DA558" s="335"/>
      <c r="DB558" s="335"/>
      <c r="DC558" s="335"/>
      <c r="DD558" s="335"/>
      <c r="DE558" s="335"/>
      <c r="DF558" s="335"/>
      <c r="DG558" s="335"/>
      <c r="DH558" s="335"/>
      <c r="DI558" s="335"/>
      <c r="DJ558" s="335"/>
      <c r="DK558" s="335"/>
      <c r="DL558" s="335"/>
      <c r="DM558" s="335"/>
      <c r="DN558" s="335"/>
      <c r="DO558" s="335"/>
      <c r="DP558" s="335"/>
      <c r="DQ558" s="335"/>
      <c r="DR558" s="335"/>
      <c r="DS558" s="335"/>
      <c r="DT558" s="335"/>
      <c r="DU558" s="335"/>
      <c r="DV558" s="335"/>
      <c r="DW558" s="335"/>
      <c r="DX558" s="335"/>
      <c r="DY558" s="335"/>
      <c r="DZ558" s="335"/>
      <c r="EA558" s="335"/>
      <c r="EB558" s="335"/>
      <c r="EC558" s="335"/>
      <c r="ED558" s="335"/>
      <c r="EE558" s="335"/>
      <c r="EF558" s="335"/>
      <c r="EG558" s="335"/>
      <c r="EH558" s="335"/>
      <c r="EI558" s="335"/>
      <c r="EJ558" s="335"/>
      <c r="EK558" s="335"/>
      <c r="EL558" s="335"/>
      <c r="EM558" s="335"/>
    </row>
    <row r="559" spans="72:143">
      <c r="BT559" s="187"/>
      <c r="BU559" s="187" t="s">
        <v>98</v>
      </c>
      <c r="BV559" s="196">
        <v>120034</v>
      </c>
      <c r="BW559" s="197" t="e">
        <f t="shared" si="145"/>
        <v>#REF!</v>
      </c>
      <c r="BX559" s="198" t="e">
        <f>IF(AND(State_LOB_Code=18,LEFT(BW559,4)&lt;"2009"),81,State_LOB_Code)&amp;"|336"</f>
        <v>#REF!</v>
      </c>
      <c r="BY559" s="215"/>
      <c r="BZ559" s="216"/>
      <c r="CD559" s="163"/>
      <c r="CE559" s="363"/>
      <c r="CF559" s="335"/>
      <c r="CG559" s="335"/>
      <c r="CH559" s="335"/>
      <c r="CI559" s="335"/>
      <c r="CJ559" s="335"/>
      <c r="CK559" s="335"/>
      <c r="CL559" s="335"/>
      <c r="CM559" s="335"/>
      <c r="CN559" s="335"/>
      <c r="CO559" s="335"/>
      <c r="CP559" s="335"/>
      <c r="CQ559" s="335"/>
      <c r="CR559" s="335"/>
      <c r="CS559" s="335"/>
      <c r="CT559" s="335"/>
      <c r="CU559" s="335"/>
      <c r="CV559" s="335"/>
      <c r="CW559" s="335"/>
      <c r="CX559" s="335"/>
      <c r="CY559" s="335"/>
      <c r="CZ559" s="335"/>
      <c r="DA559" s="335"/>
      <c r="DB559" s="335"/>
      <c r="DC559" s="335"/>
      <c r="DD559" s="335"/>
      <c r="DE559" s="335"/>
      <c r="DF559" s="335"/>
      <c r="DG559" s="335"/>
      <c r="DH559" s="335"/>
      <c r="DI559" s="335"/>
      <c r="DJ559" s="335"/>
      <c r="DK559" s="335"/>
      <c r="DL559" s="335"/>
      <c r="DM559" s="335"/>
      <c r="DN559" s="335"/>
      <c r="DO559" s="335"/>
      <c r="DP559" s="335"/>
      <c r="DQ559" s="335"/>
      <c r="DR559" s="335"/>
      <c r="DS559" s="335"/>
      <c r="DT559" s="335"/>
      <c r="DU559" s="335"/>
      <c r="DV559" s="335"/>
      <c r="DW559" s="335"/>
      <c r="DX559" s="335"/>
      <c r="DY559" s="335"/>
      <c r="DZ559" s="335"/>
      <c r="EA559" s="335"/>
      <c r="EB559" s="335"/>
      <c r="EC559" s="335"/>
      <c r="ED559" s="335"/>
      <c r="EE559" s="335"/>
      <c r="EF559" s="335"/>
      <c r="EG559" s="335"/>
      <c r="EH559" s="335"/>
      <c r="EI559" s="335"/>
      <c r="EJ559" s="335"/>
      <c r="EK559" s="335"/>
      <c r="EL559" s="335"/>
      <c r="EM559" s="335"/>
    </row>
    <row r="560" spans="72:143">
      <c r="BT560" s="187"/>
      <c r="BU560" s="187" t="s">
        <v>99</v>
      </c>
      <c r="BV560" s="196">
        <v>120034</v>
      </c>
      <c r="BW560" s="197" t="e">
        <f t="shared" si="145"/>
        <v>#REF!</v>
      </c>
      <c r="BX560" s="198" t="e">
        <f>IF(AND(State_LOB_Code=18,LEFT(BW560,4)&lt;"2009"),81,State_LOB_Code)&amp;"|345"</f>
        <v>#REF!</v>
      </c>
      <c r="BY560" s="215"/>
      <c r="BZ560" s="216"/>
      <c r="CD560" s="163"/>
      <c r="CE560" s="363"/>
      <c r="CF560" s="335"/>
      <c r="CG560" s="335"/>
      <c r="CH560" s="335"/>
      <c r="CI560" s="335"/>
      <c r="CJ560" s="335"/>
      <c r="CK560" s="335"/>
      <c r="CL560" s="335"/>
      <c r="CM560" s="335"/>
      <c r="CN560" s="335"/>
      <c r="CO560" s="335"/>
      <c r="CP560" s="335"/>
      <c r="CQ560" s="335"/>
      <c r="CR560" s="335"/>
      <c r="CS560" s="335"/>
      <c r="CT560" s="335"/>
      <c r="CU560" s="335"/>
      <c r="CV560" s="335"/>
      <c r="CW560" s="335"/>
      <c r="CX560" s="335"/>
      <c r="CY560" s="335"/>
      <c r="CZ560" s="335"/>
      <c r="DA560" s="335"/>
      <c r="DB560" s="335"/>
      <c r="DC560" s="335"/>
      <c r="DD560" s="335"/>
      <c r="DE560" s="335"/>
      <c r="DF560" s="335"/>
      <c r="DG560" s="335"/>
      <c r="DH560" s="335"/>
      <c r="DI560" s="335"/>
      <c r="DJ560" s="335"/>
      <c r="DK560" s="335"/>
      <c r="DL560" s="335"/>
      <c r="DM560" s="335"/>
      <c r="DN560" s="335"/>
      <c r="DO560" s="335"/>
      <c r="DP560" s="335"/>
      <c r="DQ560" s="335"/>
      <c r="DR560" s="335"/>
      <c r="DS560" s="335"/>
      <c r="DT560" s="335"/>
      <c r="DU560" s="335"/>
      <c r="DV560" s="335"/>
      <c r="DW560" s="335"/>
      <c r="DX560" s="335"/>
      <c r="DY560" s="335"/>
      <c r="DZ560" s="335"/>
      <c r="EA560" s="335"/>
      <c r="EB560" s="335"/>
      <c r="EC560" s="335"/>
      <c r="ED560" s="335"/>
      <c r="EE560" s="335"/>
      <c r="EF560" s="335"/>
      <c r="EG560" s="335"/>
      <c r="EH560" s="335"/>
      <c r="EI560" s="335"/>
      <c r="EJ560" s="335"/>
      <c r="EK560" s="335"/>
      <c r="EL560" s="335"/>
      <c r="EM560" s="335"/>
    </row>
    <row r="561" spans="72:143">
      <c r="BT561" s="187"/>
      <c r="BU561" s="187" t="s">
        <v>100</v>
      </c>
      <c r="BV561" s="196">
        <v>120034</v>
      </c>
      <c r="BW561" s="197" t="e">
        <f t="shared" si="145"/>
        <v>#REF!</v>
      </c>
      <c r="BX561" s="198" t="e">
        <f>IF(AND(State_LOB_Code=18,LEFT(BW561,4)&lt;"2009"),81,State_LOB_Code)&amp;"|360"</f>
        <v>#REF!</v>
      </c>
      <c r="BY561" s="215"/>
      <c r="BZ561" s="216"/>
      <c r="CD561" s="163"/>
      <c r="CE561" s="363"/>
      <c r="CF561" s="335"/>
      <c r="CG561" s="335"/>
      <c r="CH561" s="335"/>
      <c r="CI561" s="335"/>
      <c r="CJ561" s="335"/>
      <c r="CK561" s="335"/>
      <c r="CL561" s="335"/>
      <c r="CM561" s="335"/>
      <c r="CN561" s="335"/>
      <c r="CO561" s="335"/>
      <c r="CP561" s="335"/>
      <c r="CQ561" s="335"/>
      <c r="CR561" s="335"/>
      <c r="CS561" s="335"/>
      <c r="CT561" s="335"/>
      <c r="CU561" s="335"/>
      <c r="CV561" s="335"/>
      <c r="CW561" s="335"/>
      <c r="CX561" s="335"/>
      <c r="CY561" s="335"/>
      <c r="CZ561" s="335"/>
      <c r="DA561" s="335"/>
      <c r="DB561" s="335"/>
      <c r="DC561" s="335"/>
      <c r="DD561" s="335"/>
      <c r="DE561" s="335"/>
      <c r="DF561" s="335"/>
      <c r="DG561" s="335"/>
      <c r="DH561" s="335"/>
      <c r="DI561" s="335"/>
      <c r="DJ561" s="335"/>
      <c r="DK561" s="335"/>
      <c r="DL561" s="335"/>
      <c r="DM561" s="335"/>
      <c r="DN561" s="335"/>
      <c r="DO561" s="335"/>
      <c r="DP561" s="335"/>
      <c r="DQ561" s="335"/>
      <c r="DR561" s="335"/>
      <c r="DS561" s="335"/>
      <c r="DT561" s="335"/>
      <c r="DU561" s="335"/>
      <c r="DV561" s="335"/>
      <c r="DW561" s="335"/>
      <c r="DX561" s="335"/>
      <c r="DY561" s="335"/>
      <c r="DZ561" s="335"/>
      <c r="EA561" s="335"/>
      <c r="EB561" s="335"/>
      <c r="EC561" s="335"/>
      <c r="ED561" s="335"/>
      <c r="EE561" s="335"/>
      <c r="EF561" s="335"/>
      <c r="EG561" s="335"/>
      <c r="EH561" s="335"/>
      <c r="EI561" s="335"/>
      <c r="EJ561" s="335"/>
      <c r="EK561" s="335"/>
      <c r="EL561" s="335"/>
      <c r="EM561" s="335"/>
    </row>
    <row r="562" spans="72:143">
      <c r="BT562" s="187"/>
      <c r="BU562" s="187" t="s">
        <v>101</v>
      </c>
      <c r="BV562" s="196">
        <v>120034</v>
      </c>
      <c r="BW562" s="197" t="e">
        <f t="shared" si="145"/>
        <v>#REF!</v>
      </c>
      <c r="BX562" s="198" t="e">
        <f>IF(AND(State_LOB_Code=18,LEFT(BW562,4)&lt;"2009"),81,State_LOB_Code)&amp;"|375"</f>
        <v>#REF!</v>
      </c>
      <c r="BY562" s="215"/>
      <c r="BZ562" s="216"/>
      <c r="CD562" s="163"/>
      <c r="CE562" s="363"/>
      <c r="CF562" s="335"/>
      <c r="CG562" s="335"/>
      <c r="CH562" s="335"/>
      <c r="CI562" s="335"/>
      <c r="CJ562" s="335"/>
      <c r="CK562" s="335"/>
      <c r="CL562" s="335"/>
      <c r="CM562" s="335"/>
      <c r="CN562" s="335"/>
      <c r="CO562" s="335"/>
      <c r="CP562" s="335"/>
      <c r="CQ562" s="335"/>
      <c r="CR562" s="335"/>
      <c r="CS562" s="335"/>
      <c r="CT562" s="335"/>
      <c r="CU562" s="335"/>
      <c r="CV562" s="335"/>
      <c r="CW562" s="335"/>
      <c r="CX562" s="335"/>
      <c r="CY562" s="335"/>
      <c r="CZ562" s="335"/>
      <c r="DA562" s="335"/>
      <c r="DB562" s="335"/>
      <c r="DC562" s="335"/>
      <c r="DD562" s="335"/>
      <c r="DE562" s="335"/>
      <c r="DF562" s="335"/>
      <c r="DG562" s="335"/>
      <c r="DH562" s="335"/>
      <c r="DI562" s="335"/>
      <c r="DJ562" s="335"/>
      <c r="DK562" s="335"/>
      <c r="DL562" s="335"/>
      <c r="DM562" s="335"/>
      <c r="DN562" s="335"/>
      <c r="DO562" s="335"/>
      <c r="DP562" s="335"/>
      <c r="DQ562" s="335"/>
      <c r="DR562" s="335"/>
      <c r="DS562" s="335"/>
      <c r="DT562" s="335"/>
      <c r="DU562" s="335"/>
      <c r="DV562" s="335"/>
      <c r="DW562" s="335"/>
      <c r="DX562" s="335"/>
      <c r="DY562" s="335"/>
      <c r="DZ562" s="335"/>
      <c r="EA562" s="335"/>
      <c r="EB562" s="335"/>
      <c r="EC562" s="335"/>
      <c r="ED562" s="335"/>
      <c r="EE562" s="335"/>
      <c r="EF562" s="335"/>
      <c r="EG562" s="335"/>
      <c r="EH562" s="335"/>
      <c r="EI562" s="335"/>
      <c r="EJ562" s="335"/>
      <c r="EK562" s="335"/>
      <c r="EL562" s="335"/>
      <c r="EM562" s="335"/>
    </row>
    <row r="563" spans="72:143">
      <c r="BT563" s="187"/>
      <c r="BU563" s="187" t="s">
        <v>102</v>
      </c>
      <c r="BV563" s="196">
        <v>120034</v>
      </c>
      <c r="BW563" s="197" t="e">
        <f t="shared" si="145"/>
        <v>#REF!</v>
      </c>
      <c r="BX563" s="198" t="e">
        <f>IF(AND(State_LOB_Code=18,LEFT(BW563,4)&lt;"2009"),81,State_LOB_Code)&amp;"|383"</f>
        <v>#REF!</v>
      </c>
      <c r="BY563" s="215"/>
      <c r="BZ563" s="216"/>
      <c r="CD563" s="163"/>
      <c r="CE563" s="363"/>
      <c r="CF563" s="335"/>
      <c r="CG563" s="335"/>
      <c r="CH563" s="335"/>
      <c r="CI563" s="335"/>
      <c r="CJ563" s="335"/>
      <c r="CK563" s="335"/>
      <c r="CL563" s="335"/>
      <c r="CM563" s="335"/>
      <c r="CN563" s="335"/>
      <c r="CO563" s="335"/>
      <c r="CP563" s="335"/>
      <c r="CQ563" s="335"/>
      <c r="CR563" s="335"/>
      <c r="CS563" s="335"/>
      <c r="CT563" s="335"/>
      <c r="CU563" s="335"/>
      <c r="CV563" s="335"/>
      <c r="CW563" s="335"/>
      <c r="CX563" s="335"/>
      <c r="CY563" s="335"/>
      <c r="CZ563" s="335"/>
      <c r="DA563" s="335"/>
      <c r="DB563" s="335"/>
      <c r="DC563" s="335"/>
      <c r="DD563" s="335"/>
      <c r="DE563" s="335"/>
      <c r="DF563" s="335"/>
      <c r="DG563" s="335"/>
      <c r="DH563" s="335"/>
      <c r="DI563" s="335"/>
      <c r="DJ563" s="335"/>
      <c r="DK563" s="335"/>
      <c r="DL563" s="335"/>
      <c r="DM563" s="335"/>
      <c r="DN563" s="335"/>
      <c r="DO563" s="335"/>
      <c r="DP563" s="335"/>
      <c r="DQ563" s="335"/>
      <c r="DR563" s="335"/>
      <c r="DS563" s="335"/>
      <c r="DT563" s="335"/>
      <c r="DU563" s="335"/>
      <c r="DV563" s="335"/>
      <c r="DW563" s="335"/>
      <c r="DX563" s="335"/>
      <c r="DY563" s="335"/>
      <c r="DZ563" s="335"/>
      <c r="EA563" s="335"/>
      <c r="EB563" s="335"/>
      <c r="EC563" s="335"/>
      <c r="ED563" s="335"/>
      <c r="EE563" s="335"/>
      <c r="EF563" s="335"/>
      <c r="EG563" s="335"/>
      <c r="EH563" s="335"/>
      <c r="EI563" s="335"/>
      <c r="EJ563" s="335"/>
      <c r="EK563" s="335"/>
      <c r="EL563" s="335"/>
      <c r="EM563" s="335"/>
    </row>
    <row r="564" spans="72:143">
      <c r="BT564" s="187"/>
      <c r="BU564" s="187" t="s">
        <v>103</v>
      </c>
      <c r="BV564" s="196">
        <v>120034</v>
      </c>
      <c r="BW564" s="197" t="e">
        <f t="shared" si="145"/>
        <v>#REF!</v>
      </c>
      <c r="BX564" s="198" t="e">
        <f>IF(AND(State_LOB_Code=18,LEFT(BW564,4)&lt;"2009"),81,State_LOB_Code)&amp;"|332"</f>
        <v>#REF!</v>
      </c>
      <c r="BY564" s="215"/>
      <c r="BZ564" s="216"/>
      <c r="CD564" s="163"/>
      <c r="CE564" s="363"/>
      <c r="CF564" s="335"/>
      <c r="CG564" s="335"/>
      <c r="CH564" s="335"/>
      <c r="CI564" s="335"/>
      <c r="CJ564" s="335"/>
      <c r="CK564" s="335"/>
      <c r="CL564" s="335"/>
      <c r="CM564" s="335"/>
      <c r="CN564" s="335"/>
      <c r="CO564" s="335"/>
      <c r="CP564" s="335"/>
      <c r="CQ564" s="335"/>
      <c r="CR564" s="335"/>
      <c r="CS564" s="335"/>
      <c r="CT564" s="335"/>
      <c r="CU564" s="335"/>
      <c r="CV564" s="335"/>
      <c r="CW564" s="335"/>
      <c r="CX564" s="335"/>
      <c r="CY564" s="335"/>
      <c r="CZ564" s="335"/>
      <c r="DA564" s="335"/>
      <c r="DB564" s="335"/>
      <c r="DC564" s="335"/>
      <c r="DD564" s="335"/>
      <c r="DE564" s="335"/>
      <c r="DF564" s="335"/>
      <c r="DG564" s="335"/>
      <c r="DH564" s="335"/>
      <c r="DI564" s="335"/>
      <c r="DJ564" s="335"/>
      <c r="DK564" s="335"/>
      <c r="DL564" s="335"/>
      <c r="DM564" s="335"/>
      <c r="DN564" s="335"/>
      <c r="DO564" s="335"/>
      <c r="DP564" s="335"/>
      <c r="DQ564" s="335"/>
      <c r="DR564" s="335"/>
      <c r="DS564" s="335"/>
      <c r="DT564" s="335"/>
      <c r="DU564" s="335"/>
      <c r="DV564" s="335"/>
      <c r="DW564" s="335"/>
      <c r="DX564" s="335"/>
      <c r="DY564" s="335"/>
      <c r="DZ564" s="335"/>
      <c r="EA564" s="335"/>
      <c r="EB564" s="335"/>
      <c r="EC564" s="335"/>
      <c r="ED564" s="335"/>
      <c r="EE564" s="335"/>
      <c r="EF564" s="335"/>
      <c r="EG564" s="335"/>
      <c r="EH564" s="335"/>
      <c r="EI564" s="335"/>
      <c r="EJ564" s="335"/>
      <c r="EK564" s="335"/>
      <c r="EL564" s="335"/>
      <c r="EM564" s="335"/>
    </row>
    <row r="565" spans="72:143">
      <c r="BT565" s="187"/>
      <c r="BU565" s="187" t="s">
        <v>104</v>
      </c>
      <c r="BV565" s="196">
        <v>120034</v>
      </c>
      <c r="BW565" s="197" t="e">
        <f t="shared" si="145"/>
        <v>#REF!</v>
      </c>
      <c r="BX565" s="198" t="e">
        <f>IF(AND(State_LOB_Code=18,LEFT(BW565,4)&lt;"2009"),81,State_LOB_Code)&amp;"|330"</f>
        <v>#REF!</v>
      </c>
      <c r="BY565" s="215"/>
      <c r="BZ565" s="216"/>
      <c r="CD565" s="163"/>
      <c r="CE565" s="363"/>
      <c r="CF565" s="335"/>
      <c r="CG565" s="335"/>
      <c r="CH565" s="335"/>
      <c r="CI565" s="335"/>
      <c r="CJ565" s="335"/>
      <c r="CK565" s="335"/>
      <c r="CL565" s="335"/>
      <c r="CM565" s="335"/>
      <c r="CN565" s="335"/>
      <c r="CO565" s="335"/>
      <c r="CP565" s="335"/>
      <c r="CQ565" s="335"/>
      <c r="CR565" s="335"/>
      <c r="CS565" s="335"/>
      <c r="CT565" s="335"/>
      <c r="CU565" s="335"/>
      <c r="CV565" s="335"/>
      <c r="CW565" s="335"/>
      <c r="CX565" s="335"/>
      <c r="CY565" s="335"/>
      <c r="CZ565" s="335"/>
      <c r="DA565" s="335"/>
      <c r="DB565" s="335"/>
      <c r="DC565" s="335"/>
      <c r="DD565" s="335"/>
      <c r="DE565" s="335"/>
      <c r="DF565" s="335"/>
      <c r="DG565" s="335"/>
      <c r="DH565" s="335"/>
      <c r="DI565" s="335"/>
      <c r="DJ565" s="335"/>
      <c r="DK565" s="335"/>
      <c r="DL565" s="335"/>
      <c r="DM565" s="335"/>
      <c r="DN565" s="335"/>
      <c r="DO565" s="335"/>
      <c r="DP565" s="335"/>
      <c r="DQ565" s="335"/>
      <c r="DR565" s="335"/>
      <c r="DS565" s="335"/>
      <c r="DT565" s="335"/>
      <c r="DU565" s="335"/>
      <c r="DV565" s="335"/>
      <c r="DW565" s="335"/>
      <c r="DX565" s="335"/>
      <c r="DY565" s="335"/>
      <c r="DZ565" s="335"/>
      <c r="EA565" s="335"/>
      <c r="EB565" s="335"/>
      <c r="EC565" s="335"/>
      <c r="ED565" s="335"/>
      <c r="EE565" s="335"/>
      <c r="EF565" s="335"/>
      <c r="EG565" s="335"/>
      <c r="EH565" s="335"/>
      <c r="EI565" s="335"/>
      <c r="EJ565" s="335"/>
      <c r="EK565" s="335"/>
      <c r="EL565" s="335"/>
      <c r="EM565" s="335"/>
    </row>
    <row r="566" spans="72:143">
      <c r="BT566" s="187"/>
      <c r="BU566" s="190" t="s">
        <v>46</v>
      </c>
      <c r="BV566" s="202">
        <v>124055</v>
      </c>
      <c r="BW566" s="203" t="e">
        <f t="shared" si="145"/>
        <v>#REF!</v>
      </c>
      <c r="BX566" s="204" t="e">
        <f>IF(AND(State_LOB_Code=18,LEFT(BW566,4)&lt;"2009"),81,State_LOB_Code)</f>
        <v>#REF!</v>
      </c>
      <c r="BY566" s="219"/>
      <c r="BZ566" s="220"/>
      <c r="CD566" s="163"/>
      <c r="CE566" s="363"/>
      <c r="CF566" s="335"/>
      <c r="CG566" s="335"/>
      <c r="CH566" s="335"/>
      <c r="CI566" s="335"/>
      <c r="CJ566" s="335"/>
      <c r="CK566" s="335"/>
      <c r="CL566" s="335"/>
      <c r="CM566" s="335"/>
      <c r="CN566" s="335"/>
      <c r="CO566" s="335"/>
      <c r="CP566" s="335"/>
      <c r="CQ566" s="335"/>
      <c r="CR566" s="335"/>
      <c r="CS566" s="335"/>
      <c r="CT566" s="335"/>
      <c r="CU566" s="335"/>
      <c r="CV566" s="335"/>
      <c r="CW566" s="335"/>
      <c r="CX566" s="335"/>
      <c r="CY566" s="335"/>
      <c r="CZ566" s="335"/>
      <c r="DA566" s="335"/>
      <c r="DB566" s="335"/>
      <c r="DC566" s="335"/>
      <c r="DD566" s="335"/>
      <c r="DE566" s="335"/>
      <c r="DF566" s="335"/>
      <c r="DG566" s="335"/>
      <c r="DH566" s="335"/>
      <c r="DI566" s="335"/>
      <c r="DJ566" s="335"/>
      <c r="DK566" s="335"/>
      <c r="DL566" s="335"/>
      <c r="DM566" s="335"/>
      <c r="DN566" s="335"/>
      <c r="DO566" s="335"/>
      <c r="DP566" s="335"/>
      <c r="DQ566" s="335"/>
      <c r="DR566" s="335"/>
      <c r="DS566" s="335"/>
      <c r="DT566" s="335"/>
      <c r="DU566" s="335"/>
      <c r="DV566" s="335"/>
      <c r="DW566" s="335"/>
      <c r="DX566" s="335"/>
      <c r="DY566" s="335"/>
      <c r="DZ566" s="335"/>
      <c r="EA566" s="335"/>
      <c r="EB566" s="335"/>
      <c r="EC566" s="335"/>
      <c r="ED566" s="335"/>
      <c r="EE566" s="335"/>
      <c r="EF566" s="335"/>
      <c r="EG566" s="335"/>
      <c r="EH566" s="335"/>
      <c r="EI566" s="335"/>
      <c r="EJ566" s="335"/>
      <c r="EK566" s="335"/>
      <c r="EL566" s="335"/>
      <c r="EM566" s="335"/>
    </row>
    <row r="567" spans="72:143">
      <c r="BT567" s="187"/>
      <c r="BU567" s="187"/>
      <c r="BV567" s="188"/>
      <c r="BW567" s="188"/>
      <c r="BX567" s="188"/>
      <c r="BY567" s="215"/>
      <c r="BZ567" s="216"/>
      <c r="CD567" s="163"/>
      <c r="CE567" s="363"/>
      <c r="CF567" s="335"/>
      <c r="CG567" s="335"/>
      <c r="CH567" s="335"/>
      <c r="CI567" s="335"/>
      <c r="CJ567" s="335"/>
      <c r="CK567" s="335"/>
      <c r="CL567" s="335"/>
      <c r="CM567" s="335"/>
      <c r="CN567" s="335"/>
      <c r="CO567" s="335"/>
      <c r="CP567" s="335"/>
      <c r="CQ567" s="335"/>
      <c r="CR567" s="335"/>
      <c r="CS567" s="335"/>
      <c r="CT567" s="335"/>
      <c r="CU567" s="335"/>
      <c r="CV567" s="335"/>
      <c r="CW567" s="335"/>
      <c r="CX567" s="335"/>
      <c r="CY567" s="335"/>
      <c r="CZ567" s="335"/>
      <c r="DA567" s="335"/>
      <c r="DB567" s="335"/>
      <c r="DC567" s="335"/>
      <c r="DD567" s="335"/>
      <c r="DE567" s="335"/>
      <c r="DF567" s="335"/>
      <c r="DG567" s="335"/>
      <c r="DH567" s="335"/>
      <c r="DI567" s="335"/>
      <c r="DJ567" s="335"/>
      <c r="DK567" s="335"/>
      <c r="DL567" s="335"/>
      <c r="DM567" s="335"/>
      <c r="DN567" s="335"/>
      <c r="DO567" s="335"/>
      <c r="DP567" s="335"/>
      <c r="DQ567" s="335"/>
      <c r="DR567" s="335"/>
      <c r="DS567" s="335"/>
      <c r="DT567" s="335"/>
      <c r="DU567" s="335"/>
      <c r="DV567" s="335"/>
      <c r="DW567" s="335"/>
      <c r="DX567" s="335"/>
      <c r="DY567" s="335"/>
      <c r="DZ567" s="335"/>
      <c r="EA567" s="335"/>
      <c r="EB567" s="335"/>
      <c r="EC567" s="335"/>
      <c r="ED567" s="335"/>
      <c r="EE567" s="335"/>
      <c r="EF567" s="335"/>
      <c r="EG567" s="335"/>
      <c r="EH567" s="335"/>
      <c r="EI567" s="335"/>
      <c r="EJ567" s="335"/>
      <c r="EK567" s="335"/>
      <c r="EL567" s="335"/>
      <c r="EM567" s="335"/>
    </row>
    <row r="568" spans="72:143">
      <c r="BT568" s="187"/>
      <c r="BU568" s="184" t="s">
        <v>47</v>
      </c>
      <c r="BV568" s="193">
        <v>120034</v>
      </c>
      <c r="BW568" s="194" t="e">
        <f t="shared" ref="BW568:BW599" si="146">LEFT(BW507,4)-1&amp;"Y"</f>
        <v>#REF!</v>
      </c>
      <c r="BX568" s="195" t="e">
        <f>IF(AND(State_LOB_Code=18,LEFT(BW568,4)&lt;"2009"),81,State_LOB_Code)&amp;"|333"</f>
        <v>#REF!</v>
      </c>
      <c r="BY568" s="213"/>
      <c r="BZ568" s="214"/>
      <c r="CD568" s="163"/>
      <c r="CE568" s="363"/>
      <c r="CF568" s="335"/>
      <c r="CG568" s="335"/>
      <c r="CH568" s="335"/>
      <c r="CI568" s="335"/>
      <c r="CJ568" s="335"/>
      <c r="CK568" s="335"/>
      <c r="CL568" s="335"/>
      <c r="CM568" s="335"/>
      <c r="CN568" s="335"/>
      <c r="CO568" s="335"/>
      <c r="CP568" s="335"/>
      <c r="CQ568" s="335"/>
      <c r="CR568" s="335"/>
      <c r="CS568" s="335"/>
      <c r="CT568" s="335"/>
      <c r="CU568" s="335"/>
      <c r="CV568" s="335"/>
      <c r="CW568" s="335"/>
      <c r="CX568" s="335"/>
      <c r="CY568" s="335"/>
      <c r="CZ568" s="335"/>
      <c r="DA568" s="335"/>
      <c r="DB568" s="335"/>
      <c r="DC568" s="335"/>
      <c r="DD568" s="335"/>
      <c r="DE568" s="335"/>
      <c r="DF568" s="335"/>
      <c r="DG568" s="335"/>
      <c r="DH568" s="335"/>
      <c r="DI568" s="335"/>
      <c r="DJ568" s="335"/>
      <c r="DK568" s="335"/>
      <c r="DL568" s="335"/>
      <c r="DM568" s="335"/>
      <c r="DN568" s="335"/>
      <c r="DO568" s="335"/>
      <c r="DP568" s="335"/>
      <c r="DQ568" s="335"/>
      <c r="DR568" s="335"/>
      <c r="DS568" s="335"/>
      <c r="DT568" s="335"/>
      <c r="DU568" s="335"/>
      <c r="DV568" s="335"/>
      <c r="DW568" s="335"/>
      <c r="DX568" s="335"/>
      <c r="DY568" s="335"/>
      <c r="DZ568" s="335"/>
      <c r="EA568" s="335"/>
      <c r="EB568" s="335"/>
      <c r="EC568" s="335"/>
      <c r="ED568" s="335"/>
      <c r="EE568" s="335"/>
      <c r="EF568" s="335"/>
      <c r="EG568" s="335"/>
      <c r="EH568" s="335"/>
      <c r="EI568" s="335"/>
      <c r="EJ568" s="335"/>
      <c r="EK568" s="335"/>
      <c r="EL568" s="335"/>
      <c r="EM568" s="335"/>
    </row>
    <row r="569" spans="72:143">
      <c r="BT569" s="187"/>
      <c r="BU569" s="187" t="s">
        <v>48</v>
      </c>
      <c r="BV569" s="196">
        <v>120034</v>
      </c>
      <c r="BW569" s="197" t="e">
        <f t="shared" si="146"/>
        <v>#REF!</v>
      </c>
      <c r="BX569" s="198" t="e">
        <f>IF(AND(State_LOB_Code=18,LEFT(BW569,4)&lt;"2009"),81,State_LOB_Code)&amp;"|334"</f>
        <v>#REF!</v>
      </c>
      <c r="BY569" s="215"/>
      <c r="BZ569" s="216"/>
      <c r="CD569" s="163"/>
      <c r="CE569" s="363"/>
      <c r="CF569" s="335"/>
      <c r="CG569" s="335"/>
      <c r="CH569" s="335"/>
      <c r="CI569" s="335"/>
      <c r="CJ569" s="335"/>
      <c r="CK569" s="335"/>
      <c r="CL569" s="335"/>
      <c r="CM569" s="335"/>
      <c r="CN569" s="335"/>
      <c r="CO569" s="335"/>
      <c r="CP569" s="335"/>
      <c r="CQ569" s="335"/>
      <c r="CR569" s="335"/>
      <c r="CS569" s="335"/>
      <c r="CT569" s="335"/>
      <c r="CU569" s="335"/>
      <c r="CV569" s="335"/>
      <c r="CW569" s="335"/>
      <c r="CX569" s="335"/>
      <c r="CY569" s="335"/>
      <c r="CZ569" s="335"/>
      <c r="DA569" s="335"/>
      <c r="DB569" s="335"/>
      <c r="DC569" s="335"/>
      <c r="DD569" s="335"/>
      <c r="DE569" s="335"/>
      <c r="DF569" s="335"/>
      <c r="DG569" s="335"/>
      <c r="DH569" s="335"/>
      <c r="DI569" s="335"/>
      <c r="DJ569" s="335"/>
      <c r="DK569" s="335"/>
      <c r="DL569" s="335"/>
      <c r="DM569" s="335"/>
      <c r="DN569" s="335"/>
      <c r="DO569" s="335"/>
      <c r="DP569" s="335"/>
      <c r="DQ569" s="335"/>
      <c r="DR569" s="335"/>
      <c r="DS569" s="335"/>
      <c r="DT569" s="335"/>
      <c r="DU569" s="335"/>
      <c r="DV569" s="335"/>
      <c r="DW569" s="335"/>
      <c r="DX569" s="335"/>
      <c r="DY569" s="335"/>
      <c r="DZ569" s="335"/>
      <c r="EA569" s="335"/>
      <c r="EB569" s="335"/>
      <c r="EC569" s="335"/>
      <c r="ED569" s="335"/>
      <c r="EE569" s="335"/>
      <c r="EF569" s="335"/>
      <c r="EG569" s="335"/>
      <c r="EH569" s="335"/>
      <c r="EI569" s="335"/>
      <c r="EJ569" s="335"/>
      <c r="EK569" s="335"/>
      <c r="EL569" s="335"/>
      <c r="EM569" s="335"/>
    </row>
    <row r="570" spans="72:143">
      <c r="BT570" s="187"/>
      <c r="BU570" s="187" t="s">
        <v>49</v>
      </c>
      <c r="BV570" s="196">
        <v>120034</v>
      </c>
      <c r="BW570" s="197" t="e">
        <f t="shared" si="146"/>
        <v>#REF!</v>
      </c>
      <c r="BX570" s="198" t="e">
        <f>IF(AND(State_LOB_Code=18,LEFT(BW570,4)&lt;"2009"),81,State_LOB_Code)&amp;"|335"</f>
        <v>#REF!</v>
      </c>
      <c r="BY570" s="215"/>
      <c r="BZ570" s="216"/>
      <c r="CD570" s="163"/>
      <c r="CE570" s="363"/>
      <c r="CF570" s="335"/>
      <c r="CG570" s="335"/>
      <c r="CH570" s="335"/>
      <c r="CI570" s="335"/>
      <c r="CJ570" s="335"/>
      <c r="CK570" s="335"/>
      <c r="CL570" s="335"/>
      <c r="CM570" s="335"/>
      <c r="CN570" s="335"/>
      <c r="CO570" s="335"/>
      <c r="CP570" s="335"/>
      <c r="CQ570" s="335"/>
      <c r="CR570" s="335"/>
      <c r="CS570" s="335"/>
      <c r="CT570" s="335"/>
      <c r="CU570" s="335"/>
      <c r="CV570" s="335"/>
      <c r="CW570" s="335"/>
      <c r="CX570" s="335"/>
      <c r="CY570" s="335"/>
      <c r="CZ570" s="335"/>
      <c r="DA570" s="335"/>
      <c r="DB570" s="335"/>
      <c r="DC570" s="335"/>
      <c r="DD570" s="335"/>
      <c r="DE570" s="335"/>
      <c r="DF570" s="335"/>
      <c r="DG570" s="335"/>
      <c r="DH570" s="335"/>
      <c r="DI570" s="335"/>
      <c r="DJ570" s="335"/>
      <c r="DK570" s="335"/>
      <c r="DL570" s="335"/>
      <c r="DM570" s="335"/>
      <c r="DN570" s="335"/>
      <c r="DO570" s="335"/>
      <c r="DP570" s="335"/>
      <c r="DQ570" s="335"/>
      <c r="DR570" s="335"/>
      <c r="DS570" s="335"/>
      <c r="DT570" s="335"/>
      <c r="DU570" s="335"/>
      <c r="DV570" s="335"/>
      <c r="DW570" s="335"/>
      <c r="DX570" s="335"/>
      <c r="DY570" s="335"/>
      <c r="DZ570" s="335"/>
      <c r="EA570" s="335"/>
      <c r="EB570" s="335"/>
      <c r="EC570" s="335"/>
      <c r="ED570" s="335"/>
      <c r="EE570" s="335"/>
      <c r="EF570" s="335"/>
      <c r="EG570" s="335"/>
      <c r="EH570" s="335"/>
      <c r="EI570" s="335"/>
      <c r="EJ570" s="335"/>
      <c r="EK570" s="335"/>
      <c r="EL570" s="335"/>
      <c r="EM570" s="335"/>
    </row>
    <row r="571" spans="72:143">
      <c r="BT571" s="187"/>
      <c r="BU571" s="187" t="s">
        <v>50</v>
      </c>
      <c r="BV571" s="196">
        <v>120034</v>
      </c>
      <c r="BW571" s="197" t="e">
        <f t="shared" si="146"/>
        <v>#REF!</v>
      </c>
      <c r="BX571" s="198" t="e">
        <f>IF(AND(State_LOB_Code=18,LEFT(BW571,4)&lt;"2009"),81,State_LOB_Code)&amp;"|337"</f>
        <v>#REF!</v>
      </c>
      <c r="BY571" s="215"/>
      <c r="BZ571" s="216"/>
      <c r="CD571" s="163"/>
      <c r="CE571" s="363"/>
      <c r="CF571" s="335"/>
      <c r="CG571" s="335"/>
      <c r="CH571" s="335"/>
      <c r="CI571" s="335"/>
      <c r="CJ571" s="335"/>
      <c r="CK571" s="335"/>
      <c r="CL571" s="335"/>
      <c r="CM571" s="335"/>
      <c r="CN571" s="335"/>
      <c r="CO571" s="335"/>
      <c r="CP571" s="335"/>
      <c r="CQ571" s="335"/>
      <c r="CR571" s="335"/>
      <c r="CS571" s="335"/>
      <c r="CT571" s="335"/>
      <c r="CU571" s="335"/>
      <c r="CV571" s="335"/>
      <c r="CW571" s="335"/>
      <c r="CX571" s="335"/>
      <c r="CY571" s="335"/>
      <c r="CZ571" s="335"/>
      <c r="DA571" s="335"/>
      <c r="DB571" s="335"/>
      <c r="DC571" s="335"/>
      <c r="DD571" s="335"/>
      <c r="DE571" s="335"/>
      <c r="DF571" s="335"/>
      <c r="DG571" s="335"/>
      <c r="DH571" s="335"/>
      <c r="DI571" s="335"/>
      <c r="DJ571" s="335"/>
      <c r="DK571" s="335"/>
      <c r="DL571" s="335"/>
      <c r="DM571" s="335"/>
      <c r="DN571" s="335"/>
      <c r="DO571" s="335"/>
      <c r="DP571" s="335"/>
      <c r="DQ571" s="335"/>
      <c r="DR571" s="335"/>
      <c r="DS571" s="335"/>
      <c r="DT571" s="335"/>
      <c r="DU571" s="335"/>
      <c r="DV571" s="335"/>
      <c r="DW571" s="335"/>
      <c r="DX571" s="335"/>
      <c r="DY571" s="335"/>
      <c r="DZ571" s="335"/>
      <c r="EA571" s="335"/>
      <c r="EB571" s="335"/>
      <c r="EC571" s="335"/>
      <c r="ED571" s="335"/>
      <c r="EE571" s="335"/>
      <c r="EF571" s="335"/>
      <c r="EG571" s="335"/>
      <c r="EH571" s="335"/>
      <c r="EI571" s="335"/>
      <c r="EJ571" s="335"/>
      <c r="EK571" s="335"/>
      <c r="EL571" s="335"/>
      <c r="EM571" s="335"/>
    </row>
    <row r="572" spans="72:143">
      <c r="BT572" s="187"/>
      <c r="BU572" s="187" t="s">
        <v>51</v>
      </c>
      <c r="BV572" s="196">
        <v>120034</v>
      </c>
      <c r="BW572" s="197" t="e">
        <f t="shared" si="146"/>
        <v>#REF!</v>
      </c>
      <c r="BX572" s="198" t="e">
        <f>IF(AND(State_LOB_Code=18,LEFT(BW572,4)&lt;"2009"),81,State_LOB_Code)&amp;"|338"</f>
        <v>#REF!</v>
      </c>
      <c r="BY572" s="215"/>
      <c r="BZ572" s="216"/>
      <c r="CD572" s="163"/>
      <c r="CE572" s="363"/>
      <c r="CF572" s="335"/>
      <c r="CG572" s="335"/>
      <c r="CH572" s="335"/>
      <c r="CI572" s="335"/>
      <c r="CJ572" s="335"/>
      <c r="CK572" s="335"/>
      <c r="CL572" s="335"/>
      <c r="CM572" s="335"/>
      <c r="CN572" s="335"/>
      <c r="CO572" s="335"/>
      <c r="CP572" s="335"/>
      <c r="CQ572" s="335"/>
      <c r="CR572" s="335"/>
      <c r="CS572" s="335"/>
      <c r="CT572" s="335"/>
      <c r="CU572" s="335"/>
      <c r="CV572" s="335"/>
      <c r="CW572" s="335"/>
      <c r="CX572" s="335"/>
      <c r="CY572" s="335"/>
      <c r="CZ572" s="335"/>
      <c r="DA572" s="335"/>
      <c r="DB572" s="335"/>
      <c r="DC572" s="335"/>
      <c r="DD572" s="335"/>
      <c r="DE572" s="335"/>
      <c r="DF572" s="335"/>
      <c r="DG572" s="335"/>
      <c r="DH572" s="335"/>
      <c r="DI572" s="335"/>
      <c r="DJ572" s="335"/>
      <c r="DK572" s="335"/>
      <c r="DL572" s="335"/>
      <c r="DM572" s="335"/>
      <c r="DN572" s="335"/>
      <c r="DO572" s="335"/>
      <c r="DP572" s="335"/>
      <c r="DQ572" s="335"/>
      <c r="DR572" s="335"/>
      <c r="DS572" s="335"/>
      <c r="DT572" s="335"/>
      <c r="DU572" s="335"/>
      <c r="DV572" s="335"/>
      <c r="DW572" s="335"/>
      <c r="DX572" s="335"/>
      <c r="DY572" s="335"/>
      <c r="DZ572" s="335"/>
      <c r="EA572" s="335"/>
      <c r="EB572" s="335"/>
      <c r="EC572" s="335"/>
      <c r="ED572" s="335"/>
      <c r="EE572" s="335"/>
      <c r="EF572" s="335"/>
      <c r="EG572" s="335"/>
      <c r="EH572" s="335"/>
      <c r="EI572" s="335"/>
      <c r="EJ572" s="335"/>
      <c r="EK572" s="335"/>
      <c r="EL572" s="335"/>
      <c r="EM572" s="335"/>
    </row>
    <row r="573" spans="72:143">
      <c r="BT573" s="187"/>
      <c r="BU573" s="187" t="s">
        <v>52</v>
      </c>
      <c r="BV573" s="196">
        <v>120034</v>
      </c>
      <c r="BW573" s="197" t="e">
        <f t="shared" si="146"/>
        <v>#REF!</v>
      </c>
      <c r="BX573" s="198" t="e">
        <f>IF(AND(State_LOB_Code=18,LEFT(BW573,4)&lt;"2009"),81,State_LOB_Code)&amp;"|339"</f>
        <v>#REF!</v>
      </c>
      <c r="BY573" s="215"/>
      <c r="BZ573" s="216"/>
      <c r="CD573" s="163"/>
      <c r="CE573" s="363"/>
      <c r="CF573" s="335"/>
      <c r="CG573" s="335"/>
      <c r="CH573" s="335"/>
      <c r="CI573" s="335"/>
      <c r="CJ573" s="335"/>
      <c r="CK573" s="335"/>
      <c r="CL573" s="335"/>
      <c r="CM573" s="335"/>
      <c r="CN573" s="335"/>
      <c r="CO573" s="335"/>
      <c r="CP573" s="335"/>
      <c r="CQ573" s="335"/>
      <c r="CR573" s="335"/>
      <c r="CS573" s="335"/>
      <c r="CT573" s="335"/>
      <c r="CU573" s="335"/>
      <c r="CV573" s="335"/>
      <c r="CW573" s="335"/>
      <c r="CX573" s="335"/>
      <c r="CY573" s="335"/>
      <c r="CZ573" s="335"/>
      <c r="DA573" s="335"/>
      <c r="DB573" s="335"/>
      <c r="DC573" s="335"/>
      <c r="DD573" s="335"/>
      <c r="DE573" s="335"/>
      <c r="DF573" s="335"/>
      <c r="DG573" s="335"/>
      <c r="DH573" s="335"/>
      <c r="DI573" s="335"/>
      <c r="DJ573" s="335"/>
      <c r="DK573" s="335"/>
      <c r="DL573" s="335"/>
      <c r="DM573" s="335"/>
      <c r="DN573" s="335"/>
      <c r="DO573" s="335"/>
      <c r="DP573" s="335"/>
      <c r="DQ573" s="335"/>
      <c r="DR573" s="335"/>
      <c r="DS573" s="335"/>
      <c r="DT573" s="335"/>
      <c r="DU573" s="335"/>
      <c r="DV573" s="335"/>
      <c r="DW573" s="335"/>
      <c r="DX573" s="335"/>
      <c r="DY573" s="335"/>
      <c r="DZ573" s="335"/>
      <c r="EA573" s="335"/>
      <c r="EB573" s="335"/>
      <c r="EC573" s="335"/>
      <c r="ED573" s="335"/>
      <c r="EE573" s="335"/>
      <c r="EF573" s="335"/>
      <c r="EG573" s="335"/>
      <c r="EH573" s="335"/>
      <c r="EI573" s="335"/>
      <c r="EJ573" s="335"/>
      <c r="EK573" s="335"/>
      <c r="EL573" s="335"/>
      <c r="EM573" s="335"/>
    </row>
    <row r="574" spans="72:143">
      <c r="BT574" s="187"/>
      <c r="BU574" s="187" t="s">
        <v>53</v>
      </c>
      <c r="BV574" s="196">
        <v>120034</v>
      </c>
      <c r="BW574" s="197" t="e">
        <f t="shared" si="146"/>
        <v>#REF!</v>
      </c>
      <c r="BX574" s="198" t="e">
        <f>IF(AND(State_LOB_Code=18,LEFT(BW574,4)&lt;"2009"),81,State_LOB_Code)&amp;"|340"</f>
        <v>#REF!</v>
      </c>
      <c r="BY574" s="215"/>
      <c r="BZ574" s="216"/>
      <c r="CD574" s="163"/>
      <c r="CE574" s="363"/>
      <c r="CF574" s="335"/>
      <c r="CG574" s="335"/>
      <c r="CH574" s="335"/>
      <c r="CI574" s="335"/>
      <c r="CJ574" s="335"/>
      <c r="CK574" s="335"/>
      <c r="CL574" s="335"/>
      <c r="CM574" s="335"/>
      <c r="CN574" s="335"/>
      <c r="CO574" s="335"/>
      <c r="CP574" s="335"/>
      <c r="CQ574" s="335"/>
      <c r="CR574" s="335"/>
      <c r="CS574" s="335"/>
      <c r="CT574" s="335"/>
      <c r="CU574" s="335"/>
      <c r="CV574" s="335"/>
      <c r="CW574" s="335"/>
      <c r="CX574" s="335"/>
      <c r="CY574" s="335"/>
      <c r="CZ574" s="335"/>
      <c r="DA574" s="335"/>
      <c r="DB574" s="335"/>
      <c r="DC574" s="335"/>
      <c r="DD574" s="335"/>
      <c r="DE574" s="335"/>
      <c r="DF574" s="335"/>
      <c r="DG574" s="335"/>
      <c r="DH574" s="335"/>
      <c r="DI574" s="335"/>
      <c r="DJ574" s="335"/>
      <c r="DK574" s="335"/>
      <c r="DL574" s="335"/>
      <c r="DM574" s="335"/>
      <c r="DN574" s="335"/>
      <c r="DO574" s="335"/>
      <c r="DP574" s="335"/>
      <c r="DQ574" s="335"/>
      <c r="DR574" s="335"/>
      <c r="DS574" s="335"/>
      <c r="DT574" s="335"/>
      <c r="DU574" s="335"/>
      <c r="DV574" s="335"/>
      <c r="DW574" s="335"/>
      <c r="DX574" s="335"/>
      <c r="DY574" s="335"/>
      <c r="DZ574" s="335"/>
      <c r="EA574" s="335"/>
      <c r="EB574" s="335"/>
      <c r="EC574" s="335"/>
      <c r="ED574" s="335"/>
      <c r="EE574" s="335"/>
      <c r="EF574" s="335"/>
      <c r="EG574" s="335"/>
      <c r="EH574" s="335"/>
      <c r="EI574" s="335"/>
      <c r="EJ574" s="335"/>
      <c r="EK574" s="335"/>
      <c r="EL574" s="335"/>
      <c r="EM574" s="335"/>
    </row>
    <row r="575" spans="72:143">
      <c r="BT575" s="187"/>
      <c r="BU575" s="187" t="s">
        <v>54</v>
      </c>
      <c r="BV575" s="196">
        <v>120034</v>
      </c>
      <c r="BW575" s="197" t="e">
        <f t="shared" si="146"/>
        <v>#REF!</v>
      </c>
      <c r="BX575" s="198" t="e">
        <f>IF(AND(State_LOB_Code=18,LEFT(BW575,4)&lt;"2009"),81,State_LOB_Code)&amp;"|341"</f>
        <v>#REF!</v>
      </c>
      <c r="BY575" s="215"/>
      <c r="BZ575" s="216"/>
      <c r="CD575" s="163"/>
      <c r="CE575" s="363"/>
      <c r="CF575" s="335"/>
      <c r="CG575" s="335"/>
      <c r="CH575" s="335"/>
      <c r="CI575" s="335"/>
      <c r="CJ575" s="335"/>
      <c r="CK575" s="335"/>
      <c r="CL575" s="335"/>
      <c r="CM575" s="335"/>
      <c r="CN575" s="335"/>
      <c r="CO575" s="335"/>
      <c r="CP575" s="335"/>
      <c r="CQ575" s="335"/>
      <c r="CR575" s="335"/>
      <c r="CS575" s="335"/>
      <c r="CT575" s="335"/>
      <c r="CU575" s="335"/>
      <c r="CV575" s="335"/>
      <c r="CW575" s="335"/>
      <c r="CX575" s="335"/>
      <c r="CY575" s="335"/>
      <c r="CZ575" s="335"/>
      <c r="DA575" s="335"/>
      <c r="DB575" s="335"/>
      <c r="DC575" s="335"/>
      <c r="DD575" s="335"/>
      <c r="DE575" s="335"/>
      <c r="DF575" s="335"/>
      <c r="DG575" s="335"/>
      <c r="DH575" s="335"/>
      <c r="DI575" s="335"/>
      <c r="DJ575" s="335"/>
      <c r="DK575" s="335"/>
      <c r="DL575" s="335"/>
      <c r="DM575" s="335"/>
      <c r="DN575" s="335"/>
      <c r="DO575" s="335"/>
      <c r="DP575" s="335"/>
      <c r="DQ575" s="335"/>
      <c r="DR575" s="335"/>
      <c r="DS575" s="335"/>
      <c r="DT575" s="335"/>
      <c r="DU575" s="335"/>
      <c r="DV575" s="335"/>
      <c r="DW575" s="335"/>
      <c r="DX575" s="335"/>
      <c r="DY575" s="335"/>
      <c r="DZ575" s="335"/>
      <c r="EA575" s="335"/>
      <c r="EB575" s="335"/>
      <c r="EC575" s="335"/>
      <c r="ED575" s="335"/>
      <c r="EE575" s="335"/>
      <c r="EF575" s="335"/>
      <c r="EG575" s="335"/>
      <c r="EH575" s="335"/>
      <c r="EI575" s="335"/>
      <c r="EJ575" s="335"/>
      <c r="EK575" s="335"/>
      <c r="EL575" s="335"/>
      <c r="EM575" s="335"/>
    </row>
    <row r="576" spans="72:143">
      <c r="BT576" s="187"/>
      <c r="BU576" s="187" t="s">
        <v>55</v>
      </c>
      <c r="BV576" s="196">
        <v>120034</v>
      </c>
      <c r="BW576" s="197" t="e">
        <f t="shared" si="146"/>
        <v>#REF!</v>
      </c>
      <c r="BX576" s="198" t="e">
        <f>IF(AND(State_LOB_Code=18,LEFT(BW576,4)&lt;"2009"),81,State_LOB_Code)&amp;"|342"</f>
        <v>#REF!</v>
      </c>
      <c r="BY576" s="215"/>
      <c r="BZ576" s="216"/>
      <c r="CD576" s="163"/>
      <c r="CE576" s="363"/>
      <c r="CF576" s="335"/>
      <c r="CG576" s="335"/>
      <c r="CH576" s="335"/>
      <c r="CI576" s="335"/>
      <c r="CJ576" s="335"/>
      <c r="CK576" s="335"/>
      <c r="CL576" s="335"/>
      <c r="CM576" s="335"/>
      <c r="CN576" s="335"/>
      <c r="CO576" s="335"/>
      <c r="CP576" s="335"/>
      <c r="CQ576" s="335"/>
      <c r="CR576" s="335"/>
      <c r="CS576" s="335"/>
      <c r="CT576" s="335"/>
      <c r="CU576" s="335"/>
      <c r="CV576" s="335"/>
      <c r="CW576" s="335"/>
      <c r="CX576" s="335"/>
      <c r="CY576" s="335"/>
      <c r="CZ576" s="335"/>
      <c r="DA576" s="335"/>
      <c r="DB576" s="335"/>
      <c r="DC576" s="335"/>
      <c r="DD576" s="335"/>
      <c r="DE576" s="335"/>
      <c r="DF576" s="335"/>
      <c r="DG576" s="335"/>
      <c r="DH576" s="335"/>
      <c r="DI576" s="335"/>
      <c r="DJ576" s="335"/>
      <c r="DK576" s="335"/>
      <c r="DL576" s="335"/>
      <c r="DM576" s="335"/>
      <c r="DN576" s="335"/>
      <c r="DO576" s="335"/>
      <c r="DP576" s="335"/>
      <c r="DQ576" s="335"/>
      <c r="DR576" s="335"/>
      <c r="DS576" s="335"/>
      <c r="DT576" s="335"/>
      <c r="DU576" s="335"/>
      <c r="DV576" s="335"/>
      <c r="DW576" s="335"/>
      <c r="DX576" s="335"/>
      <c r="DY576" s="335"/>
      <c r="DZ576" s="335"/>
      <c r="EA576" s="335"/>
      <c r="EB576" s="335"/>
      <c r="EC576" s="335"/>
      <c r="ED576" s="335"/>
      <c r="EE576" s="335"/>
      <c r="EF576" s="335"/>
      <c r="EG576" s="335"/>
      <c r="EH576" s="335"/>
      <c r="EI576" s="335"/>
      <c r="EJ576" s="335"/>
      <c r="EK576" s="335"/>
      <c r="EL576" s="335"/>
      <c r="EM576" s="335"/>
    </row>
    <row r="577" spans="72:143">
      <c r="BT577" s="187"/>
      <c r="BU577" s="187" t="s">
        <v>56</v>
      </c>
      <c r="BV577" s="196">
        <v>120034</v>
      </c>
      <c r="BW577" s="197" t="e">
        <f t="shared" si="146"/>
        <v>#REF!</v>
      </c>
      <c r="BX577" s="198" t="e">
        <f>IF(AND(State_LOB_Code=18,LEFT(BW577,4)&lt;"2009"),81,State_LOB_Code)&amp;"|343"</f>
        <v>#REF!</v>
      </c>
      <c r="BY577" s="215"/>
      <c r="BZ577" s="216"/>
      <c r="CD577" s="163"/>
      <c r="CE577" s="363"/>
      <c r="CF577" s="335"/>
      <c r="CG577" s="335"/>
      <c r="CH577" s="335"/>
      <c r="CI577" s="335"/>
      <c r="CJ577" s="335"/>
      <c r="CK577" s="335"/>
      <c r="CL577" s="335"/>
      <c r="CM577" s="335"/>
      <c r="CN577" s="335"/>
      <c r="CO577" s="335"/>
      <c r="CP577" s="335"/>
      <c r="CQ577" s="335"/>
      <c r="CR577" s="335"/>
      <c r="CS577" s="335"/>
      <c r="CT577" s="335"/>
      <c r="CU577" s="335"/>
      <c r="CV577" s="335"/>
      <c r="CW577" s="335"/>
      <c r="CX577" s="335"/>
      <c r="CY577" s="335"/>
      <c r="CZ577" s="335"/>
      <c r="DA577" s="335"/>
      <c r="DB577" s="335"/>
      <c r="DC577" s="335"/>
      <c r="DD577" s="335"/>
      <c r="DE577" s="335"/>
      <c r="DF577" s="335"/>
      <c r="DG577" s="335"/>
      <c r="DH577" s="335"/>
      <c r="DI577" s="335"/>
      <c r="DJ577" s="335"/>
      <c r="DK577" s="335"/>
      <c r="DL577" s="335"/>
      <c r="DM577" s="335"/>
      <c r="DN577" s="335"/>
      <c r="DO577" s="335"/>
      <c r="DP577" s="335"/>
      <c r="DQ577" s="335"/>
      <c r="DR577" s="335"/>
      <c r="DS577" s="335"/>
      <c r="DT577" s="335"/>
      <c r="DU577" s="335"/>
      <c r="DV577" s="335"/>
      <c r="DW577" s="335"/>
      <c r="DX577" s="335"/>
      <c r="DY577" s="335"/>
      <c r="DZ577" s="335"/>
      <c r="EA577" s="335"/>
      <c r="EB577" s="335"/>
      <c r="EC577" s="335"/>
      <c r="ED577" s="335"/>
      <c r="EE577" s="335"/>
      <c r="EF577" s="335"/>
      <c r="EG577" s="335"/>
      <c r="EH577" s="335"/>
      <c r="EI577" s="335"/>
      <c r="EJ577" s="335"/>
      <c r="EK577" s="335"/>
      <c r="EL577" s="335"/>
      <c r="EM577" s="335"/>
    </row>
    <row r="578" spans="72:143">
      <c r="BT578" s="187"/>
      <c r="BU578" s="187" t="s">
        <v>57</v>
      </c>
      <c r="BV578" s="196">
        <v>120034</v>
      </c>
      <c r="BW578" s="197" t="e">
        <f t="shared" si="146"/>
        <v>#REF!</v>
      </c>
      <c r="BX578" s="198" t="e">
        <f>IF(AND(State_LOB_Code=18,LEFT(BW578,4)&lt;"2009"),81,State_LOB_Code)&amp;"|344"</f>
        <v>#REF!</v>
      </c>
      <c r="BY578" s="215"/>
      <c r="BZ578" s="216"/>
      <c r="CD578" s="163"/>
      <c r="CE578" s="363"/>
      <c r="CF578" s="335"/>
      <c r="CG578" s="335"/>
      <c r="CH578" s="335"/>
      <c r="CI578" s="335"/>
      <c r="CJ578" s="335"/>
      <c r="CK578" s="335"/>
      <c r="CL578" s="335"/>
      <c r="CM578" s="335"/>
      <c r="CN578" s="335"/>
      <c r="CO578" s="335"/>
      <c r="CP578" s="335"/>
      <c r="CQ578" s="335"/>
      <c r="CR578" s="335"/>
      <c r="CS578" s="335"/>
      <c r="CT578" s="335"/>
      <c r="CU578" s="335"/>
      <c r="CV578" s="335"/>
      <c r="CW578" s="335"/>
      <c r="CX578" s="335"/>
      <c r="CY578" s="335"/>
      <c r="CZ578" s="335"/>
      <c r="DA578" s="335"/>
      <c r="DB578" s="335"/>
      <c r="DC578" s="335"/>
      <c r="DD578" s="335"/>
      <c r="DE578" s="335"/>
      <c r="DF578" s="335"/>
      <c r="DG578" s="335"/>
      <c r="DH578" s="335"/>
      <c r="DI578" s="335"/>
      <c r="DJ578" s="335"/>
      <c r="DK578" s="335"/>
      <c r="DL578" s="335"/>
      <c r="DM578" s="335"/>
      <c r="DN578" s="335"/>
      <c r="DO578" s="335"/>
      <c r="DP578" s="335"/>
      <c r="DQ578" s="335"/>
      <c r="DR578" s="335"/>
      <c r="DS578" s="335"/>
      <c r="DT578" s="335"/>
      <c r="DU578" s="335"/>
      <c r="DV578" s="335"/>
      <c r="DW578" s="335"/>
      <c r="DX578" s="335"/>
      <c r="DY578" s="335"/>
      <c r="DZ578" s="335"/>
      <c r="EA578" s="335"/>
      <c r="EB578" s="335"/>
      <c r="EC578" s="335"/>
      <c r="ED578" s="335"/>
      <c r="EE578" s="335"/>
      <c r="EF578" s="335"/>
      <c r="EG578" s="335"/>
      <c r="EH578" s="335"/>
      <c r="EI578" s="335"/>
      <c r="EJ578" s="335"/>
      <c r="EK578" s="335"/>
      <c r="EL578" s="335"/>
      <c r="EM578" s="335"/>
    </row>
    <row r="579" spans="72:143">
      <c r="BT579" s="187"/>
      <c r="BU579" s="187" t="s">
        <v>58</v>
      </c>
      <c r="BV579" s="196">
        <v>120034</v>
      </c>
      <c r="BW579" s="197" t="e">
        <f t="shared" si="146"/>
        <v>#REF!</v>
      </c>
      <c r="BX579" s="198" t="e">
        <f>IF(AND(State_LOB_Code=18,LEFT(BW579,4)&lt;"2009"),81,State_LOB_Code)&amp;"|346"</f>
        <v>#REF!</v>
      </c>
      <c r="BY579" s="215"/>
      <c r="BZ579" s="216"/>
      <c r="CD579" s="163"/>
      <c r="CE579" s="363"/>
      <c r="CF579" s="335"/>
      <c r="CG579" s="335"/>
      <c r="CH579" s="335"/>
      <c r="CI579" s="335"/>
      <c r="CJ579" s="335"/>
      <c r="CK579" s="335"/>
      <c r="CL579" s="335"/>
      <c r="CM579" s="335"/>
      <c r="CN579" s="335"/>
      <c r="CO579" s="335"/>
      <c r="CP579" s="335"/>
      <c r="CQ579" s="335"/>
      <c r="CR579" s="335"/>
      <c r="CS579" s="335"/>
      <c r="CT579" s="335"/>
      <c r="CU579" s="335"/>
      <c r="CV579" s="335"/>
      <c r="CW579" s="335"/>
      <c r="CX579" s="335"/>
      <c r="CY579" s="335"/>
      <c r="CZ579" s="335"/>
      <c r="DA579" s="335"/>
      <c r="DB579" s="335"/>
      <c r="DC579" s="335"/>
      <c r="DD579" s="335"/>
      <c r="DE579" s="335"/>
      <c r="DF579" s="335"/>
      <c r="DG579" s="335"/>
      <c r="DH579" s="335"/>
      <c r="DI579" s="335"/>
      <c r="DJ579" s="335"/>
      <c r="DK579" s="335"/>
      <c r="DL579" s="335"/>
      <c r="DM579" s="335"/>
      <c r="DN579" s="335"/>
      <c r="DO579" s="335"/>
      <c r="DP579" s="335"/>
      <c r="DQ579" s="335"/>
      <c r="DR579" s="335"/>
      <c r="DS579" s="335"/>
      <c r="DT579" s="335"/>
      <c r="DU579" s="335"/>
      <c r="DV579" s="335"/>
      <c r="DW579" s="335"/>
      <c r="DX579" s="335"/>
      <c r="DY579" s="335"/>
      <c r="DZ579" s="335"/>
      <c r="EA579" s="335"/>
      <c r="EB579" s="335"/>
      <c r="EC579" s="335"/>
      <c r="ED579" s="335"/>
      <c r="EE579" s="335"/>
      <c r="EF579" s="335"/>
      <c r="EG579" s="335"/>
      <c r="EH579" s="335"/>
      <c r="EI579" s="335"/>
      <c r="EJ579" s="335"/>
      <c r="EK579" s="335"/>
      <c r="EL579" s="335"/>
      <c r="EM579" s="335"/>
    </row>
    <row r="580" spans="72:143">
      <c r="BT580" s="187"/>
      <c r="BU580" s="187" t="s">
        <v>59</v>
      </c>
      <c r="BV580" s="196">
        <v>120034</v>
      </c>
      <c r="BW580" s="197" t="e">
        <f t="shared" si="146"/>
        <v>#REF!</v>
      </c>
      <c r="BX580" s="198" t="e">
        <f>IF(AND(State_LOB_Code=18,LEFT(BW580,4)&lt;"2009"),81,State_LOB_Code)&amp;"|347"</f>
        <v>#REF!</v>
      </c>
      <c r="BY580" s="215"/>
      <c r="BZ580" s="216"/>
      <c r="CD580" s="163"/>
      <c r="CE580" s="363"/>
      <c r="CF580" s="335"/>
      <c r="CG580" s="335"/>
      <c r="CH580" s="335"/>
      <c r="CI580" s="335"/>
      <c r="CJ580" s="335"/>
      <c r="CK580" s="335"/>
      <c r="CL580" s="335"/>
      <c r="CM580" s="335"/>
      <c r="CN580" s="335"/>
      <c r="CO580" s="335"/>
      <c r="CP580" s="335"/>
      <c r="CQ580" s="335"/>
      <c r="CR580" s="335"/>
      <c r="CS580" s="335"/>
      <c r="CT580" s="335"/>
      <c r="CU580" s="335"/>
      <c r="CV580" s="335"/>
      <c r="CW580" s="335"/>
      <c r="CX580" s="335"/>
      <c r="CY580" s="335"/>
      <c r="CZ580" s="335"/>
      <c r="DA580" s="335"/>
      <c r="DB580" s="335"/>
      <c r="DC580" s="335"/>
      <c r="DD580" s="335"/>
      <c r="DE580" s="335"/>
      <c r="DF580" s="335"/>
      <c r="DG580" s="335"/>
      <c r="DH580" s="335"/>
      <c r="DI580" s="335"/>
      <c r="DJ580" s="335"/>
      <c r="DK580" s="335"/>
      <c r="DL580" s="335"/>
      <c r="DM580" s="335"/>
      <c r="DN580" s="335"/>
      <c r="DO580" s="335"/>
      <c r="DP580" s="335"/>
      <c r="DQ580" s="335"/>
      <c r="DR580" s="335"/>
      <c r="DS580" s="335"/>
      <c r="DT580" s="335"/>
      <c r="DU580" s="335"/>
      <c r="DV580" s="335"/>
      <c r="DW580" s="335"/>
      <c r="DX580" s="335"/>
      <c r="DY580" s="335"/>
      <c r="DZ580" s="335"/>
      <c r="EA580" s="335"/>
      <c r="EB580" s="335"/>
      <c r="EC580" s="335"/>
      <c r="ED580" s="335"/>
      <c r="EE580" s="335"/>
      <c r="EF580" s="335"/>
      <c r="EG580" s="335"/>
      <c r="EH580" s="335"/>
      <c r="EI580" s="335"/>
      <c r="EJ580" s="335"/>
      <c r="EK580" s="335"/>
      <c r="EL580" s="335"/>
      <c r="EM580" s="335"/>
    </row>
    <row r="581" spans="72:143">
      <c r="BT581" s="187"/>
      <c r="BU581" s="187" t="s">
        <v>60</v>
      </c>
      <c r="BV581" s="196">
        <v>120034</v>
      </c>
      <c r="BW581" s="197" t="e">
        <f t="shared" si="146"/>
        <v>#REF!</v>
      </c>
      <c r="BX581" s="198" t="e">
        <f>IF(AND(State_LOB_Code=18,LEFT(BW581,4)&lt;"2009"),81,State_LOB_Code)&amp;"|348"</f>
        <v>#REF!</v>
      </c>
      <c r="BY581" s="215"/>
      <c r="BZ581" s="216"/>
      <c r="CD581" s="163"/>
      <c r="CE581" s="363"/>
      <c r="CF581" s="335"/>
      <c r="CG581" s="335"/>
      <c r="CH581" s="335"/>
      <c r="CI581" s="335"/>
      <c r="CJ581" s="335"/>
      <c r="CK581" s="335"/>
      <c r="CL581" s="335"/>
      <c r="CM581" s="335"/>
      <c r="CN581" s="335"/>
      <c r="CO581" s="335"/>
      <c r="CP581" s="335"/>
      <c r="CQ581" s="335"/>
      <c r="CR581" s="335"/>
      <c r="CS581" s="335"/>
      <c r="CT581" s="335"/>
      <c r="CU581" s="335"/>
      <c r="CV581" s="335"/>
      <c r="CW581" s="335"/>
      <c r="CX581" s="335"/>
      <c r="CY581" s="335"/>
      <c r="CZ581" s="335"/>
      <c r="DA581" s="335"/>
      <c r="DB581" s="335"/>
      <c r="DC581" s="335"/>
      <c r="DD581" s="335"/>
      <c r="DE581" s="335"/>
      <c r="DF581" s="335"/>
      <c r="DG581" s="335"/>
      <c r="DH581" s="335"/>
      <c r="DI581" s="335"/>
      <c r="DJ581" s="335"/>
      <c r="DK581" s="335"/>
      <c r="DL581" s="335"/>
      <c r="DM581" s="335"/>
      <c r="DN581" s="335"/>
      <c r="DO581" s="335"/>
      <c r="DP581" s="335"/>
      <c r="DQ581" s="335"/>
      <c r="DR581" s="335"/>
      <c r="DS581" s="335"/>
      <c r="DT581" s="335"/>
      <c r="DU581" s="335"/>
      <c r="DV581" s="335"/>
      <c r="DW581" s="335"/>
      <c r="DX581" s="335"/>
      <c r="DY581" s="335"/>
      <c r="DZ581" s="335"/>
      <c r="EA581" s="335"/>
      <c r="EB581" s="335"/>
      <c r="EC581" s="335"/>
      <c r="ED581" s="335"/>
      <c r="EE581" s="335"/>
      <c r="EF581" s="335"/>
      <c r="EG581" s="335"/>
      <c r="EH581" s="335"/>
      <c r="EI581" s="335"/>
      <c r="EJ581" s="335"/>
      <c r="EK581" s="335"/>
      <c r="EL581" s="335"/>
      <c r="EM581" s="335"/>
    </row>
    <row r="582" spans="72:143">
      <c r="BT582" s="187"/>
      <c r="BU582" s="187" t="s">
        <v>61</v>
      </c>
      <c r="BV582" s="196">
        <v>120034</v>
      </c>
      <c r="BW582" s="197" t="e">
        <f t="shared" si="146"/>
        <v>#REF!</v>
      </c>
      <c r="BX582" s="198" t="e">
        <f>IF(AND(State_LOB_Code=18,LEFT(BW582,4)&lt;"2009"),81,State_LOB_Code)&amp;"|349"</f>
        <v>#REF!</v>
      </c>
      <c r="BY582" s="215"/>
      <c r="BZ582" s="216"/>
      <c r="CD582" s="163"/>
      <c r="CE582" s="363"/>
      <c r="CF582" s="335"/>
      <c r="CG582" s="335"/>
      <c r="CH582" s="335"/>
      <c r="CI582" s="335"/>
      <c r="CJ582" s="335"/>
      <c r="CK582" s="335"/>
      <c r="CL582" s="335"/>
      <c r="CM582" s="335"/>
      <c r="CN582" s="335"/>
      <c r="CO582" s="335"/>
      <c r="CP582" s="335"/>
      <c r="CQ582" s="335"/>
      <c r="CR582" s="335"/>
      <c r="CS582" s="335"/>
      <c r="CT582" s="335"/>
      <c r="CU582" s="335"/>
      <c r="CV582" s="335"/>
      <c r="CW582" s="335"/>
      <c r="CX582" s="335"/>
      <c r="CY582" s="335"/>
      <c r="CZ582" s="335"/>
      <c r="DA582" s="335"/>
      <c r="DB582" s="335"/>
      <c r="DC582" s="335"/>
      <c r="DD582" s="335"/>
      <c r="DE582" s="335"/>
      <c r="DF582" s="335"/>
      <c r="DG582" s="335"/>
      <c r="DH582" s="335"/>
      <c r="DI582" s="335"/>
      <c r="DJ582" s="335"/>
      <c r="DK582" s="335"/>
      <c r="DL582" s="335"/>
      <c r="DM582" s="335"/>
      <c r="DN582" s="335"/>
      <c r="DO582" s="335"/>
      <c r="DP582" s="335"/>
      <c r="DQ582" s="335"/>
      <c r="DR582" s="335"/>
      <c r="DS582" s="335"/>
      <c r="DT582" s="335"/>
      <c r="DU582" s="335"/>
      <c r="DV582" s="335"/>
      <c r="DW582" s="335"/>
      <c r="DX582" s="335"/>
      <c r="DY582" s="335"/>
      <c r="DZ582" s="335"/>
      <c r="EA582" s="335"/>
      <c r="EB582" s="335"/>
      <c r="EC582" s="335"/>
      <c r="ED582" s="335"/>
      <c r="EE582" s="335"/>
      <c r="EF582" s="335"/>
      <c r="EG582" s="335"/>
      <c r="EH582" s="335"/>
      <c r="EI582" s="335"/>
      <c r="EJ582" s="335"/>
      <c r="EK582" s="335"/>
      <c r="EL582" s="335"/>
      <c r="EM582" s="335"/>
    </row>
    <row r="583" spans="72:143">
      <c r="BT583" s="187"/>
      <c r="BU583" s="187" t="s">
        <v>62</v>
      </c>
      <c r="BV583" s="196">
        <v>120034</v>
      </c>
      <c r="BW583" s="197" t="e">
        <f t="shared" si="146"/>
        <v>#REF!</v>
      </c>
      <c r="BX583" s="198" t="e">
        <f>IF(AND(State_LOB_Code=18,LEFT(BW583,4)&lt;"2009"),81,State_LOB_Code)&amp;"|350"</f>
        <v>#REF!</v>
      </c>
      <c r="BY583" s="215"/>
      <c r="BZ583" s="216"/>
      <c r="CD583" s="163"/>
      <c r="CE583" s="363"/>
      <c r="CF583" s="335"/>
      <c r="CG583" s="335"/>
      <c r="CH583" s="335"/>
      <c r="CI583" s="335"/>
      <c r="CJ583" s="335"/>
      <c r="CK583" s="335"/>
      <c r="CL583" s="335"/>
      <c r="CM583" s="335"/>
      <c r="CN583" s="335"/>
      <c r="CO583" s="335"/>
      <c r="CP583" s="335"/>
      <c r="CQ583" s="335"/>
      <c r="CR583" s="335"/>
      <c r="CS583" s="335"/>
      <c r="CT583" s="335"/>
      <c r="CU583" s="335"/>
      <c r="CV583" s="335"/>
      <c r="CW583" s="335"/>
      <c r="CX583" s="335"/>
      <c r="CY583" s="335"/>
      <c r="CZ583" s="335"/>
      <c r="DA583" s="335"/>
      <c r="DB583" s="335"/>
      <c r="DC583" s="335"/>
      <c r="DD583" s="335"/>
      <c r="DE583" s="335"/>
      <c r="DF583" s="335"/>
      <c r="DG583" s="335"/>
      <c r="DH583" s="335"/>
      <c r="DI583" s="335"/>
      <c r="DJ583" s="335"/>
      <c r="DK583" s="335"/>
      <c r="DL583" s="335"/>
      <c r="DM583" s="335"/>
      <c r="DN583" s="335"/>
      <c r="DO583" s="335"/>
      <c r="DP583" s="335"/>
      <c r="DQ583" s="335"/>
      <c r="DR583" s="335"/>
      <c r="DS583" s="335"/>
      <c r="DT583" s="335"/>
      <c r="DU583" s="335"/>
      <c r="DV583" s="335"/>
      <c r="DW583" s="335"/>
      <c r="DX583" s="335"/>
      <c r="DY583" s="335"/>
      <c r="DZ583" s="335"/>
      <c r="EA583" s="335"/>
      <c r="EB583" s="335"/>
      <c r="EC583" s="335"/>
      <c r="ED583" s="335"/>
      <c r="EE583" s="335"/>
      <c r="EF583" s="335"/>
      <c r="EG583" s="335"/>
      <c r="EH583" s="335"/>
      <c r="EI583" s="335"/>
      <c r="EJ583" s="335"/>
      <c r="EK583" s="335"/>
      <c r="EL583" s="335"/>
      <c r="EM583" s="335"/>
    </row>
    <row r="584" spans="72:143">
      <c r="BT584" s="187"/>
      <c r="BU584" s="187" t="s">
        <v>63</v>
      </c>
      <c r="BV584" s="196">
        <v>120034</v>
      </c>
      <c r="BW584" s="197" t="e">
        <f t="shared" si="146"/>
        <v>#REF!</v>
      </c>
      <c r="BX584" s="198" t="e">
        <f>IF(AND(State_LOB_Code=18,LEFT(BW584,4)&lt;"2009"),81,State_LOB_Code)&amp;"|351"</f>
        <v>#REF!</v>
      </c>
      <c r="BY584" s="215"/>
      <c r="BZ584" s="216"/>
      <c r="CD584" s="163"/>
      <c r="CE584" s="363"/>
      <c r="CF584" s="335"/>
      <c r="CG584" s="335"/>
      <c r="CH584" s="335"/>
      <c r="CI584" s="335"/>
      <c r="CJ584" s="335"/>
      <c r="CK584" s="335"/>
      <c r="CL584" s="335"/>
      <c r="CM584" s="335"/>
      <c r="CN584" s="335"/>
      <c r="CO584" s="335"/>
      <c r="CP584" s="335"/>
      <c r="CQ584" s="335"/>
      <c r="CR584" s="335"/>
      <c r="CS584" s="335"/>
      <c r="CT584" s="335"/>
      <c r="CU584" s="335"/>
      <c r="CV584" s="335"/>
      <c r="CW584" s="335"/>
      <c r="CX584" s="335"/>
      <c r="CY584" s="335"/>
      <c r="CZ584" s="335"/>
      <c r="DA584" s="335"/>
      <c r="DB584" s="335"/>
      <c r="DC584" s="335"/>
      <c r="DD584" s="335"/>
      <c r="DE584" s="335"/>
      <c r="DF584" s="335"/>
      <c r="DG584" s="335"/>
      <c r="DH584" s="335"/>
      <c r="DI584" s="335"/>
      <c r="DJ584" s="335"/>
      <c r="DK584" s="335"/>
      <c r="DL584" s="335"/>
      <c r="DM584" s="335"/>
      <c r="DN584" s="335"/>
      <c r="DO584" s="335"/>
      <c r="DP584" s="335"/>
      <c r="DQ584" s="335"/>
      <c r="DR584" s="335"/>
      <c r="DS584" s="335"/>
      <c r="DT584" s="335"/>
      <c r="DU584" s="335"/>
      <c r="DV584" s="335"/>
      <c r="DW584" s="335"/>
      <c r="DX584" s="335"/>
      <c r="DY584" s="335"/>
      <c r="DZ584" s="335"/>
      <c r="EA584" s="335"/>
      <c r="EB584" s="335"/>
      <c r="EC584" s="335"/>
      <c r="ED584" s="335"/>
      <c r="EE584" s="335"/>
      <c r="EF584" s="335"/>
      <c r="EG584" s="335"/>
      <c r="EH584" s="335"/>
      <c r="EI584" s="335"/>
      <c r="EJ584" s="335"/>
      <c r="EK584" s="335"/>
      <c r="EL584" s="335"/>
      <c r="EM584" s="335"/>
    </row>
    <row r="585" spans="72:143">
      <c r="BT585" s="187"/>
      <c r="BU585" s="187" t="s">
        <v>64</v>
      </c>
      <c r="BV585" s="196">
        <v>120034</v>
      </c>
      <c r="BW585" s="197" t="e">
        <f t="shared" si="146"/>
        <v>#REF!</v>
      </c>
      <c r="BX585" s="198" t="e">
        <f>IF(AND(State_LOB_Code=18,LEFT(BW585,4)&lt;"2009"),81,State_LOB_Code)&amp;"|352"</f>
        <v>#REF!</v>
      </c>
      <c r="BY585" s="215"/>
      <c r="BZ585" s="216"/>
      <c r="CD585" s="163"/>
      <c r="CE585" s="363"/>
      <c r="CF585" s="335"/>
      <c r="CG585" s="335"/>
      <c r="CH585" s="335"/>
      <c r="CI585" s="335"/>
      <c r="CJ585" s="335"/>
      <c r="CK585" s="335"/>
      <c r="CL585" s="335"/>
      <c r="CM585" s="335"/>
      <c r="CN585" s="335"/>
      <c r="CO585" s="335"/>
      <c r="CP585" s="335"/>
      <c r="CQ585" s="335"/>
      <c r="CR585" s="335"/>
      <c r="CS585" s="335"/>
      <c r="CT585" s="335"/>
      <c r="CU585" s="335"/>
      <c r="CV585" s="335"/>
      <c r="CW585" s="335"/>
      <c r="CX585" s="335"/>
      <c r="CY585" s="335"/>
      <c r="CZ585" s="335"/>
      <c r="DA585" s="335"/>
      <c r="DB585" s="335"/>
      <c r="DC585" s="335"/>
      <c r="DD585" s="335"/>
      <c r="DE585" s="335"/>
      <c r="DF585" s="335"/>
      <c r="DG585" s="335"/>
      <c r="DH585" s="335"/>
      <c r="DI585" s="335"/>
      <c r="DJ585" s="335"/>
      <c r="DK585" s="335"/>
      <c r="DL585" s="335"/>
      <c r="DM585" s="335"/>
      <c r="DN585" s="335"/>
      <c r="DO585" s="335"/>
      <c r="DP585" s="335"/>
      <c r="DQ585" s="335"/>
      <c r="DR585" s="335"/>
      <c r="DS585" s="335"/>
      <c r="DT585" s="335"/>
      <c r="DU585" s="335"/>
      <c r="DV585" s="335"/>
      <c r="DW585" s="335"/>
      <c r="DX585" s="335"/>
      <c r="DY585" s="335"/>
      <c r="DZ585" s="335"/>
      <c r="EA585" s="335"/>
      <c r="EB585" s="335"/>
      <c r="EC585" s="335"/>
      <c r="ED585" s="335"/>
      <c r="EE585" s="335"/>
      <c r="EF585" s="335"/>
      <c r="EG585" s="335"/>
      <c r="EH585" s="335"/>
      <c r="EI585" s="335"/>
      <c r="EJ585" s="335"/>
      <c r="EK585" s="335"/>
      <c r="EL585" s="335"/>
      <c r="EM585" s="335"/>
    </row>
    <row r="586" spans="72:143">
      <c r="BT586" s="187"/>
      <c r="BU586" s="187" t="s">
        <v>65</v>
      </c>
      <c r="BV586" s="196">
        <v>120034</v>
      </c>
      <c r="BW586" s="197" t="e">
        <f t="shared" si="146"/>
        <v>#REF!</v>
      </c>
      <c r="BX586" s="198" t="e">
        <f>IF(AND(State_LOB_Code=18,LEFT(BW586,4)&lt;"2009"),81,State_LOB_Code)&amp;"|353"</f>
        <v>#REF!</v>
      </c>
      <c r="BY586" s="215"/>
      <c r="BZ586" s="216"/>
      <c r="CD586" s="163"/>
      <c r="CE586" s="363"/>
      <c r="CF586" s="335"/>
      <c r="CG586" s="335"/>
      <c r="CH586" s="335"/>
      <c r="CI586" s="335"/>
      <c r="CJ586" s="335"/>
      <c r="CK586" s="335"/>
      <c r="CL586" s="335"/>
      <c r="CM586" s="335"/>
      <c r="CN586" s="335"/>
      <c r="CO586" s="335"/>
      <c r="CP586" s="335"/>
      <c r="CQ586" s="335"/>
      <c r="CR586" s="335"/>
      <c r="CS586" s="335"/>
      <c r="CT586" s="335"/>
      <c r="CU586" s="335"/>
      <c r="CV586" s="335"/>
      <c r="CW586" s="335"/>
      <c r="CX586" s="335"/>
      <c r="CY586" s="335"/>
      <c r="CZ586" s="335"/>
      <c r="DA586" s="335"/>
      <c r="DB586" s="335"/>
      <c r="DC586" s="335"/>
      <c r="DD586" s="335"/>
      <c r="DE586" s="335"/>
      <c r="DF586" s="335"/>
      <c r="DG586" s="335"/>
      <c r="DH586" s="335"/>
      <c r="DI586" s="335"/>
      <c r="DJ586" s="335"/>
      <c r="DK586" s="335"/>
      <c r="DL586" s="335"/>
      <c r="DM586" s="335"/>
      <c r="DN586" s="335"/>
      <c r="DO586" s="335"/>
      <c r="DP586" s="335"/>
      <c r="DQ586" s="335"/>
      <c r="DR586" s="335"/>
      <c r="DS586" s="335"/>
      <c r="DT586" s="335"/>
      <c r="DU586" s="335"/>
      <c r="DV586" s="335"/>
      <c r="DW586" s="335"/>
      <c r="DX586" s="335"/>
      <c r="DY586" s="335"/>
      <c r="DZ586" s="335"/>
      <c r="EA586" s="335"/>
      <c r="EB586" s="335"/>
      <c r="EC586" s="335"/>
      <c r="ED586" s="335"/>
      <c r="EE586" s="335"/>
      <c r="EF586" s="335"/>
      <c r="EG586" s="335"/>
      <c r="EH586" s="335"/>
      <c r="EI586" s="335"/>
      <c r="EJ586" s="335"/>
      <c r="EK586" s="335"/>
      <c r="EL586" s="335"/>
      <c r="EM586" s="335"/>
    </row>
    <row r="587" spans="72:143">
      <c r="BT587" s="187"/>
      <c r="BU587" s="187" t="s">
        <v>66</v>
      </c>
      <c r="BV587" s="196">
        <v>120034</v>
      </c>
      <c r="BW587" s="197" t="e">
        <f t="shared" si="146"/>
        <v>#REF!</v>
      </c>
      <c r="BX587" s="198" t="e">
        <f>IF(AND(State_LOB_Code=18,LEFT(BW587,4)&lt;"2009"),81,State_LOB_Code)&amp;"|354"</f>
        <v>#REF!</v>
      </c>
      <c r="BY587" s="215"/>
      <c r="BZ587" s="216"/>
      <c r="CD587" s="163"/>
      <c r="CE587" s="363"/>
      <c r="CF587" s="335"/>
      <c r="CG587" s="335"/>
      <c r="CH587" s="335"/>
      <c r="CI587" s="335"/>
      <c r="CJ587" s="335"/>
      <c r="CK587" s="335"/>
      <c r="CL587" s="335"/>
      <c r="CM587" s="335"/>
      <c r="CN587" s="335"/>
      <c r="CO587" s="335"/>
      <c r="CP587" s="335"/>
      <c r="CQ587" s="335"/>
      <c r="CR587" s="335"/>
      <c r="CS587" s="335"/>
      <c r="CT587" s="335"/>
      <c r="CU587" s="335"/>
      <c r="CV587" s="335"/>
      <c r="CW587" s="335"/>
      <c r="CX587" s="335"/>
      <c r="CY587" s="335"/>
      <c r="CZ587" s="335"/>
      <c r="DA587" s="335"/>
      <c r="DB587" s="335"/>
      <c r="DC587" s="335"/>
      <c r="DD587" s="335"/>
      <c r="DE587" s="335"/>
      <c r="DF587" s="335"/>
      <c r="DG587" s="335"/>
      <c r="DH587" s="335"/>
      <c r="DI587" s="335"/>
      <c r="DJ587" s="335"/>
      <c r="DK587" s="335"/>
      <c r="DL587" s="335"/>
      <c r="DM587" s="335"/>
      <c r="DN587" s="335"/>
      <c r="DO587" s="335"/>
      <c r="DP587" s="335"/>
      <c r="DQ587" s="335"/>
      <c r="DR587" s="335"/>
      <c r="DS587" s="335"/>
      <c r="DT587" s="335"/>
      <c r="DU587" s="335"/>
      <c r="DV587" s="335"/>
      <c r="DW587" s="335"/>
      <c r="DX587" s="335"/>
      <c r="DY587" s="335"/>
      <c r="DZ587" s="335"/>
      <c r="EA587" s="335"/>
      <c r="EB587" s="335"/>
      <c r="EC587" s="335"/>
      <c r="ED587" s="335"/>
      <c r="EE587" s="335"/>
      <c r="EF587" s="335"/>
      <c r="EG587" s="335"/>
      <c r="EH587" s="335"/>
      <c r="EI587" s="335"/>
      <c r="EJ587" s="335"/>
      <c r="EK587" s="335"/>
      <c r="EL587" s="335"/>
      <c r="EM587" s="335"/>
    </row>
    <row r="588" spans="72:143">
      <c r="BT588" s="187"/>
      <c r="BU588" s="187" t="s">
        <v>67</v>
      </c>
      <c r="BV588" s="196">
        <v>120034</v>
      </c>
      <c r="BW588" s="197" t="e">
        <f t="shared" si="146"/>
        <v>#REF!</v>
      </c>
      <c r="BX588" s="198" t="e">
        <f>IF(AND(State_LOB_Code=18,LEFT(BW588,4)&lt;"2009"),81,State_LOB_Code)&amp;"|355"</f>
        <v>#REF!</v>
      </c>
      <c r="BY588" s="215"/>
      <c r="BZ588" s="216"/>
      <c r="CD588" s="163"/>
      <c r="CE588" s="363"/>
      <c r="CF588" s="335"/>
      <c r="CG588" s="335"/>
      <c r="CH588" s="335"/>
      <c r="CI588" s="335"/>
      <c r="CJ588" s="335"/>
      <c r="CK588" s="335"/>
      <c r="CL588" s="335"/>
      <c r="CM588" s="335"/>
      <c r="CN588" s="335"/>
      <c r="CO588" s="335"/>
      <c r="CP588" s="335"/>
      <c r="CQ588" s="335"/>
      <c r="CR588" s="335"/>
      <c r="CS588" s="335"/>
      <c r="CT588" s="335"/>
      <c r="CU588" s="335"/>
      <c r="CV588" s="335"/>
      <c r="CW588" s="335"/>
      <c r="CX588" s="335"/>
      <c r="CY588" s="335"/>
      <c r="CZ588" s="335"/>
      <c r="DA588" s="335"/>
      <c r="DB588" s="335"/>
      <c r="DC588" s="335"/>
      <c r="DD588" s="335"/>
      <c r="DE588" s="335"/>
      <c r="DF588" s="335"/>
      <c r="DG588" s="335"/>
      <c r="DH588" s="335"/>
      <c r="DI588" s="335"/>
      <c r="DJ588" s="335"/>
      <c r="DK588" s="335"/>
      <c r="DL588" s="335"/>
      <c r="DM588" s="335"/>
      <c r="DN588" s="335"/>
      <c r="DO588" s="335"/>
      <c r="DP588" s="335"/>
      <c r="DQ588" s="335"/>
      <c r="DR588" s="335"/>
      <c r="DS588" s="335"/>
      <c r="DT588" s="335"/>
      <c r="DU588" s="335"/>
      <c r="DV588" s="335"/>
      <c r="DW588" s="335"/>
      <c r="DX588" s="335"/>
      <c r="DY588" s="335"/>
      <c r="DZ588" s="335"/>
      <c r="EA588" s="335"/>
      <c r="EB588" s="335"/>
      <c r="EC588" s="335"/>
      <c r="ED588" s="335"/>
      <c r="EE588" s="335"/>
      <c r="EF588" s="335"/>
      <c r="EG588" s="335"/>
      <c r="EH588" s="335"/>
      <c r="EI588" s="335"/>
      <c r="EJ588" s="335"/>
      <c r="EK588" s="335"/>
      <c r="EL588" s="335"/>
      <c r="EM588" s="335"/>
    </row>
    <row r="589" spans="72:143">
      <c r="BT589" s="187"/>
      <c r="BU589" s="187" t="s">
        <v>68</v>
      </c>
      <c r="BV589" s="196">
        <v>120034</v>
      </c>
      <c r="BW589" s="197" t="e">
        <f t="shared" si="146"/>
        <v>#REF!</v>
      </c>
      <c r="BX589" s="198" t="e">
        <f>IF(AND(State_LOB_Code=18,LEFT(BW589,4)&lt;"2009"),81,State_LOB_Code)&amp;"|356"</f>
        <v>#REF!</v>
      </c>
      <c r="BY589" s="215"/>
      <c r="BZ589" s="216"/>
      <c r="CD589" s="163"/>
      <c r="CE589" s="363"/>
      <c r="CF589" s="335"/>
      <c r="CG589" s="335"/>
      <c r="CH589" s="335"/>
      <c r="CI589" s="335"/>
      <c r="CJ589" s="335"/>
      <c r="CK589" s="335"/>
      <c r="CL589" s="335"/>
      <c r="CM589" s="335"/>
      <c r="CN589" s="335"/>
      <c r="CO589" s="335"/>
      <c r="CP589" s="335"/>
      <c r="CQ589" s="335"/>
      <c r="CR589" s="335"/>
      <c r="CS589" s="335"/>
      <c r="CT589" s="335"/>
      <c r="CU589" s="335"/>
      <c r="CV589" s="335"/>
      <c r="CW589" s="335"/>
      <c r="CX589" s="335"/>
      <c r="CY589" s="335"/>
      <c r="CZ589" s="335"/>
      <c r="DA589" s="335"/>
      <c r="DB589" s="335"/>
      <c r="DC589" s="335"/>
      <c r="DD589" s="335"/>
      <c r="DE589" s="335"/>
      <c r="DF589" s="335"/>
      <c r="DG589" s="335"/>
      <c r="DH589" s="335"/>
      <c r="DI589" s="335"/>
      <c r="DJ589" s="335"/>
      <c r="DK589" s="335"/>
      <c r="DL589" s="335"/>
      <c r="DM589" s="335"/>
      <c r="DN589" s="335"/>
      <c r="DO589" s="335"/>
      <c r="DP589" s="335"/>
      <c r="DQ589" s="335"/>
      <c r="DR589" s="335"/>
      <c r="DS589" s="335"/>
      <c r="DT589" s="335"/>
      <c r="DU589" s="335"/>
      <c r="DV589" s="335"/>
      <c r="DW589" s="335"/>
      <c r="DX589" s="335"/>
      <c r="DY589" s="335"/>
      <c r="DZ589" s="335"/>
      <c r="EA589" s="335"/>
      <c r="EB589" s="335"/>
      <c r="EC589" s="335"/>
      <c r="ED589" s="335"/>
      <c r="EE589" s="335"/>
      <c r="EF589" s="335"/>
      <c r="EG589" s="335"/>
      <c r="EH589" s="335"/>
      <c r="EI589" s="335"/>
      <c r="EJ589" s="335"/>
      <c r="EK589" s="335"/>
      <c r="EL589" s="335"/>
      <c r="EM589" s="335"/>
    </row>
    <row r="590" spans="72:143">
      <c r="BT590" s="187"/>
      <c r="BU590" s="187" t="s">
        <v>69</v>
      </c>
      <c r="BV590" s="196">
        <v>120034</v>
      </c>
      <c r="BW590" s="197" t="e">
        <f t="shared" si="146"/>
        <v>#REF!</v>
      </c>
      <c r="BX590" s="198" t="e">
        <f>IF(AND(State_LOB_Code=18,LEFT(BW590,4)&lt;"2009"),81,State_LOB_Code)&amp;"|357"</f>
        <v>#REF!</v>
      </c>
      <c r="BY590" s="215"/>
      <c r="BZ590" s="216"/>
      <c r="CD590" s="163"/>
      <c r="CE590" s="363"/>
      <c r="CF590" s="335"/>
      <c r="CG590" s="335"/>
      <c r="CH590" s="335"/>
      <c r="CI590" s="335"/>
      <c r="CJ590" s="335"/>
      <c r="CK590" s="335"/>
      <c r="CL590" s="335"/>
      <c r="CM590" s="335"/>
      <c r="CN590" s="335"/>
      <c r="CO590" s="335"/>
      <c r="CP590" s="335"/>
      <c r="CQ590" s="335"/>
      <c r="CR590" s="335"/>
      <c r="CS590" s="335"/>
      <c r="CT590" s="335"/>
      <c r="CU590" s="335"/>
      <c r="CV590" s="335"/>
      <c r="CW590" s="335"/>
      <c r="CX590" s="335"/>
      <c r="CY590" s="335"/>
      <c r="CZ590" s="335"/>
      <c r="DA590" s="335"/>
      <c r="DB590" s="335"/>
      <c r="DC590" s="335"/>
      <c r="DD590" s="335"/>
      <c r="DE590" s="335"/>
      <c r="DF590" s="335"/>
      <c r="DG590" s="335"/>
      <c r="DH590" s="335"/>
      <c r="DI590" s="335"/>
      <c r="DJ590" s="335"/>
      <c r="DK590" s="335"/>
      <c r="DL590" s="335"/>
      <c r="DM590" s="335"/>
      <c r="DN590" s="335"/>
      <c r="DO590" s="335"/>
      <c r="DP590" s="335"/>
      <c r="DQ590" s="335"/>
      <c r="DR590" s="335"/>
      <c r="DS590" s="335"/>
      <c r="DT590" s="335"/>
      <c r="DU590" s="335"/>
      <c r="DV590" s="335"/>
      <c r="DW590" s="335"/>
      <c r="DX590" s="335"/>
      <c r="DY590" s="335"/>
      <c r="DZ590" s="335"/>
      <c r="EA590" s="335"/>
      <c r="EB590" s="335"/>
      <c r="EC590" s="335"/>
      <c r="ED590" s="335"/>
      <c r="EE590" s="335"/>
      <c r="EF590" s="335"/>
      <c r="EG590" s="335"/>
      <c r="EH590" s="335"/>
      <c r="EI590" s="335"/>
      <c r="EJ590" s="335"/>
      <c r="EK590" s="335"/>
      <c r="EL590" s="335"/>
      <c r="EM590" s="335"/>
    </row>
    <row r="591" spans="72:143">
      <c r="BT591" s="187"/>
      <c r="BU591" s="187" t="s">
        <v>70</v>
      </c>
      <c r="BV591" s="196">
        <v>120034</v>
      </c>
      <c r="BW591" s="197" t="e">
        <f t="shared" si="146"/>
        <v>#REF!</v>
      </c>
      <c r="BX591" s="198" t="e">
        <f>IF(AND(State_LOB_Code=18,LEFT(BW591,4)&lt;"2009"),81,State_LOB_Code)&amp;"|358"</f>
        <v>#REF!</v>
      </c>
      <c r="BY591" s="215"/>
      <c r="BZ591" s="216"/>
      <c r="CD591" s="163"/>
      <c r="CE591" s="363"/>
      <c r="CF591" s="335"/>
      <c r="CG591" s="335"/>
      <c r="CH591" s="335"/>
      <c r="CI591" s="335"/>
      <c r="CJ591" s="335"/>
      <c r="CK591" s="335"/>
      <c r="CL591" s="335"/>
      <c r="CM591" s="335"/>
      <c r="CN591" s="335"/>
      <c r="CO591" s="335"/>
      <c r="CP591" s="335"/>
      <c r="CQ591" s="335"/>
      <c r="CR591" s="335"/>
      <c r="CS591" s="335"/>
      <c r="CT591" s="335"/>
      <c r="CU591" s="335"/>
      <c r="CV591" s="335"/>
      <c r="CW591" s="335"/>
      <c r="CX591" s="335"/>
      <c r="CY591" s="335"/>
      <c r="CZ591" s="335"/>
      <c r="DA591" s="335"/>
      <c r="DB591" s="335"/>
      <c r="DC591" s="335"/>
      <c r="DD591" s="335"/>
      <c r="DE591" s="335"/>
      <c r="DF591" s="335"/>
      <c r="DG591" s="335"/>
      <c r="DH591" s="335"/>
      <c r="DI591" s="335"/>
      <c r="DJ591" s="335"/>
      <c r="DK591" s="335"/>
      <c r="DL591" s="335"/>
      <c r="DM591" s="335"/>
      <c r="DN591" s="335"/>
      <c r="DO591" s="335"/>
      <c r="DP591" s="335"/>
      <c r="DQ591" s="335"/>
      <c r="DR591" s="335"/>
      <c r="DS591" s="335"/>
      <c r="DT591" s="335"/>
      <c r="DU591" s="335"/>
      <c r="DV591" s="335"/>
      <c r="DW591" s="335"/>
      <c r="DX591" s="335"/>
      <c r="DY591" s="335"/>
      <c r="DZ591" s="335"/>
      <c r="EA591" s="335"/>
      <c r="EB591" s="335"/>
      <c r="EC591" s="335"/>
      <c r="ED591" s="335"/>
      <c r="EE591" s="335"/>
      <c r="EF591" s="335"/>
      <c r="EG591" s="335"/>
      <c r="EH591" s="335"/>
      <c r="EI591" s="335"/>
      <c r="EJ591" s="335"/>
      <c r="EK591" s="335"/>
      <c r="EL591" s="335"/>
      <c r="EM591" s="335"/>
    </row>
    <row r="592" spans="72:143">
      <c r="BT592" s="187"/>
      <c r="BU592" s="187" t="s">
        <v>71</v>
      </c>
      <c r="BV592" s="196">
        <v>120034</v>
      </c>
      <c r="BW592" s="197" t="e">
        <f t="shared" si="146"/>
        <v>#REF!</v>
      </c>
      <c r="BX592" s="198" t="e">
        <f>IF(AND(State_LOB_Code=18,LEFT(BW592,4)&lt;"2009"),81,State_LOB_Code)&amp;"|359"</f>
        <v>#REF!</v>
      </c>
      <c r="BY592" s="215"/>
      <c r="BZ592" s="216"/>
      <c r="CD592" s="163"/>
      <c r="CE592" s="363"/>
      <c r="CF592" s="335"/>
      <c r="CG592" s="335"/>
      <c r="CH592" s="335"/>
      <c r="CI592" s="335"/>
      <c r="CJ592" s="335"/>
      <c r="CK592" s="335"/>
      <c r="CL592" s="335"/>
      <c r="CM592" s="335"/>
      <c r="CN592" s="335"/>
      <c r="CO592" s="335"/>
      <c r="CP592" s="335"/>
      <c r="CQ592" s="335"/>
      <c r="CR592" s="335"/>
      <c r="CS592" s="335"/>
      <c r="CT592" s="335"/>
      <c r="CU592" s="335"/>
      <c r="CV592" s="335"/>
      <c r="CW592" s="335"/>
      <c r="CX592" s="335"/>
      <c r="CY592" s="335"/>
      <c r="CZ592" s="335"/>
      <c r="DA592" s="335"/>
      <c r="DB592" s="335"/>
      <c r="DC592" s="335"/>
      <c r="DD592" s="335"/>
      <c r="DE592" s="335"/>
      <c r="DF592" s="335"/>
      <c r="DG592" s="335"/>
      <c r="DH592" s="335"/>
      <c r="DI592" s="335"/>
      <c r="DJ592" s="335"/>
      <c r="DK592" s="335"/>
      <c r="DL592" s="335"/>
      <c r="DM592" s="335"/>
      <c r="DN592" s="335"/>
      <c r="DO592" s="335"/>
      <c r="DP592" s="335"/>
      <c r="DQ592" s="335"/>
      <c r="DR592" s="335"/>
      <c r="DS592" s="335"/>
      <c r="DT592" s="335"/>
      <c r="DU592" s="335"/>
      <c r="DV592" s="335"/>
      <c r="DW592" s="335"/>
      <c r="DX592" s="335"/>
      <c r="DY592" s="335"/>
      <c r="DZ592" s="335"/>
      <c r="EA592" s="335"/>
      <c r="EB592" s="335"/>
      <c r="EC592" s="335"/>
      <c r="ED592" s="335"/>
      <c r="EE592" s="335"/>
      <c r="EF592" s="335"/>
      <c r="EG592" s="335"/>
      <c r="EH592" s="335"/>
      <c r="EI592" s="335"/>
      <c r="EJ592" s="335"/>
      <c r="EK592" s="335"/>
      <c r="EL592" s="335"/>
      <c r="EM592" s="335"/>
    </row>
    <row r="593" spans="72:143">
      <c r="BT593" s="187"/>
      <c r="BU593" s="187" t="s">
        <v>72</v>
      </c>
      <c r="BV593" s="196">
        <v>120034</v>
      </c>
      <c r="BW593" s="197" t="e">
        <f t="shared" si="146"/>
        <v>#REF!</v>
      </c>
      <c r="BX593" s="198" t="e">
        <f>IF(AND(State_LOB_Code=18,LEFT(BW593,4)&lt;"2009"),81,State_LOB_Code)&amp;"|361"</f>
        <v>#REF!</v>
      </c>
      <c r="BY593" s="215"/>
      <c r="BZ593" s="216"/>
      <c r="CD593" s="163"/>
      <c r="CE593" s="363"/>
      <c r="CF593" s="335"/>
      <c r="CG593" s="335"/>
      <c r="CH593" s="335"/>
      <c r="CI593" s="335"/>
      <c r="CJ593" s="335"/>
      <c r="CK593" s="335"/>
      <c r="CL593" s="335"/>
      <c r="CM593" s="335"/>
      <c r="CN593" s="335"/>
      <c r="CO593" s="335"/>
      <c r="CP593" s="335"/>
      <c r="CQ593" s="335"/>
      <c r="CR593" s="335"/>
      <c r="CS593" s="335"/>
      <c r="CT593" s="335"/>
      <c r="CU593" s="335"/>
      <c r="CV593" s="335"/>
      <c r="CW593" s="335"/>
      <c r="CX593" s="335"/>
      <c r="CY593" s="335"/>
      <c r="CZ593" s="335"/>
      <c r="DA593" s="335"/>
      <c r="DB593" s="335"/>
      <c r="DC593" s="335"/>
      <c r="DD593" s="335"/>
      <c r="DE593" s="335"/>
      <c r="DF593" s="335"/>
      <c r="DG593" s="335"/>
      <c r="DH593" s="335"/>
      <c r="DI593" s="335"/>
      <c r="DJ593" s="335"/>
      <c r="DK593" s="335"/>
      <c r="DL593" s="335"/>
      <c r="DM593" s="335"/>
      <c r="DN593" s="335"/>
      <c r="DO593" s="335"/>
      <c r="DP593" s="335"/>
      <c r="DQ593" s="335"/>
      <c r="DR593" s="335"/>
      <c r="DS593" s="335"/>
      <c r="DT593" s="335"/>
      <c r="DU593" s="335"/>
      <c r="DV593" s="335"/>
      <c r="DW593" s="335"/>
      <c r="DX593" s="335"/>
      <c r="DY593" s="335"/>
      <c r="DZ593" s="335"/>
      <c r="EA593" s="335"/>
      <c r="EB593" s="335"/>
      <c r="EC593" s="335"/>
      <c r="ED593" s="335"/>
      <c r="EE593" s="335"/>
      <c r="EF593" s="335"/>
      <c r="EG593" s="335"/>
      <c r="EH593" s="335"/>
      <c r="EI593" s="335"/>
      <c r="EJ593" s="335"/>
      <c r="EK593" s="335"/>
      <c r="EL593" s="335"/>
      <c r="EM593" s="335"/>
    </row>
    <row r="594" spans="72:143">
      <c r="BT594" s="187"/>
      <c r="BU594" s="187" t="s">
        <v>73</v>
      </c>
      <c r="BV594" s="196">
        <v>120034</v>
      </c>
      <c r="BW594" s="197" t="e">
        <f t="shared" si="146"/>
        <v>#REF!</v>
      </c>
      <c r="BX594" s="198" t="e">
        <f>IF(AND(State_LOB_Code=18,LEFT(BW594,4)&lt;"2009"),81,State_LOB_Code)&amp;"|362"</f>
        <v>#REF!</v>
      </c>
      <c r="BY594" s="215"/>
      <c r="BZ594" s="216"/>
      <c r="CD594" s="163"/>
      <c r="CE594" s="363"/>
      <c r="CF594" s="335"/>
      <c r="CG594" s="335"/>
      <c r="CH594" s="335"/>
      <c r="CI594" s="335"/>
      <c r="CJ594" s="335"/>
      <c r="CK594" s="335"/>
      <c r="CL594" s="335"/>
      <c r="CM594" s="335"/>
      <c r="CN594" s="335"/>
      <c r="CO594" s="335"/>
      <c r="CP594" s="335"/>
      <c r="CQ594" s="335"/>
      <c r="CR594" s="335"/>
      <c r="CS594" s="335"/>
      <c r="CT594" s="335"/>
      <c r="CU594" s="335"/>
      <c r="CV594" s="335"/>
      <c r="CW594" s="335"/>
      <c r="CX594" s="335"/>
      <c r="CY594" s="335"/>
      <c r="CZ594" s="335"/>
      <c r="DA594" s="335"/>
      <c r="DB594" s="335"/>
      <c r="DC594" s="335"/>
      <c r="DD594" s="335"/>
      <c r="DE594" s="335"/>
      <c r="DF594" s="335"/>
      <c r="DG594" s="335"/>
      <c r="DH594" s="335"/>
      <c r="DI594" s="335"/>
      <c r="DJ594" s="335"/>
      <c r="DK594" s="335"/>
      <c r="DL594" s="335"/>
      <c r="DM594" s="335"/>
      <c r="DN594" s="335"/>
      <c r="DO594" s="335"/>
      <c r="DP594" s="335"/>
      <c r="DQ594" s="335"/>
      <c r="DR594" s="335"/>
      <c r="DS594" s="335"/>
      <c r="DT594" s="335"/>
      <c r="DU594" s="335"/>
      <c r="DV594" s="335"/>
      <c r="DW594" s="335"/>
      <c r="DX594" s="335"/>
      <c r="DY594" s="335"/>
      <c r="DZ594" s="335"/>
      <c r="EA594" s="335"/>
      <c r="EB594" s="335"/>
      <c r="EC594" s="335"/>
      <c r="ED594" s="335"/>
      <c r="EE594" s="335"/>
      <c r="EF594" s="335"/>
      <c r="EG594" s="335"/>
      <c r="EH594" s="335"/>
      <c r="EI594" s="335"/>
      <c r="EJ594" s="335"/>
      <c r="EK594" s="335"/>
      <c r="EL594" s="335"/>
      <c r="EM594" s="335"/>
    </row>
    <row r="595" spans="72:143">
      <c r="BT595" s="187"/>
      <c r="BU595" s="187" t="s">
        <v>74</v>
      </c>
      <c r="BV595" s="196">
        <v>120034</v>
      </c>
      <c r="BW595" s="197" t="e">
        <f t="shared" si="146"/>
        <v>#REF!</v>
      </c>
      <c r="BX595" s="198" t="e">
        <f>IF(AND(State_LOB_Code=18,LEFT(BW595,4)&lt;"2009"),81,State_LOB_Code)&amp;"|363"</f>
        <v>#REF!</v>
      </c>
      <c r="BY595" s="215"/>
      <c r="BZ595" s="216"/>
      <c r="CD595" s="163"/>
      <c r="CE595" s="363"/>
      <c r="CF595" s="335"/>
      <c r="CG595" s="335"/>
      <c r="CH595" s="335"/>
      <c r="CI595" s="335"/>
      <c r="CJ595" s="335"/>
      <c r="CK595" s="335"/>
      <c r="CL595" s="335"/>
      <c r="CM595" s="335"/>
      <c r="CN595" s="335"/>
      <c r="CO595" s="335"/>
      <c r="CP595" s="335"/>
      <c r="CQ595" s="335"/>
      <c r="CR595" s="335"/>
      <c r="CS595" s="335"/>
      <c r="CT595" s="335"/>
      <c r="CU595" s="335"/>
      <c r="CV595" s="335"/>
      <c r="CW595" s="335"/>
      <c r="CX595" s="335"/>
      <c r="CY595" s="335"/>
      <c r="CZ595" s="335"/>
      <c r="DA595" s="335"/>
      <c r="DB595" s="335"/>
      <c r="DC595" s="335"/>
      <c r="DD595" s="335"/>
      <c r="DE595" s="335"/>
      <c r="DF595" s="335"/>
      <c r="DG595" s="335"/>
      <c r="DH595" s="335"/>
      <c r="DI595" s="335"/>
      <c r="DJ595" s="335"/>
      <c r="DK595" s="335"/>
      <c r="DL595" s="335"/>
      <c r="DM595" s="335"/>
      <c r="DN595" s="335"/>
      <c r="DO595" s="335"/>
      <c r="DP595" s="335"/>
      <c r="DQ595" s="335"/>
      <c r="DR595" s="335"/>
      <c r="DS595" s="335"/>
      <c r="DT595" s="335"/>
      <c r="DU595" s="335"/>
      <c r="DV595" s="335"/>
      <c r="DW595" s="335"/>
      <c r="DX595" s="335"/>
      <c r="DY595" s="335"/>
      <c r="DZ595" s="335"/>
      <c r="EA595" s="335"/>
      <c r="EB595" s="335"/>
      <c r="EC595" s="335"/>
      <c r="ED595" s="335"/>
      <c r="EE595" s="335"/>
      <c r="EF595" s="335"/>
      <c r="EG595" s="335"/>
      <c r="EH595" s="335"/>
      <c r="EI595" s="335"/>
      <c r="EJ595" s="335"/>
      <c r="EK595" s="335"/>
      <c r="EL595" s="335"/>
      <c r="EM595" s="335"/>
    </row>
    <row r="596" spans="72:143">
      <c r="BT596" s="187"/>
      <c r="BU596" s="187" t="s">
        <v>75</v>
      </c>
      <c r="BV596" s="196">
        <v>120034</v>
      </c>
      <c r="BW596" s="197" t="e">
        <f t="shared" si="146"/>
        <v>#REF!</v>
      </c>
      <c r="BX596" s="198" t="e">
        <f>IF(AND(State_LOB_Code=18,LEFT(BW596,4)&lt;"2009"),81,State_LOB_Code)&amp;"|364"</f>
        <v>#REF!</v>
      </c>
      <c r="BY596" s="215"/>
      <c r="BZ596" s="216"/>
      <c r="CD596" s="163"/>
      <c r="CE596" s="363"/>
      <c r="CF596" s="335"/>
      <c r="CG596" s="335"/>
      <c r="CH596" s="335"/>
      <c r="CI596" s="335"/>
      <c r="CJ596" s="335"/>
      <c r="CK596" s="335"/>
      <c r="CL596" s="335"/>
      <c r="CM596" s="335"/>
      <c r="CN596" s="335"/>
      <c r="CO596" s="335"/>
      <c r="CP596" s="335"/>
      <c r="CQ596" s="335"/>
      <c r="CR596" s="335"/>
      <c r="CS596" s="335"/>
      <c r="CT596" s="335"/>
      <c r="CU596" s="335"/>
      <c r="CV596" s="335"/>
      <c r="CW596" s="335"/>
      <c r="CX596" s="335"/>
      <c r="CY596" s="335"/>
      <c r="CZ596" s="335"/>
      <c r="DA596" s="335"/>
      <c r="DB596" s="335"/>
      <c r="DC596" s="335"/>
      <c r="DD596" s="335"/>
      <c r="DE596" s="335"/>
      <c r="DF596" s="335"/>
      <c r="DG596" s="335"/>
      <c r="DH596" s="335"/>
      <c r="DI596" s="335"/>
      <c r="DJ596" s="335"/>
      <c r="DK596" s="335"/>
      <c r="DL596" s="335"/>
      <c r="DM596" s="335"/>
      <c r="DN596" s="335"/>
      <c r="DO596" s="335"/>
      <c r="DP596" s="335"/>
      <c r="DQ596" s="335"/>
      <c r="DR596" s="335"/>
      <c r="DS596" s="335"/>
      <c r="DT596" s="335"/>
      <c r="DU596" s="335"/>
      <c r="DV596" s="335"/>
      <c r="DW596" s="335"/>
      <c r="DX596" s="335"/>
      <c r="DY596" s="335"/>
      <c r="DZ596" s="335"/>
      <c r="EA596" s="335"/>
      <c r="EB596" s="335"/>
      <c r="EC596" s="335"/>
      <c r="ED596" s="335"/>
      <c r="EE596" s="335"/>
      <c r="EF596" s="335"/>
      <c r="EG596" s="335"/>
      <c r="EH596" s="335"/>
      <c r="EI596" s="335"/>
      <c r="EJ596" s="335"/>
      <c r="EK596" s="335"/>
      <c r="EL596" s="335"/>
      <c r="EM596" s="335"/>
    </row>
    <row r="597" spans="72:143">
      <c r="BT597" s="187"/>
      <c r="BU597" s="187" t="s">
        <v>76</v>
      </c>
      <c r="BV597" s="196">
        <v>120034</v>
      </c>
      <c r="BW597" s="197" t="e">
        <f t="shared" si="146"/>
        <v>#REF!</v>
      </c>
      <c r="BX597" s="198" t="e">
        <f>IF(AND(State_LOB_Code=18,LEFT(BW597,4)&lt;"2009"),81,State_LOB_Code)&amp;"|365"</f>
        <v>#REF!</v>
      </c>
      <c r="BY597" s="215"/>
      <c r="BZ597" s="216"/>
      <c r="CD597" s="163"/>
      <c r="CE597" s="363"/>
      <c r="CF597" s="335"/>
      <c r="CG597" s="335"/>
      <c r="CH597" s="335"/>
      <c r="CI597" s="335"/>
      <c r="CJ597" s="335"/>
      <c r="CK597" s="335"/>
      <c r="CL597" s="335"/>
      <c r="CM597" s="335"/>
      <c r="CN597" s="335"/>
      <c r="CO597" s="335"/>
      <c r="CP597" s="335"/>
      <c r="CQ597" s="335"/>
      <c r="CR597" s="335"/>
      <c r="CS597" s="335"/>
      <c r="CT597" s="335"/>
      <c r="CU597" s="335"/>
      <c r="CV597" s="335"/>
      <c r="CW597" s="335"/>
      <c r="CX597" s="335"/>
      <c r="CY597" s="335"/>
      <c r="CZ597" s="335"/>
      <c r="DA597" s="335"/>
      <c r="DB597" s="335"/>
      <c r="DC597" s="335"/>
      <c r="DD597" s="335"/>
      <c r="DE597" s="335"/>
      <c r="DF597" s="335"/>
      <c r="DG597" s="335"/>
      <c r="DH597" s="335"/>
      <c r="DI597" s="335"/>
      <c r="DJ597" s="335"/>
      <c r="DK597" s="335"/>
      <c r="DL597" s="335"/>
      <c r="DM597" s="335"/>
      <c r="DN597" s="335"/>
      <c r="DO597" s="335"/>
      <c r="DP597" s="335"/>
      <c r="DQ597" s="335"/>
      <c r="DR597" s="335"/>
      <c r="DS597" s="335"/>
      <c r="DT597" s="335"/>
      <c r="DU597" s="335"/>
      <c r="DV597" s="335"/>
      <c r="DW597" s="335"/>
      <c r="DX597" s="335"/>
      <c r="DY597" s="335"/>
      <c r="DZ597" s="335"/>
      <c r="EA597" s="335"/>
      <c r="EB597" s="335"/>
      <c r="EC597" s="335"/>
      <c r="ED597" s="335"/>
      <c r="EE597" s="335"/>
      <c r="EF597" s="335"/>
      <c r="EG597" s="335"/>
      <c r="EH597" s="335"/>
      <c r="EI597" s="335"/>
      <c r="EJ597" s="335"/>
      <c r="EK597" s="335"/>
      <c r="EL597" s="335"/>
      <c r="EM597" s="335"/>
    </row>
    <row r="598" spans="72:143">
      <c r="BT598" s="187"/>
      <c r="BU598" s="187" t="s">
        <v>77</v>
      </c>
      <c r="BV598" s="196">
        <v>120034</v>
      </c>
      <c r="BW598" s="197" t="e">
        <f t="shared" si="146"/>
        <v>#REF!</v>
      </c>
      <c r="BX598" s="198" t="e">
        <f>IF(AND(State_LOB_Code=18,LEFT(BW598,4)&lt;"2009"),81,State_LOB_Code)&amp;"|366"</f>
        <v>#REF!</v>
      </c>
      <c r="BY598" s="215"/>
      <c r="BZ598" s="216"/>
      <c r="CD598" s="163"/>
      <c r="CE598" s="363"/>
      <c r="CF598" s="335"/>
      <c r="CG598" s="335"/>
      <c r="CH598" s="335"/>
      <c r="CI598" s="335"/>
      <c r="CJ598" s="335"/>
      <c r="CK598" s="335"/>
      <c r="CL598" s="335"/>
      <c r="CM598" s="335"/>
      <c r="CN598" s="335"/>
      <c r="CO598" s="335"/>
      <c r="CP598" s="335"/>
      <c r="CQ598" s="335"/>
      <c r="CR598" s="335"/>
      <c r="CS598" s="335"/>
      <c r="CT598" s="335"/>
      <c r="CU598" s="335"/>
      <c r="CV598" s="335"/>
      <c r="CW598" s="335"/>
      <c r="CX598" s="335"/>
      <c r="CY598" s="335"/>
      <c r="CZ598" s="335"/>
      <c r="DA598" s="335"/>
      <c r="DB598" s="335"/>
      <c r="DC598" s="335"/>
      <c r="DD598" s="335"/>
      <c r="DE598" s="335"/>
      <c r="DF598" s="335"/>
      <c r="DG598" s="335"/>
      <c r="DH598" s="335"/>
      <c r="DI598" s="335"/>
      <c r="DJ598" s="335"/>
      <c r="DK598" s="335"/>
      <c r="DL598" s="335"/>
      <c r="DM598" s="335"/>
      <c r="DN598" s="335"/>
      <c r="DO598" s="335"/>
      <c r="DP598" s="335"/>
      <c r="DQ598" s="335"/>
      <c r="DR598" s="335"/>
      <c r="DS598" s="335"/>
      <c r="DT598" s="335"/>
      <c r="DU598" s="335"/>
      <c r="DV598" s="335"/>
      <c r="DW598" s="335"/>
      <c r="DX598" s="335"/>
      <c r="DY598" s="335"/>
      <c r="DZ598" s="335"/>
      <c r="EA598" s="335"/>
      <c r="EB598" s="335"/>
      <c r="EC598" s="335"/>
      <c r="ED598" s="335"/>
      <c r="EE598" s="335"/>
      <c r="EF598" s="335"/>
      <c r="EG598" s="335"/>
      <c r="EH598" s="335"/>
      <c r="EI598" s="335"/>
      <c r="EJ598" s="335"/>
      <c r="EK598" s="335"/>
      <c r="EL598" s="335"/>
      <c r="EM598" s="335"/>
    </row>
    <row r="599" spans="72:143">
      <c r="BT599" s="187"/>
      <c r="BU599" s="187" t="s">
        <v>78</v>
      </c>
      <c r="BV599" s="196">
        <v>120034</v>
      </c>
      <c r="BW599" s="197" t="e">
        <f t="shared" si="146"/>
        <v>#REF!</v>
      </c>
      <c r="BX599" s="198" t="e">
        <f>IF(AND(State_LOB_Code=18,LEFT(BW599,4)&lt;"2009"),81,State_LOB_Code)&amp;"|367"</f>
        <v>#REF!</v>
      </c>
      <c r="BY599" s="215"/>
      <c r="BZ599" s="216"/>
      <c r="CD599" s="163"/>
      <c r="CE599" s="363"/>
      <c r="CF599" s="335"/>
      <c r="CG599" s="335"/>
      <c r="CH599" s="335"/>
      <c r="CI599" s="335"/>
      <c r="CJ599" s="335"/>
      <c r="CK599" s="335"/>
      <c r="CL599" s="335"/>
      <c r="CM599" s="335"/>
      <c r="CN599" s="335"/>
      <c r="CO599" s="335"/>
      <c r="CP599" s="335"/>
      <c r="CQ599" s="335"/>
      <c r="CR599" s="335"/>
      <c r="CS599" s="335"/>
      <c r="CT599" s="335"/>
      <c r="CU599" s="335"/>
      <c r="CV599" s="335"/>
      <c r="CW599" s="335"/>
      <c r="CX599" s="335"/>
      <c r="CY599" s="335"/>
      <c r="CZ599" s="335"/>
      <c r="DA599" s="335"/>
      <c r="DB599" s="335"/>
      <c r="DC599" s="335"/>
      <c r="DD599" s="335"/>
      <c r="DE599" s="335"/>
      <c r="DF599" s="335"/>
      <c r="DG599" s="335"/>
      <c r="DH599" s="335"/>
      <c r="DI599" s="335"/>
      <c r="DJ599" s="335"/>
      <c r="DK599" s="335"/>
      <c r="DL599" s="335"/>
      <c r="DM599" s="335"/>
      <c r="DN599" s="335"/>
      <c r="DO599" s="335"/>
      <c r="DP599" s="335"/>
      <c r="DQ599" s="335"/>
      <c r="DR599" s="335"/>
      <c r="DS599" s="335"/>
      <c r="DT599" s="335"/>
      <c r="DU599" s="335"/>
      <c r="DV599" s="335"/>
      <c r="DW599" s="335"/>
      <c r="DX599" s="335"/>
      <c r="DY599" s="335"/>
      <c r="DZ599" s="335"/>
      <c r="EA599" s="335"/>
      <c r="EB599" s="335"/>
      <c r="EC599" s="335"/>
      <c r="ED599" s="335"/>
      <c r="EE599" s="335"/>
      <c r="EF599" s="335"/>
      <c r="EG599" s="335"/>
      <c r="EH599" s="335"/>
      <c r="EI599" s="335"/>
      <c r="EJ599" s="335"/>
      <c r="EK599" s="335"/>
      <c r="EL599" s="335"/>
      <c r="EM599" s="335"/>
    </row>
    <row r="600" spans="72:143">
      <c r="BT600" s="187"/>
      <c r="BU600" s="187" t="s">
        <v>79</v>
      </c>
      <c r="BV600" s="196">
        <v>120034</v>
      </c>
      <c r="BW600" s="197" t="e">
        <f t="shared" ref="BW600:BW627" si="147">LEFT(BW539,4)-1&amp;"Y"</f>
        <v>#REF!</v>
      </c>
      <c r="BX600" s="198" t="e">
        <f>IF(AND(State_LOB_Code=18,LEFT(BW600,4)&lt;"2009"),81,State_LOB_Code)&amp;"|368"</f>
        <v>#REF!</v>
      </c>
      <c r="BY600" s="215"/>
      <c r="BZ600" s="216"/>
      <c r="CD600" s="163"/>
      <c r="CE600" s="363"/>
      <c r="CF600" s="335"/>
      <c r="CG600" s="335"/>
      <c r="CH600" s="335"/>
      <c r="CI600" s="335"/>
      <c r="CJ600" s="335"/>
      <c r="CK600" s="335"/>
      <c r="CL600" s="335"/>
      <c r="CM600" s="335"/>
      <c r="CN600" s="335"/>
      <c r="CO600" s="335"/>
      <c r="CP600" s="335"/>
      <c r="CQ600" s="335"/>
      <c r="CR600" s="335"/>
      <c r="CS600" s="335"/>
      <c r="CT600" s="335"/>
      <c r="CU600" s="335"/>
      <c r="CV600" s="335"/>
      <c r="CW600" s="335"/>
      <c r="CX600" s="335"/>
      <c r="CY600" s="335"/>
      <c r="CZ600" s="335"/>
      <c r="DA600" s="335"/>
      <c r="DB600" s="335"/>
      <c r="DC600" s="335"/>
      <c r="DD600" s="335"/>
      <c r="DE600" s="335"/>
      <c r="DF600" s="335"/>
      <c r="DG600" s="335"/>
      <c r="DH600" s="335"/>
      <c r="DI600" s="335"/>
      <c r="DJ600" s="335"/>
      <c r="DK600" s="335"/>
      <c r="DL600" s="335"/>
      <c r="DM600" s="335"/>
      <c r="DN600" s="335"/>
      <c r="DO600" s="335"/>
      <c r="DP600" s="335"/>
      <c r="DQ600" s="335"/>
      <c r="DR600" s="335"/>
      <c r="DS600" s="335"/>
      <c r="DT600" s="335"/>
      <c r="DU600" s="335"/>
      <c r="DV600" s="335"/>
      <c r="DW600" s="335"/>
      <c r="DX600" s="335"/>
      <c r="DY600" s="335"/>
      <c r="DZ600" s="335"/>
      <c r="EA600" s="335"/>
      <c r="EB600" s="335"/>
      <c r="EC600" s="335"/>
      <c r="ED600" s="335"/>
      <c r="EE600" s="335"/>
      <c r="EF600" s="335"/>
      <c r="EG600" s="335"/>
      <c r="EH600" s="335"/>
      <c r="EI600" s="335"/>
      <c r="EJ600" s="335"/>
      <c r="EK600" s="335"/>
      <c r="EL600" s="335"/>
      <c r="EM600" s="335"/>
    </row>
    <row r="601" spans="72:143">
      <c r="BT601" s="187"/>
      <c r="BU601" s="187" t="s">
        <v>80</v>
      </c>
      <c r="BV601" s="196">
        <v>120034</v>
      </c>
      <c r="BW601" s="197" t="e">
        <f t="shared" si="147"/>
        <v>#REF!</v>
      </c>
      <c r="BX601" s="198" t="e">
        <f>IF(AND(State_LOB_Code=18,LEFT(BW601,4)&lt;"2009"),81,State_LOB_Code)&amp;"|369"</f>
        <v>#REF!</v>
      </c>
      <c r="BY601" s="215"/>
      <c r="BZ601" s="216"/>
      <c r="CD601" s="163"/>
      <c r="CE601" s="363"/>
      <c r="CF601" s="335"/>
      <c r="CG601" s="335"/>
      <c r="CH601" s="335"/>
      <c r="CI601" s="335"/>
      <c r="CJ601" s="335"/>
      <c r="CK601" s="335"/>
      <c r="CL601" s="335"/>
      <c r="CM601" s="335"/>
      <c r="CN601" s="335"/>
      <c r="CO601" s="335"/>
      <c r="CP601" s="335"/>
      <c r="CQ601" s="335"/>
      <c r="CR601" s="335"/>
      <c r="CS601" s="335"/>
      <c r="CT601" s="335"/>
      <c r="CU601" s="335"/>
      <c r="CV601" s="335"/>
      <c r="CW601" s="335"/>
      <c r="CX601" s="335"/>
      <c r="CY601" s="335"/>
      <c r="CZ601" s="335"/>
      <c r="DA601" s="335"/>
      <c r="DB601" s="335"/>
      <c r="DC601" s="335"/>
      <c r="DD601" s="335"/>
      <c r="DE601" s="335"/>
      <c r="DF601" s="335"/>
      <c r="DG601" s="335"/>
      <c r="DH601" s="335"/>
      <c r="DI601" s="335"/>
      <c r="DJ601" s="335"/>
      <c r="DK601" s="335"/>
      <c r="DL601" s="335"/>
      <c r="DM601" s="335"/>
      <c r="DN601" s="335"/>
      <c r="DO601" s="335"/>
      <c r="DP601" s="335"/>
      <c r="DQ601" s="335"/>
      <c r="DR601" s="335"/>
      <c r="DS601" s="335"/>
      <c r="DT601" s="335"/>
      <c r="DU601" s="335"/>
      <c r="DV601" s="335"/>
      <c r="DW601" s="335"/>
      <c r="DX601" s="335"/>
      <c r="DY601" s="335"/>
      <c r="DZ601" s="335"/>
      <c r="EA601" s="335"/>
      <c r="EB601" s="335"/>
      <c r="EC601" s="335"/>
      <c r="ED601" s="335"/>
      <c r="EE601" s="335"/>
      <c r="EF601" s="335"/>
      <c r="EG601" s="335"/>
      <c r="EH601" s="335"/>
      <c r="EI601" s="335"/>
      <c r="EJ601" s="335"/>
      <c r="EK601" s="335"/>
      <c r="EL601" s="335"/>
      <c r="EM601" s="335"/>
    </row>
    <row r="602" spans="72:143">
      <c r="BT602" s="187"/>
      <c r="BU602" s="187" t="s">
        <v>81</v>
      </c>
      <c r="BV602" s="196">
        <v>120034</v>
      </c>
      <c r="BW602" s="197" t="e">
        <f t="shared" si="147"/>
        <v>#REF!</v>
      </c>
      <c r="BX602" s="198" t="e">
        <f>IF(AND(State_LOB_Code=18,LEFT(BW602,4)&lt;"2009"),81,State_LOB_Code)&amp;"|370"</f>
        <v>#REF!</v>
      </c>
      <c r="BY602" s="215"/>
      <c r="BZ602" s="216"/>
      <c r="CD602" s="163"/>
      <c r="CE602" s="363"/>
      <c r="CF602" s="335"/>
      <c r="CG602" s="335"/>
      <c r="CH602" s="335"/>
      <c r="CI602" s="335"/>
      <c r="CJ602" s="335"/>
      <c r="CK602" s="335"/>
      <c r="CL602" s="335"/>
      <c r="CM602" s="335"/>
      <c r="CN602" s="335"/>
      <c r="CO602" s="335"/>
      <c r="CP602" s="335"/>
      <c r="CQ602" s="335"/>
      <c r="CR602" s="335"/>
      <c r="CS602" s="335"/>
      <c r="CT602" s="335"/>
      <c r="CU602" s="335"/>
      <c r="CV602" s="335"/>
      <c r="CW602" s="335"/>
      <c r="CX602" s="335"/>
      <c r="CY602" s="335"/>
      <c r="CZ602" s="335"/>
      <c r="DA602" s="335"/>
      <c r="DB602" s="335"/>
      <c r="DC602" s="335"/>
      <c r="DD602" s="335"/>
      <c r="DE602" s="335"/>
      <c r="DF602" s="335"/>
      <c r="DG602" s="335"/>
      <c r="DH602" s="335"/>
      <c r="DI602" s="335"/>
      <c r="DJ602" s="335"/>
      <c r="DK602" s="335"/>
      <c r="DL602" s="335"/>
      <c r="DM602" s="335"/>
      <c r="DN602" s="335"/>
      <c r="DO602" s="335"/>
      <c r="DP602" s="335"/>
      <c r="DQ602" s="335"/>
      <c r="DR602" s="335"/>
      <c r="DS602" s="335"/>
      <c r="DT602" s="335"/>
      <c r="DU602" s="335"/>
      <c r="DV602" s="335"/>
      <c r="DW602" s="335"/>
      <c r="DX602" s="335"/>
      <c r="DY602" s="335"/>
      <c r="DZ602" s="335"/>
      <c r="EA602" s="335"/>
      <c r="EB602" s="335"/>
      <c r="EC602" s="335"/>
      <c r="ED602" s="335"/>
      <c r="EE602" s="335"/>
      <c r="EF602" s="335"/>
      <c r="EG602" s="335"/>
      <c r="EH602" s="335"/>
      <c r="EI602" s="335"/>
      <c r="EJ602" s="335"/>
      <c r="EK602" s="335"/>
      <c r="EL602" s="335"/>
      <c r="EM602" s="335"/>
    </row>
    <row r="603" spans="72:143">
      <c r="BT603" s="187"/>
      <c r="BU603" s="187" t="s">
        <v>82</v>
      </c>
      <c r="BV603" s="196">
        <v>120034</v>
      </c>
      <c r="BW603" s="197" t="e">
        <f t="shared" si="147"/>
        <v>#REF!</v>
      </c>
      <c r="BX603" s="198" t="e">
        <f>IF(AND(State_LOB_Code=18,LEFT(BW603,4)&lt;"2009"),81,State_LOB_Code)&amp;"|371"</f>
        <v>#REF!</v>
      </c>
      <c r="BY603" s="215"/>
      <c r="BZ603" s="216"/>
      <c r="CD603" s="163"/>
      <c r="CE603" s="363"/>
      <c r="CF603" s="335"/>
      <c r="CG603" s="335"/>
      <c r="CH603" s="335"/>
      <c r="CI603" s="335"/>
      <c r="CJ603" s="335"/>
      <c r="CK603" s="335"/>
      <c r="CL603" s="335"/>
      <c r="CM603" s="335"/>
      <c r="CN603" s="335"/>
      <c r="CO603" s="335"/>
      <c r="CP603" s="335"/>
      <c r="CQ603" s="335"/>
      <c r="CR603" s="335"/>
      <c r="CS603" s="335"/>
      <c r="CT603" s="335"/>
      <c r="CU603" s="335"/>
      <c r="CV603" s="335"/>
      <c r="CW603" s="335"/>
      <c r="CX603" s="335"/>
      <c r="CY603" s="335"/>
      <c r="CZ603" s="335"/>
      <c r="DA603" s="335"/>
      <c r="DB603" s="335"/>
      <c r="DC603" s="335"/>
      <c r="DD603" s="335"/>
      <c r="DE603" s="335"/>
      <c r="DF603" s="335"/>
      <c r="DG603" s="335"/>
      <c r="DH603" s="335"/>
      <c r="DI603" s="335"/>
      <c r="DJ603" s="335"/>
      <c r="DK603" s="335"/>
      <c r="DL603" s="335"/>
      <c r="DM603" s="335"/>
      <c r="DN603" s="335"/>
      <c r="DO603" s="335"/>
      <c r="DP603" s="335"/>
      <c r="DQ603" s="335"/>
      <c r="DR603" s="335"/>
      <c r="DS603" s="335"/>
      <c r="DT603" s="335"/>
      <c r="DU603" s="335"/>
      <c r="DV603" s="335"/>
      <c r="DW603" s="335"/>
      <c r="DX603" s="335"/>
      <c r="DY603" s="335"/>
      <c r="DZ603" s="335"/>
      <c r="EA603" s="335"/>
      <c r="EB603" s="335"/>
      <c r="EC603" s="335"/>
      <c r="ED603" s="335"/>
      <c r="EE603" s="335"/>
      <c r="EF603" s="335"/>
      <c r="EG603" s="335"/>
      <c r="EH603" s="335"/>
      <c r="EI603" s="335"/>
      <c r="EJ603" s="335"/>
      <c r="EK603" s="335"/>
      <c r="EL603" s="335"/>
      <c r="EM603" s="335"/>
    </row>
    <row r="604" spans="72:143">
      <c r="BT604" s="187"/>
      <c r="BU604" s="187" t="s">
        <v>83</v>
      </c>
      <c r="BV604" s="196">
        <v>120034</v>
      </c>
      <c r="BW604" s="197" t="e">
        <f t="shared" si="147"/>
        <v>#REF!</v>
      </c>
      <c r="BX604" s="198" t="e">
        <f>IF(AND(State_LOB_Code=18,LEFT(BW604,4)&lt;"2009"),81,State_LOB_Code)&amp;"|372"</f>
        <v>#REF!</v>
      </c>
      <c r="BY604" s="215"/>
      <c r="BZ604" s="216"/>
      <c r="CD604" s="163"/>
      <c r="CE604" s="363"/>
      <c r="CF604" s="335"/>
      <c r="CG604" s="335"/>
      <c r="CH604" s="335"/>
      <c r="CI604" s="335"/>
      <c r="CJ604" s="335"/>
      <c r="CK604" s="335"/>
      <c r="CL604" s="335"/>
      <c r="CM604" s="335"/>
      <c r="CN604" s="335"/>
      <c r="CO604" s="335"/>
      <c r="CP604" s="335"/>
      <c r="CQ604" s="335"/>
      <c r="CR604" s="335"/>
      <c r="CS604" s="335"/>
      <c r="CT604" s="335"/>
      <c r="CU604" s="335"/>
      <c r="CV604" s="335"/>
      <c r="CW604" s="335"/>
      <c r="CX604" s="335"/>
      <c r="CY604" s="335"/>
      <c r="CZ604" s="335"/>
      <c r="DA604" s="335"/>
      <c r="DB604" s="335"/>
      <c r="DC604" s="335"/>
      <c r="DD604" s="335"/>
      <c r="DE604" s="335"/>
      <c r="DF604" s="335"/>
      <c r="DG604" s="335"/>
      <c r="DH604" s="335"/>
      <c r="DI604" s="335"/>
      <c r="DJ604" s="335"/>
      <c r="DK604" s="335"/>
      <c r="DL604" s="335"/>
      <c r="DM604" s="335"/>
      <c r="DN604" s="335"/>
      <c r="DO604" s="335"/>
      <c r="DP604" s="335"/>
      <c r="DQ604" s="335"/>
      <c r="DR604" s="335"/>
      <c r="DS604" s="335"/>
      <c r="DT604" s="335"/>
      <c r="DU604" s="335"/>
      <c r="DV604" s="335"/>
      <c r="DW604" s="335"/>
      <c r="DX604" s="335"/>
      <c r="DY604" s="335"/>
      <c r="DZ604" s="335"/>
      <c r="EA604" s="335"/>
      <c r="EB604" s="335"/>
      <c r="EC604" s="335"/>
      <c r="ED604" s="335"/>
      <c r="EE604" s="335"/>
      <c r="EF604" s="335"/>
      <c r="EG604" s="335"/>
      <c r="EH604" s="335"/>
      <c r="EI604" s="335"/>
      <c r="EJ604" s="335"/>
      <c r="EK604" s="335"/>
      <c r="EL604" s="335"/>
      <c r="EM604" s="335"/>
    </row>
    <row r="605" spans="72:143">
      <c r="BT605" s="187"/>
      <c r="BU605" s="187" t="s">
        <v>84</v>
      </c>
      <c r="BV605" s="196">
        <v>120034</v>
      </c>
      <c r="BW605" s="197" t="e">
        <f t="shared" si="147"/>
        <v>#REF!</v>
      </c>
      <c r="BX605" s="198" t="e">
        <f>IF(AND(State_LOB_Code=18,LEFT(BW605,4)&lt;"2009"),81,State_LOB_Code)&amp;"|373"</f>
        <v>#REF!</v>
      </c>
      <c r="BY605" s="215"/>
      <c r="BZ605" s="216"/>
      <c r="CD605" s="163"/>
      <c r="CE605" s="363"/>
      <c r="CF605" s="335"/>
      <c r="CG605" s="335"/>
      <c r="CH605" s="335"/>
      <c r="CI605" s="335"/>
      <c r="CJ605" s="335"/>
      <c r="CK605" s="335"/>
      <c r="CL605" s="335"/>
      <c r="CM605" s="335"/>
      <c r="CN605" s="335"/>
      <c r="CO605" s="335"/>
      <c r="CP605" s="335"/>
      <c r="CQ605" s="335"/>
      <c r="CR605" s="335"/>
      <c r="CS605" s="335"/>
      <c r="CT605" s="335"/>
      <c r="CU605" s="335"/>
      <c r="CV605" s="335"/>
      <c r="CW605" s="335"/>
      <c r="CX605" s="335"/>
      <c r="CY605" s="335"/>
      <c r="CZ605" s="335"/>
      <c r="DA605" s="335"/>
      <c r="DB605" s="335"/>
      <c r="DC605" s="335"/>
      <c r="DD605" s="335"/>
      <c r="DE605" s="335"/>
      <c r="DF605" s="335"/>
      <c r="DG605" s="335"/>
      <c r="DH605" s="335"/>
      <c r="DI605" s="335"/>
      <c r="DJ605" s="335"/>
      <c r="DK605" s="335"/>
      <c r="DL605" s="335"/>
      <c r="DM605" s="335"/>
      <c r="DN605" s="335"/>
      <c r="DO605" s="335"/>
      <c r="DP605" s="335"/>
      <c r="DQ605" s="335"/>
      <c r="DR605" s="335"/>
      <c r="DS605" s="335"/>
      <c r="DT605" s="335"/>
      <c r="DU605" s="335"/>
      <c r="DV605" s="335"/>
      <c r="DW605" s="335"/>
      <c r="DX605" s="335"/>
      <c r="DY605" s="335"/>
      <c r="DZ605" s="335"/>
      <c r="EA605" s="335"/>
      <c r="EB605" s="335"/>
      <c r="EC605" s="335"/>
      <c r="ED605" s="335"/>
      <c r="EE605" s="335"/>
      <c r="EF605" s="335"/>
      <c r="EG605" s="335"/>
      <c r="EH605" s="335"/>
      <c r="EI605" s="335"/>
      <c r="EJ605" s="335"/>
      <c r="EK605" s="335"/>
      <c r="EL605" s="335"/>
      <c r="EM605" s="335"/>
    </row>
    <row r="606" spans="72:143">
      <c r="BT606" s="187"/>
      <c r="BU606" s="187" t="s">
        <v>85</v>
      </c>
      <c r="BV606" s="196">
        <v>120034</v>
      </c>
      <c r="BW606" s="197" t="e">
        <f t="shared" si="147"/>
        <v>#REF!</v>
      </c>
      <c r="BX606" s="198" t="e">
        <f>IF(AND(State_LOB_Code=18,LEFT(BW606,4)&lt;"2009"),81,State_LOB_Code)&amp;"|374"</f>
        <v>#REF!</v>
      </c>
      <c r="BY606" s="215"/>
      <c r="BZ606" s="216"/>
      <c r="CD606" s="163"/>
      <c r="CE606" s="363"/>
      <c r="CF606" s="335"/>
      <c r="CG606" s="335"/>
      <c r="CH606" s="335"/>
      <c r="CI606" s="335"/>
      <c r="CJ606" s="335"/>
      <c r="CK606" s="335"/>
      <c r="CL606" s="335"/>
      <c r="CM606" s="335"/>
      <c r="CN606" s="335"/>
      <c r="CO606" s="335"/>
      <c r="CP606" s="335"/>
      <c r="CQ606" s="335"/>
      <c r="CR606" s="335"/>
      <c r="CS606" s="335"/>
      <c r="CT606" s="335"/>
      <c r="CU606" s="335"/>
      <c r="CV606" s="335"/>
      <c r="CW606" s="335"/>
      <c r="CX606" s="335"/>
      <c r="CY606" s="335"/>
      <c r="CZ606" s="335"/>
      <c r="DA606" s="335"/>
      <c r="DB606" s="335"/>
      <c r="DC606" s="335"/>
      <c r="DD606" s="335"/>
      <c r="DE606" s="335"/>
      <c r="DF606" s="335"/>
      <c r="DG606" s="335"/>
      <c r="DH606" s="335"/>
      <c r="DI606" s="335"/>
      <c r="DJ606" s="335"/>
      <c r="DK606" s="335"/>
      <c r="DL606" s="335"/>
      <c r="DM606" s="335"/>
      <c r="DN606" s="335"/>
      <c r="DO606" s="335"/>
      <c r="DP606" s="335"/>
      <c r="DQ606" s="335"/>
      <c r="DR606" s="335"/>
      <c r="DS606" s="335"/>
      <c r="DT606" s="335"/>
      <c r="DU606" s="335"/>
      <c r="DV606" s="335"/>
      <c r="DW606" s="335"/>
      <c r="DX606" s="335"/>
      <c r="DY606" s="335"/>
      <c r="DZ606" s="335"/>
      <c r="EA606" s="335"/>
      <c r="EB606" s="335"/>
      <c r="EC606" s="335"/>
      <c r="ED606" s="335"/>
      <c r="EE606" s="335"/>
      <c r="EF606" s="335"/>
      <c r="EG606" s="335"/>
      <c r="EH606" s="335"/>
      <c r="EI606" s="335"/>
      <c r="EJ606" s="335"/>
      <c r="EK606" s="335"/>
      <c r="EL606" s="335"/>
      <c r="EM606" s="335"/>
    </row>
    <row r="607" spans="72:143">
      <c r="BT607" s="187"/>
      <c r="BU607" s="187" t="s">
        <v>86</v>
      </c>
      <c r="BV607" s="196">
        <v>120034</v>
      </c>
      <c r="BW607" s="197" t="e">
        <f t="shared" si="147"/>
        <v>#REF!</v>
      </c>
      <c r="BX607" s="198" t="e">
        <f>IF(AND(State_LOB_Code=18,LEFT(BW607,4)&lt;"2009"),81,State_LOB_Code)&amp;"|376"</f>
        <v>#REF!</v>
      </c>
      <c r="BY607" s="215"/>
      <c r="BZ607" s="216"/>
      <c r="CD607" s="163"/>
      <c r="CE607" s="363"/>
      <c r="CF607" s="335"/>
      <c r="CG607" s="335"/>
      <c r="CH607" s="335"/>
      <c r="CI607" s="335"/>
      <c r="CJ607" s="335"/>
      <c r="CK607" s="335"/>
      <c r="CL607" s="335"/>
      <c r="CM607" s="335"/>
      <c r="CN607" s="335"/>
      <c r="CO607" s="335"/>
      <c r="CP607" s="335"/>
      <c r="CQ607" s="335"/>
      <c r="CR607" s="335"/>
      <c r="CS607" s="335"/>
      <c r="CT607" s="335"/>
      <c r="CU607" s="335"/>
      <c r="CV607" s="335"/>
      <c r="CW607" s="335"/>
      <c r="CX607" s="335"/>
      <c r="CY607" s="335"/>
      <c r="CZ607" s="335"/>
      <c r="DA607" s="335"/>
      <c r="DB607" s="335"/>
      <c r="DC607" s="335"/>
      <c r="DD607" s="335"/>
      <c r="DE607" s="335"/>
      <c r="DF607" s="335"/>
      <c r="DG607" s="335"/>
      <c r="DH607" s="335"/>
      <c r="DI607" s="335"/>
      <c r="DJ607" s="335"/>
      <c r="DK607" s="335"/>
      <c r="DL607" s="335"/>
      <c r="DM607" s="335"/>
      <c r="DN607" s="335"/>
      <c r="DO607" s="335"/>
      <c r="DP607" s="335"/>
      <c r="DQ607" s="335"/>
      <c r="DR607" s="335"/>
      <c r="DS607" s="335"/>
      <c r="DT607" s="335"/>
      <c r="DU607" s="335"/>
      <c r="DV607" s="335"/>
      <c r="DW607" s="335"/>
      <c r="DX607" s="335"/>
      <c r="DY607" s="335"/>
      <c r="DZ607" s="335"/>
      <c r="EA607" s="335"/>
      <c r="EB607" s="335"/>
      <c r="EC607" s="335"/>
      <c r="ED607" s="335"/>
      <c r="EE607" s="335"/>
      <c r="EF607" s="335"/>
      <c r="EG607" s="335"/>
      <c r="EH607" s="335"/>
      <c r="EI607" s="335"/>
      <c r="EJ607" s="335"/>
      <c r="EK607" s="335"/>
      <c r="EL607" s="335"/>
      <c r="EM607" s="335"/>
    </row>
    <row r="608" spans="72:143">
      <c r="BT608" s="187"/>
      <c r="BU608" s="187" t="s">
        <v>87</v>
      </c>
      <c r="BV608" s="196">
        <v>120034</v>
      </c>
      <c r="BW608" s="197" t="e">
        <f t="shared" si="147"/>
        <v>#REF!</v>
      </c>
      <c r="BX608" s="198" t="e">
        <f>IF(AND(State_LOB_Code=18,LEFT(BW608,4)&lt;"2009"),81,State_LOB_Code)&amp;"|377"</f>
        <v>#REF!</v>
      </c>
      <c r="BY608" s="215"/>
      <c r="BZ608" s="216"/>
      <c r="CD608" s="163"/>
      <c r="CE608" s="363"/>
      <c r="CF608" s="335"/>
      <c r="CG608" s="335"/>
      <c r="CH608" s="335"/>
      <c r="CI608" s="335"/>
      <c r="CJ608" s="335"/>
      <c r="CK608" s="335"/>
      <c r="CL608" s="335"/>
      <c r="CM608" s="335"/>
      <c r="CN608" s="335"/>
      <c r="CO608" s="335"/>
      <c r="CP608" s="335"/>
      <c r="CQ608" s="335"/>
      <c r="CR608" s="335"/>
      <c r="CS608" s="335"/>
      <c r="CT608" s="335"/>
      <c r="CU608" s="335"/>
      <c r="CV608" s="335"/>
      <c r="CW608" s="335"/>
      <c r="CX608" s="335"/>
      <c r="CY608" s="335"/>
      <c r="CZ608" s="335"/>
      <c r="DA608" s="335"/>
      <c r="DB608" s="335"/>
      <c r="DC608" s="335"/>
      <c r="DD608" s="335"/>
      <c r="DE608" s="335"/>
      <c r="DF608" s="335"/>
      <c r="DG608" s="335"/>
      <c r="DH608" s="335"/>
      <c r="DI608" s="335"/>
      <c r="DJ608" s="335"/>
      <c r="DK608" s="335"/>
      <c r="DL608" s="335"/>
      <c r="DM608" s="335"/>
      <c r="DN608" s="335"/>
      <c r="DO608" s="335"/>
      <c r="DP608" s="335"/>
      <c r="DQ608" s="335"/>
      <c r="DR608" s="335"/>
      <c r="DS608" s="335"/>
      <c r="DT608" s="335"/>
      <c r="DU608" s="335"/>
      <c r="DV608" s="335"/>
      <c r="DW608" s="335"/>
      <c r="DX608" s="335"/>
      <c r="DY608" s="335"/>
      <c r="DZ608" s="335"/>
      <c r="EA608" s="335"/>
      <c r="EB608" s="335"/>
      <c r="EC608" s="335"/>
      <c r="ED608" s="335"/>
      <c r="EE608" s="335"/>
      <c r="EF608" s="335"/>
      <c r="EG608" s="335"/>
      <c r="EH608" s="335"/>
      <c r="EI608" s="335"/>
      <c r="EJ608" s="335"/>
      <c r="EK608" s="335"/>
      <c r="EL608" s="335"/>
      <c r="EM608" s="335"/>
    </row>
    <row r="609" spans="72:143">
      <c r="BT609" s="187"/>
      <c r="BU609" s="187" t="s">
        <v>88</v>
      </c>
      <c r="BV609" s="196">
        <v>120034</v>
      </c>
      <c r="BW609" s="197" t="e">
        <f t="shared" si="147"/>
        <v>#REF!</v>
      </c>
      <c r="BX609" s="198" t="e">
        <f>IF(AND(State_LOB_Code=18,LEFT(BW609,4)&lt;"2009"),81,State_LOB_Code)&amp;"|378"</f>
        <v>#REF!</v>
      </c>
      <c r="BY609" s="215"/>
      <c r="BZ609" s="216"/>
      <c r="CD609" s="163"/>
      <c r="CE609" s="363"/>
      <c r="CF609" s="335"/>
      <c r="CG609" s="335"/>
      <c r="CH609" s="335"/>
      <c r="CI609" s="335"/>
      <c r="CJ609" s="335"/>
      <c r="CK609" s="335"/>
      <c r="CL609" s="335"/>
      <c r="CM609" s="335"/>
      <c r="CN609" s="335"/>
      <c r="CO609" s="335"/>
      <c r="CP609" s="335"/>
      <c r="CQ609" s="335"/>
      <c r="CR609" s="335"/>
      <c r="CS609" s="335"/>
      <c r="CT609" s="335"/>
      <c r="CU609" s="335"/>
      <c r="CV609" s="335"/>
      <c r="CW609" s="335"/>
      <c r="CX609" s="335"/>
      <c r="CY609" s="335"/>
      <c r="CZ609" s="335"/>
      <c r="DA609" s="335"/>
      <c r="DB609" s="335"/>
      <c r="DC609" s="335"/>
      <c r="DD609" s="335"/>
      <c r="DE609" s="335"/>
      <c r="DF609" s="335"/>
      <c r="DG609" s="335"/>
      <c r="DH609" s="335"/>
      <c r="DI609" s="335"/>
      <c r="DJ609" s="335"/>
      <c r="DK609" s="335"/>
      <c r="DL609" s="335"/>
      <c r="DM609" s="335"/>
      <c r="DN609" s="335"/>
      <c r="DO609" s="335"/>
      <c r="DP609" s="335"/>
      <c r="DQ609" s="335"/>
      <c r="DR609" s="335"/>
      <c r="DS609" s="335"/>
      <c r="DT609" s="335"/>
      <c r="DU609" s="335"/>
      <c r="DV609" s="335"/>
      <c r="DW609" s="335"/>
      <c r="DX609" s="335"/>
      <c r="DY609" s="335"/>
      <c r="DZ609" s="335"/>
      <c r="EA609" s="335"/>
      <c r="EB609" s="335"/>
      <c r="EC609" s="335"/>
      <c r="ED609" s="335"/>
      <c r="EE609" s="335"/>
      <c r="EF609" s="335"/>
      <c r="EG609" s="335"/>
      <c r="EH609" s="335"/>
      <c r="EI609" s="335"/>
      <c r="EJ609" s="335"/>
      <c r="EK609" s="335"/>
      <c r="EL609" s="335"/>
      <c r="EM609" s="335"/>
    </row>
    <row r="610" spans="72:143">
      <c r="BT610" s="187"/>
      <c r="BU610" s="187" t="s">
        <v>89</v>
      </c>
      <c r="BV610" s="196">
        <v>120034</v>
      </c>
      <c r="BW610" s="197" t="e">
        <f t="shared" si="147"/>
        <v>#REF!</v>
      </c>
      <c r="BX610" s="198" t="e">
        <f>IF(AND(State_LOB_Code=18,LEFT(BW610,4)&lt;"2009"),81,State_LOB_Code)&amp;"|379"</f>
        <v>#REF!</v>
      </c>
      <c r="BY610" s="215"/>
      <c r="BZ610" s="216"/>
      <c r="CD610" s="163"/>
      <c r="CE610" s="363"/>
      <c r="CF610" s="335"/>
      <c r="CG610" s="335"/>
      <c r="CH610" s="335"/>
      <c r="CI610" s="335"/>
      <c r="CJ610" s="335"/>
      <c r="CK610" s="335"/>
      <c r="CL610" s="335"/>
      <c r="CM610" s="335"/>
      <c r="CN610" s="335"/>
      <c r="CO610" s="335"/>
      <c r="CP610" s="335"/>
      <c r="CQ610" s="335"/>
      <c r="CR610" s="335"/>
      <c r="CS610" s="335"/>
      <c r="CT610" s="335"/>
      <c r="CU610" s="335"/>
      <c r="CV610" s="335"/>
      <c r="CW610" s="335"/>
      <c r="CX610" s="335"/>
      <c r="CY610" s="335"/>
      <c r="CZ610" s="335"/>
      <c r="DA610" s="335"/>
      <c r="DB610" s="335"/>
      <c r="DC610" s="335"/>
      <c r="DD610" s="335"/>
      <c r="DE610" s="335"/>
      <c r="DF610" s="335"/>
      <c r="DG610" s="335"/>
      <c r="DH610" s="335"/>
      <c r="DI610" s="335"/>
      <c r="DJ610" s="335"/>
      <c r="DK610" s="335"/>
      <c r="DL610" s="335"/>
      <c r="DM610" s="335"/>
      <c r="DN610" s="335"/>
      <c r="DO610" s="335"/>
      <c r="DP610" s="335"/>
      <c r="DQ610" s="335"/>
      <c r="DR610" s="335"/>
      <c r="DS610" s="335"/>
      <c r="DT610" s="335"/>
      <c r="DU610" s="335"/>
      <c r="DV610" s="335"/>
      <c r="DW610" s="335"/>
      <c r="DX610" s="335"/>
      <c r="DY610" s="335"/>
      <c r="DZ610" s="335"/>
      <c r="EA610" s="335"/>
      <c r="EB610" s="335"/>
      <c r="EC610" s="335"/>
      <c r="ED610" s="335"/>
      <c r="EE610" s="335"/>
      <c r="EF610" s="335"/>
      <c r="EG610" s="335"/>
      <c r="EH610" s="335"/>
      <c r="EI610" s="335"/>
      <c r="EJ610" s="335"/>
      <c r="EK610" s="335"/>
      <c r="EL610" s="335"/>
      <c r="EM610" s="335"/>
    </row>
    <row r="611" spans="72:143">
      <c r="BT611" s="187"/>
      <c r="BU611" s="187" t="s">
        <v>90</v>
      </c>
      <c r="BV611" s="196">
        <v>120034</v>
      </c>
      <c r="BW611" s="197" t="e">
        <f t="shared" si="147"/>
        <v>#REF!</v>
      </c>
      <c r="BX611" s="198" t="e">
        <f>IF(AND(State_LOB_Code=18,LEFT(BW611,4)&lt;"2009"),81,State_LOB_Code)&amp;"|380"</f>
        <v>#REF!</v>
      </c>
      <c r="BY611" s="215"/>
      <c r="BZ611" s="216"/>
      <c r="CD611" s="163"/>
      <c r="CE611" s="363"/>
      <c r="CF611" s="335"/>
      <c r="CG611" s="335"/>
      <c r="CH611" s="335"/>
      <c r="CI611" s="335"/>
      <c r="CJ611" s="335"/>
      <c r="CK611" s="335"/>
      <c r="CL611" s="335"/>
      <c r="CM611" s="335"/>
      <c r="CN611" s="335"/>
      <c r="CO611" s="335"/>
      <c r="CP611" s="335"/>
      <c r="CQ611" s="335"/>
      <c r="CR611" s="335"/>
      <c r="CS611" s="335"/>
      <c r="CT611" s="335"/>
      <c r="CU611" s="335"/>
      <c r="CV611" s="335"/>
      <c r="CW611" s="335"/>
      <c r="CX611" s="335"/>
      <c r="CY611" s="335"/>
      <c r="CZ611" s="335"/>
      <c r="DA611" s="335"/>
      <c r="DB611" s="335"/>
      <c r="DC611" s="335"/>
      <c r="DD611" s="335"/>
      <c r="DE611" s="335"/>
      <c r="DF611" s="335"/>
      <c r="DG611" s="335"/>
      <c r="DH611" s="335"/>
      <c r="DI611" s="335"/>
      <c r="DJ611" s="335"/>
      <c r="DK611" s="335"/>
      <c r="DL611" s="335"/>
      <c r="DM611" s="335"/>
      <c r="DN611" s="335"/>
      <c r="DO611" s="335"/>
      <c r="DP611" s="335"/>
      <c r="DQ611" s="335"/>
      <c r="DR611" s="335"/>
      <c r="DS611" s="335"/>
      <c r="DT611" s="335"/>
      <c r="DU611" s="335"/>
      <c r="DV611" s="335"/>
      <c r="DW611" s="335"/>
      <c r="DX611" s="335"/>
      <c r="DY611" s="335"/>
      <c r="DZ611" s="335"/>
      <c r="EA611" s="335"/>
      <c r="EB611" s="335"/>
      <c r="EC611" s="335"/>
      <c r="ED611" s="335"/>
      <c r="EE611" s="335"/>
      <c r="EF611" s="335"/>
      <c r="EG611" s="335"/>
      <c r="EH611" s="335"/>
      <c r="EI611" s="335"/>
      <c r="EJ611" s="335"/>
      <c r="EK611" s="335"/>
      <c r="EL611" s="335"/>
      <c r="EM611" s="335"/>
    </row>
    <row r="612" spans="72:143">
      <c r="BT612" s="187"/>
      <c r="BU612" s="187" t="s">
        <v>91</v>
      </c>
      <c r="BV612" s="196">
        <v>120034</v>
      </c>
      <c r="BW612" s="197" t="e">
        <f t="shared" si="147"/>
        <v>#REF!</v>
      </c>
      <c r="BX612" s="198" t="e">
        <f>IF(AND(State_LOB_Code=18,LEFT(BW612,4)&lt;"2009"),81,State_LOB_Code)&amp;"|381"</f>
        <v>#REF!</v>
      </c>
      <c r="BY612" s="215"/>
      <c r="BZ612" s="216"/>
      <c r="CD612" s="163"/>
      <c r="CE612" s="363"/>
      <c r="CF612" s="335"/>
      <c r="CG612" s="335"/>
      <c r="CH612" s="335"/>
      <c r="CI612" s="335"/>
      <c r="CJ612" s="335"/>
      <c r="CK612" s="335"/>
      <c r="CL612" s="335"/>
      <c r="CM612" s="335"/>
      <c r="CN612" s="335"/>
      <c r="CO612" s="335"/>
      <c r="CP612" s="335"/>
      <c r="CQ612" s="335"/>
      <c r="CR612" s="335"/>
      <c r="CS612" s="335"/>
      <c r="CT612" s="335"/>
      <c r="CU612" s="335"/>
      <c r="CV612" s="335"/>
      <c r="CW612" s="335"/>
      <c r="CX612" s="335"/>
      <c r="CY612" s="335"/>
      <c r="CZ612" s="335"/>
      <c r="DA612" s="335"/>
      <c r="DB612" s="335"/>
      <c r="DC612" s="335"/>
      <c r="DD612" s="335"/>
      <c r="DE612" s="335"/>
      <c r="DF612" s="335"/>
      <c r="DG612" s="335"/>
      <c r="DH612" s="335"/>
      <c r="DI612" s="335"/>
      <c r="DJ612" s="335"/>
      <c r="DK612" s="335"/>
      <c r="DL612" s="335"/>
      <c r="DM612" s="335"/>
      <c r="DN612" s="335"/>
      <c r="DO612" s="335"/>
      <c r="DP612" s="335"/>
      <c r="DQ612" s="335"/>
      <c r="DR612" s="335"/>
      <c r="DS612" s="335"/>
      <c r="DT612" s="335"/>
      <c r="DU612" s="335"/>
      <c r="DV612" s="335"/>
      <c r="DW612" s="335"/>
      <c r="DX612" s="335"/>
      <c r="DY612" s="335"/>
      <c r="DZ612" s="335"/>
      <c r="EA612" s="335"/>
      <c r="EB612" s="335"/>
      <c r="EC612" s="335"/>
      <c r="ED612" s="335"/>
      <c r="EE612" s="335"/>
      <c r="EF612" s="335"/>
      <c r="EG612" s="335"/>
      <c r="EH612" s="335"/>
      <c r="EI612" s="335"/>
      <c r="EJ612" s="335"/>
      <c r="EK612" s="335"/>
      <c r="EL612" s="335"/>
      <c r="EM612" s="335"/>
    </row>
    <row r="613" spans="72:143">
      <c r="BT613" s="187"/>
      <c r="BU613" s="187" t="s">
        <v>92</v>
      </c>
      <c r="BV613" s="196">
        <v>120034</v>
      </c>
      <c r="BW613" s="197" t="e">
        <f t="shared" si="147"/>
        <v>#REF!</v>
      </c>
      <c r="BX613" s="198" t="e">
        <f>IF(AND(State_LOB_Code=18,LEFT(BW613,4)&lt;"2009"),81,State_LOB_Code)&amp;"|382"</f>
        <v>#REF!</v>
      </c>
      <c r="BY613" s="215"/>
      <c r="BZ613" s="216"/>
      <c r="CD613" s="163"/>
      <c r="CE613" s="363"/>
      <c r="CF613" s="335"/>
      <c r="CG613" s="335"/>
      <c r="CH613" s="335"/>
      <c r="CI613" s="335"/>
      <c r="CJ613" s="335"/>
      <c r="CK613" s="335"/>
      <c r="CL613" s="335"/>
      <c r="CM613" s="335"/>
      <c r="CN613" s="335"/>
      <c r="CO613" s="335"/>
      <c r="CP613" s="335"/>
      <c r="CQ613" s="335"/>
      <c r="CR613" s="335"/>
      <c r="CS613" s="335"/>
      <c r="CT613" s="335"/>
      <c r="CU613" s="335"/>
      <c r="CV613" s="335"/>
      <c r="CW613" s="335"/>
      <c r="CX613" s="335"/>
      <c r="CY613" s="335"/>
      <c r="CZ613" s="335"/>
      <c r="DA613" s="335"/>
      <c r="DB613" s="335"/>
      <c r="DC613" s="335"/>
      <c r="DD613" s="335"/>
      <c r="DE613" s="335"/>
      <c r="DF613" s="335"/>
      <c r="DG613" s="335"/>
      <c r="DH613" s="335"/>
      <c r="DI613" s="335"/>
      <c r="DJ613" s="335"/>
      <c r="DK613" s="335"/>
      <c r="DL613" s="335"/>
      <c r="DM613" s="335"/>
      <c r="DN613" s="335"/>
      <c r="DO613" s="335"/>
      <c r="DP613" s="335"/>
      <c r="DQ613" s="335"/>
      <c r="DR613" s="335"/>
      <c r="DS613" s="335"/>
      <c r="DT613" s="335"/>
      <c r="DU613" s="335"/>
      <c r="DV613" s="335"/>
      <c r="DW613" s="335"/>
      <c r="DX613" s="335"/>
      <c r="DY613" s="335"/>
      <c r="DZ613" s="335"/>
      <c r="EA613" s="335"/>
      <c r="EB613" s="335"/>
      <c r="EC613" s="335"/>
      <c r="ED613" s="335"/>
      <c r="EE613" s="335"/>
      <c r="EF613" s="335"/>
      <c r="EG613" s="335"/>
      <c r="EH613" s="335"/>
      <c r="EI613" s="335"/>
      <c r="EJ613" s="335"/>
      <c r="EK613" s="335"/>
      <c r="EL613" s="335"/>
      <c r="EM613" s="335"/>
    </row>
    <row r="614" spans="72:143">
      <c r="BT614" s="187"/>
      <c r="BU614" s="187" t="s">
        <v>93</v>
      </c>
      <c r="BV614" s="196">
        <v>120034</v>
      </c>
      <c r="BW614" s="197" t="e">
        <f t="shared" si="147"/>
        <v>#REF!</v>
      </c>
      <c r="BX614" s="198" t="e">
        <f>IF(AND(State_LOB_Code=18,LEFT(BW614,4)&lt;"2009"),81,State_LOB_Code)&amp;"|384"</f>
        <v>#REF!</v>
      </c>
      <c r="BY614" s="215"/>
      <c r="BZ614" s="216"/>
      <c r="CD614" s="163"/>
      <c r="CE614" s="363"/>
      <c r="CF614" s="335"/>
      <c r="CG614" s="335"/>
      <c r="CH614" s="335"/>
      <c r="CI614" s="335"/>
      <c r="CJ614" s="335"/>
      <c r="CK614" s="335"/>
      <c r="CL614" s="335"/>
      <c r="CM614" s="335"/>
      <c r="CN614" s="335"/>
      <c r="CO614" s="335"/>
      <c r="CP614" s="335"/>
      <c r="CQ614" s="335"/>
      <c r="CR614" s="335"/>
      <c r="CS614" s="335"/>
      <c r="CT614" s="335"/>
      <c r="CU614" s="335"/>
      <c r="CV614" s="335"/>
      <c r="CW614" s="335"/>
      <c r="CX614" s="335"/>
      <c r="CY614" s="335"/>
      <c r="CZ614" s="335"/>
      <c r="DA614" s="335"/>
      <c r="DB614" s="335"/>
      <c r="DC614" s="335"/>
      <c r="DD614" s="335"/>
      <c r="DE614" s="335"/>
      <c r="DF614" s="335"/>
      <c r="DG614" s="335"/>
      <c r="DH614" s="335"/>
      <c r="DI614" s="335"/>
      <c r="DJ614" s="335"/>
      <c r="DK614" s="335"/>
      <c r="DL614" s="335"/>
      <c r="DM614" s="335"/>
      <c r="DN614" s="335"/>
      <c r="DO614" s="335"/>
      <c r="DP614" s="335"/>
      <c r="DQ614" s="335"/>
      <c r="DR614" s="335"/>
      <c r="DS614" s="335"/>
      <c r="DT614" s="335"/>
      <c r="DU614" s="335"/>
      <c r="DV614" s="335"/>
      <c r="DW614" s="335"/>
      <c r="DX614" s="335"/>
      <c r="DY614" s="335"/>
      <c r="DZ614" s="335"/>
      <c r="EA614" s="335"/>
      <c r="EB614" s="335"/>
      <c r="EC614" s="335"/>
      <c r="ED614" s="335"/>
      <c r="EE614" s="335"/>
      <c r="EF614" s="335"/>
      <c r="EG614" s="335"/>
      <c r="EH614" s="335"/>
      <c r="EI614" s="335"/>
      <c r="EJ614" s="335"/>
      <c r="EK614" s="335"/>
      <c r="EL614" s="335"/>
      <c r="EM614" s="335"/>
    </row>
    <row r="615" spans="72:143">
      <c r="BT615" s="187"/>
      <c r="BU615" s="187" t="s">
        <v>94</v>
      </c>
      <c r="BV615" s="196">
        <v>120034</v>
      </c>
      <c r="BW615" s="197" t="e">
        <f t="shared" si="147"/>
        <v>#REF!</v>
      </c>
      <c r="BX615" s="198" t="e">
        <f>IF(AND(State_LOB_Code=18,LEFT(BW615,4)&lt;"2009"),81,State_LOB_Code)&amp;"|385"</f>
        <v>#REF!</v>
      </c>
      <c r="BY615" s="215"/>
      <c r="BZ615" s="216"/>
      <c r="CD615" s="163"/>
      <c r="CE615" s="363"/>
      <c r="CF615" s="335"/>
      <c r="CG615" s="335"/>
      <c r="CH615" s="335"/>
      <c r="CI615" s="335"/>
      <c r="CJ615" s="335"/>
      <c r="CK615" s="335"/>
      <c r="CL615" s="335"/>
      <c r="CM615" s="335"/>
      <c r="CN615" s="335"/>
      <c r="CO615" s="335"/>
      <c r="CP615" s="335"/>
      <c r="CQ615" s="335"/>
      <c r="CR615" s="335"/>
      <c r="CS615" s="335"/>
      <c r="CT615" s="335"/>
      <c r="CU615" s="335"/>
      <c r="CV615" s="335"/>
      <c r="CW615" s="335"/>
      <c r="CX615" s="335"/>
      <c r="CY615" s="335"/>
      <c r="CZ615" s="335"/>
      <c r="DA615" s="335"/>
      <c r="DB615" s="335"/>
      <c r="DC615" s="335"/>
      <c r="DD615" s="335"/>
      <c r="DE615" s="335"/>
      <c r="DF615" s="335"/>
      <c r="DG615" s="335"/>
      <c r="DH615" s="335"/>
      <c r="DI615" s="335"/>
      <c r="DJ615" s="335"/>
      <c r="DK615" s="335"/>
      <c r="DL615" s="335"/>
      <c r="DM615" s="335"/>
      <c r="DN615" s="335"/>
      <c r="DO615" s="335"/>
      <c r="DP615" s="335"/>
      <c r="DQ615" s="335"/>
      <c r="DR615" s="335"/>
      <c r="DS615" s="335"/>
      <c r="DT615" s="335"/>
      <c r="DU615" s="335"/>
      <c r="DV615" s="335"/>
      <c r="DW615" s="335"/>
      <c r="DX615" s="335"/>
      <c r="DY615" s="335"/>
      <c r="DZ615" s="335"/>
      <c r="EA615" s="335"/>
      <c r="EB615" s="335"/>
      <c r="EC615" s="335"/>
      <c r="ED615" s="335"/>
      <c r="EE615" s="335"/>
      <c r="EF615" s="335"/>
      <c r="EG615" s="335"/>
      <c r="EH615" s="335"/>
      <c r="EI615" s="335"/>
      <c r="EJ615" s="335"/>
      <c r="EK615" s="335"/>
      <c r="EL615" s="335"/>
      <c r="EM615" s="335"/>
    </row>
    <row r="616" spans="72:143">
      <c r="BT616" s="187"/>
      <c r="BU616" s="187" t="s">
        <v>95</v>
      </c>
      <c r="BV616" s="196">
        <v>120034</v>
      </c>
      <c r="BW616" s="197" t="e">
        <f t="shared" si="147"/>
        <v>#REF!</v>
      </c>
      <c r="BX616" s="198" t="e">
        <f>IF(AND(State_LOB_Code=18,LEFT(BW616,4)&lt;"2009"),81,State_LOB_Code)&amp;"|386"</f>
        <v>#REF!</v>
      </c>
      <c r="BY616" s="215"/>
      <c r="BZ616" s="216"/>
      <c r="CD616" s="163"/>
      <c r="CE616" s="363"/>
      <c r="CF616" s="335"/>
      <c r="CG616" s="335"/>
      <c r="CH616" s="335"/>
      <c r="CI616" s="335"/>
      <c r="CJ616" s="335"/>
      <c r="CK616" s="335"/>
      <c r="CL616" s="335"/>
      <c r="CM616" s="335"/>
      <c r="CN616" s="335"/>
      <c r="CO616" s="335"/>
      <c r="CP616" s="335"/>
      <c r="CQ616" s="335"/>
      <c r="CR616" s="335"/>
      <c r="CS616" s="335"/>
      <c r="CT616" s="335"/>
      <c r="CU616" s="335"/>
      <c r="CV616" s="335"/>
      <c r="CW616" s="335"/>
      <c r="CX616" s="335"/>
      <c r="CY616" s="335"/>
      <c r="CZ616" s="335"/>
      <c r="DA616" s="335"/>
      <c r="DB616" s="335"/>
      <c r="DC616" s="335"/>
      <c r="DD616" s="335"/>
      <c r="DE616" s="335"/>
      <c r="DF616" s="335"/>
      <c r="DG616" s="335"/>
      <c r="DH616" s="335"/>
      <c r="DI616" s="335"/>
      <c r="DJ616" s="335"/>
      <c r="DK616" s="335"/>
      <c r="DL616" s="335"/>
      <c r="DM616" s="335"/>
      <c r="DN616" s="335"/>
      <c r="DO616" s="335"/>
      <c r="DP616" s="335"/>
      <c r="DQ616" s="335"/>
      <c r="DR616" s="335"/>
      <c r="DS616" s="335"/>
      <c r="DT616" s="335"/>
      <c r="DU616" s="335"/>
      <c r="DV616" s="335"/>
      <c r="DW616" s="335"/>
      <c r="DX616" s="335"/>
      <c r="DY616" s="335"/>
      <c r="DZ616" s="335"/>
      <c r="EA616" s="335"/>
      <c r="EB616" s="335"/>
      <c r="EC616" s="335"/>
      <c r="ED616" s="335"/>
      <c r="EE616" s="335"/>
      <c r="EF616" s="335"/>
      <c r="EG616" s="335"/>
      <c r="EH616" s="335"/>
      <c r="EI616" s="335"/>
      <c r="EJ616" s="335"/>
      <c r="EK616" s="335"/>
      <c r="EL616" s="335"/>
      <c r="EM616" s="335"/>
    </row>
    <row r="617" spans="72:143">
      <c r="BT617" s="187"/>
      <c r="BU617" s="187" t="s">
        <v>96</v>
      </c>
      <c r="BV617" s="196">
        <v>120034</v>
      </c>
      <c r="BW617" s="197" t="e">
        <f t="shared" si="147"/>
        <v>#REF!</v>
      </c>
      <c r="BX617" s="198" t="e">
        <f>IF(AND(State_LOB_Code=18,LEFT(BW617,4)&lt;"2009"),81,State_LOB_Code)&amp;"|387"</f>
        <v>#REF!</v>
      </c>
      <c r="BY617" s="215"/>
      <c r="BZ617" s="216"/>
      <c r="CD617" s="163"/>
      <c r="CE617" s="363"/>
      <c r="CF617" s="335"/>
      <c r="CG617" s="335"/>
      <c r="CH617" s="335"/>
      <c r="CI617" s="335"/>
      <c r="CJ617" s="335"/>
      <c r="CK617" s="335"/>
      <c r="CL617" s="335"/>
      <c r="CM617" s="335"/>
      <c r="CN617" s="335"/>
      <c r="CO617" s="335"/>
      <c r="CP617" s="335"/>
      <c r="CQ617" s="335"/>
      <c r="CR617" s="335"/>
      <c r="CS617" s="335"/>
      <c r="CT617" s="335"/>
      <c r="CU617" s="335"/>
      <c r="CV617" s="335"/>
      <c r="CW617" s="335"/>
      <c r="CX617" s="335"/>
      <c r="CY617" s="335"/>
      <c r="CZ617" s="335"/>
      <c r="DA617" s="335"/>
      <c r="DB617" s="335"/>
      <c r="DC617" s="335"/>
      <c r="DD617" s="335"/>
      <c r="DE617" s="335"/>
      <c r="DF617" s="335"/>
      <c r="DG617" s="335"/>
      <c r="DH617" s="335"/>
      <c r="DI617" s="335"/>
      <c r="DJ617" s="335"/>
      <c r="DK617" s="335"/>
      <c r="DL617" s="335"/>
      <c r="DM617" s="335"/>
      <c r="DN617" s="335"/>
      <c r="DO617" s="335"/>
      <c r="DP617" s="335"/>
      <c r="DQ617" s="335"/>
      <c r="DR617" s="335"/>
      <c r="DS617" s="335"/>
      <c r="DT617" s="335"/>
      <c r="DU617" s="335"/>
      <c r="DV617" s="335"/>
      <c r="DW617" s="335"/>
      <c r="DX617" s="335"/>
      <c r="DY617" s="335"/>
      <c r="DZ617" s="335"/>
      <c r="EA617" s="335"/>
      <c r="EB617" s="335"/>
      <c r="EC617" s="335"/>
      <c r="ED617" s="335"/>
      <c r="EE617" s="335"/>
      <c r="EF617" s="335"/>
      <c r="EG617" s="335"/>
      <c r="EH617" s="335"/>
      <c r="EI617" s="335"/>
      <c r="EJ617" s="335"/>
      <c r="EK617" s="335"/>
      <c r="EL617" s="335"/>
      <c r="EM617" s="335"/>
    </row>
    <row r="618" spans="72:143">
      <c r="BT618" s="187"/>
      <c r="BU618" s="187" t="s">
        <v>97</v>
      </c>
      <c r="BV618" s="196">
        <v>120034</v>
      </c>
      <c r="BW618" s="197" t="e">
        <f t="shared" si="147"/>
        <v>#REF!</v>
      </c>
      <c r="BX618" s="198" t="e">
        <f>IF(AND(State_LOB_Code=18,LEFT(BW618,4)&lt;"2009"),81,State_LOB_Code)&amp;"|388"</f>
        <v>#REF!</v>
      </c>
      <c r="BY618" s="215"/>
      <c r="BZ618" s="216"/>
      <c r="CD618" s="163"/>
      <c r="CE618" s="363"/>
      <c r="CF618" s="335"/>
      <c r="CG618" s="335"/>
      <c r="CH618" s="335"/>
      <c r="CI618" s="335"/>
      <c r="CJ618" s="335"/>
      <c r="CK618" s="335"/>
      <c r="CL618" s="335"/>
      <c r="CM618" s="335"/>
      <c r="CN618" s="335"/>
      <c r="CO618" s="335"/>
      <c r="CP618" s="335"/>
      <c r="CQ618" s="335"/>
      <c r="CR618" s="335"/>
      <c r="CS618" s="335"/>
      <c r="CT618" s="335"/>
      <c r="CU618" s="335"/>
      <c r="CV618" s="335"/>
      <c r="CW618" s="335"/>
      <c r="CX618" s="335"/>
      <c r="CY618" s="335"/>
      <c r="CZ618" s="335"/>
      <c r="DA618" s="335"/>
      <c r="DB618" s="335"/>
      <c r="DC618" s="335"/>
      <c r="DD618" s="335"/>
      <c r="DE618" s="335"/>
      <c r="DF618" s="335"/>
      <c r="DG618" s="335"/>
      <c r="DH618" s="335"/>
      <c r="DI618" s="335"/>
      <c r="DJ618" s="335"/>
      <c r="DK618" s="335"/>
      <c r="DL618" s="335"/>
      <c r="DM618" s="335"/>
      <c r="DN618" s="335"/>
      <c r="DO618" s="335"/>
      <c r="DP618" s="335"/>
      <c r="DQ618" s="335"/>
      <c r="DR618" s="335"/>
      <c r="DS618" s="335"/>
      <c r="DT618" s="335"/>
      <c r="DU618" s="335"/>
      <c r="DV618" s="335"/>
      <c r="DW618" s="335"/>
      <c r="DX618" s="335"/>
      <c r="DY618" s="335"/>
      <c r="DZ618" s="335"/>
      <c r="EA618" s="335"/>
      <c r="EB618" s="335"/>
      <c r="EC618" s="335"/>
      <c r="ED618" s="335"/>
      <c r="EE618" s="335"/>
      <c r="EF618" s="335"/>
      <c r="EG618" s="335"/>
      <c r="EH618" s="335"/>
      <c r="EI618" s="335"/>
      <c r="EJ618" s="335"/>
      <c r="EK618" s="335"/>
      <c r="EL618" s="335"/>
      <c r="EM618" s="335"/>
    </row>
    <row r="619" spans="72:143">
      <c r="BT619" s="187"/>
      <c r="BU619" s="189" t="s">
        <v>137</v>
      </c>
      <c r="BV619" s="199">
        <v>120034</v>
      </c>
      <c r="BW619" s="200" t="e">
        <f t="shared" si="147"/>
        <v>#REF!</v>
      </c>
      <c r="BX619" s="201" t="e">
        <f>IF(AND(State_LOB_Code=18,LEFT(BW619,4)&lt;"2009"),81,State_LOB_Code)&amp;"|600"</f>
        <v>#REF!</v>
      </c>
      <c r="BY619" s="217"/>
      <c r="BZ619" s="218"/>
      <c r="CD619" s="163"/>
      <c r="CE619" s="363"/>
      <c r="CF619" s="335"/>
      <c r="CG619" s="335"/>
      <c r="CH619" s="335"/>
      <c r="CI619" s="335"/>
      <c r="CJ619" s="335"/>
      <c r="CK619" s="335"/>
      <c r="CL619" s="335"/>
      <c r="CM619" s="335"/>
      <c r="CN619" s="335"/>
      <c r="CO619" s="335"/>
      <c r="CP619" s="335"/>
      <c r="CQ619" s="335"/>
      <c r="CR619" s="335"/>
      <c r="CS619" s="335"/>
      <c r="CT619" s="335"/>
      <c r="CU619" s="335"/>
      <c r="CV619" s="335"/>
      <c r="CW619" s="335"/>
      <c r="CX619" s="335"/>
      <c r="CY619" s="335"/>
      <c r="CZ619" s="335"/>
      <c r="DA619" s="335"/>
      <c r="DB619" s="335"/>
      <c r="DC619" s="335"/>
      <c r="DD619" s="335"/>
      <c r="DE619" s="335"/>
      <c r="DF619" s="335"/>
      <c r="DG619" s="335"/>
      <c r="DH619" s="335"/>
      <c r="DI619" s="335"/>
      <c r="DJ619" s="335"/>
      <c r="DK619" s="335"/>
      <c r="DL619" s="335"/>
      <c r="DM619" s="335"/>
      <c r="DN619" s="335"/>
      <c r="DO619" s="335"/>
      <c r="DP619" s="335"/>
      <c r="DQ619" s="335"/>
      <c r="DR619" s="335"/>
      <c r="DS619" s="335"/>
      <c r="DT619" s="335"/>
      <c r="DU619" s="335"/>
      <c r="DV619" s="335"/>
      <c r="DW619" s="335"/>
      <c r="DX619" s="335"/>
      <c r="DY619" s="335"/>
      <c r="DZ619" s="335"/>
      <c r="EA619" s="335"/>
      <c r="EB619" s="335"/>
      <c r="EC619" s="335"/>
      <c r="ED619" s="335"/>
      <c r="EE619" s="335"/>
      <c r="EF619" s="335"/>
      <c r="EG619" s="335"/>
      <c r="EH619" s="335"/>
      <c r="EI619" s="335"/>
      <c r="EJ619" s="335"/>
      <c r="EK619" s="335"/>
      <c r="EL619" s="335"/>
      <c r="EM619" s="335"/>
    </row>
    <row r="620" spans="72:143">
      <c r="BT620" s="187"/>
      <c r="BU620" s="187" t="s">
        <v>98</v>
      </c>
      <c r="BV620" s="196">
        <v>120034</v>
      </c>
      <c r="BW620" s="197" t="e">
        <f t="shared" si="147"/>
        <v>#REF!</v>
      </c>
      <c r="BX620" s="198" t="e">
        <f>IF(AND(State_LOB_Code=18,LEFT(BW620,4)&lt;"2009"),81,State_LOB_Code)&amp;"|336"</f>
        <v>#REF!</v>
      </c>
      <c r="BY620" s="215"/>
      <c r="BZ620" s="216"/>
      <c r="CD620" s="163"/>
      <c r="CE620" s="363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  <c r="DF620" s="335"/>
      <c r="DG620" s="335"/>
      <c r="DH620" s="335"/>
      <c r="DI620" s="335"/>
      <c r="DJ620" s="335"/>
      <c r="DK620" s="335"/>
      <c r="DL620" s="335"/>
      <c r="DM620" s="335"/>
      <c r="DN620" s="335"/>
      <c r="DO620" s="335"/>
      <c r="DP620" s="335"/>
      <c r="DQ620" s="335"/>
      <c r="DR620" s="335"/>
      <c r="DS620" s="335"/>
      <c r="DT620" s="335"/>
      <c r="DU620" s="335"/>
      <c r="DV620" s="335"/>
      <c r="DW620" s="335"/>
      <c r="DX620" s="335"/>
      <c r="DY620" s="335"/>
      <c r="DZ620" s="335"/>
      <c r="EA620" s="335"/>
      <c r="EB620" s="335"/>
      <c r="EC620" s="335"/>
      <c r="ED620" s="335"/>
      <c r="EE620" s="335"/>
      <c r="EF620" s="335"/>
      <c r="EG620" s="335"/>
      <c r="EH620" s="335"/>
      <c r="EI620" s="335"/>
      <c r="EJ620" s="335"/>
      <c r="EK620" s="335"/>
      <c r="EL620" s="335"/>
      <c r="EM620" s="335"/>
    </row>
    <row r="621" spans="72:143">
      <c r="BT621" s="187"/>
      <c r="BU621" s="187" t="s">
        <v>99</v>
      </c>
      <c r="BV621" s="196">
        <v>120034</v>
      </c>
      <c r="BW621" s="197" t="e">
        <f t="shared" si="147"/>
        <v>#REF!</v>
      </c>
      <c r="BX621" s="198" t="e">
        <f>IF(AND(State_LOB_Code=18,LEFT(BW621,4)&lt;"2009"),81,State_LOB_Code)&amp;"|345"</f>
        <v>#REF!</v>
      </c>
      <c r="BY621" s="215"/>
      <c r="BZ621" s="216"/>
      <c r="CD621" s="163"/>
      <c r="CE621" s="363"/>
      <c r="CF621" s="335"/>
      <c r="CG621" s="335"/>
      <c r="CH621" s="335"/>
      <c r="CI621" s="335"/>
      <c r="CJ621" s="335"/>
      <c r="CK621" s="335"/>
      <c r="CL621" s="335"/>
      <c r="CM621" s="335"/>
      <c r="CN621" s="335"/>
      <c r="CO621" s="335"/>
      <c r="CP621" s="335"/>
      <c r="CQ621" s="335"/>
      <c r="CR621" s="335"/>
      <c r="CS621" s="335"/>
      <c r="CT621" s="335"/>
      <c r="CU621" s="335"/>
      <c r="CV621" s="335"/>
      <c r="CW621" s="335"/>
      <c r="CX621" s="335"/>
      <c r="CY621" s="335"/>
      <c r="CZ621" s="335"/>
      <c r="DA621" s="335"/>
      <c r="DB621" s="335"/>
      <c r="DC621" s="335"/>
      <c r="DD621" s="335"/>
      <c r="DE621" s="335"/>
      <c r="DF621" s="335"/>
      <c r="DG621" s="335"/>
      <c r="DH621" s="335"/>
      <c r="DI621" s="335"/>
      <c r="DJ621" s="335"/>
      <c r="DK621" s="335"/>
      <c r="DL621" s="335"/>
      <c r="DM621" s="335"/>
      <c r="DN621" s="335"/>
      <c r="DO621" s="335"/>
      <c r="DP621" s="335"/>
      <c r="DQ621" s="335"/>
      <c r="DR621" s="335"/>
      <c r="DS621" s="335"/>
      <c r="DT621" s="335"/>
      <c r="DU621" s="335"/>
      <c r="DV621" s="335"/>
      <c r="DW621" s="335"/>
      <c r="DX621" s="335"/>
      <c r="DY621" s="335"/>
      <c r="DZ621" s="335"/>
      <c r="EA621" s="335"/>
      <c r="EB621" s="335"/>
      <c r="EC621" s="335"/>
      <c r="ED621" s="335"/>
      <c r="EE621" s="335"/>
      <c r="EF621" s="335"/>
      <c r="EG621" s="335"/>
      <c r="EH621" s="335"/>
      <c r="EI621" s="335"/>
      <c r="EJ621" s="335"/>
      <c r="EK621" s="335"/>
      <c r="EL621" s="335"/>
      <c r="EM621" s="335"/>
    </row>
    <row r="622" spans="72:143">
      <c r="BT622" s="187"/>
      <c r="BU622" s="187" t="s">
        <v>100</v>
      </c>
      <c r="BV622" s="196">
        <v>120034</v>
      </c>
      <c r="BW622" s="197" t="e">
        <f t="shared" si="147"/>
        <v>#REF!</v>
      </c>
      <c r="BX622" s="198" t="e">
        <f>IF(AND(State_LOB_Code=18,LEFT(BW622,4)&lt;"2009"),81,State_LOB_Code)&amp;"|360"</f>
        <v>#REF!</v>
      </c>
      <c r="BY622" s="215"/>
      <c r="BZ622" s="216"/>
      <c r="CD622" s="163"/>
      <c r="CE622" s="363"/>
      <c r="CF622" s="335"/>
      <c r="CG622" s="335"/>
      <c r="CH622" s="335"/>
      <c r="CI622" s="335"/>
      <c r="CJ622" s="335"/>
      <c r="CK622" s="335"/>
      <c r="CL622" s="335"/>
      <c r="CM622" s="335"/>
      <c r="CN622" s="335"/>
      <c r="CO622" s="335"/>
      <c r="CP622" s="335"/>
      <c r="CQ622" s="335"/>
      <c r="CR622" s="335"/>
      <c r="CS622" s="335"/>
      <c r="CT622" s="335"/>
      <c r="CU622" s="335"/>
      <c r="CV622" s="335"/>
      <c r="CW622" s="335"/>
      <c r="CX622" s="335"/>
      <c r="CY622" s="335"/>
      <c r="CZ622" s="335"/>
      <c r="DA622" s="335"/>
      <c r="DB622" s="335"/>
      <c r="DC622" s="335"/>
      <c r="DD622" s="335"/>
      <c r="DE622" s="335"/>
      <c r="DF622" s="335"/>
      <c r="DG622" s="335"/>
      <c r="DH622" s="335"/>
      <c r="DI622" s="335"/>
      <c r="DJ622" s="335"/>
      <c r="DK622" s="335"/>
      <c r="DL622" s="335"/>
      <c r="DM622" s="335"/>
      <c r="DN622" s="335"/>
      <c r="DO622" s="335"/>
      <c r="DP622" s="335"/>
      <c r="DQ622" s="335"/>
      <c r="DR622" s="335"/>
      <c r="DS622" s="335"/>
      <c r="DT622" s="335"/>
      <c r="DU622" s="335"/>
      <c r="DV622" s="335"/>
      <c r="DW622" s="335"/>
      <c r="DX622" s="335"/>
      <c r="DY622" s="335"/>
      <c r="DZ622" s="335"/>
      <c r="EA622" s="335"/>
      <c r="EB622" s="335"/>
      <c r="EC622" s="335"/>
      <c r="ED622" s="335"/>
      <c r="EE622" s="335"/>
      <c r="EF622" s="335"/>
      <c r="EG622" s="335"/>
      <c r="EH622" s="335"/>
      <c r="EI622" s="335"/>
      <c r="EJ622" s="335"/>
      <c r="EK622" s="335"/>
      <c r="EL622" s="335"/>
      <c r="EM622" s="335"/>
    </row>
    <row r="623" spans="72:143">
      <c r="BT623" s="187"/>
      <c r="BU623" s="187" t="s">
        <v>101</v>
      </c>
      <c r="BV623" s="196">
        <v>120034</v>
      </c>
      <c r="BW623" s="197" t="e">
        <f t="shared" si="147"/>
        <v>#REF!</v>
      </c>
      <c r="BX623" s="198" t="e">
        <f>IF(AND(State_LOB_Code=18,LEFT(BW623,4)&lt;"2009"),81,State_LOB_Code)&amp;"|375"</f>
        <v>#REF!</v>
      </c>
      <c r="BY623" s="215"/>
      <c r="BZ623" s="216"/>
      <c r="CD623" s="163"/>
      <c r="CE623" s="363"/>
      <c r="CF623" s="335"/>
      <c r="CG623" s="335"/>
      <c r="CH623" s="335"/>
      <c r="CI623" s="335"/>
      <c r="CJ623" s="335"/>
      <c r="CK623" s="335"/>
      <c r="CL623" s="335"/>
      <c r="CM623" s="335"/>
      <c r="CN623" s="335"/>
      <c r="CO623" s="335"/>
      <c r="CP623" s="335"/>
      <c r="CQ623" s="335"/>
      <c r="CR623" s="335"/>
      <c r="CS623" s="335"/>
      <c r="CT623" s="335"/>
      <c r="CU623" s="335"/>
      <c r="CV623" s="335"/>
      <c r="CW623" s="335"/>
      <c r="CX623" s="335"/>
      <c r="CY623" s="335"/>
      <c r="CZ623" s="335"/>
      <c r="DA623" s="335"/>
      <c r="DB623" s="335"/>
      <c r="DC623" s="335"/>
      <c r="DD623" s="335"/>
      <c r="DE623" s="335"/>
      <c r="DF623" s="335"/>
      <c r="DG623" s="335"/>
      <c r="DH623" s="335"/>
      <c r="DI623" s="335"/>
      <c r="DJ623" s="335"/>
      <c r="DK623" s="335"/>
      <c r="DL623" s="335"/>
      <c r="DM623" s="335"/>
      <c r="DN623" s="335"/>
      <c r="DO623" s="335"/>
      <c r="DP623" s="335"/>
      <c r="DQ623" s="335"/>
      <c r="DR623" s="335"/>
      <c r="DS623" s="335"/>
      <c r="DT623" s="335"/>
      <c r="DU623" s="335"/>
      <c r="DV623" s="335"/>
      <c r="DW623" s="335"/>
      <c r="DX623" s="335"/>
      <c r="DY623" s="335"/>
      <c r="DZ623" s="335"/>
      <c r="EA623" s="335"/>
      <c r="EB623" s="335"/>
      <c r="EC623" s="335"/>
      <c r="ED623" s="335"/>
      <c r="EE623" s="335"/>
      <c r="EF623" s="335"/>
      <c r="EG623" s="335"/>
      <c r="EH623" s="335"/>
      <c r="EI623" s="335"/>
      <c r="EJ623" s="335"/>
      <c r="EK623" s="335"/>
      <c r="EL623" s="335"/>
      <c r="EM623" s="335"/>
    </row>
    <row r="624" spans="72:143">
      <c r="BT624" s="187"/>
      <c r="BU624" s="187" t="s">
        <v>102</v>
      </c>
      <c r="BV624" s="196">
        <v>120034</v>
      </c>
      <c r="BW624" s="197" t="e">
        <f t="shared" si="147"/>
        <v>#REF!</v>
      </c>
      <c r="BX624" s="198" t="e">
        <f>IF(AND(State_LOB_Code=18,LEFT(BW624,4)&lt;"2009"),81,State_LOB_Code)&amp;"|383"</f>
        <v>#REF!</v>
      </c>
      <c r="BY624" s="215"/>
      <c r="BZ624" s="216"/>
      <c r="CD624" s="163"/>
      <c r="CE624" s="363"/>
      <c r="CF624" s="335"/>
      <c r="CG624" s="335"/>
      <c r="CH624" s="335"/>
      <c r="CI624" s="335"/>
      <c r="CJ624" s="335"/>
      <c r="CK624" s="335"/>
      <c r="CL624" s="335"/>
      <c r="CM624" s="335"/>
      <c r="CN624" s="335"/>
      <c r="CO624" s="335"/>
      <c r="CP624" s="335"/>
      <c r="CQ624" s="335"/>
      <c r="CR624" s="335"/>
      <c r="CS624" s="335"/>
      <c r="CT624" s="335"/>
      <c r="CU624" s="335"/>
      <c r="CV624" s="335"/>
      <c r="CW624" s="335"/>
      <c r="CX624" s="335"/>
      <c r="CY624" s="335"/>
      <c r="CZ624" s="335"/>
      <c r="DA624" s="335"/>
      <c r="DB624" s="335"/>
      <c r="DC624" s="335"/>
      <c r="DD624" s="335"/>
      <c r="DE624" s="335"/>
      <c r="DF624" s="335"/>
      <c r="DG624" s="335"/>
      <c r="DH624" s="335"/>
      <c r="DI624" s="335"/>
      <c r="DJ624" s="335"/>
      <c r="DK624" s="335"/>
      <c r="DL624" s="335"/>
      <c r="DM624" s="335"/>
      <c r="DN624" s="335"/>
      <c r="DO624" s="335"/>
      <c r="DP624" s="335"/>
      <c r="DQ624" s="335"/>
      <c r="DR624" s="335"/>
      <c r="DS624" s="335"/>
      <c r="DT624" s="335"/>
      <c r="DU624" s="335"/>
      <c r="DV624" s="335"/>
      <c r="DW624" s="335"/>
      <c r="DX624" s="335"/>
      <c r="DY624" s="335"/>
      <c r="DZ624" s="335"/>
      <c r="EA624" s="335"/>
      <c r="EB624" s="335"/>
      <c r="EC624" s="335"/>
      <c r="ED624" s="335"/>
      <c r="EE624" s="335"/>
      <c r="EF624" s="335"/>
      <c r="EG624" s="335"/>
      <c r="EH624" s="335"/>
      <c r="EI624" s="335"/>
      <c r="EJ624" s="335"/>
      <c r="EK624" s="335"/>
      <c r="EL624" s="335"/>
      <c r="EM624" s="335"/>
    </row>
    <row r="625" spans="72:143">
      <c r="BT625" s="187"/>
      <c r="BU625" s="187" t="s">
        <v>103</v>
      </c>
      <c r="BV625" s="196">
        <v>120034</v>
      </c>
      <c r="BW625" s="197" t="e">
        <f t="shared" si="147"/>
        <v>#REF!</v>
      </c>
      <c r="BX625" s="198" t="e">
        <f>IF(AND(State_LOB_Code=18,LEFT(BW625,4)&lt;"2009"),81,State_LOB_Code)&amp;"|332"</f>
        <v>#REF!</v>
      </c>
      <c r="BY625" s="215"/>
      <c r="BZ625" s="216"/>
      <c r="CD625" s="163"/>
      <c r="CE625" s="363"/>
      <c r="CF625" s="335"/>
      <c r="CG625" s="335"/>
      <c r="CH625" s="335"/>
      <c r="CI625" s="335"/>
      <c r="CJ625" s="335"/>
      <c r="CK625" s="335"/>
      <c r="CL625" s="335"/>
      <c r="CM625" s="335"/>
      <c r="CN625" s="335"/>
      <c r="CO625" s="335"/>
      <c r="CP625" s="335"/>
      <c r="CQ625" s="335"/>
      <c r="CR625" s="335"/>
      <c r="CS625" s="335"/>
      <c r="CT625" s="335"/>
      <c r="CU625" s="335"/>
      <c r="CV625" s="335"/>
      <c r="CW625" s="335"/>
      <c r="CX625" s="335"/>
      <c r="CY625" s="335"/>
      <c r="CZ625" s="335"/>
      <c r="DA625" s="335"/>
      <c r="DB625" s="335"/>
      <c r="DC625" s="335"/>
      <c r="DD625" s="335"/>
      <c r="DE625" s="335"/>
      <c r="DF625" s="335"/>
      <c r="DG625" s="335"/>
      <c r="DH625" s="335"/>
      <c r="DI625" s="335"/>
      <c r="DJ625" s="335"/>
      <c r="DK625" s="335"/>
      <c r="DL625" s="335"/>
      <c r="DM625" s="335"/>
      <c r="DN625" s="335"/>
      <c r="DO625" s="335"/>
      <c r="DP625" s="335"/>
      <c r="DQ625" s="335"/>
      <c r="DR625" s="335"/>
      <c r="DS625" s="335"/>
      <c r="DT625" s="335"/>
      <c r="DU625" s="335"/>
      <c r="DV625" s="335"/>
      <c r="DW625" s="335"/>
      <c r="DX625" s="335"/>
      <c r="DY625" s="335"/>
      <c r="DZ625" s="335"/>
      <c r="EA625" s="335"/>
      <c r="EB625" s="335"/>
      <c r="EC625" s="335"/>
      <c r="ED625" s="335"/>
      <c r="EE625" s="335"/>
      <c r="EF625" s="335"/>
      <c r="EG625" s="335"/>
      <c r="EH625" s="335"/>
      <c r="EI625" s="335"/>
      <c r="EJ625" s="335"/>
      <c r="EK625" s="335"/>
      <c r="EL625" s="335"/>
      <c r="EM625" s="335"/>
    </row>
    <row r="626" spans="72:143">
      <c r="BT626" s="187"/>
      <c r="BU626" s="187" t="s">
        <v>104</v>
      </c>
      <c r="BV626" s="196">
        <v>120034</v>
      </c>
      <c r="BW626" s="197" t="e">
        <f t="shared" si="147"/>
        <v>#REF!</v>
      </c>
      <c r="BX626" s="198" t="e">
        <f>IF(AND(State_LOB_Code=18,LEFT(BW626,4)&lt;"2009"),81,State_LOB_Code)&amp;"|330"</f>
        <v>#REF!</v>
      </c>
      <c r="BY626" s="215"/>
      <c r="BZ626" s="216"/>
      <c r="CD626" s="163"/>
      <c r="CE626" s="363"/>
      <c r="CF626" s="335"/>
      <c r="CG626" s="335"/>
      <c r="CH626" s="335"/>
      <c r="CI626" s="335"/>
      <c r="CJ626" s="335"/>
      <c r="CK626" s="335"/>
      <c r="CL626" s="335"/>
      <c r="CM626" s="335"/>
      <c r="CN626" s="335"/>
      <c r="CO626" s="335"/>
      <c r="CP626" s="335"/>
      <c r="CQ626" s="335"/>
      <c r="CR626" s="335"/>
      <c r="CS626" s="335"/>
      <c r="CT626" s="335"/>
      <c r="CU626" s="335"/>
      <c r="CV626" s="335"/>
      <c r="CW626" s="335"/>
      <c r="CX626" s="335"/>
      <c r="CY626" s="335"/>
      <c r="CZ626" s="335"/>
      <c r="DA626" s="335"/>
      <c r="DB626" s="335"/>
      <c r="DC626" s="335"/>
      <c r="DD626" s="335"/>
      <c r="DE626" s="335"/>
      <c r="DF626" s="335"/>
      <c r="DG626" s="335"/>
      <c r="DH626" s="335"/>
      <c r="DI626" s="335"/>
      <c r="DJ626" s="335"/>
      <c r="DK626" s="335"/>
      <c r="DL626" s="335"/>
      <c r="DM626" s="335"/>
      <c r="DN626" s="335"/>
      <c r="DO626" s="335"/>
      <c r="DP626" s="335"/>
      <c r="DQ626" s="335"/>
      <c r="DR626" s="335"/>
      <c r="DS626" s="335"/>
      <c r="DT626" s="335"/>
      <c r="DU626" s="335"/>
      <c r="DV626" s="335"/>
      <c r="DW626" s="335"/>
      <c r="DX626" s="335"/>
      <c r="DY626" s="335"/>
      <c r="DZ626" s="335"/>
      <c r="EA626" s="335"/>
      <c r="EB626" s="335"/>
      <c r="EC626" s="335"/>
      <c r="ED626" s="335"/>
      <c r="EE626" s="335"/>
      <c r="EF626" s="335"/>
      <c r="EG626" s="335"/>
      <c r="EH626" s="335"/>
      <c r="EI626" s="335"/>
      <c r="EJ626" s="335"/>
      <c r="EK626" s="335"/>
      <c r="EL626" s="335"/>
      <c r="EM626" s="335"/>
    </row>
    <row r="627" spans="72:143">
      <c r="BT627" s="180" t="s">
        <v>34</v>
      </c>
      <c r="BU627" s="190" t="s">
        <v>46</v>
      </c>
      <c r="BV627" s="202">
        <v>124055</v>
      </c>
      <c r="BW627" s="203" t="e">
        <f t="shared" si="147"/>
        <v>#REF!</v>
      </c>
      <c r="BX627" s="204" t="e">
        <f>IF(AND(State_LOB_Code=18,LEFT(BW627,4)&lt;"2009"),81,State_LOB_Code)</f>
        <v>#REF!</v>
      </c>
      <c r="BY627" s="219"/>
      <c r="BZ627" s="220"/>
      <c r="CD627" s="163"/>
      <c r="CE627" s="363"/>
      <c r="CF627" s="335"/>
      <c r="CG627" s="335"/>
      <c r="CH627" s="335"/>
      <c r="CI627" s="335"/>
      <c r="CJ627" s="335"/>
      <c r="CK627" s="335"/>
      <c r="CL627" s="335"/>
      <c r="CM627" s="335"/>
      <c r="CN627" s="335"/>
      <c r="CO627" s="335"/>
      <c r="CP627" s="335"/>
      <c r="CQ627" s="335"/>
      <c r="CR627" s="335"/>
      <c r="CS627" s="335"/>
      <c r="CT627" s="335"/>
      <c r="CU627" s="335"/>
      <c r="CV627" s="335"/>
      <c r="CW627" s="335"/>
      <c r="CX627" s="335"/>
      <c r="CY627" s="335"/>
      <c r="CZ627" s="335"/>
      <c r="DA627" s="335"/>
      <c r="DB627" s="335"/>
      <c r="DC627" s="335"/>
      <c r="DD627" s="335"/>
      <c r="DE627" s="335"/>
      <c r="DF627" s="335"/>
      <c r="DG627" s="335"/>
      <c r="DH627" s="335"/>
      <c r="DI627" s="335"/>
      <c r="DJ627" s="335"/>
      <c r="DK627" s="335"/>
      <c r="DL627" s="335"/>
      <c r="DM627" s="335"/>
      <c r="DN627" s="335"/>
      <c r="DO627" s="335"/>
      <c r="DP627" s="335"/>
      <c r="DQ627" s="335"/>
      <c r="DR627" s="335"/>
      <c r="DS627" s="335"/>
      <c r="DT627" s="335"/>
      <c r="DU627" s="335"/>
      <c r="DV627" s="335"/>
      <c r="DW627" s="335"/>
      <c r="DX627" s="335"/>
      <c r="DY627" s="335"/>
      <c r="DZ627" s="335"/>
      <c r="EA627" s="335"/>
      <c r="EB627" s="335"/>
      <c r="EC627" s="335"/>
      <c r="ED627" s="335"/>
      <c r="EE627" s="335"/>
      <c r="EF627" s="335"/>
      <c r="EG627" s="335"/>
      <c r="EH627" s="335"/>
      <c r="EI627" s="335"/>
      <c r="EJ627" s="335"/>
      <c r="EK627" s="335"/>
      <c r="EL627" s="335"/>
      <c r="EM627" s="335"/>
    </row>
    <row r="628" spans="72:143">
      <c r="BT628" s="221"/>
      <c r="BU628" s="184"/>
      <c r="BV628" s="211"/>
      <c r="BW628" s="208"/>
      <c r="BX628" s="212"/>
      <c r="BY628" s="210"/>
      <c r="BZ628" s="209"/>
      <c r="CD628" s="163"/>
      <c r="CE628" s="363"/>
      <c r="CF628" s="335"/>
      <c r="CG628" s="335"/>
      <c r="CH628" s="335"/>
      <c r="CI628" s="335"/>
      <c r="CJ628" s="335"/>
      <c r="CK628" s="335"/>
      <c r="CL628" s="335"/>
      <c r="CM628" s="335"/>
      <c r="CN628" s="335"/>
      <c r="CO628" s="335"/>
      <c r="CP628" s="335"/>
      <c r="CQ628" s="335"/>
      <c r="CR628" s="335"/>
      <c r="CS628" s="335"/>
      <c r="CT628" s="335"/>
      <c r="CU628" s="335"/>
      <c r="CV628" s="335"/>
      <c r="CW628" s="335"/>
      <c r="CX628" s="335"/>
      <c r="CY628" s="335"/>
      <c r="CZ628" s="335"/>
      <c r="DA628" s="335"/>
      <c r="DB628" s="335"/>
      <c r="DC628" s="335"/>
      <c r="DD628" s="335"/>
      <c r="DE628" s="335"/>
      <c r="DF628" s="335"/>
      <c r="DG628" s="335"/>
      <c r="DH628" s="335"/>
      <c r="DI628" s="335"/>
      <c r="DJ628" s="335"/>
      <c r="DK628" s="335"/>
      <c r="DL628" s="335"/>
      <c r="DM628" s="335"/>
      <c r="DN628" s="335"/>
      <c r="DO628" s="335"/>
      <c r="DP628" s="335"/>
      <c r="DQ628" s="335"/>
      <c r="DR628" s="335"/>
      <c r="DS628" s="335"/>
      <c r="DT628" s="335"/>
      <c r="DU628" s="335"/>
      <c r="DV628" s="335"/>
      <c r="DW628" s="335"/>
      <c r="DX628" s="335"/>
      <c r="DY628" s="335"/>
      <c r="DZ628" s="335"/>
      <c r="EA628" s="335"/>
      <c r="EB628" s="335"/>
      <c r="EC628" s="335"/>
      <c r="ED628" s="335"/>
      <c r="EE628" s="335"/>
      <c r="EF628" s="335"/>
      <c r="EG628" s="335"/>
      <c r="EH628" s="335"/>
      <c r="EI628" s="335"/>
      <c r="EJ628" s="335"/>
      <c r="EK628" s="335"/>
      <c r="EL628" s="335"/>
      <c r="EM628" s="335"/>
    </row>
    <row r="629" spans="72:143">
      <c r="BT629" s="180" t="s">
        <v>24</v>
      </c>
      <c r="BU629" s="180"/>
      <c r="BV629" s="181"/>
      <c r="BW629" s="182"/>
      <c r="BX629" s="182"/>
      <c r="BY629" s="183"/>
      <c r="BZ629" s="229"/>
      <c r="CD629" s="163"/>
      <c r="CE629" s="363"/>
      <c r="CF629" s="335"/>
      <c r="CG629" s="335"/>
      <c r="CH629" s="335"/>
      <c r="CI629" s="335"/>
      <c r="CJ629" s="335"/>
      <c r="CK629" s="335"/>
      <c r="CL629" s="335"/>
      <c r="CM629" s="335"/>
      <c r="CN629" s="335"/>
      <c r="CO629" s="335"/>
      <c r="CP629" s="335"/>
      <c r="CQ629" s="335"/>
      <c r="CR629" s="335"/>
      <c r="CS629" s="335"/>
      <c r="CT629" s="335"/>
      <c r="CU629" s="335"/>
      <c r="CV629" s="335"/>
      <c r="CW629" s="335"/>
      <c r="CX629" s="335"/>
      <c r="CY629" s="335"/>
      <c r="CZ629" s="335"/>
      <c r="DA629" s="335"/>
      <c r="DB629" s="335"/>
      <c r="DC629" s="335"/>
      <c r="DD629" s="335"/>
      <c r="DE629" s="335"/>
      <c r="DF629" s="335"/>
      <c r="DG629" s="335"/>
      <c r="DH629" s="335"/>
      <c r="DI629" s="335"/>
      <c r="DJ629" s="335"/>
      <c r="DK629" s="335"/>
      <c r="DL629" s="335"/>
      <c r="DM629" s="335"/>
      <c r="DN629" s="335"/>
      <c r="DO629" s="335"/>
      <c r="DP629" s="335"/>
      <c r="DQ629" s="335"/>
      <c r="DR629" s="335"/>
      <c r="DS629" s="335"/>
      <c r="DT629" s="335"/>
      <c r="DU629" s="335"/>
      <c r="DV629" s="335"/>
      <c r="DW629" s="335"/>
      <c r="DX629" s="335"/>
      <c r="DY629" s="335"/>
      <c r="DZ629" s="335"/>
      <c r="EA629" s="335"/>
      <c r="EB629" s="335"/>
      <c r="EC629" s="335"/>
      <c r="ED629" s="335"/>
      <c r="EE629" s="335"/>
      <c r="EF629" s="335"/>
      <c r="EG629" s="335"/>
      <c r="EH629" s="335"/>
      <c r="EI629" s="335"/>
      <c r="EJ629" s="335"/>
      <c r="EK629" s="335"/>
      <c r="EL629" s="335"/>
      <c r="EM629" s="335"/>
    </row>
    <row r="630" spans="72:143">
      <c r="BT630" s="187"/>
      <c r="BU630" s="184" t="s">
        <v>47</v>
      </c>
      <c r="BV630" s="193">
        <v>120045</v>
      </c>
      <c r="BW630" s="194" t="e">
        <f t="shared" ref="BW630:BW661" si="148">Period_Y</f>
        <v>#REF!</v>
      </c>
      <c r="BX630" s="195" t="e">
        <f>IF(AND(State_LOB_Code=18,LEFT(BW630,4)&lt;"2009"),81,State_LOB_Code)&amp;"|333"</f>
        <v>#REF!</v>
      </c>
      <c r="BY630" s="185"/>
      <c r="BZ630" s="186"/>
      <c r="CD630" s="163"/>
      <c r="CE630" s="363"/>
      <c r="CF630" s="335"/>
      <c r="CG630" s="335"/>
      <c r="CH630" s="335"/>
      <c r="CI630" s="335"/>
      <c r="CJ630" s="335"/>
      <c r="CK630" s="335"/>
      <c r="CL630" s="335"/>
      <c r="CM630" s="335"/>
      <c r="CN630" s="335"/>
      <c r="CO630" s="335"/>
      <c r="CP630" s="335"/>
      <c r="CQ630" s="335"/>
      <c r="CR630" s="335"/>
      <c r="CS630" s="335"/>
      <c r="CT630" s="335"/>
      <c r="CU630" s="335"/>
      <c r="CV630" s="335"/>
      <c r="CW630" s="335"/>
      <c r="CX630" s="335"/>
      <c r="CY630" s="335"/>
      <c r="CZ630" s="335"/>
      <c r="DA630" s="335"/>
      <c r="DB630" s="335"/>
      <c r="DC630" s="335"/>
      <c r="DD630" s="335"/>
      <c r="DE630" s="335"/>
      <c r="DF630" s="335"/>
      <c r="DG630" s="335"/>
      <c r="DH630" s="335"/>
      <c r="DI630" s="335"/>
      <c r="DJ630" s="335"/>
      <c r="DK630" s="335"/>
      <c r="DL630" s="335"/>
      <c r="DM630" s="335"/>
      <c r="DN630" s="335"/>
      <c r="DO630" s="335"/>
      <c r="DP630" s="335"/>
      <c r="DQ630" s="335"/>
      <c r="DR630" s="335"/>
      <c r="DS630" s="335"/>
      <c r="DT630" s="335"/>
      <c r="DU630" s="335"/>
      <c r="DV630" s="335"/>
      <c r="DW630" s="335"/>
      <c r="DX630" s="335"/>
      <c r="DY630" s="335"/>
      <c r="DZ630" s="335"/>
      <c r="EA630" s="335"/>
      <c r="EB630" s="335"/>
      <c r="EC630" s="335"/>
      <c r="ED630" s="335"/>
      <c r="EE630" s="335"/>
      <c r="EF630" s="335"/>
      <c r="EG630" s="335"/>
      <c r="EH630" s="335"/>
      <c r="EI630" s="335"/>
      <c r="EJ630" s="335"/>
      <c r="EK630" s="335"/>
      <c r="EL630" s="335"/>
      <c r="EM630" s="335"/>
    </row>
    <row r="631" spans="72:143">
      <c r="BT631" s="187"/>
      <c r="BU631" s="187" t="s">
        <v>48</v>
      </c>
      <c r="BV631" s="196">
        <v>120045</v>
      </c>
      <c r="BW631" s="197" t="e">
        <f t="shared" si="148"/>
        <v>#REF!</v>
      </c>
      <c r="BX631" s="198" t="e">
        <f>IF(AND(State_LOB_Code=18,LEFT(BW631,4)&lt;"2009"),81,State_LOB_Code)&amp;"|334"</f>
        <v>#REF!</v>
      </c>
      <c r="BY631" s="174"/>
      <c r="BZ631" s="175"/>
      <c r="CD631" s="163"/>
      <c r="CE631" s="363"/>
      <c r="CF631" s="335"/>
      <c r="CG631" s="335"/>
      <c r="CH631" s="335"/>
      <c r="CI631" s="335"/>
      <c r="CJ631" s="335"/>
      <c r="CK631" s="335"/>
      <c r="CL631" s="335"/>
      <c r="CM631" s="335"/>
      <c r="CN631" s="335"/>
      <c r="CO631" s="335"/>
      <c r="CP631" s="335"/>
      <c r="CQ631" s="335"/>
      <c r="CR631" s="335"/>
      <c r="CS631" s="335"/>
      <c r="CT631" s="335"/>
      <c r="CU631" s="335"/>
      <c r="CV631" s="335"/>
      <c r="CW631" s="335"/>
      <c r="CX631" s="335"/>
      <c r="CY631" s="335"/>
      <c r="CZ631" s="335"/>
      <c r="DA631" s="335"/>
      <c r="DB631" s="335"/>
      <c r="DC631" s="335"/>
      <c r="DD631" s="335"/>
      <c r="DE631" s="335"/>
      <c r="DF631" s="335"/>
      <c r="DG631" s="335"/>
      <c r="DH631" s="335"/>
      <c r="DI631" s="335"/>
      <c r="DJ631" s="335"/>
      <c r="DK631" s="335"/>
      <c r="DL631" s="335"/>
      <c r="DM631" s="335"/>
      <c r="DN631" s="335"/>
      <c r="DO631" s="335"/>
      <c r="DP631" s="335"/>
      <c r="DQ631" s="335"/>
      <c r="DR631" s="335"/>
      <c r="DS631" s="335"/>
      <c r="DT631" s="335"/>
      <c r="DU631" s="335"/>
      <c r="DV631" s="335"/>
      <c r="DW631" s="335"/>
      <c r="DX631" s="335"/>
      <c r="DY631" s="335"/>
      <c r="DZ631" s="335"/>
      <c r="EA631" s="335"/>
      <c r="EB631" s="335"/>
      <c r="EC631" s="335"/>
      <c r="ED631" s="335"/>
      <c r="EE631" s="335"/>
      <c r="EF631" s="335"/>
      <c r="EG631" s="335"/>
      <c r="EH631" s="335"/>
      <c r="EI631" s="335"/>
      <c r="EJ631" s="335"/>
      <c r="EK631" s="335"/>
      <c r="EL631" s="335"/>
      <c r="EM631" s="335"/>
    </row>
    <row r="632" spans="72:143">
      <c r="BT632" s="187"/>
      <c r="BU632" s="187" t="s">
        <v>49</v>
      </c>
      <c r="BV632" s="196">
        <v>120045</v>
      </c>
      <c r="BW632" s="197" t="e">
        <f t="shared" si="148"/>
        <v>#REF!</v>
      </c>
      <c r="BX632" s="198" t="e">
        <f>IF(AND(State_LOB_Code=18,LEFT(BW632,4)&lt;"2009"),81,State_LOB_Code)&amp;"|335"</f>
        <v>#REF!</v>
      </c>
      <c r="BY632" s="174"/>
      <c r="BZ632" s="175"/>
      <c r="CD632" s="163"/>
      <c r="CE632" s="363"/>
      <c r="CF632" s="335"/>
      <c r="CG632" s="335"/>
      <c r="CH632" s="335"/>
      <c r="CI632" s="335"/>
      <c r="CJ632" s="335"/>
      <c r="CK632" s="335"/>
      <c r="CL632" s="335"/>
      <c r="CM632" s="335"/>
      <c r="CN632" s="335"/>
      <c r="CO632" s="335"/>
      <c r="CP632" s="335"/>
      <c r="CQ632" s="335"/>
      <c r="CR632" s="335"/>
      <c r="CS632" s="335"/>
      <c r="CT632" s="335"/>
      <c r="CU632" s="335"/>
      <c r="CV632" s="335"/>
      <c r="CW632" s="335"/>
      <c r="CX632" s="335"/>
      <c r="CY632" s="335"/>
      <c r="CZ632" s="335"/>
      <c r="DA632" s="335"/>
      <c r="DB632" s="335"/>
      <c r="DC632" s="335"/>
      <c r="DD632" s="335"/>
      <c r="DE632" s="335"/>
      <c r="DF632" s="335"/>
      <c r="DG632" s="335"/>
      <c r="DH632" s="335"/>
      <c r="DI632" s="335"/>
      <c r="DJ632" s="335"/>
      <c r="DK632" s="335"/>
      <c r="DL632" s="335"/>
      <c r="DM632" s="335"/>
      <c r="DN632" s="335"/>
      <c r="DO632" s="335"/>
      <c r="DP632" s="335"/>
      <c r="DQ632" s="335"/>
      <c r="DR632" s="335"/>
      <c r="DS632" s="335"/>
      <c r="DT632" s="335"/>
      <c r="DU632" s="335"/>
      <c r="DV632" s="335"/>
      <c r="DW632" s="335"/>
      <c r="DX632" s="335"/>
      <c r="DY632" s="335"/>
      <c r="DZ632" s="335"/>
      <c r="EA632" s="335"/>
      <c r="EB632" s="335"/>
      <c r="EC632" s="335"/>
      <c r="ED632" s="335"/>
      <c r="EE632" s="335"/>
      <c r="EF632" s="335"/>
      <c r="EG632" s="335"/>
      <c r="EH632" s="335"/>
      <c r="EI632" s="335"/>
      <c r="EJ632" s="335"/>
      <c r="EK632" s="335"/>
      <c r="EL632" s="335"/>
      <c r="EM632" s="335"/>
    </row>
    <row r="633" spans="72:143">
      <c r="BT633" s="187"/>
      <c r="BU633" s="187" t="s">
        <v>50</v>
      </c>
      <c r="BV633" s="196">
        <v>120045</v>
      </c>
      <c r="BW633" s="197" t="e">
        <f t="shared" si="148"/>
        <v>#REF!</v>
      </c>
      <c r="BX633" s="198" t="e">
        <f>IF(AND(State_LOB_Code=18,LEFT(BW633,4)&lt;"2009"),81,State_LOB_Code)&amp;"|337"</f>
        <v>#REF!</v>
      </c>
      <c r="BY633" s="174"/>
      <c r="BZ633" s="175"/>
      <c r="CD633" s="163"/>
      <c r="CE633" s="363"/>
      <c r="CF633" s="335"/>
      <c r="CG633" s="335"/>
      <c r="CH633" s="335"/>
      <c r="CI633" s="335"/>
      <c r="CJ633" s="335"/>
      <c r="CK633" s="335"/>
      <c r="CL633" s="335"/>
      <c r="CM633" s="335"/>
      <c r="CN633" s="335"/>
      <c r="CO633" s="335"/>
      <c r="CP633" s="335"/>
      <c r="CQ633" s="335"/>
      <c r="CR633" s="335"/>
      <c r="CS633" s="335"/>
      <c r="CT633" s="335"/>
      <c r="CU633" s="335"/>
      <c r="CV633" s="335"/>
      <c r="CW633" s="335"/>
      <c r="CX633" s="335"/>
      <c r="CY633" s="335"/>
      <c r="CZ633" s="335"/>
      <c r="DA633" s="335"/>
      <c r="DB633" s="335"/>
      <c r="DC633" s="335"/>
      <c r="DD633" s="335"/>
      <c r="DE633" s="335"/>
      <c r="DF633" s="335"/>
      <c r="DG633" s="335"/>
      <c r="DH633" s="335"/>
      <c r="DI633" s="335"/>
      <c r="DJ633" s="335"/>
      <c r="DK633" s="335"/>
      <c r="DL633" s="335"/>
      <c r="DM633" s="335"/>
      <c r="DN633" s="335"/>
      <c r="DO633" s="335"/>
      <c r="DP633" s="335"/>
      <c r="DQ633" s="335"/>
      <c r="DR633" s="335"/>
      <c r="DS633" s="335"/>
      <c r="DT633" s="335"/>
      <c r="DU633" s="335"/>
      <c r="DV633" s="335"/>
      <c r="DW633" s="335"/>
      <c r="DX633" s="335"/>
      <c r="DY633" s="335"/>
      <c r="DZ633" s="335"/>
      <c r="EA633" s="335"/>
      <c r="EB633" s="335"/>
      <c r="EC633" s="335"/>
      <c r="ED633" s="335"/>
      <c r="EE633" s="335"/>
      <c r="EF633" s="335"/>
      <c r="EG633" s="335"/>
      <c r="EH633" s="335"/>
      <c r="EI633" s="335"/>
      <c r="EJ633" s="335"/>
      <c r="EK633" s="335"/>
      <c r="EL633" s="335"/>
      <c r="EM633" s="335"/>
    </row>
    <row r="634" spans="72:143">
      <c r="BT634" s="187"/>
      <c r="BU634" s="187" t="s">
        <v>51</v>
      </c>
      <c r="BV634" s="196">
        <v>120045</v>
      </c>
      <c r="BW634" s="197" t="e">
        <f t="shared" si="148"/>
        <v>#REF!</v>
      </c>
      <c r="BX634" s="198" t="e">
        <f>IF(AND(State_LOB_Code=18,LEFT(BW634,4)&lt;"2009"),81,State_LOB_Code)&amp;"|338"</f>
        <v>#REF!</v>
      </c>
      <c r="BY634" s="174"/>
      <c r="BZ634" s="175"/>
      <c r="CD634" s="163"/>
      <c r="CE634" s="363"/>
      <c r="CF634" s="335"/>
      <c r="CG634" s="335"/>
      <c r="CH634" s="335"/>
      <c r="CI634" s="335"/>
      <c r="CJ634" s="335"/>
      <c r="CK634" s="335"/>
      <c r="CL634" s="335"/>
      <c r="CM634" s="335"/>
      <c r="CN634" s="335"/>
      <c r="CO634" s="335"/>
      <c r="CP634" s="335"/>
      <c r="CQ634" s="335"/>
      <c r="CR634" s="335"/>
      <c r="CS634" s="335"/>
      <c r="CT634" s="335"/>
      <c r="CU634" s="335"/>
      <c r="CV634" s="335"/>
      <c r="CW634" s="335"/>
      <c r="CX634" s="335"/>
      <c r="CY634" s="335"/>
      <c r="CZ634" s="335"/>
      <c r="DA634" s="335"/>
      <c r="DB634" s="335"/>
      <c r="DC634" s="335"/>
      <c r="DD634" s="335"/>
      <c r="DE634" s="335"/>
      <c r="DF634" s="335"/>
      <c r="DG634" s="335"/>
      <c r="DH634" s="335"/>
      <c r="DI634" s="335"/>
      <c r="DJ634" s="335"/>
      <c r="DK634" s="335"/>
      <c r="DL634" s="335"/>
      <c r="DM634" s="335"/>
      <c r="DN634" s="335"/>
      <c r="DO634" s="335"/>
      <c r="DP634" s="335"/>
      <c r="DQ634" s="335"/>
      <c r="DR634" s="335"/>
      <c r="DS634" s="335"/>
      <c r="DT634" s="335"/>
      <c r="DU634" s="335"/>
      <c r="DV634" s="335"/>
      <c r="DW634" s="335"/>
      <c r="DX634" s="335"/>
      <c r="DY634" s="335"/>
      <c r="DZ634" s="335"/>
      <c r="EA634" s="335"/>
      <c r="EB634" s="335"/>
      <c r="EC634" s="335"/>
      <c r="ED634" s="335"/>
      <c r="EE634" s="335"/>
      <c r="EF634" s="335"/>
      <c r="EG634" s="335"/>
      <c r="EH634" s="335"/>
      <c r="EI634" s="335"/>
      <c r="EJ634" s="335"/>
      <c r="EK634" s="335"/>
      <c r="EL634" s="335"/>
      <c r="EM634" s="335"/>
    </row>
    <row r="635" spans="72:143">
      <c r="BT635" s="187"/>
      <c r="BU635" s="187" t="s">
        <v>52</v>
      </c>
      <c r="BV635" s="196">
        <v>120045</v>
      </c>
      <c r="BW635" s="197" t="e">
        <f t="shared" si="148"/>
        <v>#REF!</v>
      </c>
      <c r="BX635" s="198" t="e">
        <f>IF(AND(State_LOB_Code=18,LEFT(BW635,4)&lt;"2009"),81,State_LOB_Code)&amp;"|339"</f>
        <v>#REF!</v>
      </c>
      <c r="BY635" s="174"/>
      <c r="BZ635" s="175"/>
      <c r="CD635" s="163"/>
      <c r="CE635" s="363"/>
      <c r="CF635" s="335"/>
      <c r="CG635" s="335"/>
      <c r="CH635" s="335"/>
      <c r="CI635" s="335"/>
      <c r="CJ635" s="335"/>
      <c r="CK635" s="335"/>
      <c r="CL635" s="335"/>
      <c r="CM635" s="335"/>
      <c r="CN635" s="335"/>
      <c r="CO635" s="335"/>
      <c r="CP635" s="335"/>
      <c r="CQ635" s="335"/>
      <c r="CR635" s="335"/>
      <c r="CS635" s="335"/>
      <c r="CT635" s="335"/>
      <c r="CU635" s="335"/>
      <c r="CV635" s="335"/>
      <c r="CW635" s="335"/>
      <c r="CX635" s="335"/>
      <c r="CY635" s="335"/>
      <c r="CZ635" s="335"/>
      <c r="DA635" s="335"/>
      <c r="DB635" s="335"/>
      <c r="DC635" s="335"/>
      <c r="DD635" s="335"/>
      <c r="DE635" s="335"/>
      <c r="DF635" s="335"/>
      <c r="DG635" s="335"/>
      <c r="DH635" s="335"/>
      <c r="DI635" s="335"/>
      <c r="DJ635" s="335"/>
      <c r="DK635" s="335"/>
      <c r="DL635" s="335"/>
      <c r="DM635" s="335"/>
      <c r="DN635" s="335"/>
      <c r="DO635" s="335"/>
      <c r="DP635" s="335"/>
      <c r="DQ635" s="335"/>
      <c r="DR635" s="335"/>
      <c r="DS635" s="335"/>
      <c r="DT635" s="335"/>
      <c r="DU635" s="335"/>
      <c r="DV635" s="335"/>
      <c r="DW635" s="335"/>
      <c r="DX635" s="335"/>
      <c r="DY635" s="335"/>
      <c r="DZ635" s="335"/>
      <c r="EA635" s="335"/>
      <c r="EB635" s="335"/>
      <c r="EC635" s="335"/>
      <c r="ED635" s="335"/>
      <c r="EE635" s="335"/>
      <c r="EF635" s="335"/>
      <c r="EG635" s="335"/>
      <c r="EH635" s="335"/>
      <c r="EI635" s="335"/>
      <c r="EJ635" s="335"/>
      <c r="EK635" s="335"/>
      <c r="EL635" s="335"/>
      <c r="EM635" s="335"/>
    </row>
    <row r="636" spans="72:143">
      <c r="BT636" s="187"/>
      <c r="BU636" s="187" t="s">
        <v>53</v>
      </c>
      <c r="BV636" s="196">
        <v>120045</v>
      </c>
      <c r="BW636" s="197" t="e">
        <f t="shared" si="148"/>
        <v>#REF!</v>
      </c>
      <c r="BX636" s="198" t="e">
        <f>IF(AND(State_LOB_Code=18,LEFT(BW636,4)&lt;"2009"),81,State_LOB_Code)&amp;"|340"</f>
        <v>#REF!</v>
      </c>
      <c r="BY636" s="174"/>
      <c r="BZ636" s="175"/>
      <c r="CD636" s="163"/>
      <c r="CE636" s="363"/>
      <c r="CF636" s="335"/>
      <c r="CG636" s="335"/>
      <c r="CH636" s="335"/>
      <c r="CI636" s="335"/>
      <c r="CJ636" s="335"/>
      <c r="CK636" s="335"/>
      <c r="CL636" s="335"/>
      <c r="CM636" s="335"/>
      <c r="CN636" s="335"/>
      <c r="CO636" s="335"/>
      <c r="CP636" s="335"/>
      <c r="CQ636" s="335"/>
      <c r="CR636" s="335"/>
      <c r="CS636" s="335"/>
      <c r="CT636" s="335"/>
      <c r="CU636" s="335"/>
      <c r="CV636" s="335"/>
      <c r="CW636" s="335"/>
      <c r="CX636" s="335"/>
      <c r="CY636" s="335"/>
      <c r="CZ636" s="335"/>
      <c r="DA636" s="335"/>
      <c r="DB636" s="335"/>
      <c r="DC636" s="335"/>
      <c r="DD636" s="335"/>
      <c r="DE636" s="335"/>
      <c r="DF636" s="335"/>
      <c r="DG636" s="335"/>
      <c r="DH636" s="335"/>
      <c r="DI636" s="335"/>
      <c r="DJ636" s="335"/>
      <c r="DK636" s="335"/>
      <c r="DL636" s="335"/>
      <c r="DM636" s="335"/>
      <c r="DN636" s="335"/>
      <c r="DO636" s="335"/>
      <c r="DP636" s="335"/>
      <c r="DQ636" s="335"/>
      <c r="DR636" s="335"/>
      <c r="DS636" s="335"/>
      <c r="DT636" s="335"/>
      <c r="DU636" s="335"/>
      <c r="DV636" s="335"/>
      <c r="DW636" s="335"/>
      <c r="DX636" s="335"/>
      <c r="DY636" s="335"/>
      <c r="DZ636" s="335"/>
      <c r="EA636" s="335"/>
      <c r="EB636" s="335"/>
      <c r="EC636" s="335"/>
      <c r="ED636" s="335"/>
      <c r="EE636" s="335"/>
      <c r="EF636" s="335"/>
      <c r="EG636" s="335"/>
      <c r="EH636" s="335"/>
      <c r="EI636" s="335"/>
      <c r="EJ636" s="335"/>
      <c r="EK636" s="335"/>
      <c r="EL636" s="335"/>
      <c r="EM636" s="335"/>
    </row>
    <row r="637" spans="72:143">
      <c r="BT637" s="187"/>
      <c r="BU637" s="187" t="s">
        <v>54</v>
      </c>
      <c r="BV637" s="196">
        <v>120045</v>
      </c>
      <c r="BW637" s="197" t="e">
        <f t="shared" si="148"/>
        <v>#REF!</v>
      </c>
      <c r="BX637" s="198" t="e">
        <f>IF(AND(State_LOB_Code=18,LEFT(BW637,4)&lt;"2009"),81,State_LOB_Code)&amp;"|341"</f>
        <v>#REF!</v>
      </c>
      <c r="BY637" s="174"/>
      <c r="BZ637" s="175"/>
      <c r="CD637" s="163"/>
      <c r="CE637" s="363"/>
      <c r="CF637" s="335"/>
      <c r="CG637" s="335"/>
      <c r="CH637" s="335"/>
      <c r="CI637" s="335"/>
      <c r="CJ637" s="335"/>
      <c r="CK637" s="335"/>
      <c r="CL637" s="335"/>
      <c r="CM637" s="335"/>
      <c r="CN637" s="335"/>
      <c r="CO637" s="335"/>
      <c r="CP637" s="335"/>
      <c r="CQ637" s="335"/>
      <c r="CR637" s="335"/>
      <c r="CS637" s="335"/>
      <c r="CT637" s="335"/>
      <c r="CU637" s="335"/>
      <c r="CV637" s="335"/>
      <c r="CW637" s="335"/>
      <c r="CX637" s="335"/>
      <c r="CY637" s="335"/>
      <c r="CZ637" s="335"/>
      <c r="DA637" s="335"/>
      <c r="DB637" s="335"/>
      <c r="DC637" s="335"/>
      <c r="DD637" s="335"/>
      <c r="DE637" s="335"/>
      <c r="DF637" s="335"/>
      <c r="DG637" s="335"/>
      <c r="DH637" s="335"/>
      <c r="DI637" s="335"/>
      <c r="DJ637" s="335"/>
      <c r="DK637" s="335"/>
      <c r="DL637" s="335"/>
      <c r="DM637" s="335"/>
      <c r="DN637" s="335"/>
      <c r="DO637" s="335"/>
      <c r="DP637" s="335"/>
      <c r="DQ637" s="335"/>
      <c r="DR637" s="335"/>
      <c r="DS637" s="335"/>
      <c r="DT637" s="335"/>
      <c r="DU637" s="335"/>
      <c r="DV637" s="335"/>
      <c r="DW637" s="335"/>
      <c r="DX637" s="335"/>
      <c r="DY637" s="335"/>
      <c r="DZ637" s="335"/>
      <c r="EA637" s="335"/>
      <c r="EB637" s="335"/>
      <c r="EC637" s="335"/>
      <c r="ED637" s="335"/>
      <c r="EE637" s="335"/>
      <c r="EF637" s="335"/>
      <c r="EG637" s="335"/>
      <c r="EH637" s="335"/>
      <c r="EI637" s="335"/>
      <c r="EJ637" s="335"/>
      <c r="EK637" s="335"/>
      <c r="EL637" s="335"/>
      <c r="EM637" s="335"/>
    </row>
    <row r="638" spans="72:143">
      <c r="BT638" s="187"/>
      <c r="BU638" s="187" t="s">
        <v>55</v>
      </c>
      <c r="BV638" s="196">
        <v>120045</v>
      </c>
      <c r="BW638" s="197" t="e">
        <f t="shared" si="148"/>
        <v>#REF!</v>
      </c>
      <c r="BX638" s="198" t="e">
        <f>IF(AND(State_LOB_Code=18,LEFT(BW638,4)&lt;"2009"),81,State_LOB_Code)&amp;"|342"</f>
        <v>#REF!</v>
      </c>
      <c r="BY638" s="174"/>
      <c r="BZ638" s="175"/>
      <c r="CD638" s="163"/>
      <c r="CE638" s="363"/>
      <c r="CF638" s="335"/>
      <c r="CG638" s="335"/>
      <c r="CH638" s="335"/>
      <c r="CI638" s="335"/>
      <c r="CJ638" s="335"/>
      <c r="CK638" s="335"/>
      <c r="CL638" s="335"/>
      <c r="CM638" s="335"/>
      <c r="CN638" s="335"/>
      <c r="CO638" s="335"/>
      <c r="CP638" s="335"/>
      <c r="CQ638" s="335"/>
      <c r="CR638" s="335"/>
      <c r="CS638" s="335"/>
      <c r="CT638" s="335"/>
      <c r="CU638" s="335"/>
      <c r="CV638" s="335"/>
      <c r="CW638" s="335"/>
      <c r="CX638" s="335"/>
      <c r="CY638" s="335"/>
      <c r="CZ638" s="335"/>
      <c r="DA638" s="335"/>
      <c r="DB638" s="335"/>
      <c r="DC638" s="335"/>
      <c r="DD638" s="335"/>
      <c r="DE638" s="335"/>
      <c r="DF638" s="335"/>
      <c r="DG638" s="335"/>
      <c r="DH638" s="335"/>
      <c r="DI638" s="335"/>
      <c r="DJ638" s="335"/>
      <c r="DK638" s="335"/>
      <c r="DL638" s="335"/>
      <c r="DM638" s="335"/>
      <c r="DN638" s="335"/>
      <c r="DO638" s="335"/>
      <c r="DP638" s="335"/>
      <c r="DQ638" s="335"/>
      <c r="DR638" s="335"/>
      <c r="DS638" s="335"/>
      <c r="DT638" s="335"/>
      <c r="DU638" s="335"/>
      <c r="DV638" s="335"/>
      <c r="DW638" s="335"/>
      <c r="DX638" s="335"/>
      <c r="DY638" s="335"/>
      <c r="DZ638" s="335"/>
      <c r="EA638" s="335"/>
      <c r="EB638" s="335"/>
      <c r="EC638" s="335"/>
      <c r="ED638" s="335"/>
      <c r="EE638" s="335"/>
      <c r="EF638" s="335"/>
      <c r="EG638" s="335"/>
      <c r="EH638" s="335"/>
      <c r="EI638" s="335"/>
      <c r="EJ638" s="335"/>
      <c r="EK638" s="335"/>
      <c r="EL638" s="335"/>
      <c r="EM638" s="335"/>
    </row>
    <row r="639" spans="72:143">
      <c r="BT639" s="187"/>
      <c r="BU639" s="187" t="s">
        <v>56</v>
      </c>
      <c r="BV639" s="196">
        <v>120045</v>
      </c>
      <c r="BW639" s="197" t="e">
        <f t="shared" si="148"/>
        <v>#REF!</v>
      </c>
      <c r="BX639" s="198" t="e">
        <f>IF(AND(State_LOB_Code=18,LEFT(BW639,4)&lt;"2009"),81,State_LOB_Code)&amp;"|343"</f>
        <v>#REF!</v>
      </c>
      <c r="BY639" s="174"/>
      <c r="BZ639" s="175"/>
      <c r="CD639" s="163"/>
      <c r="CE639" s="363"/>
      <c r="CF639" s="335"/>
      <c r="CG639" s="335"/>
      <c r="CH639" s="335"/>
      <c r="CI639" s="335"/>
      <c r="CJ639" s="335"/>
      <c r="CK639" s="335"/>
      <c r="CL639" s="335"/>
      <c r="CM639" s="335"/>
      <c r="CN639" s="335"/>
      <c r="CO639" s="335"/>
      <c r="CP639" s="335"/>
      <c r="CQ639" s="335"/>
      <c r="CR639" s="335"/>
      <c r="CS639" s="335"/>
      <c r="CT639" s="335"/>
      <c r="CU639" s="335"/>
      <c r="CV639" s="335"/>
      <c r="CW639" s="335"/>
      <c r="CX639" s="335"/>
      <c r="CY639" s="335"/>
      <c r="CZ639" s="335"/>
      <c r="DA639" s="335"/>
      <c r="DB639" s="335"/>
      <c r="DC639" s="335"/>
      <c r="DD639" s="335"/>
      <c r="DE639" s="335"/>
      <c r="DF639" s="335"/>
      <c r="DG639" s="335"/>
      <c r="DH639" s="335"/>
      <c r="DI639" s="335"/>
      <c r="DJ639" s="335"/>
      <c r="DK639" s="335"/>
      <c r="DL639" s="335"/>
      <c r="DM639" s="335"/>
      <c r="DN639" s="335"/>
      <c r="DO639" s="335"/>
      <c r="DP639" s="335"/>
      <c r="DQ639" s="335"/>
      <c r="DR639" s="335"/>
      <c r="DS639" s="335"/>
      <c r="DT639" s="335"/>
      <c r="DU639" s="335"/>
      <c r="DV639" s="335"/>
      <c r="DW639" s="335"/>
      <c r="DX639" s="335"/>
      <c r="DY639" s="335"/>
      <c r="DZ639" s="335"/>
      <c r="EA639" s="335"/>
      <c r="EB639" s="335"/>
      <c r="EC639" s="335"/>
      <c r="ED639" s="335"/>
      <c r="EE639" s="335"/>
      <c r="EF639" s="335"/>
      <c r="EG639" s="335"/>
      <c r="EH639" s="335"/>
      <c r="EI639" s="335"/>
      <c r="EJ639" s="335"/>
      <c r="EK639" s="335"/>
      <c r="EL639" s="335"/>
      <c r="EM639" s="335"/>
    </row>
    <row r="640" spans="72:143">
      <c r="BT640" s="187"/>
      <c r="BU640" s="187" t="s">
        <v>57</v>
      </c>
      <c r="BV640" s="196">
        <v>120045</v>
      </c>
      <c r="BW640" s="197" t="e">
        <f t="shared" si="148"/>
        <v>#REF!</v>
      </c>
      <c r="BX640" s="198" t="e">
        <f>IF(AND(State_LOB_Code=18,LEFT(BW640,4)&lt;"2009"),81,State_LOB_Code)&amp;"|344"</f>
        <v>#REF!</v>
      </c>
      <c r="BY640" s="174"/>
      <c r="BZ640" s="175"/>
      <c r="CD640" s="163"/>
      <c r="CE640" s="363"/>
      <c r="CF640" s="335"/>
      <c r="CG640" s="335"/>
      <c r="CH640" s="335"/>
      <c r="CI640" s="335"/>
      <c r="CJ640" s="335"/>
      <c r="CK640" s="335"/>
      <c r="CL640" s="335"/>
      <c r="CM640" s="335"/>
      <c r="CN640" s="335"/>
      <c r="CO640" s="335"/>
      <c r="CP640" s="335"/>
      <c r="CQ640" s="335"/>
      <c r="CR640" s="335"/>
      <c r="CS640" s="335"/>
      <c r="CT640" s="335"/>
      <c r="CU640" s="335"/>
      <c r="CV640" s="335"/>
      <c r="CW640" s="335"/>
      <c r="CX640" s="335"/>
      <c r="CY640" s="335"/>
      <c r="CZ640" s="335"/>
      <c r="DA640" s="335"/>
      <c r="DB640" s="335"/>
      <c r="DC640" s="335"/>
      <c r="DD640" s="335"/>
      <c r="DE640" s="335"/>
      <c r="DF640" s="335"/>
      <c r="DG640" s="335"/>
      <c r="DH640" s="335"/>
      <c r="DI640" s="335"/>
      <c r="DJ640" s="335"/>
      <c r="DK640" s="335"/>
      <c r="DL640" s="335"/>
      <c r="DM640" s="335"/>
      <c r="DN640" s="335"/>
      <c r="DO640" s="335"/>
      <c r="DP640" s="335"/>
      <c r="DQ640" s="335"/>
      <c r="DR640" s="335"/>
      <c r="DS640" s="335"/>
      <c r="DT640" s="335"/>
      <c r="DU640" s="335"/>
      <c r="DV640" s="335"/>
      <c r="DW640" s="335"/>
      <c r="DX640" s="335"/>
      <c r="DY640" s="335"/>
      <c r="DZ640" s="335"/>
      <c r="EA640" s="335"/>
      <c r="EB640" s="335"/>
      <c r="EC640" s="335"/>
      <c r="ED640" s="335"/>
      <c r="EE640" s="335"/>
      <c r="EF640" s="335"/>
      <c r="EG640" s="335"/>
      <c r="EH640" s="335"/>
      <c r="EI640" s="335"/>
      <c r="EJ640" s="335"/>
      <c r="EK640" s="335"/>
      <c r="EL640" s="335"/>
      <c r="EM640" s="335"/>
    </row>
    <row r="641" spans="72:143">
      <c r="BT641" s="187"/>
      <c r="BU641" s="187" t="s">
        <v>58</v>
      </c>
      <c r="BV641" s="196">
        <v>120045</v>
      </c>
      <c r="BW641" s="197" t="e">
        <f t="shared" si="148"/>
        <v>#REF!</v>
      </c>
      <c r="BX641" s="198" t="e">
        <f>IF(AND(State_LOB_Code=18,LEFT(BW641,4)&lt;"2009"),81,State_LOB_Code)&amp;"|346"</f>
        <v>#REF!</v>
      </c>
      <c r="BY641" s="174"/>
      <c r="BZ641" s="175"/>
      <c r="CD641" s="163"/>
      <c r="CE641" s="363"/>
      <c r="CF641" s="335"/>
      <c r="CG641" s="335"/>
      <c r="CH641" s="335"/>
      <c r="CI641" s="335"/>
      <c r="CJ641" s="335"/>
      <c r="CK641" s="335"/>
      <c r="CL641" s="335"/>
      <c r="CM641" s="335"/>
      <c r="CN641" s="335"/>
      <c r="CO641" s="335"/>
      <c r="CP641" s="335"/>
      <c r="CQ641" s="335"/>
      <c r="CR641" s="335"/>
      <c r="CS641" s="335"/>
      <c r="CT641" s="335"/>
      <c r="CU641" s="335"/>
      <c r="CV641" s="335"/>
      <c r="CW641" s="335"/>
      <c r="CX641" s="335"/>
      <c r="CY641" s="335"/>
      <c r="CZ641" s="335"/>
      <c r="DA641" s="335"/>
      <c r="DB641" s="335"/>
      <c r="DC641" s="335"/>
      <c r="DD641" s="335"/>
      <c r="DE641" s="335"/>
      <c r="DF641" s="335"/>
      <c r="DG641" s="335"/>
      <c r="DH641" s="335"/>
      <c r="DI641" s="335"/>
      <c r="DJ641" s="335"/>
      <c r="DK641" s="335"/>
      <c r="DL641" s="335"/>
      <c r="DM641" s="335"/>
      <c r="DN641" s="335"/>
      <c r="DO641" s="335"/>
      <c r="DP641" s="335"/>
      <c r="DQ641" s="335"/>
      <c r="DR641" s="335"/>
      <c r="DS641" s="335"/>
      <c r="DT641" s="335"/>
      <c r="DU641" s="335"/>
      <c r="DV641" s="335"/>
      <c r="DW641" s="335"/>
      <c r="DX641" s="335"/>
      <c r="DY641" s="335"/>
      <c r="DZ641" s="335"/>
      <c r="EA641" s="335"/>
      <c r="EB641" s="335"/>
      <c r="EC641" s="335"/>
      <c r="ED641" s="335"/>
      <c r="EE641" s="335"/>
      <c r="EF641" s="335"/>
      <c r="EG641" s="335"/>
      <c r="EH641" s="335"/>
      <c r="EI641" s="335"/>
      <c r="EJ641" s="335"/>
      <c r="EK641" s="335"/>
      <c r="EL641" s="335"/>
      <c r="EM641" s="335"/>
    </row>
    <row r="642" spans="72:143">
      <c r="BT642" s="187"/>
      <c r="BU642" s="187" t="s">
        <v>59</v>
      </c>
      <c r="BV642" s="196">
        <v>120045</v>
      </c>
      <c r="BW642" s="197" t="e">
        <f t="shared" si="148"/>
        <v>#REF!</v>
      </c>
      <c r="BX642" s="198" t="e">
        <f>IF(AND(State_LOB_Code=18,LEFT(BW642,4)&lt;"2009"),81,State_LOB_Code)&amp;"|347"</f>
        <v>#REF!</v>
      </c>
      <c r="BY642" s="174"/>
      <c r="BZ642" s="175"/>
      <c r="CD642" s="163"/>
      <c r="CE642" s="363"/>
      <c r="CF642" s="335"/>
      <c r="CG642" s="335"/>
      <c r="CH642" s="335"/>
      <c r="CI642" s="335"/>
      <c r="CJ642" s="335"/>
      <c r="CK642" s="335"/>
      <c r="CL642" s="335"/>
      <c r="CM642" s="335"/>
      <c r="CN642" s="335"/>
      <c r="CO642" s="335"/>
      <c r="CP642" s="335"/>
      <c r="CQ642" s="335"/>
      <c r="CR642" s="335"/>
      <c r="CS642" s="335"/>
      <c r="CT642" s="335"/>
      <c r="CU642" s="335"/>
      <c r="CV642" s="335"/>
      <c r="CW642" s="335"/>
      <c r="CX642" s="335"/>
      <c r="CY642" s="335"/>
      <c r="CZ642" s="335"/>
      <c r="DA642" s="335"/>
      <c r="DB642" s="335"/>
      <c r="DC642" s="335"/>
      <c r="DD642" s="335"/>
      <c r="DE642" s="335"/>
      <c r="DF642" s="335"/>
      <c r="DG642" s="335"/>
      <c r="DH642" s="335"/>
      <c r="DI642" s="335"/>
      <c r="DJ642" s="335"/>
      <c r="DK642" s="335"/>
      <c r="DL642" s="335"/>
      <c r="DM642" s="335"/>
      <c r="DN642" s="335"/>
      <c r="DO642" s="335"/>
      <c r="DP642" s="335"/>
      <c r="DQ642" s="335"/>
      <c r="DR642" s="335"/>
      <c r="DS642" s="335"/>
      <c r="DT642" s="335"/>
      <c r="DU642" s="335"/>
      <c r="DV642" s="335"/>
      <c r="DW642" s="335"/>
      <c r="DX642" s="335"/>
      <c r="DY642" s="335"/>
      <c r="DZ642" s="335"/>
      <c r="EA642" s="335"/>
      <c r="EB642" s="335"/>
      <c r="EC642" s="335"/>
      <c r="ED642" s="335"/>
      <c r="EE642" s="335"/>
      <c r="EF642" s="335"/>
      <c r="EG642" s="335"/>
      <c r="EH642" s="335"/>
      <c r="EI642" s="335"/>
      <c r="EJ642" s="335"/>
      <c r="EK642" s="335"/>
      <c r="EL642" s="335"/>
      <c r="EM642" s="335"/>
    </row>
    <row r="643" spans="72:143">
      <c r="BT643" s="187"/>
      <c r="BU643" s="187" t="s">
        <v>60</v>
      </c>
      <c r="BV643" s="196">
        <v>120045</v>
      </c>
      <c r="BW643" s="197" t="e">
        <f t="shared" si="148"/>
        <v>#REF!</v>
      </c>
      <c r="BX643" s="198" t="e">
        <f>IF(AND(State_LOB_Code=18,LEFT(BW643,4)&lt;"2009"),81,State_LOB_Code)&amp;"|348"</f>
        <v>#REF!</v>
      </c>
      <c r="BY643" s="174"/>
      <c r="BZ643" s="175"/>
      <c r="CD643" s="163"/>
      <c r="CE643" s="363"/>
      <c r="CF643" s="335"/>
      <c r="CG643" s="335"/>
      <c r="CH643" s="335"/>
      <c r="CI643" s="335"/>
      <c r="CJ643" s="335"/>
      <c r="CK643" s="335"/>
      <c r="CL643" s="335"/>
      <c r="CM643" s="335"/>
      <c r="CN643" s="335"/>
      <c r="CO643" s="335"/>
      <c r="CP643" s="335"/>
      <c r="CQ643" s="335"/>
      <c r="CR643" s="335"/>
      <c r="CS643" s="335"/>
      <c r="CT643" s="335"/>
      <c r="CU643" s="335"/>
      <c r="CV643" s="335"/>
      <c r="CW643" s="335"/>
      <c r="CX643" s="335"/>
      <c r="CY643" s="335"/>
      <c r="CZ643" s="335"/>
      <c r="DA643" s="335"/>
      <c r="DB643" s="335"/>
      <c r="DC643" s="335"/>
      <c r="DD643" s="335"/>
      <c r="DE643" s="335"/>
      <c r="DF643" s="335"/>
      <c r="DG643" s="335"/>
      <c r="DH643" s="335"/>
      <c r="DI643" s="335"/>
      <c r="DJ643" s="335"/>
      <c r="DK643" s="335"/>
      <c r="DL643" s="335"/>
      <c r="DM643" s="335"/>
      <c r="DN643" s="335"/>
      <c r="DO643" s="335"/>
      <c r="DP643" s="335"/>
      <c r="DQ643" s="335"/>
      <c r="DR643" s="335"/>
      <c r="DS643" s="335"/>
      <c r="DT643" s="335"/>
      <c r="DU643" s="335"/>
      <c r="DV643" s="335"/>
      <c r="DW643" s="335"/>
      <c r="DX643" s="335"/>
      <c r="DY643" s="335"/>
      <c r="DZ643" s="335"/>
      <c r="EA643" s="335"/>
      <c r="EB643" s="335"/>
      <c r="EC643" s="335"/>
      <c r="ED643" s="335"/>
      <c r="EE643" s="335"/>
      <c r="EF643" s="335"/>
      <c r="EG643" s="335"/>
      <c r="EH643" s="335"/>
      <c r="EI643" s="335"/>
      <c r="EJ643" s="335"/>
      <c r="EK643" s="335"/>
      <c r="EL643" s="335"/>
      <c r="EM643" s="335"/>
    </row>
    <row r="644" spans="72:143">
      <c r="BT644" s="187"/>
      <c r="BU644" s="187" t="s">
        <v>61</v>
      </c>
      <c r="BV644" s="196">
        <v>120045</v>
      </c>
      <c r="BW644" s="197" t="e">
        <f t="shared" si="148"/>
        <v>#REF!</v>
      </c>
      <c r="BX644" s="198" t="e">
        <f>IF(AND(State_LOB_Code=18,LEFT(BW644,4)&lt;"2009"),81,State_LOB_Code)&amp;"|349"</f>
        <v>#REF!</v>
      </c>
      <c r="BY644" s="174"/>
      <c r="BZ644" s="175"/>
      <c r="CD644" s="163"/>
      <c r="CE644" s="363"/>
      <c r="CF644" s="335"/>
      <c r="CG644" s="335"/>
      <c r="CH644" s="335"/>
      <c r="CI644" s="335"/>
      <c r="CJ644" s="335"/>
      <c r="CK644" s="335"/>
      <c r="CL644" s="335"/>
      <c r="CM644" s="335"/>
      <c r="CN644" s="335"/>
      <c r="CO644" s="335"/>
      <c r="CP644" s="335"/>
      <c r="CQ644" s="335"/>
      <c r="CR644" s="335"/>
      <c r="CS644" s="335"/>
      <c r="CT644" s="335"/>
      <c r="CU644" s="335"/>
      <c r="CV644" s="335"/>
      <c r="CW644" s="335"/>
      <c r="CX644" s="335"/>
      <c r="CY644" s="335"/>
      <c r="CZ644" s="335"/>
      <c r="DA644" s="335"/>
      <c r="DB644" s="335"/>
      <c r="DC644" s="335"/>
      <c r="DD644" s="335"/>
      <c r="DE644" s="335"/>
      <c r="DF644" s="335"/>
      <c r="DG644" s="335"/>
      <c r="DH644" s="335"/>
      <c r="DI644" s="335"/>
      <c r="DJ644" s="335"/>
      <c r="DK644" s="335"/>
      <c r="DL644" s="335"/>
      <c r="DM644" s="335"/>
      <c r="DN644" s="335"/>
      <c r="DO644" s="335"/>
      <c r="DP644" s="335"/>
      <c r="DQ644" s="335"/>
      <c r="DR644" s="335"/>
      <c r="DS644" s="335"/>
      <c r="DT644" s="335"/>
      <c r="DU644" s="335"/>
      <c r="DV644" s="335"/>
      <c r="DW644" s="335"/>
      <c r="DX644" s="335"/>
      <c r="DY644" s="335"/>
      <c r="DZ644" s="335"/>
      <c r="EA644" s="335"/>
      <c r="EB644" s="335"/>
      <c r="EC644" s="335"/>
      <c r="ED644" s="335"/>
      <c r="EE644" s="335"/>
      <c r="EF644" s="335"/>
      <c r="EG644" s="335"/>
      <c r="EH644" s="335"/>
      <c r="EI644" s="335"/>
      <c r="EJ644" s="335"/>
      <c r="EK644" s="335"/>
      <c r="EL644" s="335"/>
      <c r="EM644" s="335"/>
    </row>
    <row r="645" spans="72:143">
      <c r="BT645" s="187"/>
      <c r="BU645" s="187" t="s">
        <v>62</v>
      </c>
      <c r="BV645" s="196">
        <v>120045</v>
      </c>
      <c r="BW645" s="197" t="e">
        <f t="shared" si="148"/>
        <v>#REF!</v>
      </c>
      <c r="BX645" s="198" t="e">
        <f>IF(AND(State_LOB_Code=18,LEFT(BW645,4)&lt;"2009"),81,State_LOB_Code)&amp;"|350"</f>
        <v>#REF!</v>
      </c>
      <c r="BY645" s="174"/>
      <c r="BZ645" s="175"/>
      <c r="CD645" s="163"/>
      <c r="CE645" s="363"/>
      <c r="CF645" s="335"/>
      <c r="CG645" s="335"/>
      <c r="CH645" s="335"/>
      <c r="CI645" s="335"/>
      <c r="CJ645" s="335"/>
      <c r="CK645" s="335"/>
      <c r="CL645" s="335"/>
      <c r="CM645" s="335"/>
      <c r="CN645" s="335"/>
      <c r="CO645" s="335"/>
      <c r="CP645" s="335"/>
      <c r="CQ645" s="335"/>
      <c r="CR645" s="335"/>
      <c r="CS645" s="335"/>
      <c r="CT645" s="335"/>
      <c r="CU645" s="335"/>
      <c r="CV645" s="335"/>
      <c r="CW645" s="335"/>
      <c r="CX645" s="335"/>
      <c r="CY645" s="335"/>
      <c r="CZ645" s="335"/>
      <c r="DA645" s="335"/>
      <c r="DB645" s="335"/>
      <c r="DC645" s="335"/>
      <c r="DD645" s="335"/>
      <c r="DE645" s="335"/>
      <c r="DF645" s="335"/>
      <c r="DG645" s="335"/>
      <c r="DH645" s="335"/>
      <c r="DI645" s="335"/>
      <c r="DJ645" s="335"/>
      <c r="DK645" s="335"/>
      <c r="DL645" s="335"/>
      <c r="DM645" s="335"/>
      <c r="DN645" s="335"/>
      <c r="DO645" s="335"/>
      <c r="DP645" s="335"/>
      <c r="DQ645" s="335"/>
      <c r="DR645" s="335"/>
      <c r="DS645" s="335"/>
      <c r="DT645" s="335"/>
      <c r="DU645" s="335"/>
      <c r="DV645" s="335"/>
      <c r="DW645" s="335"/>
      <c r="DX645" s="335"/>
      <c r="DY645" s="335"/>
      <c r="DZ645" s="335"/>
      <c r="EA645" s="335"/>
      <c r="EB645" s="335"/>
      <c r="EC645" s="335"/>
      <c r="ED645" s="335"/>
      <c r="EE645" s="335"/>
      <c r="EF645" s="335"/>
      <c r="EG645" s="335"/>
      <c r="EH645" s="335"/>
      <c r="EI645" s="335"/>
      <c r="EJ645" s="335"/>
      <c r="EK645" s="335"/>
      <c r="EL645" s="335"/>
      <c r="EM645" s="335"/>
    </row>
    <row r="646" spans="72:143">
      <c r="BT646" s="187"/>
      <c r="BU646" s="187" t="s">
        <v>63</v>
      </c>
      <c r="BV646" s="196">
        <v>120045</v>
      </c>
      <c r="BW646" s="197" t="e">
        <f t="shared" si="148"/>
        <v>#REF!</v>
      </c>
      <c r="BX646" s="198" t="e">
        <f>IF(AND(State_LOB_Code=18,LEFT(BW646,4)&lt;"2009"),81,State_LOB_Code)&amp;"|351"</f>
        <v>#REF!</v>
      </c>
      <c r="BY646" s="174"/>
      <c r="BZ646" s="175"/>
      <c r="CD646" s="163"/>
      <c r="CE646" s="363"/>
      <c r="CF646" s="335"/>
      <c r="CG646" s="335"/>
      <c r="CH646" s="335"/>
      <c r="CI646" s="335"/>
      <c r="CJ646" s="335"/>
      <c r="CK646" s="335"/>
      <c r="CL646" s="335"/>
      <c r="CM646" s="335"/>
      <c r="CN646" s="335"/>
      <c r="CO646" s="335"/>
      <c r="CP646" s="335"/>
      <c r="CQ646" s="335"/>
      <c r="CR646" s="335"/>
      <c r="CS646" s="335"/>
      <c r="CT646" s="335"/>
      <c r="CU646" s="335"/>
      <c r="CV646" s="335"/>
      <c r="CW646" s="335"/>
      <c r="CX646" s="335"/>
      <c r="CY646" s="335"/>
      <c r="CZ646" s="335"/>
      <c r="DA646" s="335"/>
      <c r="DB646" s="335"/>
      <c r="DC646" s="335"/>
      <c r="DD646" s="335"/>
      <c r="DE646" s="335"/>
      <c r="DF646" s="335"/>
      <c r="DG646" s="335"/>
      <c r="DH646" s="335"/>
      <c r="DI646" s="335"/>
      <c r="DJ646" s="335"/>
      <c r="DK646" s="335"/>
      <c r="DL646" s="335"/>
      <c r="DM646" s="335"/>
      <c r="DN646" s="335"/>
      <c r="DO646" s="335"/>
      <c r="DP646" s="335"/>
      <c r="DQ646" s="335"/>
      <c r="DR646" s="335"/>
      <c r="DS646" s="335"/>
      <c r="DT646" s="335"/>
      <c r="DU646" s="335"/>
      <c r="DV646" s="335"/>
      <c r="DW646" s="335"/>
      <c r="DX646" s="335"/>
      <c r="DY646" s="335"/>
      <c r="DZ646" s="335"/>
      <c r="EA646" s="335"/>
      <c r="EB646" s="335"/>
      <c r="EC646" s="335"/>
      <c r="ED646" s="335"/>
      <c r="EE646" s="335"/>
      <c r="EF646" s="335"/>
      <c r="EG646" s="335"/>
      <c r="EH646" s="335"/>
      <c r="EI646" s="335"/>
      <c r="EJ646" s="335"/>
      <c r="EK646" s="335"/>
      <c r="EL646" s="335"/>
      <c r="EM646" s="335"/>
    </row>
    <row r="647" spans="72:143">
      <c r="BT647" s="187"/>
      <c r="BU647" s="187" t="s">
        <v>64</v>
      </c>
      <c r="BV647" s="196">
        <v>120045</v>
      </c>
      <c r="BW647" s="197" t="e">
        <f t="shared" si="148"/>
        <v>#REF!</v>
      </c>
      <c r="BX647" s="198" t="e">
        <f>IF(AND(State_LOB_Code=18,LEFT(BW647,4)&lt;"2009"),81,State_LOB_Code)&amp;"|352"</f>
        <v>#REF!</v>
      </c>
      <c r="BY647" s="174"/>
      <c r="BZ647" s="175"/>
      <c r="CD647" s="163"/>
      <c r="CE647" s="363"/>
      <c r="CF647" s="335"/>
      <c r="CG647" s="335"/>
      <c r="CH647" s="335"/>
      <c r="CI647" s="335"/>
      <c r="CJ647" s="335"/>
      <c r="CK647" s="335"/>
      <c r="CL647" s="335"/>
      <c r="CM647" s="335"/>
      <c r="CN647" s="335"/>
      <c r="CO647" s="335"/>
      <c r="CP647" s="335"/>
      <c r="CQ647" s="335"/>
      <c r="CR647" s="335"/>
      <c r="CS647" s="335"/>
      <c r="CT647" s="335"/>
      <c r="CU647" s="335"/>
      <c r="CV647" s="335"/>
      <c r="CW647" s="335"/>
      <c r="CX647" s="335"/>
      <c r="CY647" s="335"/>
      <c r="CZ647" s="335"/>
      <c r="DA647" s="335"/>
      <c r="DB647" s="335"/>
      <c r="DC647" s="335"/>
      <c r="DD647" s="335"/>
      <c r="DE647" s="335"/>
      <c r="DF647" s="335"/>
      <c r="DG647" s="335"/>
      <c r="DH647" s="335"/>
      <c r="DI647" s="335"/>
      <c r="DJ647" s="335"/>
      <c r="DK647" s="335"/>
      <c r="DL647" s="335"/>
      <c r="DM647" s="335"/>
      <c r="DN647" s="335"/>
      <c r="DO647" s="335"/>
      <c r="DP647" s="335"/>
      <c r="DQ647" s="335"/>
      <c r="DR647" s="335"/>
      <c r="DS647" s="335"/>
      <c r="DT647" s="335"/>
      <c r="DU647" s="335"/>
      <c r="DV647" s="335"/>
      <c r="DW647" s="335"/>
      <c r="DX647" s="335"/>
      <c r="DY647" s="335"/>
      <c r="DZ647" s="335"/>
      <c r="EA647" s="335"/>
      <c r="EB647" s="335"/>
      <c r="EC647" s="335"/>
      <c r="ED647" s="335"/>
      <c r="EE647" s="335"/>
      <c r="EF647" s="335"/>
      <c r="EG647" s="335"/>
      <c r="EH647" s="335"/>
      <c r="EI647" s="335"/>
      <c r="EJ647" s="335"/>
      <c r="EK647" s="335"/>
      <c r="EL647" s="335"/>
      <c r="EM647" s="335"/>
    </row>
    <row r="648" spans="72:143">
      <c r="BT648" s="187"/>
      <c r="BU648" s="187" t="s">
        <v>65</v>
      </c>
      <c r="BV648" s="196">
        <v>120045</v>
      </c>
      <c r="BW648" s="197" t="e">
        <f t="shared" si="148"/>
        <v>#REF!</v>
      </c>
      <c r="BX648" s="198" t="e">
        <f>IF(AND(State_LOB_Code=18,LEFT(BW648,4)&lt;"2009"),81,State_LOB_Code)&amp;"|353"</f>
        <v>#REF!</v>
      </c>
      <c r="BY648" s="174"/>
      <c r="BZ648" s="175"/>
      <c r="CD648" s="163"/>
      <c r="CE648" s="363"/>
      <c r="CF648" s="335"/>
      <c r="CG648" s="335"/>
      <c r="CH648" s="335"/>
      <c r="CI648" s="335"/>
      <c r="CJ648" s="335"/>
      <c r="CK648" s="335"/>
      <c r="CL648" s="335"/>
      <c r="CM648" s="335"/>
      <c r="CN648" s="335"/>
      <c r="CO648" s="335"/>
      <c r="CP648" s="335"/>
      <c r="CQ648" s="335"/>
      <c r="CR648" s="335"/>
      <c r="CS648" s="335"/>
      <c r="CT648" s="335"/>
      <c r="CU648" s="335"/>
      <c r="CV648" s="335"/>
      <c r="CW648" s="335"/>
      <c r="CX648" s="335"/>
      <c r="CY648" s="335"/>
      <c r="CZ648" s="335"/>
      <c r="DA648" s="335"/>
      <c r="DB648" s="335"/>
      <c r="DC648" s="335"/>
      <c r="DD648" s="335"/>
      <c r="DE648" s="335"/>
      <c r="DF648" s="335"/>
      <c r="DG648" s="335"/>
      <c r="DH648" s="335"/>
      <c r="DI648" s="335"/>
      <c r="DJ648" s="335"/>
      <c r="DK648" s="335"/>
      <c r="DL648" s="335"/>
      <c r="DM648" s="335"/>
      <c r="DN648" s="335"/>
      <c r="DO648" s="335"/>
      <c r="DP648" s="335"/>
      <c r="DQ648" s="335"/>
      <c r="DR648" s="335"/>
      <c r="DS648" s="335"/>
      <c r="DT648" s="335"/>
      <c r="DU648" s="335"/>
      <c r="DV648" s="335"/>
      <c r="DW648" s="335"/>
      <c r="DX648" s="335"/>
      <c r="DY648" s="335"/>
      <c r="DZ648" s="335"/>
      <c r="EA648" s="335"/>
      <c r="EB648" s="335"/>
      <c r="EC648" s="335"/>
      <c r="ED648" s="335"/>
      <c r="EE648" s="335"/>
      <c r="EF648" s="335"/>
      <c r="EG648" s="335"/>
      <c r="EH648" s="335"/>
      <c r="EI648" s="335"/>
      <c r="EJ648" s="335"/>
      <c r="EK648" s="335"/>
      <c r="EL648" s="335"/>
      <c r="EM648" s="335"/>
    </row>
    <row r="649" spans="72:143">
      <c r="BT649" s="187"/>
      <c r="BU649" s="187" t="s">
        <v>66</v>
      </c>
      <c r="BV649" s="196">
        <v>120045</v>
      </c>
      <c r="BW649" s="197" t="e">
        <f t="shared" si="148"/>
        <v>#REF!</v>
      </c>
      <c r="BX649" s="198" t="e">
        <f>IF(AND(State_LOB_Code=18,LEFT(BW649,4)&lt;"2009"),81,State_LOB_Code)&amp;"|354"</f>
        <v>#REF!</v>
      </c>
      <c r="BY649" s="174"/>
      <c r="BZ649" s="175"/>
      <c r="CD649" s="163"/>
      <c r="CE649" s="363"/>
      <c r="CF649" s="335"/>
      <c r="CG649" s="335"/>
      <c r="CH649" s="335"/>
      <c r="CI649" s="335"/>
      <c r="CJ649" s="335"/>
      <c r="CK649" s="335"/>
      <c r="CL649" s="335"/>
      <c r="CM649" s="335"/>
      <c r="CN649" s="335"/>
      <c r="CO649" s="335"/>
      <c r="CP649" s="335"/>
      <c r="CQ649" s="335"/>
      <c r="CR649" s="335"/>
      <c r="CS649" s="335"/>
      <c r="CT649" s="335"/>
      <c r="CU649" s="335"/>
      <c r="CV649" s="335"/>
      <c r="CW649" s="335"/>
      <c r="CX649" s="335"/>
      <c r="CY649" s="335"/>
      <c r="CZ649" s="335"/>
      <c r="DA649" s="335"/>
      <c r="DB649" s="335"/>
      <c r="DC649" s="335"/>
      <c r="DD649" s="335"/>
      <c r="DE649" s="335"/>
      <c r="DF649" s="335"/>
      <c r="DG649" s="335"/>
      <c r="DH649" s="335"/>
      <c r="DI649" s="335"/>
      <c r="DJ649" s="335"/>
      <c r="DK649" s="335"/>
      <c r="DL649" s="335"/>
      <c r="DM649" s="335"/>
      <c r="DN649" s="335"/>
      <c r="DO649" s="335"/>
      <c r="DP649" s="335"/>
      <c r="DQ649" s="335"/>
      <c r="DR649" s="335"/>
      <c r="DS649" s="335"/>
      <c r="DT649" s="335"/>
      <c r="DU649" s="335"/>
      <c r="DV649" s="335"/>
      <c r="DW649" s="335"/>
      <c r="DX649" s="335"/>
      <c r="DY649" s="335"/>
      <c r="DZ649" s="335"/>
      <c r="EA649" s="335"/>
      <c r="EB649" s="335"/>
      <c r="EC649" s="335"/>
      <c r="ED649" s="335"/>
      <c r="EE649" s="335"/>
      <c r="EF649" s="335"/>
      <c r="EG649" s="335"/>
      <c r="EH649" s="335"/>
      <c r="EI649" s="335"/>
      <c r="EJ649" s="335"/>
      <c r="EK649" s="335"/>
      <c r="EL649" s="335"/>
      <c r="EM649" s="335"/>
    </row>
    <row r="650" spans="72:143">
      <c r="BT650" s="187"/>
      <c r="BU650" s="187" t="s">
        <v>67</v>
      </c>
      <c r="BV650" s="196">
        <v>120045</v>
      </c>
      <c r="BW650" s="197" t="e">
        <f t="shared" si="148"/>
        <v>#REF!</v>
      </c>
      <c r="BX650" s="198" t="e">
        <f>IF(AND(State_LOB_Code=18,LEFT(BW650,4)&lt;"2009"),81,State_LOB_Code)&amp;"|355"</f>
        <v>#REF!</v>
      </c>
      <c r="BY650" s="174"/>
      <c r="BZ650" s="175"/>
      <c r="CD650" s="163"/>
      <c r="CE650" s="363"/>
      <c r="CF650" s="335"/>
      <c r="CG650" s="335"/>
      <c r="CH650" s="335"/>
      <c r="CI650" s="335"/>
      <c r="CJ650" s="335"/>
      <c r="CK650" s="335"/>
      <c r="CL650" s="335"/>
      <c r="CM650" s="335"/>
      <c r="CN650" s="335"/>
      <c r="CO650" s="335"/>
      <c r="CP650" s="335"/>
      <c r="CQ650" s="335"/>
      <c r="CR650" s="335"/>
      <c r="CS650" s="335"/>
      <c r="CT650" s="335"/>
      <c r="CU650" s="335"/>
      <c r="CV650" s="335"/>
      <c r="CW650" s="335"/>
      <c r="CX650" s="335"/>
      <c r="CY650" s="335"/>
      <c r="CZ650" s="335"/>
      <c r="DA650" s="335"/>
      <c r="DB650" s="335"/>
      <c r="DC650" s="335"/>
      <c r="DD650" s="335"/>
      <c r="DE650" s="335"/>
      <c r="DF650" s="335"/>
      <c r="DG650" s="335"/>
      <c r="DH650" s="335"/>
      <c r="DI650" s="335"/>
      <c r="DJ650" s="335"/>
      <c r="DK650" s="335"/>
      <c r="DL650" s="335"/>
      <c r="DM650" s="335"/>
      <c r="DN650" s="335"/>
      <c r="DO650" s="335"/>
      <c r="DP650" s="335"/>
      <c r="DQ650" s="335"/>
      <c r="DR650" s="335"/>
      <c r="DS650" s="335"/>
      <c r="DT650" s="335"/>
      <c r="DU650" s="335"/>
      <c r="DV650" s="335"/>
      <c r="DW650" s="335"/>
      <c r="DX650" s="335"/>
      <c r="DY650" s="335"/>
      <c r="DZ650" s="335"/>
      <c r="EA650" s="335"/>
      <c r="EB650" s="335"/>
      <c r="EC650" s="335"/>
      <c r="ED650" s="335"/>
      <c r="EE650" s="335"/>
      <c r="EF650" s="335"/>
      <c r="EG650" s="335"/>
      <c r="EH650" s="335"/>
      <c r="EI650" s="335"/>
      <c r="EJ650" s="335"/>
      <c r="EK650" s="335"/>
      <c r="EL650" s="335"/>
      <c r="EM650" s="335"/>
    </row>
    <row r="651" spans="72:143">
      <c r="BT651" s="187"/>
      <c r="BU651" s="187" t="s">
        <v>68</v>
      </c>
      <c r="BV651" s="196">
        <v>120045</v>
      </c>
      <c r="BW651" s="197" t="e">
        <f t="shared" si="148"/>
        <v>#REF!</v>
      </c>
      <c r="BX651" s="198" t="e">
        <f>IF(AND(State_LOB_Code=18,LEFT(BW651,4)&lt;"2009"),81,State_LOB_Code)&amp;"|356"</f>
        <v>#REF!</v>
      </c>
      <c r="BY651" s="174"/>
      <c r="BZ651" s="175"/>
      <c r="CD651" s="163"/>
      <c r="CE651" s="363"/>
      <c r="CF651" s="335"/>
      <c r="CG651" s="335"/>
      <c r="CH651" s="335"/>
      <c r="CI651" s="335"/>
      <c r="CJ651" s="335"/>
      <c r="CK651" s="335"/>
      <c r="CL651" s="335"/>
      <c r="CM651" s="335"/>
      <c r="CN651" s="335"/>
      <c r="CO651" s="335"/>
      <c r="CP651" s="335"/>
      <c r="CQ651" s="335"/>
      <c r="CR651" s="335"/>
      <c r="CS651" s="335"/>
      <c r="CT651" s="335"/>
      <c r="CU651" s="335"/>
      <c r="CV651" s="335"/>
      <c r="CW651" s="335"/>
      <c r="CX651" s="335"/>
      <c r="CY651" s="335"/>
      <c r="CZ651" s="335"/>
      <c r="DA651" s="335"/>
      <c r="DB651" s="335"/>
      <c r="DC651" s="335"/>
      <c r="DD651" s="335"/>
      <c r="DE651" s="335"/>
      <c r="DF651" s="335"/>
      <c r="DG651" s="335"/>
      <c r="DH651" s="335"/>
      <c r="DI651" s="335"/>
      <c r="DJ651" s="335"/>
      <c r="DK651" s="335"/>
      <c r="DL651" s="335"/>
      <c r="DM651" s="335"/>
      <c r="DN651" s="335"/>
      <c r="DO651" s="335"/>
      <c r="DP651" s="335"/>
      <c r="DQ651" s="335"/>
      <c r="DR651" s="335"/>
      <c r="DS651" s="335"/>
      <c r="DT651" s="335"/>
      <c r="DU651" s="335"/>
      <c r="DV651" s="335"/>
      <c r="DW651" s="335"/>
      <c r="DX651" s="335"/>
      <c r="DY651" s="335"/>
      <c r="DZ651" s="335"/>
      <c r="EA651" s="335"/>
      <c r="EB651" s="335"/>
      <c r="EC651" s="335"/>
      <c r="ED651" s="335"/>
      <c r="EE651" s="335"/>
      <c r="EF651" s="335"/>
      <c r="EG651" s="335"/>
      <c r="EH651" s="335"/>
      <c r="EI651" s="335"/>
      <c r="EJ651" s="335"/>
      <c r="EK651" s="335"/>
      <c r="EL651" s="335"/>
      <c r="EM651" s="335"/>
    </row>
    <row r="652" spans="72:143">
      <c r="BT652" s="187"/>
      <c r="BU652" s="187" t="s">
        <v>69</v>
      </c>
      <c r="BV652" s="196">
        <v>120045</v>
      </c>
      <c r="BW652" s="197" t="e">
        <f t="shared" si="148"/>
        <v>#REF!</v>
      </c>
      <c r="BX652" s="198" t="e">
        <f>IF(AND(State_LOB_Code=18,LEFT(BW652,4)&lt;"2009"),81,State_LOB_Code)&amp;"|357"</f>
        <v>#REF!</v>
      </c>
      <c r="BY652" s="174"/>
      <c r="BZ652" s="175"/>
      <c r="CD652" s="163"/>
      <c r="CE652" s="363"/>
      <c r="CF652" s="335"/>
      <c r="CG652" s="335"/>
      <c r="CH652" s="335"/>
      <c r="CI652" s="335"/>
      <c r="CJ652" s="335"/>
      <c r="CK652" s="335"/>
      <c r="CL652" s="335"/>
      <c r="CM652" s="335"/>
      <c r="CN652" s="335"/>
      <c r="CO652" s="335"/>
      <c r="CP652" s="335"/>
      <c r="CQ652" s="335"/>
      <c r="CR652" s="335"/>
      <c r="CS652" s="335"/>
      <c r="CT652" s="335"/>
      <c r="CU652" s="335"/>
      <c r="CV652" s="335"/>
      <c r="CW652" s="335"/>
      <c r="CX652" s="335"/>
      <c r="CY652" s="335"/>
      <c r="CZ652" s="335"/>
      <c r="DA652" s="335"/>
      <c r="DB652" s="335"/>
      <c r="DC652" s="335"/>
      <c r="DD652" s="335"/>
      <c r="DE652" s="335"/>
      <c r="DF652" s="335"/>
      <c r="DG652" s="335"/>
      <c r="DH652" s="335"/>
      <c r="DI652" s="335"/>
      <c r="DJ652" s="335"/>
      <c r="DK652" s="335"/>
      <c r="DL652" s="335"/>
      <c r="DM652" s="335"/>
      <c r="DN652" s="335"/>
      <c r="DO652" s="335"/>
      <c r="DP652" s="335"/>
      <c r="DQ652" s="335"/>
      <c r="DR652" s="335"/>
      <c r="DS652" s="335"/>
      <c r="DT652" s="335"/>
      <c r="DU652" s="335"/>
      <c r="DV652" s="335"/>
      <c r="DW652" s="335"/>
      <c r="DX652" s="335"/>
      <c r="DY652" s="335"/>
      <c r="DZ652" s="335"/>
      <c r="EA652" s="335"/>
      <c r="EB652" s="335"/>
      <c r="EC652" s="335"/>
      <c r="ED652" s="335"/>
      <c r="EE652" s="335"/>
      <c r="EF652" s="335"/>
      <c r="EG652" s="335"/>
      <c r="EH652" s="335"/>
      <c r="EI652" s="335"/>
      <c r="EJ652" s="335"/>
      <c r="EK652" s="335"/>
      <c r="EL652" s="335"/>
      <c r="EM652" s="335"/>
    </row>
    <row r="653" spans="72:143">
      <c r="BT653" s="187"/>
      <c r="BU653" s="187" t="s">
        <v>70</v>
      </c>
      <c r="BV653" s="196">
        <v>120045</v>
      </c>
      <c r="BW653" s="197" t="e">
        <f t="shared" si="148"/>
        <v>#REF!</v>
      </c>
      <c r="BX653" s="198" t="e">
        <f>IF(AND(State_LOB_Code=18,LEFT(BW653,4)&lt;"2009"),81,State_LOB_Code)&amp;"|358"</f>
        <v>#REF!</v>
      </c>
      <c r="BY653" s="174"/>
      <c r="BZ653" s="175"/>
      <c r="CD653" s="163"/>
      <c r="CE653" s="363"/>
      <c r="CF653" s="335"/>
      <c r="CG653" s="335"/>
      <c r="CH653" s="335"/>
      <c r="CI653" s="335"/>
      <c r="CJ653" s="335"/>
      <c r="CK653" s="335"/>
      <c r="CL653" s="335"/>
      <c r="CM653" s="335"/>
      <c r="CN653" s="335"/>
      <c r="CO653" s="335"/>
      <c r="CP653" s="335"/>
      <c r="CQ653" s="335"/>
      <c r="CR653" s="335"/>
      <c r="CS653" s="335"/>
      <c r="CT653" s="335"/>
      <c r="CU653" s="335"/>
      <c r="CV653" s="335"/>
      <c r="CW653" s="335"/>
      <c r="CX653" s="335"/>
      <c r="CY653" s="335"/>
      <c r="CZ653" s="335"/>
      <c r="DA653" s="335"/>
      <c r="DB653" s="335"/>
      <c r="DC653" s="335"/>
      <c r="DD653" s="335"/>
      <c r="DE653" s="335"/>
      <c r="DF653" s="335"/>
      <c r="DG653" s="335"/>
      <c r="DH653" s="335"/>
      <c r="DI653" s="335"/>
      <c r="DJ653" s="335"/>
      <c r="DK653" s="335"/>
      <c r="DL653" s="335"/>
      <c r="DM653" s="335"/>
      <c r="DN653" s="335"/>
      <c r="DO653" s="335"/>
      <c r="DP653" s="335"/>
      <c r="DQ653" s="335"/>
      <c r="DR653" s="335"/>
      <c r="DS653" s="335"/>
      <c r="DT653" s="335"/>
      <c r="DU653" s="335"/>
      <c r="DV653" s="335"/>
      <c r="DW653" s="335"/>
      <c r="DX653" s="335"/>
      <c r="DY653" s="335"/>
      <c r="DZ653" s="335"/>
      <c r="EA653" s="335"/>
      <c r="EB653" s="335"/>
      <c r="EC653" s="335"/>
      <c r="ED653" s="335"/>
      <c r="EE653" s="335"/>
      <c r="EF653" s="335"/>
      <c r="EG653" s="335"/>
      <c r="EH653" s="335"/>
      <c r="EI653" s="335"/>
      <c r="EJ653" s="335"/>
      <c r="EK653" s="335"/>
      <c r="EL653" s="335"/>
      <c r="EM653" s="335"/>
    </row>
    <row r="654" spans="72:143">
      <c r="BT654" s="187"/>
      <c r="BU654" s="187" t="s">
        <v>71</v>
      </c>
      <c r="BV654" s="196">
        <v>120045</v>
      </c>
      <c r="BW654" s="197" t="e">
        <f t="shared" si="148"/>
        <v>#REF!</v>
      </c>
      <c r="BX654" s="198" t="e">
        <f>IF(AND(State_LOB_Code=18,LEFT(BW654,4)&lt;"2009"),81,State_LOB_Code)&amp;"|359"</f>
        <v>#REF!</v>
      </c>
      <c r="BY654" s="174"/>
      <c r="BZ654" s="175"/>
      <c r="CD654" s="163"/>
      <c r="CE654" s="363"/>
      <c r="CF654" s="335"/>
      <c r="CG654" s="335"/>
      <c r="CH654" s="335"/>
      <c r="CI654" s="335"/>
      <c r="CJ654" s="335"/>
      <c r="CK654" s="335"/>
      <c r="CL654" s="335"/>
      <c r="CM654" s="335"/>
      <c r="CN654" s="335"/>
      <c r="CO654" s="335"/>
      <c r="CP654" s="335"/>
      <c r="CQ654" s="335"/>
      <c r="CR654" s="335"/>
      <c r="CS654" s="335"/>
      <c r="CT654" s="335"/>
      <c r="CU654" s="335"/>
      <c r="CV654" s="335"/>
      <c r="CW654" s="335"/>
      <c r="CX654" s="335"/>
      <c r="CY654" s="335"/>
      <c r="CZ654" s="335"/>
      <c r="DA654" s="335"/>
      <c r="DB654" s="335"/>
      <c r="DC654" s="335"/>
      <c r="DD654" s="335"/>
      <c r="DE654" s="335"/>
      <c r="DF654" s="335"/>
      <c r="DG654" s="335"/>
      <c r="DH654" s="335"/>
      <c r="DI654" s="335"/>
      <c r="DJ654" s="335"/>
      <c r="DK654" s="335"/>
      <c r="DL654" s="335"/>
      <c r="DM654" s="335"/>
      <c r="DN654" s="335"/>
      <c r="DO654" s="335"/>
      <c r="DP654" s="335"/>
      <c r="DQ654" s="335"/>
      <c r="DR654" s="335"/>
      <c r="DS654" s="335"/>
      <c r="DT654" s="335"/>
      <c r="DU654" s="335"/>
      <c r="DV654" s="335"/>
      <c r="DW654" s="335"/>
      <c r="DX654" s="335"/>
      <c r="DY654" s="335"/>
      <c r="DZ654" s="335"/>
      <c r="EA654" s="335"/>
      <c r="EB654" s="335"/>
      <c r="EC654" s="335"/>
      <c r="ED654" s="335"/>
      <c r="EE654" s="335"/>
      <c r="EF654" s="335"/>
      <c r="EG654" s="335"/>
      <c r="EH654" s="335"/>
      <c r="EI654" s="335"/>
      <c r="EJ654" s="335"/>
      <c r="EK654" s="335"/>
      <c r="EL654" s="335"/>
      <c r="EM654" s="335"/>
    </row>
    <row r="655" spans="72:143">
      <c r="BT655" s="187"/>
      <c r="BU655" s="187" t="s">
        <v>72</v>
      </c>
      <c r="BV655" s="196">
        <v>120045</v>
      </c>
      <c r="BW655" s="197" t="e">
        <f t="shared" si="148"/>
        <v>#REF!</v>
      </c>
      <c r="BX655" s="198" t="e">
        <f>IF(AND(State_LOB_Code=18,LEFT(BW655,4)&lt;"2009"),81,State_LOB_Code)&amp;"|361"</f>
        <v>#REF!</v>
      </c>
      <c r="BY655" s="174"/>
      <c r="BZ655" s="175"/>
      <c r="CD655" s="163"/>
      <c r="CE655" s="363"/>
      <c r="CF655" s="335"/>
      <c r="CG655" s="335"/>
      <c r="CH655" s="335"/>
      <c r="CI655" s="335"/>
      <c r="CJ655" s="335"/>
      <c r="CK655" s="335"/>
      <c r="CL655" s="335"/>
      <c r="CM655" s="335"/>
      <c r="CN655" s="335"/>
      <c r="CO655" s="335"/>
      <c r="CP655" s="335"/>
      <c r="CQ655" s="335"/>
      <c r="CR655" s="335"/>
      <c r="CS655" s="335"/>
      <c r="CT655" s="335"/>
      <c r="CU655" s="335"/>
      <c r="CV655" s="335"/>
      <c r="CW655" s="335"/>
      <c r="CX655" s="335"/>
      <c r="CY655" s="335"/>
      <c r="CZ655" s="335"/>
      <c r="DA655" s="335"/>
      <c r="DB655" s="335"/>
      <c r="DC655" s="335"/>
      <c r="DD655" s="335"/>
      <c r="DE655" s="335"/>
      <c r="DF655" s="335"/>
      <c r="DG655" s="335"/>
      <c r="DH655" s="335"/>
      <c r="DI655" s="335"/>
      <c r="DJ655" s="335"/>
      <c r="DK655" s="335"/>
      <c r="DL655" s="335"/>
      <c r="DM655" s="335"/>
      <c r="DN655" s="335"/>
      <c r="DO655" s="335"/>
      <c r="DP655" s="335"/>
      <c r="DQ655" s="335"/>
      <c r="DR655" s="335"/>
      <c r="DS655" s="335"/>
      <c r="DT655" s="335"/>
      <c r="DU655" s="335"/>
      <c r="DV655" s="335"/>
      <c r="DW655" s="335"/>
      <c r="DX655" s="335"/>
      <c r="DY655" s="335"/>
      <c r="DZ655" s="335"/>
      <c r="EA655" s="335"/>
      <c r="EB655" s="335"/>
      <c r="EC655" s="335"/>
      <c r="ED655" s="335"/>
      <c r="EE655" s="335"/>
      <c r="EF655" s="335"/>
      <c r="EG655" s="335"/>
      <c r="EH655" s="335"/>
      <c r="EI655" s="335"/>
      <c r="EJ655" s="335"/>
      <c r="EK655" s="335"/>
      <c r="EL655" s="335"/>
      <c r="EM655" s="335"/>
    </row>
    <row r="656" spans="72:143">
      <c r="BT656" s="187"/>
      <c r="BU656" s="187" t="s">
        <v>73</v>
      </c>
      <c r="BV656" s="196">
        <v>120045</v>
      </c>
      <c r="BW656" s="197" t="e">
        <f t="shared" si="148"/>
        <v>#REF!</v>
      </c>
      <c r="BX656" s="198" t="e">
        <f>IF(AND(State_LOB_Code=18,LEFT(BW656,4)&lt;"2009"),81,State_LOB_Code)&amp;"|362"</f>
        <v>#REF!</v>
      </c>
      <c r="BY656" s="174"/>
      <c r="BZ656" s="175"/>
      <c r="CD656" s="163"/>
      <c r="CE656" s="363"/>
      <c r="CF656" s="335"/>
      <c r="CG656" s="335"/>
      <c r="CH656" s="335"/>
      <c r="CI656" s="335"/>
      <c r="CJ656" s="335"/>
      <c r="CK656" s="335"/>
      <c r="CL656" s="335"/>
      <c r="CM656" s="335"/>
      <c r="CN656" s="335"/>
      <c r="CO656" s="335"/>
      <c r="CP656" s="335"/>
      <c r="CQ656" s="335"/>
      <c r="CR656" s="335"/>
      <c r="CS656" s="335"/>
      <c r="CT656" s="335"/>
      <c r="CU656" s="335"/>
      <c r="CV656" s="335"/>
      <c r="CW656" s="335"/>
      <c r="CX656" s="335"/>
      <c r="CY656" s="335"/>
      <c r="CZ656" s="335"/>
      <c r="DA656" s="335"/>
      <c r="DB656" s="335"/>
      <c r="DC656" s="335"/>
      <c r="DD656" s="335"/>
      <c r="DE656" s="335"/>
      <c r="DF656" s="335"/>
      <c r="DG656" s="335"/>
      <c r="DH656" s="335"/>
      <c r="DI656" s="335"/>
      <c r="DJ656" s="335"/>
      <c r="DK656" s="335"/>
      <c r="DL656" s="335"/>
      <c r="DM656" s="335"/>
      <c r="DN656" s="335"/>
      <c r="DO656" s="335"/>
      <c r="DP656" s="335"/>
      <c r="DQ656" s="335"/>
      <c r="DR656" s="335"/>
      <c r="DS656" s="335"/>
      <c r="DT656" s="335"/>
      <c r="DU656" s="335"/>
      <c r="DV656" s="335"/>
      <c r="DW656" s="335"/>
      <c r="DX656" s="335"/>
      <c r="DY656" s="335"/>
      <c r="DZ656" s="335"/>
      <c r="EA656" s="335"/>
      <c r="EB656" s="335"/>
      <c r="EC656" s="335"/>
      <c r="ED656" s="335"/>
      <c r="EE656" s="335"/>
      <c r="EF656" s="335"/>
      <c r="EG656" s="335"/>
      <c r="EH656" s="335"/>
      <c r="EI656" s="335"/>
      <c r="EJ656" s="335"/>
      <c r="EK656" s="335"/>
      <c r="EL656" s="335"/>
      <c r="EM656" s="335"/>
    </row>
    <row r="657" spans="72:143">
      <c r="BT657" s="187"/>
      <c r="BU657" s="187" t="s">
        <v>74</v>
      </c>
      <c r="BV657" s="196">
        <v>120045</v>
      </c>
      <c r="BW657" s="197" t="e">
        <f t="shared" si="148"/>
        <v>#REF!</v>
      </c>
      <c r="BX657" s="198" t="e">
        <f>IF(AND(State_LOB_Code=18,LEFT(BW657,4)&lt;"2009"),81,State_LOB_Code)&amp;"|363"</f>
        <v>#REF!</v>
      </c>
      <c r="BY657" s="174"/>
      <c r="BZ657" s="175"/>
      <c r="CD657" s="163"/>
      <c r="CE657" s="363"/>
      <c r="CF657" s="335"/>
      <c r="CG657" s="335"/>
      <c r="CH657" s="335"/>
      <c r="CI657" s="335"/>
      <c r="CJ657" s="335"/>
      <c r="CK657" s="335"/>
      <c r="CL657" s="335"/>
      <c r="CM657" s="335"/>
      <c r="CN657" s="335"/>
      <c r="CO657" s="335"/>
      <c r="CP657" s="335"/>
      <c r="CQ657" s="335"/>
      <c r="CR657" s="335"/>
      <c r="CS657" s="335"/>
      <c r="CT657" s="335"/>
      <c r="CU657" s="335"/>
      <c r="CV657" s="335"/>
      <c r="CW657" s="335"/>
      <c r="CX657" s="335"/>
      <c r="CY657" s="335"/>
      <c r="CZ657" s="335"/>
      <c r="DA657" s="335"/>
      <c r="DB657" s="335"/>
      <c r="DC657" s="335"/>
      <c r="DD657" s="335"/>
      <c r="DE657" s="335"/>
      <c r="DF657" s="335"/>
      <c r="DG657" s="335"/>
      <c r="DH657" s="335"/>
      <c r="DI657" s="335"/>
      <c r="DJ657" s="335"/>
      <c r="DK657" s="335"/>
      <c r="DL657" s="335"/>
      <c r="DM657" s="335"/>
      <c r="DN657" s="335"/>
      <c r="DO657" s="335"/>
      <c r="DP657" s="335"/>
      <c r="DQ657" s="335"/>
      <c r="DR657" s="335"/>
      <c r="DS657" s="335"/>
      <c r="DT657" s="335"/>
      <c r="DU657" s="335"/>
      <c r="DV657" s="335"/>
      <c r="DW657" s="335"/>
      <c r="DX657" s="335"/>
      <c r="DY657" s="335"/>
      <c r="DZ657" s="335"/>
      <c r="EA657" s="335"/>
      <c r="EB657" s="335"/>
      <c r="EC657" s="335"/>
      <c r="ED657" s="335"/>
      <c r="EE657" s="335"/>
      <c r="EF657" s="335"/>
      <c r="EG657" s="335"/>
      <c r="EH657" s="335"/>
      <c r="EI657" s="335"/>
      <c r="EJ657" s="335"/>
      <c r="EK657" s="335"/>
      <c r="EL657" s="335"/>
      <c r="EM657" s="335"/>
    </row>
    <row r="658" spans="72:143">
      <c r="BT658" s="187"/>
      <c r="BU658" s="187" t="s">
        <v>75</v>
      </c>
      <c r="BV658" s="196">
        <v>120045</v>
      </c>
      <c r="BW658" s="197" t="e">
        <f t="shared" si="148"/>
        <v>#REF!</v>
      </c>
      <c r="BX658" s="198" t="e">
        <f>IF(AND(State_LOB_Code=18,LEFT(BW658,4)&lt;"2009"),81,State_LOB_Code)&amp;"|364"</f>
        <v>#REF!</v>
      </c>
      <c r="BY658" s="174"/>
      <c r="BZ658" s="175"/>
      <c r="CD658" s="163"/>
      <c r="CE658" s="363"/>
      <c r="CF658" s="335"/>
      <c r="CG658" s="335"/>
      <c r="CH658" s="335"/>
      <c r="CI658" s="335"/>
      <c r="CJ658" s="335"/>
      <c r="CK658" s="335"/>
      <c r="CL658" s="335"/>
      <c r="CM658" s="335"/>
      <c r="CN658" s="335"/>
      <c r="CO658" s="335"/>
      <c r="CP658" s="335"/>
      <c r="CQ658" s="335"/>
      <c r="CR658" s="335"/>
      <c r="CS658" s="335"/>
      <c r="CT658" s="335"/>
      <c r="CU658" s="335"/>
      <c r="CV658" s="335"/>
      <c r="CW658" s="335"/>
      <c r="CX658" s="335"/>
      <c r="CY658" s="335"/>
      <c r="CZ658" s="335"/>
      <c r="DA658" s="335"/>
      <c r="DB658" s="335"/>
      <c r="DC658" s="335"/>
      <c r="DD658" s="335"/>
      <c r="DE658" s="335"/>
      <c r="DF658" s="335"/>
      <c r="DG658" s="335"/>
      <c r="DH658" s="335"/>
      <c r="DI658" s="335"/>
      <c r="DJ658" s="335"/>
      <c r="DK658" s="335"/>
      <c r="DL658" s="335"/>
      <c r="DM658" s="335"/>
      <c r="DN658" s="335"/>
      <c r="DO658" s="335"/>
      <c r="DP658" s="335"/>
      <c r="DQ658" s="335"/>
      <c r="DR658" s="335"/>
      <c r="DS658" s="335"/>
      <c r="DT658" s="335"/>
      <c r="DU658" s="335"/>
      <c r="DV658" s="335"/>
      <c r="DW658" s="335"/>
      <c r="DX658" s="335"/>
      <c r="DY658" s="335"/>
      <c r="DZ658" s="335"/>
      <c r="EA658" s="335"/>
      <c r="EB658" s="335"/>
      <c r="EC658" s="335"/>
      <c r="ED658" s="335"/>
      <c r="EE658" s="335"/>
      <c r="EF658" s="335"/>
      <c r="EG658" s="335"/>
      <c r="EH658" s="335"/>
      <c r="EI658" s="335"/>
      <c r="EJ658" s="335"/>
      <c r="EK658" s="335"/>
      <c r="EL658" s="335"/>
      <c r="EM658" s="335"/>
    </row>
    <row r="659" spans="72:143">
      <c r="BT659" s="187"/>
      <c r="BU659" s="187" t="s">
        <v>76</v>
      </c>
      <c r="BV659" s="196">
        <v>120045</v>
      </c>
      <c r="BW659" s="197" t="e">
        <f t="shared" si="148"/>
        <v>#REF!</v>
      </c>
      <c r="BX659" s="198" t="e">
        <f>IF(AND(State_LOB_Code=18,LEFT(BW659,4)&lt;"2009"),81,State_LOB_Code)&amp;"|365"</f>
        <v>#REF!</v>
      </c>
      <c r="BY659" s="174"/>
      <c r="BZ659" s="175"/>
      <c r="CD659" s="163"/>
      <c r="CE659" s="363"/>
      <c r="CF659" s="335"/>
      <c r="CG659" s="335"/>
      <c r="CH659" s="335"/>
      <c r="CI659" s="335"/>
      <c r="CJ659" s="335"/>
      <c r="CK659" s="335"/>
      <c r="CL659" s="335"/>
      <c r="CM659" s="335"/>
      <c r="CN659" s="335"/>
      <c r="CO659" s="335"/>
      <c r="CP659" s="335"/>
      <c r="CQ659" s="335"/>
      <c r="CR659" s="335"/>
      <c r="CS659" s="335"/>
      <c r="CT659" s="335"/>
      <c r="CU659" s="335"/>
      <c r="CV659" s="335"/>
      <c r="CW659" s="335"/>
      <c r="CX659" s="335"/>
      <c r="CY659" s="335"/>
      <c r="CZ659" s="335"/>
      <c r="DA659" s="335"/>
      <c r="DB659" s="335"/>
      <c r="DC659" s="335"/>
      <c r="DD659" s="335"/>
      <c r="DE659" s="335"/>
      <c r="DF659" s="335"/>
      <c r="DG659" s="335"/>
      <c r="DH659" s="335"/>
      <c r="DI659" s="335"/>
      <c r="DJ659" s="335"/>
      <c r="DK659" s="335"/>
      <c r="DL659" s="335"/>
      <c r="DM659" s="335"/>
      <c r="DN659" s="335"/>
      <c r="DO659" s="335"/>
      <c r="DP659" s="335"/>
      <c r="DQ659" s="335"/>
      <c r="DR659" s="335"/>
      <c r="DS659" s="335"/>
      <c r="DT659" s="335"/>
      <c r="DU659" s="335"/>
      <c r="DV659" s="335"/>
      <c r="DW659" s="335"/>
      <c r="DX659" s="335"/>
      <c r="DY659" s="335"/>
      <c r="DZ659" s="335"/>
      <c r="EA659" s="335"/>
      <c r="EB659" s="335"/>
      <c r="EC659" s="335"/>
      <c r="ED659" s="335"/>
      <c r="EE659" s="335"/>
      <c r="EF659" s="335"/>
      <c r="EG659" s="335"/>
      <c r="EH659" s="335"/>
      <c r="EI659" s="335"/>
      <c r="EJ659" s="335"/>
      <c r="EK659" s="335"/>
      <c r="EL659" s="335"/>
      <c r="EM659" s="335"/>
    </row>
    <row r="660" spans="72:143">
      <c r="BT660" s="187"/>
      <c r="BU660" s="187" t="s">
        <v>77</v>
      </c>
      <c r="BV660" s="196">
        <v>120045</v>
      </c>
      <c r="BW660" s="197" t="e">
        <f t="shared" si="148"/>
        <v>#REF!</v>
      </c>
      <c r="BX660" s="198" t="e">
        <f>IF(AND(State_LOB_Code=18,LEFT(BW660,4)&lt;"2009"),81,State_LOB_Code)&amp;"|366"</f>
        <v>#REF!</v>
      </c>
      <c r="BY660" s="174"/>
      <c r="BZ660" s="175"/>
      <c r="CD660" s="163"/>
      <c r="CE660" s="363"/>
      <c r="CF660" s="335"/>
      <c r="CG660" s="335"/>
      <c r="CH660" s="335"/>
      <c r="CI660" s="335"/>
      <c r="CJ660" s="335"/>
      <c r="CK660" s="335"/>
      <c r="CL660" s="335"/>
      <c r="CM660" s="335"/>
      <c r="CN660" s="335"/>
      <c r="CO660" s="335"/>
      <c r="CP660" s="335"/>
      <c r="CQ660" s="335"/>
      <c r="CR660" s="335"/>
      <c r="CS660" s="335"/>
      <c r="CT660" s="335"/>
      <c r="CU660" s="335"/>
      <c r="CV660" s="335"/>
      <c r="CW660" s="335"/>
      <c r="CX660" s="335"/>
      <c r="CY660" s="335"/>
      <c r="CZ660" s="335"/>
      <c r="DA660" s="335"/>
      <c r="DB660" s="335"/>
      <c r="DC660" s="335"/>
      <c r="DD660" s="335"/>
      <c r="DE660" s="335"/>
      <c r="DF660" s="335"/>
      <c r="DG660" s="335"/>
      <c r="DH660" s="335"/>
      <c r="DI660" s="335"/>
      <c r="DJ660" s="335"/>
      <c r="DK660" s="335"/>
      <c r="DL660" s="335"/>
      <c r="DM660" s="335"/>
      <c r="DN660" s="335"/>
      <c r="DO660" s="335"/>
      <c r="DP660" s="335"/>
      <c r="DQ660" s="335"/>
      <c r="DR660" s="335"/>
      <c r="DS660" s="335"/>
      <c r="DT660" s="335"/>
      <c r="DU660" s="335"/>
      <c r="DV660" s="335"/>
      <c r="DW660" s="335"/>
      <c r="DX660" s="335"/>
      <c r="DY660" s="335"/>
      <c r="DZ660" s="335"/>
      <c r="EA660" s="335"/>
      <c r="EB660" s="335"/>
      <c r="EC660" s="335"/>
      <c r="ED660" s="335"/>
      <c r="EE660" s="335"/>
      <c r="EF660" s="335"/>
      <c r="EG660" s="335"/>
      <c r="EH660" s="335"/>
      <c r="EI660" s="335"/>
      <c r="EJ660" s="335"/>
      <c r="EK660" s="335"/>
      <c r="EL660" s="335"/>
      <c r="EM660" s="335"/>
    </row>
    <row r="661" spans="72:143">
      <c r="BT661" s="187"/>
      <c r="BU661" s="187" t="s">
        <v>78</v>
      </c>
      <c r="BV661" s="196">
        <v>120045</v>
      </c>
      <c r="BW661" s="197" t="e">
        <f t="shared" si="148"/>
        <v>#REF!</v>
      </c>
      <c r="BX661" s="198" t="e">
        <f>IF(AND(State_LOB_Code=18,LEFT(BW661,4)&lt;"2009"),81,State_LOB_Code)&amp;"|367"</f>
        <v>#REF!</v>
      </c>
      <c r="BY661" s="174"/>
      <c r="BZ661" s="175"/>
      <c r="CD661" s="163"/>
      <c r="CE661" s="363"/>
      <c r="CF661" s="335"/>
      <c r="CG661" s="335"/>
      <c r="CH661" s="335"/>
      <c r="CI661" s="335"/>
      <c r="CJ661" s="335"/>
      <c r="CK661" s="335"/>
      <c r="CL661" s="335"/>
      <c r="CM661" s="335"/>
      <c r="CN661" s="335"/>
      <c r="CO661" s="335"/>
      <c r="CP661" s="335"/>
      <c r="CQ661" s="335"/>
      <c r="CR661" s="335"/>
      <c r="CS661" s="335"/>
      <c r="CT661" s="335"/>
      <c r="CU661" s="335"/>
      <c r="CV661" s="335"/>
      <c r="CW661" s="335"/>
      <c r="CX661" s="335"/>
      <c r="CY661" s="335"/>
      <c r="CZ661" s="335"/>
      <c r="DA661" s="335"/>
      <c r="DB661" s="335"/>
      <c r="DC661" s="335"/>
      <c r="DD661" s="335"/>
      <c r="DE661" s="335"/>
      <c r="DF661" s="335"/>
      <c r="DG661" s="335"/>
      <c r="DH661" s="335"/>
      <c r="DI661" s="335"/>
      <c r="DJ661" s="335"/>
      <c r="DK661" s="335"/>
      <c r="DL661" s="335"/>
      <c r="DM661" s="335"/>
      <c r="DN661" s="335"/>
      <c r="DO661" s="335"/>
      <c r="DP661" s="335"/>
      <c r="DQ661" s="335"/>
      <c r="DR661" s="335"/>
      <c r="DS661" s="335"/>
      <c r="DT661" s="335"/>
      <c r="DU661" s="335"/>
      <c r="DV661" s="335"/>
      <c r="DW661" s="335"/>
      <c r="DX661" s="335"/>
      <c r="DY661" s="335"/>
      <c r="DZ661" s="335"/>
      <c r="EA661" s="335"/>
      <c r="EB661" s="335"/>
      <c r="EC661" s="335"/>
      <c r="ED661" s="335"/>
      <c r="EE661" s="335"/>
      <c r="EF661" s="335"/>
      <c r="EG661" s="335"/>
      <c r="EH661" s="335"/>
      <c r="EI661" s="335"/>
      <c r="EJ661" s="335"/>
      <c r="EK661" s="335"/>
      <c r="EL661" s="335"/>
      <c r="EM661" s="335"/>
    </row>
    <row r="662" spans="72:143">
      <c r="BT662" s="187"/>
      <c r="BU662" s="187" t="s">
        <v>79</v>
      </c>
      <c r="BV662" s="196">
        <v>120045</v>
      </c>
      <c r="BW662" s="197" t="e">
        <f t="shared" ref="BW662:BW689" si="149">Period_Y</f>
        <v>#REF!</v>
      </c>
      <c r="BX662" s="198" t="e">
        <f>IF(AND(State_LOB_Code=18,LEFT(BW662,4)&lt;"2009"),81,State_LOB_Code)&amp;"|368"</f>
        <v>#REF!</v>
      </c>
      <c r="BY662" s="174"/>
      <c r="BZ662" s="175"/>
      <c r="CD662" s="163"/>
      <c r="CE662" s="363"/>
      <c r="CF662" s="335"/>
      <c r="CG662" s="335"/>
      <c r="CH662" s="335"/>
      <c r="CI662" s="335"/>
      <c r="CJ662" s="335"/>
      <c r="CK662" s="335"/>
      <c r="CL662" s="335"/>
      <c r="CM662" s="335"/>
      <c r="CN662" s="335"/>
      <c r="CO662" s="335"/>
      <c r="CP662" s="335"/>
      <c r="CQ662" s="335"/>
      <c r="CR662" s="335"/>
      <c r="CS662" s="335"/>
      <c r="CT662" s="335"/>
      <c r="CU662" s="335"/>
      <c r="CV662" s="335"/>
      <c r="CW662" s="335"/>
      <c r="CX662" s="335"/>
      <c r="CY662" s="335"/>
      <c r="CZ662" s="335"/>
      <c r="DA662" s="335"/>
      <c r="DB662" s="335"/>
      <c r="DC662" s="335"/>
      <c r="DD662" s="335"/>
      <c r="DE662" s="335"/>
      <c r="DF662" s="335"/>
      <c r="DG662" s="335"/>
      <c r="DH662" s="335"/>
      <c r="DI662" s="335"/>
      <c r="DJ662" s="335"/>
      <c r="DK662" s="335"/>
      <c r="DL662" s="335"/>
      <c r="DM662" s="335"/>
      <c r="DN662" s="335"/>
      <c r="DO662" s="335"/>
      <c r="DP662" s="335"/>
      <c r="DQ662" s="335"/>
      <c r="DR662" s="335"/>
      <c r="DS662" s="335"/>
      <c r="DT662" s="335"/>
      <c r="DU662" s="335"/>
      <c r="DV662" s="335"/>
      <c r="DW662" s="335"/>
      <c r="DX662" s="335"/>
      <c r="DY662" s="335"/>
      <c r="DZ662" s="335"/>
      <c r="EA662" s="335"/>
      <c r="EB662" s="335"/>
      <c r="EC662" s="335"/>
      <c r="ED662" s="335"/>
      <c r="EE662" s="335"/>
      <c r="EF662" s="335"/>
      <c r="EG662" s="335"/>
      <c r="EH662" s="335"/>
      <c r="EI662" s="335"/>
      <c r="EJ662" s="335"/>
      <c r="EK662" s="335"/>
      <c r="EL662" s="335"/>
      <c r="EM662" s="335"/>
    </row>
    <row r="663" spans="72:143">
      <c r="BT663" s="187"/>
      <c r="BU663" s="187" t="s">
        <v>80</v>
      </c>
      <c r="BV663" s="196">
        <v>120045</v>
      </c>
      <c r="BW663" s="197" t="e">
        <f t="shared" si="149"/>
        <v>#REF!</v>
      </c>
      <c r="BX663" s="198" t="e">
        <f>IF(AND(State_LOB_Code=18,LEFT(BW663,4)&lt;"2009"),81,State_LOB_Code)&amp;"|369"</f>
        <v>#REF!</v>
      </c>
      <c r="BY663" s="174"/>
      <c r="BZ663" s="175"/>
      <c r="CD663" s="163"/>
      <c r="CE663" s="363"/>
      <c r="CF663" s="335"/>
      <c r="CG663" s="335"/>
      <c r="CH663" s="335"/>
      <c r="CI663" s="335"/>
      <c r="CJ663" s="335"/>
      <c r="CK663" s="335"/>
      <c r="CL663" s="335"/>
      <c r="CM663" s="335"/>
      <c r="CN663" s="335"/>
      <c r="CO663" s="335"/>
      <c r="CP663" s="335"/>
      <c r="CQ663" s="335"/>
      <c r="CR663" s="335"/>
      <c r="CS663" s="335"/>
      <c r="CT663" s="335"/>
      <c r="CU663" s="335"/>
      <c r="CV663" s="335"/>
      <c r="CW663" s="335"/>
      <c r="CX663" s="335"/>
      <c r="CY663" s="335"/>
      <c r="CZ663" s="335"/>
      <c r="DA663" s="335"/>
      <c r="DB663" s="335"/>
      <c r="DC663" s="335"/>
      <c r="DD663" s="335"/>
      <c r="DE663" s="335"/>
      <c r="DF663" s="335"/>
      <c r="DG663" s="335"/>
      <c r="DH663" s="335"/>
      <c r="DI663" s="335"/>
      <c r="DJ663" s="335"/>
      <c r="DK663" s="335"/>
      <c r="DL663" s="335"/>
      <c r="DM663" s="335"/>
      <c r="DN663" s="335"/>
      <c r="DO663" s="335"/>
      <c r="DP663" s="335"/>
      <c r="DQ663" s="335"/>
      <c r="DR663" s="335"/>
      <c r="DS663" s="335"/>
      <c r="DT663" s="335"/>
      <c r="DU663" s="335"/>
      <c r="DV663" s="335"/>
      <c r="DW663" s="335"/>
      <c r="DX663" s="335"/>
      <c r="DY663" s="335"/>
      <c r="DZ663" s="335"/>
      <c r="EA663" s="335"/>
      <c r="EB663" s="335"/>
      <c r="EC663" s="335"/>
      <c r="ED663" s="335"/>
      <c r="EE663" s="335"/>
      <c r="EF663" s="335"/>
      <c r="EG663" s="335"/>
      <c r="EH663" s="335"/>
      <c r="EI663" s="335"/>
      <c r="EJ663" s="335"/>
      <c r="EK663" s="335"/>
      <c r="EL663" s="335"/>
      <c r="EM663" s="335"/>
    </row>
    <row r="664" spans="72:143">
      <c r="BT664" s="187"/>
      <c r="BU664" s="187" t="s">
        <v>81</v>
      </c>
      <c r="BV664" s="196">
        <v>120045</v>
      </c>
      <c r="BW664" s="197" t="e">
        <f t="shared" si="149"/>
        <v>#REF!</v>
      </c>
      <c r="BX664" s="198" t="e">
        <f>IF(AND(State_LOB_Code=18,LEFT(BW664,4)&lt;"2009"),81,State_LOB_Code)&amp;"|370"</f>
        <v>#REF!</v>
      </c>
      <c r="BY664" s="174"/>
      <c r="BZ664" s="175"/>
      <c r="CD664" s="163"/>
      <c r="CE664" s="363"/>
      <c r="CF664" s="335"/>
      <c r="CG664" s="335"/>
      <c r="CH664" s="335"/>
      <c r="CI664" s="335"/>
      <c r="CJ664" s="335"/>
      <c r="CK664" s="335"/>
      <c r="CL664" s="335"/>
      <c r="CM664" s="335"/>
      <c r="CN664" s="335"/>
      <c r="CO664" s="335"/>
      <c r="CP664" s="335"/>
      <c r="CQ664" s="335"/>
      <c r="CR664" s="335"/>
      <c r="CS664" s="335"/>
      <c r="CT664" s="335"/>
      <c r="CU664" s="335"/>
      <c r="CV664" s="335"/>
      <c r="CW664" s="335"/>
      <c r="CX664" s="335"/>
      <c r="CY664" s="335"/>
      <c r="CZ664" s="335"/>
      <c r="DA664" s="335"/>
      <c r="DB664" s="335"/>
      <c r="DC664" s="335"/>
      <c r="DD664" s="335"/>
      <c r="DE664" s="335"/>
      <c r="DF664" s="335"/>
      <c r="DG664" s="335"/>
      <c r="DH664" s="335"/>
      <c r="DI664" s="335"/>
      <c r="DJ664" s="335"/>
      <c r="DK664" s="335"/>
      <c r="DL664" s="335"/>
      <c r="DM664" s="335"/>
      <c r="DN664" s="335"/>
      <c r="DO664" s="335"/>
      <c r="DP664" s="335"/>
      <c r="DQ664" s="335"/>
      <c r="DR664" s="335"/>
      <c r="DS664" s="335"/>
      <c r="DT664" s="335"/>
      <c r="DU664" s="335"/>
      <c r="DV664" s="335"/>
      <c r="DW664" s="335"/>
      <c r="DX664" s="335"/>
      <c r="DY664" s="335"/>
      <c r="DZ664" s="335"/>
      <c r="EA664" s="335"/>
      <c r="EB664" s="335"/>
      <c r="EC664" s="335"/>
      <c r="ED664" s="335"/>
      <c r="EE664" s="335"/>
      <c r="EF664" s="335"/>
      <c r="EG664" s="335"/>
      <c r="EH664" s="335"/>
      <c r="EI664" s="335"/>
      <c r="EJ664" s="335"/>
      <c r="EK664" s="335"/>
      <c r="EL664" s="335"/>
      <c r="EM664" s="335"/>
    </row>
    <row r="665" spans="72:143">
      <c r="BT665" s="187"/>
      <c r="BU665" s="187" t="s">
        <v>82</v>
      </c>
      <c r="BV665" s="196">
        <v>120045</v>
      </c>
      <c r="BW665" s="197" t="e">
        <f t="shared" si="149"/>
        <v>#REF!</v>
      </c>
      <c r="BX665" s="198" t="e">
        <f>IF(AND(State_LOB_Code=18,LEFT(BW665,4)&lt;"2009"),81,State_LOB_Code)&amp;"|371"</f>
        <v>#REF!</v>
      </c>
      <c r="BY665" s="174"/>
      <c r="BZ665" s="175"/>
      <c r="CD665" s="163"/>
      <c r="CE665" s="363"/>
      <c r="CF665" s="335"/>
      <c r="CG665" s="335"/>
      <c r="CH665" s="335"/>
      <c r="CI665" s="335"/>
      <c r="CJ665" s="335"/>
      <c r="CK665" s="335"/>
      <c r="CL665" s="335"/>
      <c r="CM665" s="335"/>
      <c r="CN665" s="335"/>
      <c r="CO665" s="335"/>
      <c r="CP665" s="335"/>
      <c r="CQ665" s="335"/>
      <c r="CR665" s="335"/>
      <c r="CS665" s="335"/>
      <c r="CT665" s="335"/>
      <c r="CU665" s="335"/>
      <c r="CV665" s="335"/>
      <c r="CW665" s="335"/>
      <c r="CX665" s="335"/>
      <c r="CY665" s="335"/>
      <c r="CZ665" s="335"/>
      <c r="DA665" s="335"/>
      <c r="DB665" s="335"/>
      <c r="DC665" s="335"/>
      <c r="DD665" s="335"/>
      <c r="DE665" s="335"/>
      <c r="DF665" s="335"/>
      <c r="DG665" s="335"/>
      <c r="DH665" s="335"/>
      <c r="DI665" s="335"/>
      <c r="DJ665" s="335"/>
      <c r="DK665" s="335"/>
      <c r="DL665" s="335"/>
      <c r="DM665" s="335"/>
      <c r="DN665" s="335"/>
      <c r="DO665" s="335"/>
      <c r="DP665" s="335"/>
      <c r="DQ665" s="335"/>
      <c r="DR665" s="335"/>
      <c r="DS665" s="335"/>
      <c r="DT665" s="335"/>
      <c r="DU665" s="335"/>
      <c r="DV665" s="335"/>
      <c r="DW665" s="335"/>
      <c r="DX665" s="335"/>
      <c r="DY665" s="335"/>
      <c r="DZ665" s="335"/>
      <c r="EA665" s="335"/>
      <c r="EB665" s="335"/>
      <c r="EC665" s="335"/>
      <c r="ED665" s="335"/>
      <c r="EE665" s="335"/>
      <c r="EF665" s="335"/>
      <c r="EG665" s="335"/>
      <c r="EH665" s="335"/>
      <c r="EI665" s="335"/>
      <c r="EJ665" s="335"/>
      <c r="EK665" s="335"/>
      <c r="EL665" s="335"/>
      <c r="EM665" s="335"/>
    </row>
    <row r="666" spans="72:143">
      <c r="BT666" s="187"/>
      <c r="BU666" s="187" t="s">
        <v>83</v>
      </c>
      <c r="BV666" s="196">
        <v>120045</v>
      </c>
      <c r="BW666" s="197" t="e">
        <f t="shared" si="149"/>
        <v>#REF!</v>
      </c>
      <c r="BX666" s="198" t="e">
        <f>IF(AND(State_LOB_Code=18,LEFT(BW666,4)&lt;"2009"),81,State_LOB_Code)&amp;"|372"</f>
        <v>#REF!</v>
      </c>
      <c r="BY666" s="174"/>
      <c r="BZ666" s="175"/>
      <c r="CD666" s="163"/>
      <c r="CE666" s="363"/>
      <c r="CF666" s="335"/>
      <c r="CG666" s="335"/>
      <c r="CH666" s="335"/>
      <c r="CI666" s="335"/>
      <c r="CJ666" s="335"/>
      <c r="CK666" s="335"/>
      <c r="CL666" s="335"/>
      <c r="CM666" s="335"/>
      <c r="CN666" s="335"/>
      <c r="CO666" s="335"/>
      <c r="CP666" s="335"/>
      <c r="CQ666" s="335"/>
      <c r="CR666" s="335"/>
      <c r="CS666" s="335"/>
      <c r="CT666" s="335"/>
      <c r="CU666" s="335"/>
      <c r="CV666" s="335"/>
      <c r="CW666" s="335"/>
      <c r="CX666" s="335"/>
      <c r="CY666" s="335"/>
      <c r="CZ666" s="335"/>
      <c r="DA666" s="335"/>
      <c r="DB666" s="335"/>
      <c r="DC666" s="335"/>
      <c r="DD666" s="335"/>
      <c r="DE666" s="335"/>
      <c r="DF666" s="335"/>
      <c r="DG666" s="335"/>
      <c r="DH666" s="335"/>
      <c r="DI666" s="335"/>
      <c r="DJ666" s="335"/>
      <c r="DK666" s="335"/>
      <c r="DL666" s="335"/>
      <c r="DM666" s="335"/>
      <c r="DN666" s="335"/>
      <c r="DO666" s="335"/>
      <c r="DP666" s="335"/>
      <c r="DQ666" s="335"/>
      <c r="DR666" s="335"/>
      <c r="DS666" s="335"/>
      <c r="DT666" s="335"/>
      <c r="DU666" s="335"/>
      <c r="DV666" s="335"/>
      <c r="DW666" s="335"/>
      <c r="DX666" s="335"/>
      <c r="DY666" s="335"/>
      <c r="DZ666" s="335"/>
      <c r="EA666" s="335"/>
      <c r="EB666" s="335"/>
      <c r="EC666" s="335"/>
      <c r="ED666" s="335"/>
      <c r="EE666" s="335"/>
      <c r="EF666" s="335"/>
      <c r="EG666" s="335"/>
      <c r="EH666" s="335"/>
      <c r="EI666" s="335"/>
      <c r="EJ666" s="335"/>
      <c r="EK666" s="335"/>
      <c r="EL666" s="335"/>
      <c r="EM666" s="335"/>
    </row>
    <row r="667" spans="72:143">
      <c r="BT667" s="187"/>
      <c r="BU667" s="187" t="s">
        <v>84</v>
      </c>
      <c r="BV667" s="196">
        <v>120045</v>
      </c>
      <c r="BW667" s="197" t="e">
        <f t="shared" si="149"/>
        <v>#REF!</v>
      </c>
      <c r="BX667" s="198" t="e">
        <f>IF(AND(State_LOB_Code=18,LEFT(BW667,4)&lt;"2009"),81,State_LOB_Code)&amp;"|373"</f>
        <v>#REF!</v>
      </c>
      <c r="BY667" s="174"/>
      <c r="BZ667" s="175"/>
      <c r="CD667" s="163"/>
      <c r="CE667" s="363"/>
      <c r="CF667" s="335"/>
      <c r="CG667" s="335"/>
      <c r="CH667" s="335"/>
      <c r="CI667" s="335"/>
      <c r="CJ667" s="335"/>
      <c r="CK667" s="335"/>
      <c r="CL667" s="335"/>
      <c r="CM667" s="335"/>
      <c r="CN667" s="335"/>
      <c r="CO667" s="335"/>
      <c r="CP667" s="335"/>
      <c r="CQ667" s="335"/>
      <c r="CR667" s="335"/>
      <c r="CS667" s="335"/>
      <c r="CT667" s="335"/>
      <c r="CU667" s="335"/>
      <c r="CV667" s="335"/>
      <c r="CW667" s="335"/>
      <c r="CX667" s="335"/>
      <c r="CY667" s="335"/>
      <c r="CZ667" s="335"/>
      <c r="DA667" s="335"/>
      <c r="DB667" s="335"/>
      <c r="DC667" s="335"/>
      <c r="DD667" s="335"/>
      <c r="DE667" s="335"/>
      <c r="DF667" s="335"/>
      <c r="DG667" s="335"/>
      <c r="DH667" s="335"/>
      <c r="DI667" s="335"/>
      <c r="DJ667" s="335"/>
      <c r="DK667" s="335"/>
      <c r="DL667" s="335"/>
      <c r="DM667" s="335"/>
      <c r="DN667" s="335"/>
      <c r="DO667" s="335"/>
      <c r="DP667" s="335"/>
      <c r="DQ667" s="335"/>
      <c r="DR667" s="335"/>
      <c r="DS667" s="335"/>
      <c r="DT667" s="335"/>
      <c r="DU667" s="335"/>
      <c r="DV667" s="335"/>
      <c r="DW667" s="335"/>
      <c r="DX667" s="335"/>
      <c r="DY667" s="335"/>
      <c r="DZ667" s="335"/>
      <c r="EA667" s="335"/>
      <c r="EB667" s="335"/>
      <c r="EC667" s="335"/>
      <c r="ED667" s="335"/>
      <c r="EE667" s="335"/>
      <c r="EF667" s="335"/>
      <c r="EG667" s="335"/>
      <c r="EH667" s="335"/>
      <c r="EI667" s="335"/>
      <c r="EJ667" s="335"/>
      <c r="EK667" s="335"/>
      <c r="EL667" s="335"/>
      <c r="EM667" s="335"/>
    </row>
    <row r="668" spans="72:143">
      <c r="BT668" s="187"/>
      <c r="BU668" s="187" t="s">
        <v>85</v>
      </c>
      <c r="BV668" s="196">
        <v>120045</v>
      </c>
      <c r="BW668" s="197" t="e">
        <f t="shared" si="149"/>
        <v>#REF!</v>
      </c>
      <c r="BX668" s="198" t="e">
        <f>IF(AND(State_LOB_Code=18,LEFT(BW668,4)&lt;"2009"),81,State_LOB_Code)&amp;"|374"</f>
        <v>#REF!</v>
      </c>
      <c r="BY668" s="174"/>
      <c r="BZ668" s="175"/>
      <c r="CD668" s="163"/>
      <c r="CE668" s="363"/>
      <c r="CF668" s="335"/>
      <c r="CG668" s="335"/>
      <c r="CH668" s="335"/>
      <c r="CI668" s="335"/>
      <c r="CJ668" s="335"/>
      <c r="CK668" s="335"/>
      <c r="CL668" s="335"/>
      <c r="CM668" s="335"/>
      <c r="CN668" s="335"/>
      <c r="CO668" s="335"/>
      <c r="CP668" s="335"/>
      <c r="CQ668" s="335"/>
      <c r="CR668" s="335"/>
      <c r="CS668" s="335"/>
      <c r="CT668" s="335"/>
      <c r="CU668" s="335"/>
      <c r="CV668" s="335"/>
      <c r="CW668" s="335"/>
      <c r="CX668" s="335"/>
      <c r="CY668" s="335"/>
      <c r="CZ668" s="335"/>
      <c r="DA668" s="335"/>
      <c r="DB668" s="335"/>
      <c r="DC668" s="335"/>
      <c r="DD668" s="335"/>
      <c r="DE668" s="335"/>
      <c r="DF668" s="335"/>
      <c r="DG668" s="335"/>
      <c r="DH668" s="335"/>
      <c r="DI668" s="335"/>
      <c r="DJ668" s="335"/>
      <c r="DK668" s="335"/>
      <c r="DL668" s="335"/>
      <c r="DM668" s="335"/>
      <c r="DN668" s="335"/>
      <c r="DO668" s="335"/>
      <c r="DP668" s="335"/>
      <c r="DQ668" s="335"/>
      <c r="DR668" s="335"/>
      <c r="DS668" s="335"/>
      <c r="DT668" s="335"/>
      <c r="DU668" s="335"/>
      <c r="DV668" s="335"/>
      <c r="DW668" s="335"/>
      <c r="DX668" s="335"/>
      <c r="DY668" s="335"/>
      <c r="DZ668" s="335"/>
      <c r="EA668" s="335"/>
      <c r="EB668" s="335"/>
      <c r="EC668" s="335"/>
      <c r="ED668" s="335"/>
      <c r="EE668" s="335"/>
      <c r="EF668" s="335"/>
      <c r="EG668" s="335"/>
      <c r="EH668" s="335"/>
      <c r="EI668" s="335"/>
      <c r="EJ668" s="335"/>
      <c r="EK668" s="335"/>
      <c r="EL668" s="335"/>
      <c r="EM668" s="335"/>
    </row>
    <row r="669" spans="72:143">
      <c r="BT669" s="187"/>
      <c r="BU669" s="187" t="s">
        <v>86</v>
      </c>
      <c r="BV669" s="196">
        <v>120045</v>
      </c>
      <c r="BW669" s="197" t="e">
        <f t="shared" si="149"/>
        <v>#REF!</v>
      </c>
      <c r="BX669" s="198" t="e">
        <f>IF(AND(State_LOB_Code=18,LEFT(BW669,4)&lt;"2009"),81,State_LOB_Code)&amp;"|376"</f>
        <v>#REF!</v>
      </c>
      <c r="BY669" s="174"/>
      <c r="BZ669" s="175"/>
      <c r="CD669" s="163"/>
      <c r="CE669" s="363"/>
      <c r="CF669" s="335"/>
      <c r="CG669" s="335"/>
      <c r="CH669" s="335"/>
      <c r="CI669" s="335"/>
      <c r="CJ669" s="335"/>
      <c r="CK669" s="335"/>
      <c r="CL669" s="335"/>
      <c r="CM669" s="335"/>
      <c r="CN669" s="335"/>
      <c r="CO669" s="335"/>
      <c r="CP669" s="335"/>
      <c r="CQ669" s="335"/>
      <c r="CR669" s="335"/>
      <c r="CS669" s="335"/>
      <c r="CT669" s="335"/>
      <c r="CU669" s="335"/>
      <c r="CV669" s="335"/>
      <c r="CW669" s="335"/>
      <c r="CX669" s="335"/>
      <c r="CY669" s="335"/>
      <c r="CZ669" s="335"/>
      <c r="DA669" s="335"/>
      <c r="DB669" s="335"/>
      <c r="DC669" s="335"/>
      <c r="DD669" s="335"/>
      <c r="DE669" s="335"/>
      <c r="DF669" s="335"/>
      <c r="DG669" s="335"/>
      <c r="DH669" s="335"/>
      <c r="DI669" s="335"/>
      <c r="DJ669" s="335"/>
      <c r="DK669" s="335"/>
      <c r="DL669" s="335"/>
      <c r="DM669" s="335"/>
      <c r="DN669" s="335"/>
      <c r="DO669" s="335"/>
      <c r="DP669" s="335"/>
      <c r="DQ669" s="335"/>
      <c r="DR669" s="335"/>
      <c r="DS669" s="335"/>
      <c r="DT669" s="335"/>
      <c r="DU669" s="335"/>
      <c r="DV669" s="335"/>
      <c r="DW669" s="335"/>
      <c r="DX669" s="335"/>
      <c r="DY669" s="335"/>
      <c r="DZ669" s="335"/>
      <c r="EA669" s="335"/>
      <c r="EB669" s="335"/>
      <c r="EC669" s="335"/>
      <c r="ED669" s="335"/>
      <c r="EE669" s="335"/>
      <c r="EF669" s="335"/>
      <c r="EG669" s="335"/>
      <c r="EH669" s="335"/>
      <c r="EI669" s="335"/>
      <c r="EJ669" s="335"/>
      <c r="EK669" s="335"/>
      <c r="EL669" s="335"/>
      <c r="EM669" s="335"/>
    </row>
    <row r="670" spans="72:143">
      <c r="BT670" s="187"/>
      <c r="BU670" s="187" t="s">
        <v>87</v>
      </c>
      <c r="BV670" s="196">
        <v>120045</v>
      </c>
      <c r="BW670" s="197" t="e">
        <f t="shared" si="149"/>
        <v>#REF!</v>
      </c>
      <c r="BX670" s="198" t="e">
        <f>IF(AND(State_LOB_Code=18,LEFT(BW670,4)&lt;"2009"),81,State_LOB_Code)&amp;"|377"</f>
        <v>#REF!</v>
      </c>
      <c r="BY670" s="174"/>
      <c r="BZ670" s="175"/>
      <c r="CD670" s="163"/>
      <c r="CE670" s="363"/>
      <c r="CF670" s="335"/>
      <c r="CG670" s="335"/>
      <c r="CH670" s="335"/>
      <c r="CI670" s="335"/>
      <c r="CJ670" s="335"/>
      <c r="CK670" s="335"/>
      <c r="CL670" s="335"/>
      <c r="CM670" s="335"/>
      <c r="CN670" s="335"/>
      <c r="CO670" s="335"/>
      <c r="CP670" s="335"/>
      <c r="CQ670" s="335"/>
      <c r="CR670" s="335"/>
      <c r="CS670" s="335"/>
      <c r="CT670" s="335"/>
      <c r="CU670" s="335"/>
      <c r="CV670" s="335"/>
      <c r="CW670" s="335"/>
      <c r="CX670" s="335"/>
      <c r="CY670" s="335"/>
      <c r="CZ670" s="335"/>
      <c r="DA670" s="335"/>
      <c r="DB670" s="335"/>
      <c r="DC670" s="335"/>
      <c r="DD670" s="335"/>
      <c r="DE670" s="335"/>
      <c r="DF670" s="335"/>
      <c r="DG670" s="335"/>
      <c r="DH670" s="335"/>
      <c r="DI670" s="335"/>
      <c r="DJ670" s="335"/>
      <c r="DK670" s="335"/>
      <c r="DL670" s="335"/>
      <c r="DM670" s="335"/>
      <c r="DN670" s="335"/>
      <c r="DO670" s="335"/>
      <c r="DP670" s="335"/>
      <c r="DQ670" s="335"/>
      <c r="DR670" s="335"/>
      <c r="DS670" s="335"/>
      <c r="DT670" s="335"/>
      <c r="DU670" s="335"/>
      <c r="DV670" s="335"/>
      <c r="DW670" s="335"/>
      <c r="DX670" s="335"/>
      <c r="DY670" s="335"/>
      <c r="DZ670" s="335"/>
      <c r="EA670" s="335"/>
      <c r="EB670" s="335"/>
      <c r="EC670" s="335"/>
      <c r="ED670" s="335"/>
      <c r="EE670" s="335"/>
      <c r="EF670" s="335"/>
      <c r="EG670" s="335"/>
      <c r="EH670" s="335"/>
      <c r="EI670" s="335"/>
      <c r="EJ670" s="335"/>
      <c r="EK670" s="335"/>
      <c r="EL670" s="335"/>
      <c r="EM670" s="335"/>
    </row>
    <row r="671" spans="72:143">
      <c r="BT671" s="187"/>
      <c r="BU671" s="187" t="s">
        <v>88</v>
      </c>
      <c r="BV671" s="196">
        <v>120045</v>
      </c>
      <c r="BW671" s="197" t="e">
        <f t="shared" si="149"/>
        <v>#REF!</v>
      </c>
      <c r="BX671" s="198" t="e">
        <f>IF(AND(State_LOB_Code=18,LEFT(BW671,4)&lt;"2009"),81,State_LOB_Code)&amp;"|378"</f>
        <v>#REF!</v>
      </c>
      <c r="BY671" s="174"/>
      <c r="BZ671" s="175"/>
      <c r="CD671" s="163"/>
      <c r="CE671" s="363"/>
      <c r="CF671" s="335"/>
      <c r="CG671" s="335"/>
      <c r="CH671" s="335"/>
      <c r="CI671" s="335"/>
      <c r="CJ671" s="335"/>
      <c r="CK671" s="335"/>
      <c r="CL671" s="335"/>
      <c r="CM671" s="335"/>
      <c r="CN671" s="335"/>
      <c r="CO671" s="335"/>
      <c r="CP671" s="335"/>
      <c r="CQ671" s="335"/>
      <c r="CR671" s="335"/>
      <c r="CS671" s="335"/>
      <c r="CT671" s="335"/>
      <c r="CU671" s="335"/>
      <c r="CV671" s="335"/>
      <c r="CW671" s="335"/>
      <c r="CX671" s="335"/>
      <c r="CY671" s="335"/>
      <c r="CZ671" s="335"/>
      <c r="DA671" s="335"/>
      <c r="DB671" s="335"/>
      <c r="DC671" s="335"/>
      <c r="DD671" s="335"/>
      <c r="DE671" s="335"/>
      <c r="DF671" s="335"/>
      <c r="DG671" s="335"/>
      <c r="DH671" s="335"/>
      <c r="DI671" s="335"/>
      <c r="DJ671" s="335"/>
      <c r="DK671" s="335"/>
      <c r="DL671" s="335"/>
      <c r="DM671" s="335"/>
      <c r="DN671" s="335"/>
      <c r="DO671" s="335"/>
      <c r="DP671" s="335"/>
      <c r="DQ671" s="335"/>
      <c r="DR671" s="335"/>
      <c r="DS671" s="335"/>
      <c r="DT671" s="335"/>
      <c r="DU671" s="335"/>
      <c r="DV671" s="335"/>
      <c r="DW671" s="335"/>
      <c r="DX671" s="335"/>
      <c r="DY671" s="335"/>
      <c r="DZ671" s="335"/>
      <c r="EA671" s="335"/>
      <c r="EB671" s="335"/>
      <c r="EC671" s="335"/>
      <c r="ED671" s="335"/>
      <c r="EE671" s="335"/>
      <c r="EF671" s="335"/>
      <c r="EG671" s="335"/>
      <c r="EH671" s="335"/>
      <c r="EI671" s="335"/>
      <c r="EJ671" s="335"/>
      <c r="EK671" s="335"/>
      <c r="EL671" s="335"/>
      <c r="EM671" s="335"/>
    </row>
    <row r="672" spans="72:143">
      <c r="BT672" s="187"/>
      <c r="BU672" s="187" t="s">
        <v>89</v>
      </c>
      <c r="BV672" s="196">
        <v>120045</v>
      </c>
      <c r="BW672" s="197" t="e">
        <f t="shared" si="149"/>
        <v>#REF!</v>
      </c>
      <c r="BX672" s="198" t="e">
        <f>IF(AND(State_LOB_Code=18,LEFT(BW672,4)&lt;"2009"),81,State_LOB_Code)&amp;"|379"</f>
        <v>#REF!</v>
      </c>
      <c r="BY672" s="174"/>
      <c r="BZ672" s="175"/>
      <c r="CD672" s="163"/>
      <c r="CE672" s="363"/>
      <c r="CF672" s="335"/>
      <c r="CG672" s="335"/>
      <c r="CH672" s="335"/>
      <c r="CI672" s="335"/>
      <c r="CJ672" s="335"/>
      <c r="CK672" s="335"/>
      <c r="CL672" s="335"/>
      <c r="CM672" s="335"/>
      <c r="CN672" s="335"/>
      <c r="CO672" s="335"/>
      <c r="CP672" s="335"/>
      <c r="CQ672" s="335"/>
      <c r="CR672" s="335"/>
      <c r="CS672" s="335"/>
      <c r="CT672" s="335"/>
      <c r="CU672" s="335"/>
      <c r="CV672" s="335"/>
      <c r="CW672" s="335"/>
      <c r="CX672" s="335"/>
      <c r="CY672" s="335"/>
      <c r="CZ672" s="335"/>
      <c r="DA672" s="335"/>
      <c r="DB672" s="335"/>
      <c r="DC672" s="335"/>
      <c r="DD672" s="335"/>
      <c r="DE672" s="335"/>
      <c r="DF672" s="335"/>
      <c r="DG672" s="335"/>
      <c r="DH672" s="335"/>
      <c r="DI672" s="335"/>
      <c r="DJ672" s="335"/>
      <c r="DK672" s="335"/>
      <c r="DL672" s="335"/>
      <c r="DM672" s="335"/>
      <c r="DN672" s="335"/>
      <c r="DO672" s="335"/>
      <c r="DP672" s="335"/>
      <c r="DQ672" s="335"/>
      <c r="DR672" s="335"/>
      <c r="DS672" s="335"/>
      <c r="DT672" s="335"/>
      <c r="DU672" s="335"/>
      <c r="DV672" s="335"/>
      <c r="DW672" s="335"/>
      <c r="DX672" s="335"/>
      <c r="DY672" s="335"/>
      <c r="DZ672" s="335"/>
      <c r="EA672" s="335"/>
      <c r="EB672" s="335"/>
      <c r="EC672" s="335"/>
      <c r="ED672" s="335"/>
      <c r="EE672" s="335"/>
      <c r="EF672" s="335"/>
      <c r="EG672" s="335"/>
      <c r="EH672" s="335"/>
      <c r="EI672" s="335"/>
      <c r="EJ672" s="335"/>
      <c r="EK672" s="335"/>
      <c r="EL672" s="335"/>
      <c r="EM672" s="335"/>
    </row>
    <row r="673" spans="72:143">
      <c r="BT673" s="187"/>
      <c r="BU673" s="187" t="s">
        <v>90</v>
      </c>
      <c r="BV673" s="196">
        <v>120045</v>
      </c>
      <c r="BW673" s="197" t="e">
        <f t="shared" si="149"/>
        <v>#REF!</v>
      </c>
      <c r="BX673" s="198" t="e">
        <f>IF(AND(State_LOB_Code=18,LEFT(BW673,4)&lt;"2009"),81,State_LOB_Code)&amp;"|380"</f>
        <v>#REF!</v>
      </c>
      <c r="BY673" s="174"/>
      <c r="BZ673" s="175"/>
      <c r="CD673" s="163"/>
      <c r="CE673" s="363"/>
      <c r="CF673" s="335"/>
      <c r="CG673" s="335"/>
      <c r="CH673" s="335"/>
      <c r="CI673" s="335"/>
      <c r="CJ673" s="335"/>
      <c r="CK673" s="335"/>
      <c r="CL673" s="335"/>
      <c r="CM673" s="335"/>
      <c r="CN673" s="335"/>
      <c r="CO673" s="335"/>
      <c r="CP673" s="335"/>
      <c r="CQ673" s="335"/>
      <c r="CR673" s="335"/>
      <c r="CS673" s="335"/>
      <c r="CT673" s="335"/>
      <c r="CU673" s="335"/>
      <c r="CV673" s="335"/>
      <c r="CW673" s="335"/>
      <c r="CX673" s="335"/>
      <c r="CY673" s="335"/>
      <c r="CZ673" s="335"/>
      <c r="DA673" s="335"/>
      <c r="DB673" s="335"/>
      <c r="DC673" s="335"/>
      <c r="DD673" s="335"/>
      <c r="DE673" s="335"/>
      <c r="DF673" s="335"/>
      <c r="DG673" s="335"/>
      <c r="DH673" s="335"/>
      <c r="DI673" s="335"/>
      <c r="DJ673" s="335"/>
      <c r="DK673" s="335"/>
      <c r="DL673" s="335"/>
      <c r="DM673" s="335"/>
      <c r="DN673" s="335"/>
      <c r="DO673" s="335"/>
      <c r="DP673" s="335"/>
      <c r="DQ673" s="335"/>
      <c r="DR673" s="335"/>
      <c r="DS673" s="335"/>
      <c r="DT673" s="335"/>
      <c r="DU673" s="335"/>
      <c r="DV673" s="335"/>
      <c r="DW673" s="335"/>
      <c r="DX673" s="335"/>
      <c r="DY673" s="335"/>
      <c r="DZ673" s="335"/>
      <c r="EA673" s="335"/>
      <c r="EB673" s="335"/>
      <c r="EC673" s="335"/>
      <c r="ED673" s="335"/>
      <c r="EE673" s="335"/>
      <c r="EF673" s="335"/>
      <c r="EG673" s="335"/>
      <c r="EH673" s="335"/>
      <c r="EI673" s="335"/>
      <c r="EJ673" s="335"/>
      <c r="EK673" s="335"/>
      <c r="EL673" s="335"/>
      <c r="EM673" s="335"/>
    </row>
    <row r="674" spans="72:143">
      <c r="BT674" s="187"/>
      <c r="BU674" s="187" t="s">
        <v>91</v>
      </c>
      <c r="BV674" s="196">
        <v>120045</v>
      </c>
      <c r="BW674" s="197" t="e">
        <f t="shared" si="149"/>
        <v>#REF!</v>
      </c>
      <c r="BX674" s="198" t="e">
        <f>IF(AND(State_LOB_Code=18,LEFT(BW674,4)&lt;"2009"),81,State_LOB_Code)&amp;"|381"</f>
        <v>#REF!</v>
      </c>
      <c r="BY674" s="174"/>
      <c r="BZ674" s="175"/>
      <c r="CD674" s="163"/>
      <c r="CE674" s="363"/>
      <c r="CF674" s="335"/>
      <c r="CG674" s="335"/>
      <c r="CH674" s="335"/>
      <c r="CI674" s="335"/>
      <c r="CJ674" s="335"/>
      <c r="CK674" s="335"/>
      <c r="CL674" s="335"/>
      <c r="CM674" s="335"/>
      <c r="CN674" s="335"/>
      <c r="CO674" s="335"/>
      <c r="CP674" s="335"/>
      <c r="CQ674" s="335"/>
      <c r="CR674" s="335"/>
      <c r="CS674" s="335"/>
      <c r="CT674" s="335"/>
      <c r="CU674" s="335"/>
      <c r="CV674" s="335"/>
      <c r="CW674" s="335"/>
      <c r="CX674" s="335"/>
      <c r="CY674" s="335"/>
      <c r="CZ674" s="335"/>
      <c r="DA674" s="335"/>
      <c r="DB674" s="335"/>
      <c r="DC674" s="335"/>
      <c r="DD674" s="335"/>
      <c r="DE674" s="335"/>
      <c r="DF674" s="335"/>
      <c r="DG674" s="335"/>
      <c r="DH674" s="335"/>
      <c r="DI674" s="335"/>
      <c r="DJ674" s="335"/>
      <c r="DK674" s="335"/>
      <c r="DL674" s="335"/>
      <c r="DM674" s="335"/>
      <c r="DN674" s="335"/>
      <c r="DO674" s="335"/>
      <c r="DP674" s="335"/>
      <c r="DQ674" s="335"/>
      <c r="DR674" s="335"/>
      <c r="DS674" s="335"/>
      <c r="DT674" s="335"/>
      <c r="DU674" s="335"/>
      <c r="DV674" s="335"/>
      <c r="DW674" s="335"/>
      <c r="DX674" s="335"/>
      <c r="DY674" s="335"/>
      <c r="DZ674" s="335"/>
      <c r="EA674" s="335"/>
      <c r="EB674" s="335"/>
      <c r="EC674" s="335"/>
      <c r="ED674" s="335"/>
      <c r="EE674" s="335"/>
      <c r="EF674" s="335"/>
      <c r="EG674" s="335"/>
      <c r="EH674" s="335"/>
      <c r="EI674" s="335"/>
      <c r="EJ674" s="335"/>
      <c r="EK674" s="335"/>
      <c r="EL674" s="335"/>
      <c r="EM674" s="335"/>
    </row>
    <row r="675" spans="72:143">
      <c r="BT675" s="187"/>
      <c r="BU675" s="187" t="s">
        <v>92</v>
      </c>
      <c r="BV675" s="196">
        <v>120045</v>
      </c>
      <c r="BW675" s="197" t="e">
        <f t="shared" si="149"/>
        <v>#REF!</v>
      </c>
      <c r="BX675" s="198" t="e">
        <f>IF(AND(State_LOB_Code=18,LEFT(BW675,4)&lt;"2009"),81,State_LOB_Code)&amp;"|382"</f>
        <v>#REF!</v>
      </c>
      <c r="BY675" s="174"/>
      <c r="BZ675" s="175"/>
      <c r="CD675" s="163"/>
      <c r="CE675" s="363"/>
      <c r="CF675" s="335"/>
      <c r="CG675" s="335"/>
      <c r="CH675" s="335"/>
      <c r="CI675" s="335"/>
      <c r="CJ675" s="335"/>
      <c r="CK675" s="335"/>
      <c r="CL675" s="335"/>
      <c r="CM675" s="335"/>
      <c r="CN675" s="335"/>
      <c r="CO675" s="335"/>
      <c r="CP675" s="335"/>
      <c r="CQ675" s="335"/>
      <c r="CR675" s="335"/>
      <c r="CS675" s="335"/>
      <c r="CT675" s="335"/>
      <c r="CU675" s="335"/>
      <c r="CV675" s="335"/>
      <c r="CW675" s="335"/>
      <c r="CX675" s="335"/>
      <c r="CY675" s="335"/>
      <c r="CZ675" s="335"/>
      <c r="DA675" s="335"/>
      <c r="DB675" s="335"/>
      <c r="DC675" s="335"/>
      <c r="DD675" s="335"/>
      <c r="DE675" s="335"/>
      <c r="DF675" s="335"/>
      <c r="DG675" s="335"/>
      <c r="DH675" s="335"/>
      <c r="DI675" s="335"/>
      <c r="DJ675" s="335"/>
      <c r="DK675" s="335"/>
      <c r="DL675" s="335"/>
      <c r="DM675" s="335"/>
      <c r="DN675" s="335"/>
      <c r="DO675" s="335"/>
      <c r="DP675" s="335"/>
      <c r="DQ675" s="335"/>
      <c r="DR675" s="335"/>
      <c r="DS675" s="335"/>
      <c r="DT675" s="335"/>
      <c r="DU675" s="335"/>
      <c r="DV675" s="335"/>
      <c r="DW675" s="335"/>
      <c r="DX675" s="335"/>
      <c r="DY675" s="335"/>
      <c r="DZ675" s="335"/>
      <c r="EA675" s="335"/>
      <c r="EB675" s="335"/>
      <c r="EC675" s="335"/>
      <c r="ED675" s="335"/>
      <c r="EE675" s="335"/>
      <c r="EF675" s="335"/>
      <c r="EG675" s="335"/>
      <c r="EH675" s="335"/>
      <c r="EI675" s="335"/>
      <c r="EJ675" s="335"/>
      <c r="EK675" s="335"/>
      <c r="EL675" s="335"/>
      <c r="EM675" s="335"/>
    </row>
    <row r="676" spans="72:143">
      <c r="BT676" s="187"/>
      <c r="BU676" s="187" t="s">
        <v>93</v>
      </c>
      <c r="BV676" s="196">
        <v>120045</v>
      </c>
      <c r="BW676" s="197" t="e">
        <f t="shared" si="149"/>
        <v>#REF!</v>
      </c>
      <c r="BX676" s="198" t="e">
        <f>IF(AND(State_LOB_Code=18,LEFT(BW676,4)&lt;"2009"),81,State_LOB_Code)&amp;"|384"</f>
        <v>#REF!</v>
      </c>
      <c r="BY676" s="174"/>
      <c r="BZ676" s="175"/>
      <c r="CD676" s="163"/>
      <c r="CE676" s="363"/>
      <c r="CF676" s="335"/>
      <c r="CG676" s="335"/>
      <c r="CH676" s="335"/>
      <c r="CI676" s="335"/>
      <c r="CJ676" s="335"/>
      <c r="CK676" s="335"/>
      <c r="CL676" s="335"/>
      <c r="CM676" s="335"/>
      <c r="CN676" s="335"/>
      <c r="CO676" s="335"/>
      <c r="CP676" s="335"/>
      <c r="CQ676" s="335"/>
      <c r="CR676" s="335"/>
      <c r="CS676" s="335"/>
      <c r="CT676" s="335"/>
      <c r="CU676" s="335"/>
      <c r="CV676" s="335"/>
      <c r="CW676" s="335"/>
      <c r="CX676" s="335"/>
      <c r="CY676" s="335"/>
      <c r="CZ676" s="335"/>
      <c r="DA676" s="335"/>
      <c r="DB676" s="335"/>
      <c r="DC676" s="335"/>
      <c r="DD676" s="335"/>
      <c r="DE676" s="335"/>
      <c r="DF676" s="335"/>
      <c r="DG676" s="335"/>
      <c r="DH676" s="335"/>
      <c r="DI676" s="335"/>
      <c r="DJ676" s="335"/>
      <c r="DK676" s="335"/>
      <c r="DL676" s="335"/>
      <c r="DM676" s="335"/>
      <c r="DN676" s="335"/>
      <c r="DO676" s="335"/>
      <c r="DP676" s="335"/>
      <c r="DQ676" s="335"/>
      <c r="DR676" s="335"/>
      <c r="DS676" s="335"/>
      <c r="DT676" s="335"/>
      <c r="DU676" s="335"/>
      <c r="DV676" s="335"/>
      <c r="DW676" s="335"/>
      <c r="DX676" s="335"/>
      <c r="DY676" s="335"/>
      <c r="DZ676" s="335"/>
      <c r="EA676" s="335"/>
      <c r="EB676" s="335"/>
      <c r="EC676" s="335"/>
      <c r="ED676" s="335"/>
      <c r="EE676" s="335"/>
      <c r="EF676" s="335"/>
      <c r="EG676" s="335"/>
      <c r="EH676" s="335"/>
      <c r="EI676" s="335"/>
      <c r="EJ676" s="335"/>
      <c r="EK676" s="335"/>
      <c r="EL676" s="335"/>
      <c r="EM676" s="335"/>
    </row>
    <row r="677" spans="72:143">
      <c r="BT677" s="187"/>
      <c r="BU677" s="187" t="s">
        <v>94</v>
      </c>
      <c r="BV677" s="196">
        <v>120045</v>
      </c>
      <c r="BW677" s="197" t="e">
        <f t="shared" si="149"/>
        <v>#REF!</v>
      </c>
      <c r="BX677" s="198" t="e">
        <f>IF(AND(State_LOB_Code=18,LEFT(BW677,4)&lt;"2009"),81,State_LOB_Code)&amp;"|385"</f>
        <v>#REF!</v>
      </c>
      <c r="BY677" s="174"/>
      <c r="BZ677" s="175"/>
      <c r="CD677" s="163"/>
      <c r="CE677" s="363"/>
      <c r="CF677" s="335"/>
      <c r="CG677" s="335"/>
      <c r="CH677" s="335"/>
      <c r="CI677" s="335"/>
      <c r="CJ677" s="335"/>
      <c r="CK677" s="335"/>
      <c r="CL677" s="335"/>
      <c r="CM677" s="335"/>
      <c r="CN677" s="335"/>
      <c r="CO677" s="335"/>
      <c r="CP677" s="335"/>
      <c r="CQ677" s="335"/>
      <c r="CR677" s="335"/>
      <c r="CS677" s="335"/>
      <c r="CT677" s="335"/>
      <c r="CU677" s="335"/>
      <c r="CV677" s="335"/>
      <c r="CW677" s="335"/>
      <c r="CX677" s="335"/>
      <c r="CY677" s="335"/>
      <c r="CZ677" s="335"/>
      <c r="DA677" s="335"/>
      <c r="DB677" s="335"/>
      <c r="DC677" s="335"/>
      <c r="DD677" s="335"/>
      <c r="DE677" s="335"/>
      <c r="DF677" s="335"/>
      <c r="DG677" s="335"/>
      <c r="DH677" s="335"/>
      <c r="DI677" s="335"/>
      <c r="DJ677" s="335"/>
      <c r="DK677" s="335"/>
      <c r="DL677" s="335"/>
      <c r="DM677" s="335"/>
      <c r="DN677" s="335"/>
      <c r="DO677" s="335"/>
      <c r="DP677" s="335"/>
      <c r="DQ677" s="335"/>
      <c r="DR677" s="335"/>
      <c r="DS677" s="335"/>
      <c r="DT677" s="335"/>
      <c r="DU677" s="335"/>
      <c r="DV677" s="335"/>
      <c r="DW677" s="335"/>
      <c r="DX677" s="335"/>
      <c r="DY677" s="335"/>
      <c r="DZ677" s="335"/>
      <c r="EA677" s="335"/>
      <c r="EB677" s="335"/>
      <c r="EC677" s="335"/>
      <c r="ED677" s="335"/>
      <c r="EE677" s="335"/>
      <c r="EF677" s="335"/>
      <c r="EG677" s="335"/>
      <c r="EH677" s="335"/>
      <c r="EI677" s="335"/>
      <c r="EJ677" s="335"/>
      <c r="EK677" s="335"/>
      <c r="EL677" s="335"/>
      <c r="EM677" s="335"/>
    </row>
    <row r="678" spans="72:143">
      <c r="BT678" s="187"/>
      <c r="BU678" s="187" t="s">
        <v>95</v>
      </c>
      <c r="BV678" s="196">
        <v>120045</v>
      </c>
      <c r="BW678" s="197" t="e">
        <f t="shared" si="149"/>
        <v>#REF!</v>
      </c>
      <c r="BX678" s="198" t="e">
        <f>IF(AND(State_LOB_Code=18,LEFT(BW678,4)&lt;"2009"),81,State_LOB_Code)&amp;"|386"</f>
        <v>#REF!</v>
      </c>
      <c r="BY678" s="174"/>
      <c r="BZ678" s="175"/>
      <c r="CD678" s="163"/>
      <c r="CE678" s="363"/>
      <c r="CF678" s="335"/>
      <c r="CG678" s="335"/>
      <c r="CH678" s="335"/>
      <c r="CI678" s="335"/>
      <c r="CJ678" s="335"/>
      <c r="CK678" s="335"/>
      <c r="CL678" s="335"/>
      <c r="CM678" s="335"/>
      <c r="CN678" s="335"/>
      <c r="CO678" s="335"/>
      <c r="CP678" s="335"/>
      <c r="CQ678" s="335"/>
      <c r="CR678" s="335"/>
      <c r="CS678" s="335"/>
      <c r="CT678" s="335"/>
      <c r="CU678" s="335"/>
      <c r="CV678" s="335"/>
      <c r="CW678" s="335"/>
      <c r="CX678" s="335"/>
      <c r="CY678" s="335"/>
      <c r="CZ678" s="335"/>
      <c r="DA678" s="335"/>
      <c r="DB678" s="335"/>
      <c r="DC678" s="335"/>
      <c r="DD678" s="335"/>
      <c r="DE678" s="335"/>
      <c r="DF678" s="335"/>
      <c r="DG678" s="335"/>
      <c r="DH678" s="335"/>
      <c r="DI678" s="335"/>
      <c r="DJ678" s="335"/>
      <c r="DK678" s="335"/>
      <c r="DL678" s="335"/>
      <c r="DM678" s="335"/>
      <c r="DN678" s="335"/>
      <c r="DO678" s="335"/>
      <c r="DP678" s="335"/>
      <c r="DQ678" s="335"/>
      <c r="DR678" s="335"/>
      <c r="DS678" s="335"/>
      <c r="DT678" s="335"/>
      <c r="DU678" s="335"/>
      <c r="DV678" s="335"/>
      <c r="DW678" s="335"/>
      <c r="DX678" s="335"/>
      <c r="DY678" s="335"/>
      <c r="DZ678" s="335"/>
      <c r="EA678" s="335"/>
      <c r="EB678" s="335"/>
      <c r="EC678" s="335"/>
      <c r="ED678" s="335"/>
      <c r="EE678" s="335"/>
      <c r="EF678" s="335"/>
      <c r="EG678" s="335"/>
      <c r="EH678" s="335"/>
      <c r="EI678" s="335"/>
      <c r="EJ678" s="335"/>
      <c r="EK678" s="335"/>
      <c r="EL678" s="335"/>
      <c r="EM678" s="335"/>
    </row>
    <row r="679" spans="72:143">
      <c r="BT679" s="187"/>
      <c r="BU679" s="187" t="s">
        <v>96</v>
      </c>
      <c r="BV679" s="196">
        <v>120045</v>
      </c>
      <c r="BW679" s="197" t="e">
        <f t="shared" si="149"/>
        <v>#REF!</v>
      </c>
      <c r="BX679" s="198" t="e">
        <f>IF(AND(State_LOB_Code=18,LEFT(BW679,4)&lt;"2009"),81,State_LOB_Code)&amp;"|387"</f>
        <v>#REF!</v>
      </c>
      <c r="BY679" s="174"/>
      <c r="BZ679" s="175"/>
      <c r="CD679" s="163"/>
      <c r="CE679" s="363"/>
      <c r="CF679" s="335"/>
      <c r="CG679" s="335"/>
      <c r="CH679" s="335"/>
      <c r="CI679" s="335"/>
      <c r="CJ679" s="335"/>
      <c r="CK679" s="335"/>
      <c r="CL679" s="335"/>
      <c r="CM679" s="335"/>
      <c r="CN679" s="335"/>
      <c r="CO679" s="335"/>
      <c r="CP679" s="335"/>
      <c r="CQ679" s="335"/>
      <c r="CR679" s="335"/>
      <c r="CS679" s="335"/>
      <c r="CT679" s="335"/>
      <c r="CU679" s="335"/>
      <c r="CV679" s="335"/>
      <c r="CW679" s="335"/>
      <c r="CX679" s="335"/>
      <c r="CY679" s="335"/>
      <c r="CZ679" s="335"/>
      <c r="DA679" s="335"/>
      <c r="DB679" s="335"/>
      <c r="DC679" s="335"/>
      <c r="DD679" s="335"/>
      <c r="DE679" s="335"/>
      <c r="DF679" s="335"/>
      <c r="DG679" s="335"/>
      <c r="DH679" s="335"/>
      <c r="DI679" s="335"/>
      <c r="DJ679" s="335"/>
      <c r="DK679" s="335"/>
      <c r="DL679" s="335"/>
      <c r="DM679" s="335"/>
      <c r="DN679" s="335"/>
      <c r="DO679" s="335"/>
      <c r="DP679" s="335"/>
      <c r="DQ679" s="335"/>
      <c r="DR679" s="335"/>
      <c r="DS679" s="335"/>
      <c r="DT679" s="335"/>
      <c r="DU679" s="335"/>
      <c r="DV679" s="335"/>
      <c r="DW679" s="335"/>
      <c r="DX679" s="335"/>
      <c r="DY679" s="335"/>
      <c r="DZ679" s="335"/>
      <c r="EA679" s="335"/>
      <c r="EB679" s="335"/>
      <c r="EC679" s="335"/>
      <c r="ED679" s="335"/>
      <c r="EE679" s="335"/>
      <c r="EF679" s="335"/>
      <c r="EG679" s="335"/>
      <c r="EH679" s="335"/>
      <c r="EI679" s="335"/>
      <c r="EJ679" s="335"/>
      <c r="EK679" s="335"/>
      <c r="EL679" s="335"/>
      <c r="EM679" s="335"/>
    </row>
    <row r="680" spans="72:143">
      <c r="BT680" s="187"/>
      <c r="BU680" s="187" t="s">
        <v>97</v>
      </c>
      <c r="BV680" s="196">
        <v>120045</v>
      </c>
      <c r="BW680" s="197" t="e">
        <f t="shared" si="149"/>
        <v>#REF!</v>
      </c>
      <c r="BX680" s="198" t="e">
        <f>IF(AND(State_LOB_Code=18,LEFT(BW680,4)&lt;"2009"),81,State_LOB_Code)&amp;"|388"</f>
        <v>#REF!</v>
      </c>
      <c r="BY680" s="174"/>
      <c r="BZ680" s="175"/>
      <c r="CD680" s="163"/>
      <c r="CE680" s="363"/>
      <c r="CF680" s="335"/>
      <c r="CG680" s="335"/>
      <c r="CH680" s="335"/>
      <c r="CI680" s="335"/>
      <c r="CJ680" s="335"/>
      <c r="CK680" s="335"/>
      <c r="CL680" s="335"/>
      <c r="CM680" s="335"/>
      <c r="CN680" s="335"/>
      <c r="CO680" s="335"/>
      <c r="CP680" s="335"/>
      <c r="CQ680" s="335"/>
      <c r="CR680" s="335"/>
      <c r="CS680" s="335"/>
      <c r="CT680" s="335"/>
      <c r="CU680" s="335"/>
      <c r="CV680" s="335"/>
      <c r="CW680" s="335"/>
      <c r="CX680" s="335"/>
      <c r="CY680" s="335"/>
      <c r="CZ680" s="335"/>
      <c r="DA680" s="335"/>
      <c r="DB680" s="335"/>
      <c r="DC680" s="335"/>
      <c r="DD680" s="335"/>
      <c r="DE680" s="335"/>
      <c r="DF680" s="335"/>
      <c r="DG680" s="335"/>
      <c r="DH680" s="335"/>
      <c r="DI680" s="335"/>
      <c r="DJ680" s="335"/>
      <c r="DK680" s="335"/>
      <c r="DL680" s="335"/>
      <c r="DM680" s="335"/>
      <c r="DN680" s="335"/>
      <c r="DO680" s="335"/>
      <c r="DP680" s="335"/>
      <c r="DQ680" s="335"/>
      <c r="DR680" s="335"/>
      <c r="DS680" s="335"/>
      <c r="DT680" s="335"/>
      <c r="DU680" s="335"/>
      <c r="DV680" s="335"/>
      <c r="DW680" s="335"/>
      <c r="DX680" s="335"/>
      <c r="DY680" s="335"/>
      <c r="DZ680" s="335"/>
      <c r="EA680" s="335"/>
      <c r="EB680" s="335"/>
      <c r="EC680" s="335"/>
      <c r="ED680" s="335"/>
      <c r="EE680" s="335"/>
      <c r="EF680" s="335"/>
      <c r="EG680" s="335"/>
      <c r="EH680" s="335"/>
      <c r="EI680" s="335"/>
      <c r="EJ680" s="335"/>
      <c r="EK680" s="335"/>
      <c r="EL680" s="335"/>
      <c r="EM680" s="335"/>
    </row>
    <row r="681" spans="72:143">
      <c r="BT681" s="187"/>
      <c r="BU681" s="189" t="s">
        <v>137</v>
      </c>
      <c r="BV681" s="199">
        <v>120045</v>
      </c>
      <c r="BW681" s="200" t="e">
        <f t="shared" si="149"/>
        <v>#REF!</v>
      </c>
      <c r="BX681" s="201" t="e">
        <f>IF(AND(State_LOB_Code=18,LEFT(BW681,4)&lt;"2009"),81,State_LOB_Code)&amp;"|600"</f>
        <v>#REF!</v>
      </c>
      <c r="BY681" s="176"/>
      <c r="BZ681" s="177"/>
      <c r="CD681" s="163"/>
      <c r="CE681" s="363"/>
      <c r="CF681" s="335"/>
      <c r="CG681" s="335"/>
      <c r="CH681" s="335"/>
      <c r="CI681" s="335"/>
      <c r="CJ681" s="335"/>
      <c r="CK681" s="335"/>
      <c r="CL681" s="335"/>
      <c r="CM681" s="335"/>
      <c r="CN681" s="335"/>
      <c r="CO681" s="335"/>
      <c r="CP681" s="335"/>
      <c r="CQ681" s="335"/>
      <c r="CR681" s="335"/>
      <c r="CS681" s="335"/>
      <c r="CT681" s="335"/>
      <c r="CU681" s="335"/>
      <c r="CV681" s="335"/>
      <c r="CW681" s="335"/>
      <c r="CX681" s="335"/>
      <c r="CY681" s="335"/>
      <c r="CZ681" s="335"/>
      <c r="DA681" s="335"/>
      <c r="DB681" s="335"/>
      <c r="DC681" s="335"/>
      <c r="DD681" s="335"/>
      <c r="DE681" s="335"/>
      <c r="DF681" s="335"/>
      <c r="DG681" s="335"/>
      <c r="DH681" s="335"/>
      <c r="DI681" s="335"/>
      <c r="DJ681" s="335"/>
      <c r="DK681" s="335"/>
      <c r="DL681" s="335"/>
      <c r="DM681" s="335"/>
      <c r="DN681" s="335"/>
      <c r="DO681" s="335"/>
      <c r="DP681" s="335"/>
      <c r="DQ681" s="335"/>
      <c r="DR681" s="335"/>
      <c r="DS681" s="335"/>
      <c r="DT681" s="335"/>
      <c r="DU681" s="335"/>
      <c r="DV681" s="335"/>
      <c r="DW681" s="335"/>
      <c r="DX681" s="335"/>
      <c r="DY681" s="335"/>
      <c r="DZ681" s="335"/>
      <c r="EA681" s="335"/>
      <c r="EB681" s="335"/>
      <c r="EC681" s="335"/>
      <c r="ED681" s="335"/>
      <c r="EE681" s="335"/>
      <c r="EF681" s="335"/>
      <c r="EG681" s="335"/>
      <c r="EH681" s="335"/>
      <c r="EI681" s="335"/>
      <c r="EJ681" s="335"/>
      <c r="EK681" s="335"/>
      <c r="EL681" s="335"/>
      <c r="EM681" s="335"/>
    </row>
    <row r="682" spans="72:143">
      <c r="BT682" s="187"/>
      <c r="BU682" s="187" t="s">
        <v>98</v>
      </c>
      <c r="BV682" s="196">
        <v>120045</v>
      </c>
      <c r="BW682" s="197" t="e">
        <f t="shared" si="149"/>
        <v>#REF!</v>
      </c>
      <c r="BX682" s="198" t="e">
        <f>IF(AND(State_LOB_Code=18,LEFT(BW682,4)&lt;"2009"),81,State_LOB_Code)&amp;"|336"</f>
        <v>#REF!</v>
      </c>
      <c r="BY682" s="174"/>
      <c r="BZ682" s="175"/>
      <c r="CD682" s="163"/>
      <c r="CE682" s="363"/>
      <c r="CF682" s="335"/>
      <c r="CG682" s="335"/>
      <c r="CH682" s="335"/>
      <c r="CI682" s="335"/>
      <c r="CJ682" s="335"/>
      <c r="CK682" s="335"/>
      <c r="CL682" s="335"/>
      <c r="CM682" s="335"/>
      <c r="CN682" s="335"/>
      <c r="CO682" s="335"/>
      <c r="CP682" s="335"/>
      <c r="CQ682" s="335"/>
      <c r="CR682" s="335"/>
      <c r="CS682" s="335"/>
      <c r="CT682" s="335"/>
      <c r="CU682" s="335"/>
      <c r="CV682" s="335"/>
      <c r="CW682" s="335"/>
      <c r="CX682" s="335"/>
      <c r="CY682" s="335"/>
      <c r="CZ682" s="335"/>
      <c r="DA682" s="335"/>
      <c r="DB682" s="335"/>
      <c r="DC682" s="335"/>
      <c r="DD682" s="335"/>
      <c r="DE682" s="335"/>
      <c r="DF682" s="335"/>
      <c r="DG682" s="335"/>
      <c r="DH682" s="335"/>
      <c r="DI682" s="335"/>
      <c r="DJ682" s="335"/>
      <c r="DK682" s="335"/>
      <c r="DL682" s="335"/>
      <c r="DM682" s="335"/>
      <c r="DN682" s="335"/>
      <c r="DO682" s="335"/>
      <c r="DP682" s="335"/>
      <c r="DQ682" s="335"/>
      <c r="DR682" s="335"/>
      <c r="DS682" s="335"/>
      <c r="DT682" s="335"/>
      <c r="DU682" s="335"/>
      <c r="DV682" s="335"/>
      <c r="DW682" s="335"/>
      <c r="DX682" s="335"/>
      <c r="DY682" s="335"/>
      <c r="DZ682" s="335"/>
      <c r="EA682" s="335"/>
      <c r="EB682" s="335"/>
      <c r="EC682" s="335"/>
      <c r="ED682" s="335"/>
      <c r="EE682" s="335"/>
      <c r="EF682" s="335"/>
      <c r="EG682" s="335"/>
      <c r="EH682" s="335"/>
      <c r="EI682" s="335"/>
      <c r="EJ682" s="335"/>
      <c r="EK682" s="335"/>
      <c r="EL682" s="335"/>
      <c r="EM682" s="335"/>
    </row>
    <row r="683" spans="72:143">
      <c r="BT683" s="187"/>
      <c r="BU683" s="187" t="s">
        <v>99</v>
      </c>
      <c r="BV683" s="196">
        <v>120045</v>
      </c>
      <c r="BW683" s="197" t="e">
        <f t="shared" si="149"/>
        <v>#REF!</v>
      </c>
      <c r="BX683" s="198" t="e">
        <f>IF(AND(State_LOB_Code=18,LEFT(BW683,4)&lt;"2009"),81,State_LOB_Code)&amp;"|345"</f>
        <v>#REF!</v>
      </c>
      <c r="BY683" s="174"/>
      <c r="BZ683" s="175"/>
      <c r="CD683" s="163"/>
      <c r="CE683" s="363"/>
      <c r="CF683" s="335"/>
      <c r="CG683" s="335"/>
      <c r="CH683" s="335"/>
      <c r="CI683" s="335"/>
      <c r="CJ683" s="335"/>
      <c r="CK683" s="335"/>
      <c r="CL683" s="335"/>
      <c r="CM683" s="335"/>
      <c r="CN683" s="335"/>
      <c r="CO683" s="335"/>
      <c r="CP683" s="335"/>
      <c r="CQ683" s="335"/>
      <c r="CR683" s="335"/>
      <c r="CS683" s="335"/>
      <c r="CT683" s="335"/>
      <c r="CU683" s="335"/>
      <c r="CV683" s="335"/>
      <c r="CW683" s="335"/>
      <c r="CX683" s="335"/>
      <c r="CY683" s="335"/>
      <c r="CZ683" s="335"/>
      <c r="DA683" s="335"/>
      <c r="DB683" s="335"/>
      <c r="DC683" s="335"/>
      <c r="DD683" s="335"/>
      <c r="DE683" s="335"/>
      <c r="DF683" s="335"/>
      <c r="DG683" s="335"/>
      <c r="DH683" s="335"/>
      <c r="DI683" s="335"/>
      <c r="DJ683" s="335"/>
      <c r="DK683" s="335"/>
      <c r="DL683" s="335"/>
      <c r="DM683" s="335"/>
      <c r="DN683" s="335"/>
      <c r="DO683" s="335"/>
      <c r="DP683" s="335"/>
      <c r="DQ683" s="335"/>
      <c r="DR683" s="335"/>
      <c r="DS683" s="335"/>
      <c r="DT683" s="335"/>
      <c r="DU683" s="335"/>
      <c r="DV683" s="335"/>
      <c r="DW683" s="335"/>
      <c r="DX683" s="335"/>
      <c r="DY683" s="335"/>
      <c r="DZ683" s="335"/>
      <c r="EA683" s="335"/>
      <c r="EB683" s="335"/>
      <c r="EC683" s="335"/>
      <c r="ED683" s="335"/>
      <c r="EE683" s="335"/>
      <c r="EF683" s="335"/>
      <c r="EG683" s="335"/>
      <c r="EH683" s="335"/>
      <c r="EI683" s="335"/>
      <c r="EJ683" s="335"/>
      <c r="EK683" s="335"/>
      <c r="EL683" s="335"/>
      <c r="EM683" s="335"/>
    </row>
    <row r="684" spans="72:143">
      <c r="BT684" s="187"/>
      <c r="BU684" s="187" t="s">
        <v>100</v>
      </c>
      <c r="BV684" s="196">
        <v>120045</v>
      </c>
      <c r="BW684" s="197" t="e">
        <f t="shared" si="149"/>
        <v>#REF!</v>
      </c>
      <c r="BX684" s="198" t="e">
        <f>IF(AND(State_LOB_Code=18,LEFT(BW684,4)&lt;"2009"),81,State_LOB_Code)&amp;"|360"</f>
        <v>#REF!</v>
      </c>
      <c r="BY684" s="174"/>
      <c r="BZ684" s="175"/>
      <c r="CD684" s="163"/>
      <c r="CE684" s="363"/>
      <c r="CF684" s="335"/>
      <c r="CG684" s="335"/>
      <c r="CH684" s="335"/>
      <c r="CI684" s="335"/>
      <c r="CJ684" s="335"/>
      <c r="CK684" s="335"/>
      <c r="CL684" s="335"/>
      <c r="CM684" s="335"/>
      <c r="CN684" s="335"/>
      <c r="CO684" s="335"/>
      <c r="CP684" s="335"/>
      <c r="CQ684" s="335"/>
      <c r="CR684" s="335"/>
      <c r="CS684" s="335"/>
      <c r="CT684" s="335"/>
      <c r="CU684" s="335"/>
      <c r="CV684" s="335"/>
      <c r="CW684" s="335"/>
      <c r="CX684" s="335"/>
      <c r="CY684" s="335"/>
      <c r="CZ684" s="335"/>
      <c r="DA684" s="335"/>
      <c r="DB684" s="335"/>
      <c r="DC684" s="335"/>
      <c r="DD684" s="335"/>
      <c r="DE684" s="335"/>
      <c r="DF684" s="335"/>
      <c r="DG684" s="335"/>
      <c r="DH684" s="335"/>
      <c r="DI684" s="335"/>
      <c r="DJ684" s="335"/>
      <c r="DK684" s="335"/>
      <c r="DL684" s="335"/>
      <c r="DM684" s="335"/>
      <c r="DN684" s="335"/>
      <c r="DO684" s="335"/>
      <c r="DP684" s="335"/>
      <c r="DQ684" s="335"/>
      <c r="DR684" s="335"/>
      <c r="DS684" s="335"/>
      <c r="DT684" s="335"/>
      <c r="DU684" s="335"/>
      <c r="DV684" s="335"/>
      <c r="DW684" s="335"/>
      <c r="DX684" s="335"/>
      <c r="DY684" s="335"/>
      <c r="DZ684" s="335"/>
      <c r="EA684" s="335"/>
      <c r="EB684" s="335"/>
      <c r="EC684" s="335"/>
      <c r="ED684" s="335"/>
      <c r="EE684" s="335"/>
      <c r="EF684" s="335"/>
      <c r="EG684" s="335"/>
      <c r="EH684" s="335"/>
      <c r="EI684" s="335"/>
      <c r="EJ684" s="335"/>
      <c r="EK684" s="335"/>
      <c r="EL684" s="335"/>
      <c r="EM684" s="335"/>
    </row>
    <row r="685" spans="72:143">
      <c r="BT685" s="187"/>
      <c r="BU685" s="187" t="s">
        <v>101</v>
      </c>
      <c r="BV685" s="196">
        <v>120045</v>
      </c>
      <c r="BW685" s="197" t="e">
        <f t="shared" si="149"/>
        <v>#REF!</v>
      </c>
      <c r="BX685" s="198" t="e">
        <f>IF(AND(State_LOB_Code=18,LEFT(BW685,4)&lt;"2009"),81,State_LOB_Code)&amp;"|375"</f>
        <v>#REF!</v>
      </c>
      <c r="BY685" s="174"/>
      <c r="BZ685" s="175"/>
      <c r="CD685" s="163"/>
      <c r="CE685" s="363"/>
      <c r="CF685" s="335"/>
      <c r="CG685" s="335"/>
      <c r="CH685" s="335"/>
      <c r="CI685" s="335"/>
      <c r="CJ685" s="335"/>
      <c r="CK685" s="335"/>
      <c r="CL685" s="335"/>
      <c r="CM685" s="335"/>
      <c r="CN685" s="335"/>
      <c r="CO685" s="335"/>
      <c r="CP685" s="335"/>
      <c r="CQ685" s="335"/>
      <c r="CR685" s="335"/>
      <c r="CS685" s="335"/>
      <c r="CT685" s="335"/>
      <c r="CU685" s="335"/>
      <c r="CV685" s="335"/>
      <c r="CW685" s="335"/>
      <c r="CX685" s="335"/>
      <c r="CY685" s="335"/>
      <c r="CZ685" s="335"/>
      <c r="DA685" s="335"/>
      <c r="DB685" s="335"/>
      <c r="DC685" s="335"/>
      <c r="DD685" s="335"/>
      <c r="DE685" s="335"/>
      <c r="DF685" s="335"/>
      <c r="DG685" s="335"/>
      <c r="DH685" s="335"/>
      <c r="DI685" s="335"/>
      <c r="DJ685" s="335"/>
      <c r="DK685" s="335"/>
      <c r="DL685" s="335"/>
      <c r="DM685" s="335"/>
      <c r="DN685" s="335"/>
      <c r="DO685" s="335"/>
      <c r="DP685" s="335"/>
      <c r="DQ685" s="335"/>
      <c r="DR685" s="335"/>
      <c r="DS685" s="335"/>
      <c r="DT685" s="335"/>
      <c r="DU685" s="335"/>
      <c r="DV685" s="335"/>
      <c r="DW685" s="335"/>
      <c r="DX685" s="335"/>
      <c r="DY685" s="335"/>
      <c r="DZ685" s="335"/>
      <c r="EA685" s="335"/>
      <c r="EB685" s="335"/>
      <c r="EC685" s="335"/>
      <c r="ED685" s="335"/>
      <c r="EE685" s="335"/>
      <c r="EF685" s="335"/>
      <c r="EG685" s="335"/>
      <c r="EH685" s="335"/>
      <c r="EI685" s="335"/>
      <c r="EJ685" s="335"/>
      <c r="EK685" s="335"/>
      <c r="EL685" s="335"/>
      <c r="EM685" s="335"/>
    </row>
    <row r="686" spans="72:143">
      <c r="BT686" s="187"/>
      <c r="BU686" s="187" t="s">
        <v>102</v>
      </c>
      <c r="BV686" s="196">
        <v>120045</v>
      </c>
      <c r="BW686" s="197" t="e">
        <f t="shared" si="149"/>
        <v>#REF!</v>
      </c>
      <c r="BX686" s="198" t="e">
        <f>IF(AND(State_LOB_Code=18,LEFT(BW686,4)&lt;"2009"),81,State_LOB_Code)&amp;"|383"</f>
        <v>#REF!</v>
      </c>
      <c r="BY686" s="174"/>
      <c r="BZ686" s="175"/>
      <c r="CD686" s="163"/>
      <c r="CE686" s="363"/>
      <c r="CF686" s="335"/>
      <c r="CG686" s="335"/>
      <c r="CH686" s="335"/>
      <c r="CI686" s="335"/>
      <c r="CJ686" s="335"/>
      <c r="CK686" s="335"/>
      <c r="CL686" s="335"/>
      <c r="CM686" s="335"/>
      <c r="CN686" s="335"/>
      <c r="CO686" s="335"/>
      <c r="CP686" s="335"/>
      <c r="CQ686" s="335"/>
      <c r="CR686" s="335"/>
      <c r="CS686" s="335"/>
      <c r="CT686" s="335"/>
      <c r="CU686" s="335"/>
      <c r="CV686" s="335"/>
      <c r="CW686" s="335"/>
      <c r="CX686" s="335"/>
      <c r="CY686" s="335"/>
      <c r="CZ686" s="335"/>
      <c r="DA686" s="335"/>
      <c r="DB686" s="335"/>
      <c r="DC686" s="335"/>
      <c r="DD686" s="335"/>
      <c r="DE686" s="335"/>
      <c r="DF686" s="335"/>
      <c r="DG686" s="335"/>
      <c r="DH686" s="335"/>
      <c r="DI686" s="335"/>
      <c r="DJ686" s="335"/>
      <c r="DK686" s="335"/>
      <c r="DL686" s="335"/>
      <c r="DM686" s="335"/>
      <c r="DN686" s="335"/>
      <c r="DO686" s="335"/>
      <c r="DP686" s="335"/>
      <c r="DQ686" s="335"/>
      <c r="DR686" s="335"/>
      <c r="DS686" s="335"/>
      <c r="DT686" s="335"/>
      <c r="DU686" s="335"/>
      <c r="DV686" s="335"/>
      <c r="DW686" s="335"/>
      <c r="DX686" s="335"/>
      <c r="DY686" s="335"/>
      <c r="DZ686" s="335"/>
      <c r="EA686" s="335"/>
      <c r="EB686" s="335"/>
      <c r="EC686" s="335"/>
      <c r="ED686" s="335"/>
      <c r="EE686" s="335"/>
      <c r="EF686" s="335"/>
      <c r="EG686" s="335"/>
      <c r="EH686" s="335"/>
      <c r="EI686" s="335"/>
      <c r="EJ686" s="335"/>
      <c r="EK686" s="335"/>
      <c r="EL686" s="335"/>
      <c r="EM686" s="335"/>
    </row>
    <row r="687" spans="72:143">
      <c r="BT687" s="187"/>
      <c r="BU687" s="187" t="s">
        <v>103</v>
      </c>
      <c r="BV687" s="196">
        <v>120045</v>
      </c>
      <c r="BW687" s="197" t="e">
        <f t="shared" si="149"/>
        <v>#REF!</v>
      </c>
      <c r="BX687" s="198" t="e">
        <f>IF(AND(State_LOB_Code=18,LEFT(BW687,4)&lt;"2009"),81,State_LOB_Code)&amp;"|332"</f>
        <v>#REF!</v>
      </c>
      <c r="BY687" s="174"/>
      <c r="BZ687" s="175"/>
      <c r="CD687" s="163"/>
      <c r="CE687" s="363"/>
      <c r="CF687" s="335"/>
      <c r="CG687" s="335"/>
      <c r="CH687" s="335"/>
      <c r="CI687" s="335"/>
      <c r="CJ687" s="335"/>
      <c r="CK687" s="335"/>
      <c r="CL687" s="335"/>
      <c r="CM687" s="335"/>
      <c r="CN687" s="335"/>
      <c r="CO687" s="335"/>
      <c r="CP687" s="335"/>
      <c r="CQ687" s="335"/>
      <c r="CR687" s="335"/>
      <c r="CS687" s="335"/>
      <c r="CT687" s="335"/>
      <c r="CU687" s="335"/>
      <c r="CV687" s="335"/>
      <c r="CW687" s="335"/>
      <c r="CX687" s="335"/>
      <c r="CY687" s="335"/>
      <c r="CZ687" s="335"/>
      <c r="DA687" s="335"/>
      <c r="DB687" s="335"/>
      <c r="DC687" s="335"/>
      <c r="DD687" s="335"/>
      <c r="DE687" s="335"/>
      <c r="DF687" s="335"/>
      <c r="DG687" s="335"/>
      <c r="DH687" s="335"/>
      <c r="DI687" s="335"/>
      <c r="DJ687" s="335"/>
      <c r="DK687" s="335"/>
      <c r="DL687" s="335"/>
      <c r="DM687" s="335"/>
      <c r="DN687" s="335"/>
      <c r="DO687" s="335"/>
      <c r="DP687" s="335"/>
      <c r="DQ687" s="335"/>
      <c r="DR687" s="335"/>
      <c r="DS687" s="335"/>
      <c r="DT687" s="335"/>
      <c r="DU687" s="335"/>
      <c r="DV687" s="335"/>
      <c r="DW687" s="335"/>
      <c r="DX687" s="335"/>
      <c r="DY687" s="335"/>
      <c r="DZ687" s="335"/>
      <c r="EA687" s="335"/>
      <c r="EB687" s="335"/>
      <c r="EC687" s="335"/>
      <c r="ED687" s="335"/>
      <c r="EE687" s="335"/>
      <c r="EF687" s="335"/>
      <c r="EG687" s="335"/>
      <c r="EH687" s="335"/>
      <c r="EI687" s="335"/>
      <c r="EJ687" s="335"/>
      <c r="EK687" s="335"/>
      <c r="EL687" s="335"/>
      <c r="EM687" s="335"/>
    </row>
    <row r="688" spans="72:143">
      <c r="BT688" s="187"/>
      <c r="BU688" s="187" t="s">
        <v>104</v>
      </c>
      <c r="BV688" s="196">
        <v>120045</v>
      </c>
      <c r="BW688" s="197" t="e">
        <f t="shared" si="149"/>
        <v>#REF!</v>
      </c>
      <c r="BX688" s="198" t="e">
        <f>IF(AND(State_LOB_Code=18,LEFT(BW688,4)&lt;"2009"),81,State_LOB_Code)&amp;"|330"</f>
        <v>#REF!</v>
      </c>
      <c r="BY688" s="174"/>
      <c r="BZ688" s="175"/>
      <c r="CD688" s="163"/>
      <c r="CE688" s="363"/>
      <c r="CF688" s="335"/>
      <c r="CG688" s="335"/>
      <c r="CH688" s="335"/>
      <c r="CI688" s="335"/>
      <c r="CJ688" s="335"/>
      <c r="CK688" s="335"/>
      <c r="CL688" s="335"/>
      <c r="CM688" s="335"/>
      <c r="CN688" s="335"/>
      <c r="CO688" s="335"/>
      <c r="CP688" s="335"/>
      <c r="CQ688" s="335"/>
      <c r="CR688" s="335"/>
      <c r="CS688" s="335"/>
      <c r="CT688" s="335"/>
      <c r="CU688" s="335"/>
      <c r="CV688" s="335"/>
      <c r="CW688" s="335"/>
      <c r="CX688" s="335"/>
      <c r="CY688" s="335"/>
      <c r="CZ688" s="335"/>
      <c r="DA688" s="335"/>
      <c r="DB688" s="335"/>
      <c r="DC688" s="335"/>
      <c r="DD688" s="335"/>
      <c r="DE688" s="335"/>
      <c r="DF688" s="335"/>
      <c r="DG688" s="335"/>
      <c r="DH688" s="335"/>
      <c r="DI688" s="335"/>
      <c r="DJ688" s="335"/>
      <c r="DK688" s="335"/>
      <c r="DL688" s="335"/>
      <c r="DM688" s="335"/>
      <c r="DN688" s="335"/>
      <c r="DO688" s="335"/>
      <c r="DP688" s="335"/>
      <c r="DQ688" s="335"/>
      <c r="DR688" s="335"/>
      <c r="DS688" s="335"/>
      <c r="DT688" s="335"/>
      <c r="DU688" s="335"/>
      <c r="DV688" s="335"/>
      <c r="DW688" s="335"/>
      <c r="DX688" s="335"/>
      <c r="DY688" s="335"/>
      <c r="DZ688" s="335"/>
      <c r="EA688" s="335"/>
      <c r="EB688" s="335"/>
      <c r="EC688" s="335"/>
      <c r="ED688" s="335"/>
      <c r="EE688" s="335"/>
      <c r="EF688" s="335"/>
      <c r="EG688" s="335"/>
      <c r="EH688" s="335"/>
      <c r="EI688" s="335"/>
      <c r="EJ688" s="335"/>
      <c r="EK688" s="335"/>
      <c r="EL688" s="335"/>
      <c r="EM688" s="335"/>
    </row>
    <row r="689" spans="72:143">
      <c r="BT689" s="187"/>
      <c r="BU689" s="190" t="s">
        <v>46</v>
      </c>
      <c r="BV689" s="202">
        <v>120068</v>
      </c>
      <c r="BW689" s="203" t="e">
        <f t="shared" si="149"/>
        <v>#REF!</v>
      </c>
      <c r="BX689" s="204" t="e">
        <f>IF(AND(State_LOB_Code=18,LEFT(BW689,4)&lt;"2009"),81,State_LOB_Code)</f>
        <v>#REF!</v>
      </c>
      <c r="BY689" s="191"/>
      <c r="BZ689" s="192"/>
      <c r="CD689" s="163"/>
      <c r="CE689" s="363"/>
      <c r="CF689" s="335"/>
      <c r="CG689" s="335"/>
      <c r="CH689" s="335"/>
      <c r="CI689" s="335"/>
      <c r="CJ689" s="335"/>
      <c r="CK689" s="335"/>
      <c r="CL689" s="335"/>
      <c r="CM689" s="335"/>
      <c r="CN689" s="335"/>
      <c r="CO689" s="335"/>
      <c r="CP689" s="335"/>
      <c r="CQ689" s="335"/>
      <c r="CR689" s="335"/>
      <c r="CS689" s="335"/>
      <c r="CT689" s="335"/>
      <c r="CU689" s="335"/>
      <c r="CV689" s="335"/>
      <c r="CW689" s="335"/>
      <c r="CX689" s="335"/>
      <c r="CY689" s="335"/>
      <c r="CZ689" s="335"/>
      <c r="DA689" s="335"/>
      <c r="DB689" s="335"/>
      <c r="DC689" s="335"/>
      <c r="DD689" s="335"/>
      <c r="DE689" s="335"/>
      <c r="DF689" s="335"/>
      <c r="DG689" s="335"/>
      <c r="DH689" s="335"/>
      <c r="DI689" s="335"/>
      <c r="DJ689" s="335"/>
      <c r="DK689" s="335"/>
      <c r="DL689" s="335"/>
      <c r="DM689" s="335"/>
      <c r="DN689" s="335"/>
      <c r="DO689" s="335"/>
      <c r="DP689" s="335"/>
      <c r="DQ689" s="335"/>
      <c r="DR689" s="335"/>
      <c r="DS689" s="335"/>
      <c r="DT689" s="335"/>
      <c r="DU689" s="335"/>
      <c r="DV689" s="335"/>
      <c r="DW689" s="335"/>
      <c r="DX689" s="335"/>
      <c r="DY689" s="335"/>
      <c r="DZ689" s="335"/>
      <c r="EA689" s="335"/>
      <c r="EB689" s="335"/>
      <c r="EC689" s="335"/>
      <c r="ED689" s="335"/>
      <c r="EE689" s="335"/>
      <c r="EF689" s="335"/>
      <c r="EG689" s="335"/>
      <c r="EH689" s="335"/>
      <c r="EI689" s="335"/>
      <c r="EJ689" s="335"/>
      <c r="EK689" s="335"/>
      <c r="EL689" s="335"/>
      <c r="EM689" s="335"/>
    </row>
    <row r="690" spans="72:143">
      <c r="BT690" s="187"/>
      <c r="BU690" s="187"/>
      <c r="BV690" s="188"/>
      <c r="BW690" s="188"/>
      <c r="BX690" s="188"/>
      <c r="BY690" s="172"/>
      <c r="BZ690" s="173"/>
      <c r="CD690" s="163"/>
      <c r="CE690" s="363"/>
      <c r="CF690" s="335"/>
      <c r="CG690" s="335"/>
      <c r="CH690" s="335"/>
      <c r="CI690" s="335"/>
      <c r="CJ690" s="335"/>
      <c r="CK690" s="335"/>
      <c r="CL690" s="335"/>
      <c r="CM690" s="335"/>
      <c r="CN690" s="335"/>
      <c r="CO690" s="335"/>
      <c r="CP690" s="335"/>
      <c r="CQ690" s="335"/>
      <c r="CR690" s="335"/>
      <c r="CS690" s="335"/>
      <c r="CT690" s="335"/>
      <c r="CU690" s="335"/>
      <c r="CV690" s="335"/>
      <c r="CW690" s="335"/>
      <c r="CX690" s="335"/>
      <c r="CY690" s="335"/>
      <c r="CZ690" s="335"/>
      <c r="DA690" s="335"/>
      <c r="DB690" s="335"/>
      <c r="DC690" s="335"/>
      <c r="DD690" s="335"/>
      <c r="DE690" s="335"/>
      <c r="DF690" s="335"/>
      <c r="DG690" s="335"/>
      <c r="DH690" s="335"/>
      <c r="DI690" s="335"/>
      <c r="DJ690" s="335"/>
      <c r="DK690" s="335"/>
      <c r="DL690" s="335"/>
      <c r="DM690" s="335"/>
      <c r="DN690" s="335"/>
      <c r="DO690" s="335"/>
      <c r="DP690" s="335"/>
      <c r="DQ690" s="335"/>
      <c r="DR690" s="335"/>
      <c r="DS690" s="335"/>
      <c r="DT690" s="335"/>
      <c r="DU690" s="335"/>
      <c r="DV690" s="335"/>
      <c r="DW690" s="335"/>
      <c r="DX690" s="335"/>
      <c r="DY690" s="335"/>
      <c r="DZ690" s="335"/>
      <c r="EA690" s="335"/>
      <c r="EB690" s="335"/>
      <c r="EC690" s="335"/>
      <c r="ED690" s="335"/>
      <c r="EE690" s="335"/>
      <c r="EF690" s="335"/>
      <c r="EG690" s="335"/>
      <c r="EH690" s="335"/>
      <c r="EI690" s="335"/>
      <c r="EJ690" s="335"/>
      <c r="EK690" s="335"/>
      <c r="EL690" s="335"/>
      <c r="EM690" s="335"/>
    </row>
    <row r="691" spans="72:143">
      <c r="BT691" s="187"/>
      <c r="BU691" s="184" t="s">
        <v>47</v>
      </c>
      <c r="BV691" s="193">
        <v>120045</v>
      </c>
      <c r="BW691" s="194" t="e">
        <f t="shared" ref="BW691:BW722" si="150">LEFT(BW630,4)-1&amp;"Y"</f>
        <v>#REF!</v>
      </c>
      <c r="BX691" s="195" t="e">
        <f>IF(AND(State_LOB_Code=18,LEFT(BW691,4)&lt;"2009"),81,State_LOB_Code)&amp;"|333"</f>
        <v>#REF!</v>
      </c>
      <c r="BY691" s="185"/>
      <c r="BZ691" s="186"/>
      <c r="CD691" s="163"/>
      <c r="CE691" s="363"/>
      <c r="CF691" s="335"/>
      <c r="CG691" s="335"/>
      <c r="CH691" s="335"/>
      <c r="CI691" s="335"/>
      <c r="CJ691" s="335"/>
      <c r="CK691" s="335"/>
      <c r="CL691" s="335"/>
      <c r="CM691" s="335"/>
      <c r="CN691" s="335"/>
      <c r="CO691" s="335"/>
      <c r="CP691" s="335"/>
      <c r="CQ691" s="335"/>
      <c r="CR691" s="335"/>
      <c r="CS691" s="335"/>
      <c r="CT691" s="335"/>
      <c r="CU691" s="335"/>
      <c r="CV691" s="335"/>
      <c r="CW691" s="335"/>
      <c r="CX691" s="335"/>
      <c r="CY691" s="335"/>
      <c r="CZ691" s="335"/>
      <c r="DA691" s="335"/>
      <c r="DB691" s="335"/>
      <c r="DC691" s="335"/>
      <c r="DD691" s="335"/>
      <c r="DE691" s="335"/>
      <c r="DF691" s="335"/>
      <c r="DG691" s="335"/>
      <c r="DH691" s="335"/>
      <c r="DI691" s="335"/>
      <c r="DJ691" s="335"/>
      <c r="DK691" s="335"/>
      <c r="DL691" s="335"/>
      <c r="DM691" s="335"/>
      <c r="DN691" s="335"/>
      <c r="DO691" s="335"/>
      <c r="DP691" s="335"/>
      <c r="DQ691" s="335"/>
      <c r="DR691" s="335"/>
      <c r="DS691" s="335"/>
      <c r="DT691" s="335"/>
      <c r="DU691" s="335"/>
      <c r="DV691" s="335"/>
      <c r="DW691" s="335"/>
      <c r="DX691" s="335"/>
      <c r="DY691" s="335"/>
      <c r="DZ691" s="335"/>
      <c r="EA691" s="335"/>
      <c r="EB691" s="335"/>
      <c r="EC691" s="335"/>
      <c r="ED691" s="335"/>
      <c r="EE691" s="335"/>
      <c r="EF691" s="335"/>
      <c r="EG691" s="335"/>
      <c r="EH691" s="335"/>
      <c r="EI691" s="335"/>
      <c r="EJ691" s="335"/>
      <c r="EK691" s="335"/>
      <c r="EL691" s="335"/>
      <c r="EM691" s="335"/>
    </row>
    <row r="692" spans="72:143">
      <c r="BT692" s="187"/>
      <c r="BU692" s="187" t="s">
        <v>48</v>
      </c>
      <c r="BV692" s="196">
        <v>120045</v>
      </c>
      <c r="BW692" s="197" t="e">
        <f t="shared" si="150"/>
        <v>#REF!</v>
      </c>
      <c r="BX692" s="198" t="e">
        <f>IF(AND(State_LOB_Code=18,LEFT(BW692,4)&lt;"2009"),81,State_LOB_Code)&amp;"|334"</f>
        <v>#REF!</v>
      </c>
      <c r="BY692" s="174"/>
      <c r="BZ692" s="175"/>
      <c r="CD692" s="163"/>
      <c r="CE692" s="363"/>
      <c r="CF692" s="335"/>
      <c r="CG692" s="335"/>
      <c r="CH692" s="335"/>
      <c r="CI692" s="335"/>
      <c r="CJ692" s="335"/>
      <c r="CK692" s="335"/>
      <c r="CL692" s="335"/>
      <c r="CM692" s="335"/>
      <c r="CN692" s="335"/>
      <c r="CO692" s="335"/>
      <c r="CP692" s="335"/>
      <c r="CQ692" s="335"/>
      <c r="CR692" s="335"/>
      <c r="CS692" s="335"/>
      <c r="CT692" s="335"/>
      <c r="CU692" s="335"/>
      <c r="CV692" s="335"/>
      <c r="CW692" s="335"/>
      <c r="CX692" s="335"/>
      <c r="CY692" s="335"/>
      <c r="CZ692" s="335"/>
      <c r="DA692" s="335"/>
      <c r="DB692" s="335"/>
      <c r="DC692" s="335"/>
      <c r="DD692" s="335"/>
      <c r="DE692" s="335"/>
      <c r="DF692" s="335"/>
      <c r="DG692" s="335"/>
      <c r="DH692" s="335"/>
      <c r="DI692" s="335"/>
      <c r="DJ692" s="335"/>
      <c r="DK692" s="335"/>
      <c r="DL692" s="335"/>
      <c r="DM692" s="335"/>
      <c r="DN692" s="335"/>
      <c r="DO692" s="335"/>
      <c r="DP692" s="335"/>
      <c r="DQ692" s="335"/>
      <c r="DR692" s="335"/>
      <c r="DS692" s="335"/>
      <c r="DT692" s="335"/>
      <c r="DU692" s="335"/>
      <c r="DV692" s="335"/>
      <c r="DW692" s="335"/>
      <c r="DX692" s="335"/>
      <c r="DY692" s="335"/>
      <c r="DZ692" s="335"/>
      <c r="EA692" s="335"/>
      <c r="EB692" s="335"/>
      <c r="EC692" s="335"/>
      <c r="ED692" s="335"/>
      <c r="EE692" s="335"/>
      <c r="EF692" s="335"/>
      <c r="EG692" s="335"/>
      <c r="EH692" s="335"/>
      <c r="EI692" s="335"/>
      <c r="EJ692" s="335"/>
      <c r="EK692" s="335"/>
      <c r="EL692" s="335"/>
      <c r="EM692" s="335"/>
    </row>
    <row r="693" spans="72:143">
      <c r="BT693" s="187"/>
      <c r="BU693" s="187" t="s">
        <v>49</v>
      </c>
      <c r="BV693" s="196">
        <v>120045</v>
      </c>
      <c r="BW693" s="197" t="e">
        <f t="shared" si="150"/>
        <v>#REF!</v>
      </c>
      <c r="BX693" s="198" t="e">
        <f>IF(AND(State_LOB_Code=18,LEFT(BW693,4)&lt;"2009"),81,State_LOB_Code)&amp;"|335"</f>
        <v>#REF!</v>
      </c>
      <c r="BY693" s="174"/>
      <c r="BZ693" s="175"/>
      <c r="CD693" s="163"/>
      <c r="CE693" s="363"/>
      <c r="CF693" s="335"/>
      <c r="CG693" s="335"/>
      <c r="CH693" s="335"/>
      <c r="CI693" s="335"/>
      <c r="CJ693" s="335"/>
      <c r="CK693" s="335"/>
      <c r="CL693" s="335"/>
      <c r="CM693" s="335"/>
      <c r="CN693" s="335"/>
      <c r="CO693" s="335"/>
      <c r="CP693" s="335"/>
      <c r="CQ693" s="335"/>
      <c r="CR693" s="335"/>
      <c r="CS693" s="335"/>
      <c r="CT693" s="335"/>
      <c r="CU693" s="335"/>
      <c r="CV693" s="335"/>
      <c r="CW693" s="335"/>
      <c r="CX693" s="335"/>
      <c r="CY693" s="335"/>
      <c r="CZ693" s="335"/>
      <c r="DA693" s="335"/>
      <c r="DB693" s="335"/>
      <c r="DC693" s="335"/>
      <c r="DD693" s="335"/>
      <c r="DE693" s="335"/>
      <c r="DF693" s="335"/>
      <c r="DG693" s="335"/>
      <c r="DH693" s="335"/>
      <c r="DI693" s="335"/>
      <c r="DJ693" s="335"/>
      <c r="DK693" s="335"/>
      <c r="DL693" s="335"/>
      <c r="DM693" s="335"/>
      <c r="DN693" s="335"/>
      <c r="DO693" s="335"/>
      <c r="DP693" s="335"/>
      <c r="DQ693" s="335"/>
      <c r="DR693" s="335"/>
      <c r="DS693" s="335"/>
      <c r="DT693" s="335"/>
      <c r="DU693" s="335"/>
      <c r="DV693" s="335"/>
      <c r="DW693" s="335"/>
      <c r="DX693" s="335"/>
      <c r="DY693" s="335"/>
      <c r="DZ693" s="335"/>
      <c r="EA693" s="335"/>
      <c r="EB693" s="335"/>
      <c r="EC693" s="335"/>
      <c r="ED693" s="335"/>
      <c r="EE693" s="335"/>
      <c r="EF693" s="335"/>
      <c r="EG693" s="335"/>
      <c r="EH693" s="335"/>
      <c r="EI693" s="335"/>
      <c r="EJ693" s="335"/>
      <c r="EK693" s="335"/>
      <c r="EL693" s="335"/>
      <c r="EM693" s="335"/>
    </row>
    <row r="694" spans="72:143">
      <c r="BT694" s="187"/>
      <c r="BU694" s="187" t="s">
        <v>50</v>
      </c>
      <c r="BV694" s="196">
        <v>120045</v>
      </c>
      <c r="BW694" s="197" t="e">
        <f t="shared" si="150"/>
        <v>#REF!</v>
      </c>
      <c r="BX694" s="198" t="e">
        <f>IF(AND(State_LOB_Code=18,LEFT(BW694,4)&lt;"2009"),81,State_LOB_Code)&amp;"|337"</f>
        <v>#REF!</v>
      </c>
      <c r="BY694" s="174"/>
      <c r="BZ694" s="175"/>
      <c r="CD694" s="163"/>
      <c r="CE694" s="363"/>
      <c r="CF694" s="335"/>
      <c r="CG694" s="335"/>
      <c r="CH694" s="335"/>
      <c r="CI694" s="335"/>
      <c r="CJ694" s="335"/>
      <c r="CK694" s="335"/>
      <c r="CL694" s="335"/>
      <c r="CM694" s="335"/>
      <c r="CN694" s="335"/>
      <c r="CO694" s="335"/>
      <c r="CP694" s="335"/>
      <c r="CQ694" s="335"/>
      <c r="CR694" s="335"/>
      <c r="CS694" s="335"/>
      <c r="CT694" s="335"/>
      <c r="CU694" s="335"/>
      <c r="CV694" s="335"/>
      <c r="CW694" s="335"/>
      <c r="CX694" s="335"/>
      <c r="CY694" s="335"/>
      <c r="CZ694" s="335"/>
      <c r="DA694" s="335"/>
      <c r="DB694" s="335"/>
      <c r="DC694" s="335"/>
      <c r="DD694" s="335"/>
      <c r="DE694" s="335"/>
      <c r="DF694" s="335"/>
      <c r="DG694" s="335"/>
      <c r="DH694" s="335"/>
      <c r="DI694" s="335"/>
      <c r="DJ694" s="335"/>
      <c r="DK694" s="335"/>
      <c r="DL694" s="335"/>
      <c r="DM694" s="335"/>
      <c r="DN694" s="335"/>
      <c r="DO694" s="335"/>
      <c r="DP694" s="335"/>
      <c r="DQ694" s="335"/>
      <c r="DR694" s="335"/>
      <c r="DS694" s="335"/>
      <c r="DT694" s="335"/>
      <c r="DU694" s="335"/>
      <c r="DV694" s="335"/>
      <c r="DW694" s="335"/>
      <c r="DX694" s="335"/>
      <c r="DY694" s="335"/>
      <c r="DZ694" s="335"/>
      <c r="EA694" s="335"/>
      <c r="EB694" s="335"/>
      <c r="EC694" s="335"/>
      <c r="ED694" s="335"/>
      <c r="EE694" s="335"/>
      <c r="EF694" s="335"/>
      <c r="EG694" s="335"/>
      <c r="EH694" s="335"/>
      <c r="EI694" s="335"/>
      <c r="EJ694" s="335"/>
      <c r="EK694" s="335"/>
      <c r="EL694" s="335"/>
      <c r="EM694" s="335"/>
    </row>
    <row r="695" spans="72:143">
      <c r="BT695" s="187"/>
      <c r="BU695" s="187" t="s">
        <v>51</v>
      </c>
      <c r="BV695" s="196">
        <v>120045</v>
      </c>
      <c r="BW695" s="197" t="e">
        <f t="shared" si="150"/>
        <v>#REF!</v>
      </c>
      <c r="BX695" s="198" t="e">
        <f>IF(AND(State_LOB_Code=18,LEFT(BW695,4)&lt;"2009"),81,State_LOB_Code)&amp;"|338"</f>
        <v>#REF!</v>
      </c>
      <c r="BY695" s="174"/>
      <c r="BZ695" s="175"/>
      <c r="CD695" s="163"/>
      <c r="CE695" s="363"/>
      <c r="CF695" s="335"/>
      <c r="CG695" s="335"/>
      <c r="CH695" s="335"/>
      <c r="CI695" s="335"/>
      <c r="CJ695" s="335"/>
      <c r="CK695" s="335"/>
      <c r="CL695" s="335"/>
      <c r="CM695" s="335"/>
      <c r="CN695" s="335"/>
      <c r="CO695" s="335"/>
      <c r="CP695" s="335"/>
      <c r="CQ695" s="335"/>
      <c r="CR695" s="335"/>
      <c r="CS695" s="335"/>
      <c r="CT695" s="335"/>
      <c r="CU695" s="335"/>
      <c r="CV695" s="335"/>
      <c r="CW695" s="335"/>
      <c r="CX695" s="335"/>
      <c r="CY695" s="335"/>
      <c r="CZ695" s="335"/>
      <c r="DA695" s="335"/>
      <c r="DB695" s="335"/>
      <c r="DC695" s="335"/>
      <c r="DD695" s="335"/>
      <c r="DE695" s="335"/>
      <c r="DF695" s="335"/>
      <c r="DG695" s="335"/>
      <c r="DH695" s="335"/>
      <c r="DI695" s="335"/>
      <c r="DJ695" s="335"/>
      <c r="DK695" s="335"/>
      <c r="DL695" s="335"/>
      <c r="DM695" s="335"/>
      <c r="DN695" s="335"/>
      <c r="DO695" s="335"/>
      <c r="DP695" s="335"/>
      <c r="DQ695" s="335"/>
      <c r="DR695" s="335"/>
      <c r="DS695" s="335"/>
      <c r="DT695" s="335"/>
      <c r="DU695" s="335"/>
      <c r="DV695" s="335"/>
      <c r="DW695" s="335"/>
      <c r="DX695" s="335"/>
      <c r="DY695" s="335"/>
      <c r="DZ695" s="335"/>
      <c r="EA695" s="335"/>
      <c r="EB695" s="335"/>
      <c r="EC695" s="335"/>
      <c r="ED695" s="335"/>
      <c r="EE695" s="335"/>
      <c r="EF695" s="335"/>
      <c r="EG695" s="335"/>
      <c r="EH695" s="335"/>
      <c r="EI695" s="335"/>
      <c r="EJ695" s="335"/>
      <c r="EK695" s="335"/>
      <c r="EL695" s="335"/>
      <c r="EM695" s="335"/>
    </row>
    <row r="696" spans="72:143">
      <c r="BT696" s="187"/>
      <c r="BU696" s="187" t="s">
        <v>52</v>
      </c>
      <c r="BV696" s="196">
        <v>120045</v>
      </c>
      <c r="BW696" s="197" t="e">
        <f t="shared" si="150"/>
        <v>#REF!</v>
      </c>
      <c r="BX696" s="198" t="e">
        <f>IF(AND(State_LOB_Code=18,LEFT(BW696,4)&lt;"2009"),81,State_LOB_Code)&amp;"|339"</f>
        <v>#REF!</v>
      </c>
      <c r="BY696" s="174"/>
      <c r="BZ696" s="175"/>
      <c r="CD696" s="163"/>
      <c r="CE696" s="363"/>
      <c r="CF696" s="335"/>
      <c r="CG696" s="335"/>
      <c r="CH696" s="335"/>
      <c r="CI696" s="335"/>
      <c r="CJ696" s="335"/>
      <c r="CK696" s="335"/>
      <c r="CL696" s="335"/>
      <c r="CM696" s="335"/>
      <c r="CN696" s="335"/>
      <c r="CO696" s="335"/>
      <c r="CP696" s="335"/>
      <c r="CQ696" s="335"/>
      <c r="CR696" s="335"/>
      <c r="CS696" s="335"/>
      <c r="CT696" s="335"/>
      <c r="CU696" s="335"/>
      <c r="CV696" s="335"/>
      <c r="CW696" s="335"/>
      <c r="CX696" s="335"/>
      <c r="CY696" s="335"/>
      <c r="CZ696" s="335"/>
      <c r="DA696" s="335"/>
      <c r="DB696" s="335"/>
      <c r="DC696" s="335"/>
      <c r="DD696" s="335"/>
      <c r="DE696" s="335"/>
      <c r="DF696" s="335"/>
      <c r="DG696" s="335"/>
      <c r="DH696" s="335"/>
      <c r="DI696" s="335"/>
      <c r="DJ696" s="335"/>
      <c r="DK696" s="335"/>
      <c r="DL696" s="335"/>
      <c r="DM696" s="335"/>
      <c r="DN696" s="335"/>
      <c r="DO696" s="335"/>
      <c r="DP696" s="335"/>
      <c r="DQ696" s="335"/>
      <c r="DR696" s="335"/>
      <c r="DS696" s="335"/>
      <c r="DT696" s="335"/>
      <c r="DU696" s="335"/>
      <c r="DV696" s="335"/>
      <c r="DW696" s="335"/>
      <c r="DX696" s="335"/>
      <c r="DY696" s="335"/>
      <c r="DZ696" s="335"/>
      <c r="EA696" s="335"/>
      <c r="EB696" s="335"/>
      <c r="EC696" s="335"/>
      <c r="ED696" s="335"/>
      <c r="EE696" s="335"/>
      <c r="EF696" s="335"/>
      <c r="EG696" s="335"/>
      <c r="EH696" s="335"/>
      <c r="EI696" s="335"/>
      <c r="EJ696" s="335"/>
      <c r="EK696" s="335"/>
      <c r="EL696" s="335"/>
      <c r="EM696" s="335"/>
    </row>
    <row r="697" spans="72:143">
      <c r="BT697" s="187"/>
      <c r="BU697" s="187" t="s">
        <v>53</v>
      </c>
      <c r="BV697" s="196">
        <v>120045</v>
      </c>
      <c r="BW697" s="197" t="e">
        <f t="shared" si="150"/>
        <v>#REF!</v>
      </c>
      <c r="BX697" s="198" t="e">
        <f>IF(AND(State_LOB_Code=18,LEFT(BW697,4)&lt;"2009"),81,State_LOB_Code)&amp;"|340"</f>
        <v>#REF!</v>
      </c>
      <c r="BY697" s="174"/>
      <c r="BZ697" s="175"/>
      <c r="CD697" s="163"/>
      <c r="CE697" s="363"/>
      <c r="CF697" s="335"/>
      <c r="CG697" s="335"/>
      <c r="CH697" s="335"/>
      <c r="CI697" s="335"/>
      <c r="CJ697" s="335"/>
      <c r="CK697" s="335"/>
      <c r="CL697" s="335"/>
      <c r="CM697" s="335"/>
      <c r="CN697" s="335"/>
      <c r="CO697" s="335"/>
      <c r="CP697" s="335"/>
      <c r="CQ697" s="335"/>
      <c r="CR697" s="335"/>
      <c r="CS697" s="335"/>
      <c r="CT697" s="335"/>
      <c r="CU697" s="335"/>
      <c r="CV697" s="335"/>
      <c r="CW697" s="335"/>
      <c r="CX697" s="335"/>
      <c r="CY697" s="335"/>
      <c r="CZ697" s="335"/>
      <c r="DA697" s="335"/>
      <c r="DB697" s="335"/>
      <c r="DC697" s="335"/>
      <c r="DD697" s="335"/>
      <c r="DE697" s="335"/>
      <c r="DF697" s="335"/>
      <c r="DG697" s="335"/>
      <c r="DH697" s="335"/>
      <c r="DI697" s="335"/>
      <c r="DJ697" s="335"/>
      <c r="DK697" s="335"/>
      <c r="DL697" s="335"/>
      <c r="DM697" s="335"/>
      <c r="DN697" s="335"/>
      <c r="DO697" s="335"/>
      <c r="DP697" s="335"/>
      <c r="DQ697" s="335"/>
      <c r="DR697" s="335"/>
      <c r="DS697" s="335"/>
      <c r="DT697" s="335"/>
      <c r="DU697" s="335"/>
      <c r="DV697" s="335"/>
      <c r="DW697" s="335"/>
      <c r="DX697" s="335"/>
      <c r="DY697" s="335"/>
      <c r="DZ697" s="335"/>
      <c r="EA697" s="335"/>
      <c r="EB697" s="335"/>
      <c r="EC697" s="335"/>
      <c r="ED697" s="335"/>
      <c r="EE697" s="335"/>
      <c r="EF697" s="335"/>
      <c r="EG697" s="335"/>
      <c r="EH697" s="335"/>
      <c r="EI697" s="335"/>
      <c r="EJ697" s="335"/>
      <c r="EK697" s="335"/>
      <c r="EL697" s="335"/>
      <c r="EM697" s="335"/>
    </row>
    <row r="698" spans="72:143">
      <c r="BT698" s="187"/>
      <c r="BU698" s="187" t="s">
        <v>54</v>
      </c>
      <c r="BV698" s="196">
        <v>120045</v>
      </c>
      <c r="BW698" s="197" t="e">
        <f t="shared" si="150"/>
        <v>#REF!</v>
      </c>
      <c r="BX698" s="198" t="e">
        <f>IF(AND(State_LOB_Code=18,LEFT(BW698,4)&lt;"2009"),81,State_LOB_Code)&amp;"|341"</f>
        <v>#REF!</v>
      </c>
      <c r="BY698" s="174"/>
      <c r="BZ698" s="175"/>
      <c r="CD698" s="163"/>
      <c r="CE698" s="363"/>
      <c r="CF698" s="335"/>
      <c r="CG698" s="335"/>
      <c r="CH698" s="335"/>
      <c r="CI698" s="335"/>
      <c r="CJ698" s="335"/>
      <c r="CK698" s="335"/>
      <c r="CL698" s="335"/>
      <c r="CM698" s="335"/>
      <c r="CN698" s="335"/>
      <c r="CO698" s="335"/>
      <c r="CP698" s="335"/>
      <c r="CQ698" s="335"/>
      <c r="CR698" s="335"/>
      <c r="CS698" s="335"/>
      <c r="CT698" s="335"/>
      <c r="CU698" s="335"/>
      <c r="CV698" s="335"/>
      <c r="CW698" s="335"/>
      <c r="CX698" s="335"/>
      <c r="CY698" s="335"/>
      <c r="CZ698" s="335"/>
      <c r="DA698" s="335"/>
      <c r="DB698" s="335"/>
      <c r="DC698" s="335"/>
      <c r="DD698" s="335"/>
      <c r="DE698" s="335"/>
      <c r="DF698" s="335"/>
      <c r="DG698" s="335"/>
      <c r="DH698" s="335"/>
      <c r="DI698" s="335"/>
      <c r="DJ698" s="335"/>
      <c r="DK698" s="335"/>
      <c r="DL698" s="335"/>
      <c r="DM698" s="335"/>
      <c r="DN698" s="335"/>
      <c r="DO698" s="335"/>
      <c r="DP698" s="335"/>
      <c r="DQ698" s="335"/>
      <c r="DR698" s="335"/>
      <c r="DS698" s="335"/>
      <c r="DT698" s="335"/>
      <c r="DU698" s="335"/>
      <c r="DV698" s="335"/>
      <c r="DW698" s="335"/>
      <c r="DX698" s="335"/>
      <c r="DY698" s="335"/>
      <c r="DZ698" s="335"/>
      <c r="EA698" s="335"/>
      <c r="EB698" s="335"/>
      <c r="EC698" s="335"/>
      <c r="ED698" s="335"/>
      <c r="EE698" s="335"/>
      <c r="EF698" s="335"/>
      <c r="EG698" s="335"/>
      <c r="EH698" s="335"/>
      <c r="EI698" s="335"/>
      <c r="EJ698" s="335"/>
      <c r="EK698" s="335"/>
      <c r="EL698" s="335"/>
      <c r="EM698" s="335"/>
    </row>
    <row r="699" spans="72:143">
      <c r="BT699" s="187"/>
      <c r="BU699" s="187" t="s">
        <v>55</v>
      </c>
      <c r="BV699" s="196">
        <v>120045</v>
      </c>
      <c r="BW699" s="197" t="e">
        <f t="shared" si="150"/>
        <v>#REF!</v>
      </c>
      <c r="BX699" s="198" t="e">
        <f>IF(AND(State_LOB_Code=18,LEFT(BW699,4)&lt;"2009"),81,State_LOB_Code)&amp;"|342"</f>
        <v>#REF!</v>
      </c>
      <c r="BY699" s="174"/>
      <c r="BZ699" s="175"/>
      <c r="CD699" s="163"/>
      <c r="CE699" s="363"/>
      <c r="CF699" s="335"/>
      <c r="CG699" s="335"/>
      <c r="CH699" s="335"/>
      <c r="CI699" s="335"/>
      <c r="CJ699" s="335"/>
      <c r="CK699" s="335"/>
      <c r="CL699" s="335"/>
      <c r="CM699" s="335"/>
      <c r="CN699" s="335"/>
      <c r="CO699" s="335"/>
      <c r="CP699" s="335"/>
      <c r="CQ699" s="335"/>
      <c r="CR699" s="335"/>
      <c r="CS699" s="335"/>
      <c r="CT699" s="335"/>
      <c r="CU699" s="335"/>
      <c r="CV699" s="335"/>
      <c r="CW699" s="335"/>
      <c r="CX699" s="335"/>
      <c r="CY699" s="335"/>
      <c r="CZ699" s="335"/>
      <c r="DA699" s="335"/>
      <c r="DB699" s="335"/>
      <c r="DC699" s="335"/>
      <c r="DD699" s="335"/>
      <c r="DE699" s="335"/>
      <c r="DF699" s="335"/>
      <c r="DG699" s="335"/>
      <c r="DH699" s="335"/>
      <c r="DI699" s="335"/>
      <c r="DJ699" s="335"/>
      <c r="DK699" s="335"/>
      <c r="DL699" s="335"/>
      <c r="DM699" s="335"/>
      <c r="DN699" s="335"/>
      <c r="DO699" s="335"/>
      <c r="DP699" s="335"/>
      <c r="DQ699" s="335"/>
      <c r="DR699" s="335"/>
      <c r="DS699" s="335"/>
      <c r="DT699" s="335"/>
      <c r="DU699" s="335"/>
      <c r="DV699" s="335"/>
      <c r="DW699" s="335"/>
      <c r="DX699" s="335"/>
      <c r="DY699" s="335"/>
      <c r="DZ699" s="335"/>
      <c r="EA699" s="335"/>
      <c r="EB699" s="335"/>
      <c r="EC699" s="335"/>
      <c r="ED699" s="335"/>
      <c r="EE699" s="335"/>
      <c r="EF699" s="335"/>
      <c r="EG699" s="335"/>
      <c r="EH699" s="335"/>
      <c r="EI699" s="335"/>
      <c r="EJ699" s="335"/>
      <c r="EK699" s="335"/>
      <c r="EL699" s="335"/>
      <c r="EM699" s="335"/>
    </row>
    <row r="700" spans="72:143">
      <c r="BT700" s="187"/>
      <c r="BU700" s="187" t="s">
        <v>56</v>
      </c>
      <c r="BV700" s="196">
        <v>120045</v>
      </c>
      <c r="BW700" s="197" t="e">
        <f t="shared" si="150"/>
        <v>#REF!</v>
      </c>
      <c r="BX700" s="198" t="e">
        <f>IF(AND(State_LOB_Code=18,LEFT(BW700,4)&lt;"2009"),81,State_LOB_Code)&amp;"|343"</f>
        <v>#REF!</v>
      </c>
      <c r="BY700" s="174"/>
      <c r="BZ700" s="175"/>
      <c r="CD700" s="163"/>
      <c r="CE700" s="363"/>
      <c r="CF700" s="335"/>
      <c r="CG700" s="335"/>
      <c r="CH700" s="335"/>
      <c r="CI700" s="335"/>
      <c r="CJ700" s="335"/>
      <c r="CK700" s="335"/>
      <c r="CL700" s="335"/>
      <c r="CM700" s="335"/>
      <c r="CN700" s="335"/>
      <c r="CO700" s="335"/>
      <c r="CP700" s="335"/>
      <c r="CQ700" s="335"/>
      <c r="CR700" s="335"/>
      <c r="CS700" s="335"/>
      <c r="CT700" s="335"/>
      <c r="CU700" s="335"/>
      <c r="CV700" s="335"/>
      <c r="CW700" s="335"/>
      <c r="CX700" s="335"/>
      <c r="CY700" s="335"/>
      <c r="CZ700" s="335"/>
      <c r="DA700" s="335"/>
      <c r="DB700" s="335"/>
      <c r="DC700" s="335"/>
      <c r="DD700" s="335"/>
      <c r="DE700" s="335"/>
      <c r="DF700" s="335"/>
      <c r="DG700" s="335"/>
      <c r="DH700" s="335"/>
      <c r="DI700" s="335"/>
      <c r="DJ700" s="335"/>
      <c r="DK700" s="335"/>
      <c r="DL700" s="335"/>
      <c r="DM700" s="335"/>
      <c r="DN700" s="335"/>
      <c r="DO700" s="335"/>
      <c r="DP700" s="335"/>
      <c r="DQ700" s="335"/>
      <c r="DR700" s="335"/>
      <c r="DS700" s="335"/>
      <c r="DT700" s="335"/>
      <c r="DU700" s="335"/>
      <c r="DV700" s="335"/>
      <c r="DW700" s="335"/>
      <c r="DX700" s="335"/>
      <c r="DY700" s="335"/>
      <c r="DZ700" s="335"/>
      <c r="EA700" s="335"/>
      <c r="EB700" s="335"/>
      <c r="EC700" s="335"/>
      <c r="ED700" s="335"/>
      <c r="EE700" s="335"/>
      <c r="EF700" s="335"/>
      <c r="EG700" s="335"/>
      <c r="EH700" s="335"/>
      <c r="EI700" s="335"/>
      <c r="EJ700" s="335"/>
      <c r="EK700" s="335"/>
      <c r="EL700" s="335"/>
      <c r="EM700" s="335"/>
    </row>
    <row r="701" spans="72:143">
      <c r="BT701" s="187"/>
      <c r="BU701" s="187" t="s">
        <v>57</v>
      </c>
      <c r="BV701" s="196">
        <v>120045</v>
      </c>
      <c r="BW701" s="197" t="e">
        <f t="shared" si="150"/>
        <v>#REF!</v>
      </c>
      <c r="BX701" s="198" t="e">
        <f>IF(AND(State_LOB_Code=18,LEFT(BW701,4)&lt;"2009"),81,State_LOB_Code)&amp;"|344"</f>
        <v>#REF!</v>
      </c>
      <c r="BY701" s="174"/>
      <c r="BZ701" s="175"/>
      <c r="CD701" s="163"/>
      <c r="CE701" s="363"/>
      <c r="CF701" s="335"/>
      <c r="CG701" s="335"/>
      <c r="CH701" s="335"/>
      <c r="CI701" s="335"/>
      <c r="CJ701" s="335"/>
      <c r="CK701" s="335"/>
      <c r="CL701" s="335"/>
      <c r="CM701" s="335"/>
      <c r="CN701" s="335"/>
      <c r="CO701" s="335"/>
      <c r="CP701" s="335"/>
      <c r="CQ701" s="335"/>
      <c r="CR701" s="335"/>
      <c r="CS701" s="335"/>
      <c r="CT701" s="335"/>
      <c r="CU701" s="335"/>
      <c r="CV701" s="335"/>
      <c r="CW701" s="335"/>
      <c r="CX701" s="335"/>
      <c r="CY701" s="335"/>
      <c r="CZ701" s="335"/>
      <c r="DA701" s="335"/>
      <c r="DB701" s="335"/>
      <c r="DC701" s="335"/>
      <c r="DD701" s="335"/>
      <c r="DE701" s="335"/>
      <c r="DF701" s="335"/>
      <c r="DG701" s="335"/>
      <c r="DH701" s="335"/>
      <c r="DI701" s="335"/>
      <c r="DJ701" s="335"/>
      <c r="DK701" s="335"/>
      <c r="DL701" s="335"/>
      <c r="DM701" s="335"/>
      <c r="DN701" s="335"/>
      <c r="DO701" s="335"/>
      <c r="DP701" s="335"/>
      <c r="DQ701" s="335"/>
      <c r="DR701" s="335"/>
      <c r="DS701" s="335"/>
      <c r="DT701" s="335"/>
      <c r="DU701" s="335"/>
      <c r="DV701" s="335"/>
      <c r="DW701" s="335"/>
      <c r="DX701" s="335"/>
      <c r="DY701" s="335"/>
      <c r="DZ701" s="335"/>
      <c r="EA701" s="335"/>
      <c r="EB701" s="335"/>
      <c r="EC701" s="335"/>
      <c r="ED701" s="335"/>
      <c r="EE701" s="335"/>
      <c r="EF701" s="335"/>
      <c r="EG701" s="335"/>
      <c r="EH701" s="335"/>
      <c r="EI701" s="335"/>
      <c r="EJ701" s="335"/>
      <c r="EK701" s="335"/>
      <c r="EL701" s="335"/>
      <c r="EM701" s="335"/>
    </row>
    <row r="702" spans="72:143">
      <c r="BT702" s="187"/>
      <c r="BU702" s="187" t="s">
        <v>58</v>
      </c>
      <c r="BV702" s="196">
        <v>120045</v>
      </c>
      <c r="BW702" s="197" t="e">
        <f t="shared" si="150"/>
        <v>#REF!</v>
      </c>
      <c r="BX702" s="198" t="e">
        <f>IF(AND(State_LOB_Code=18,LEFT(BW702,4)&lt;"2009"),81,State_LOB_Code)&amp;"|346"</f>
        <v>#REF!</v>
      </c>
      <c r="BY702" s="174"/>
      <c r="BZ702" s="175"/>
      <c r="CD702" s="163"/>
      <c r="CE702" s="363"/>
      <c r="CF702" s="335"/>
      <c r="CG702" s="335"/>
      <c r="CH702" s="335"/>
      <c r="CI702" s="335"/>
      <c r="CJ702" s="335"/>
      <c r="CK702" s="335"/>
      <c r="CL702" s="335"/>
      <c r="CM702" s="335"/>
      <c r="CN702" s="335"/>
      <c r="CO702" s="335"/>
      <c r="CP702" s="335"/>
      <c r="CQ702" s="335"/>
      <c r="CR702" s="335"/>
      <c r="CS702" s="335"/>
      <c r="CT702" s="335"/>
      <c r="CU702" s="335"/>
      <c r="CV702" s="335"/>
      <c r="CW702" s="335"/>
      <c r="CX702" s="335"/>
      <c r="CY702" s="335"/>
      <c r="CZ702" s="335"/>
      <c r="DA702" s="335"/>
      <c r="DB702" s="335"/>
      <c r="DC702" s="335"/>
      <c r="DD702" s="335"/>
      <c r="DE702" s="335"/>
      <c r="DF702" s="335"/>
      <c r="DG702" s="335"/>
      <c r="DH702" s="335"/>
      <c r="DI702" s="335"/>
      <c r="DJ702" s="335"/>
      <c r="DK702" s="335"/>
      <c r="DL702" s="335"/>
      <c r="DM702" s="335"/>
      <c r="DN702" s="335"/>
      <c r="DO702" s="335"/>
      <c r="DP702" s="335"/>
      <c r="DQ702" s="335"/>
      <c r="DR702" s="335"/>
      <c r="DS702" s="335"/>
      <c r="DT702" s="335"/>
      <c r="DU702" s="335"/>
      <c r="DV702" s="335"/>
      <c r="DW702" s="335"/>
      <c r="DX702" s="335"/>
      <c r="DY702" s="335"/>
      <c r="DZ702" s="335"/>
      <c r="EA702" s="335"/>
      <c r="EB702" s="335"/>
      <c r="EC702" s="335"/>
      <c r="ED702" s="335"/>
      <c r="EE702" s="335"/>
      <c r="EF702" s="335"/>
      <c r="EG702" s="335"/>
      <c r="EH702" s="335"/>
      <c r="EI702" s="335"/>
      <c r="EJ702" s="335"/>
      <c r="EK702" s="335"/>
      <c r="EL702" s="335"/>
      <c r="EM702" s="335"/>
    </row>
    <row r="703" spans="72:143">
      <c r="BT703" s="187"/>
      <c r="BU703" s="187" t="s">
        <v>59</v>
      </c>
      <c r="BV703" s="196">
        <v>120045</v>
      </c>
      <c r="BW703" s="197" t="e">
        <f t="shared" si="150"/>
        <v>#REF!</v>
      </c>
      <c r="BX703" s="198" t="e">
        <f>IF(AND(State_LOB_Code=18,LEFT(BW703,4)&lt;"2009"),81,State_LOB_Code)&amp;"|347"</f>
        <v>#REF!</v>
      </c>
      <c r="BY703" s="174"/>
      <c r="BZ703" s="175"/>
      <c r="CD703" s="163"/>
      <c r="CE703" s="363"/>
      <c r="CF703" s="335"/>
      <c r="CG703" s="335"/>
      <c r="CH703" s="335"/>
      <c r="CI703" s="335"/>
      <c r="CJ703" s="335"/>
      <c r="CK703" s="335"/>
      <c r="CL703" s="335"/>
      <c r="CM703" s="335"/>
      <c r="CN703" s="335"/>
      <c r="CO703" s="335"/>
      <c r="CP703" s="335"/>
      <c r="CQ703" s="335"/>
      <c r="CR703" s="335"/>
      <c r="CS703" s="335"/>
      <c r="CT703" s="335"/>
      <c r="CU703" s="335"/>
      <c r="CV703" s="335"/>
      <c r="CW703" s="335"/>
      <c r="CX703" s="335"/>
      <c r="CY703" s="335"/>
      <c r="CZ703" s="335"/>
      <c r="DA703" s="335"/>
      <c r="DB703" s="335"/>
      <c r="DC703" s="335"/>
      <c r="DD703" s="335"/>
      <c r="DE703" s="335"/>
      <c r="DF703" s="335"/>
      <c r="DG703" s="335"/>
      <c r="DH703" s="335"/>
      <c r="DI703" s="335"/>
      <c r="DJ703" s="335"/>
      <c r="DK703" s="335"/>
      <c r="DL703" s="335"/>
      <c r="DM703" s="335"/>
      <c r="DN703" s="335"/>
      <c r="DO703" s="335"/>
      <c r="DP703" s="335"/>
      <c r="DQ703" s="335"/>
      <c r="DR703" s="335"/>
      <c r="DS703" s="335"/>
      <c r="DT703" s="335"/>
      <c r="DU703" s="335"/>
      <c r="DV703" s="335"/>
      <c r="DW703" s="335"/>
      <c r="DX703" s="335"/>
      <c r="DY703" s="335"/>
      <c r="DZ703" s="335"/>
      <c r="EA703" s="335"/>
      <c r="EB703" s="335"/>
      <c r="EC703" s="335"/>
      <c r="ED703" s="335"/>
      <c r="EE703" s="335"/>
      <c r="EF703" s="335"/>
      <c r="EG703" s="335"/>
      <c r="EH703" s="335"/>
      <c r="EI703" s="335"/>
      <c r="EJ703" s="335"/>
      <c r="EK703" s="335"/>
      <c r="EL703" s="335"/>
      <c r="EM703" s="335"/>
    </row>
    <row r="704" spans="72:143">
      <c r="BT704" s="187"/>
      <c r="BU704" s="187" t="s">
        <v>60</v>
      </c>
      <c r="BV704" s="196">
        <v>120045</v>
      </c>
      <c r="BW704" s="197" t="e">
        <f t="shared" si="150"/>
        <v>#REF!</v>
      </c>
      <c r="BX704" s="198" t="e">
        <f>IF(AND(State_LOB_Code=18,LEFT(BW704,4)&lt;"2009"),81,State_LOB_Code)&amp;"|348"</f>
        <v>#REF!</v>
      </c>
      <c r="BY704" s="174"/>
      <c r="BZ704" s="175"/>
      <c r="CD704" s="163"/>
      <c r="CE704" s="363"/>
      <c r="CF704" s="335"/>
      <c r="CG704" s="335"/>
      <c r="CH704" s="335"/>
      <c r="CI704" s="335"/>
      <c r="CJ704" s="335"/>
      <c r="CK704" s="335"/>
      <c r="CL704" s="335"/>
      <c r="CM704" s="335"/>
      <c r="CN704" s="335"/>
      <c r="CO704" s="335"/>
      <c r="CP704" s="335"/>
      <c r="CQ704" s="335"/>
      <c r="CR704" s="335"/>
      <c r="CS704" s="335"/>
      <c r="CT704" s="335"/>
      <c r="CU704" s="335"/>
      <c r="CV704" s="335"/>
      <c r="CW704" s="335"/>
      <c r="CX704" s="335"/>
      <c r="CY704" s="335"/>
      <c r="CZ704" s="335"/>
      <c r="DA704" s="335"/>
      <c r="DB704" s="335"/>
      <c r="DC704" s="335"/>
      <c r="DD704" s="335"/>
      <c r="DE704" s="335"/>
      <c r="DF704" s="335"/>
      <c r="DG704" s="335"/>
      <c r="DH704" s="335"/>
      <c r="DI704" s="335"/>
      <c r="DJ704" s="335"/>
      <c r="DK704" s="335"/>
      <c r="DL704" s="335"/>
      <c r="DM704" s="335"/>
      <c r="DN704" s="335"/>
      <c r="DO704" s="335"/>
      <c r="DP704" s="335"/>
      <c r="DQ704" s="335"/>
      <c r="DR704" s="335"/>
      <c r="DS704" s="335"/>
      <c r="DT704" s="335"/>
      <c r="DU704" s="335"/>
      <c r="DV704" s="335"/>
      <c r="DW704" s="335"/>
      <c r="DX704" s="335"/>
      <c r="DY704" s="335"/>
      <c r="DZ704" s="335"/>
      <c r="EA704" s="335"/>
      <c r="EB704" s="335"/>
      <c r="EC704" s="335"/>
      <c r="ED704" s="335"/>
      <c r="EE704" s="335"/>
      <c r="EF704" s="335"/>
      <c r="EG704" s="335"/>
      <c r="EH704" s="335"/>
      <c r="EI704" s="335"/>
      <c r="EJ704" s="335"/>
      <c r="EK704" s="335"/>
      <c r="EL704" s="335"/>
      <c r="EM704" s="335"/>
    </row>
    <row r="705" spans="72:143">
      <c r="BT705" s="187"/>
      <c r="BU705" s="187" t="s">
        <v>61</v>
      </c>
      <c r="BV705" s="196">
        <v>120045</v>
      </c>
      <c r="BW705" s="197" t="e">
        <f t="shared" si="150"/>
        <v>#REF!</v>
      </c>
      <c r="BX705" s="198" t="e">
        <f>IF(AND(State_LOB_Code=18,LEFT(BW705,4)&lt;"2009"),81,State_LOB_Code)&amp;"|349"</f>
        <v>#REF!</v>
      </c>
      <c r="BY705" s="174"/>
      <c r="BZ705" s="175"/>
      <c r="CD705" s="163"/>
      <c r="CE705" s="363"/>
      <c r="CF705" s="335"/>
      <c r="CG705" s="335"/>
      <c r="CH705" s="335"/>
      <c r="CI705" s="335"/>
      <c r="CJ705" s="335"/>
      <c r="CK705" s="335"/>
      <c r="CL705" s="335"/>
      <c r="CM705" s="335"/>
      <c r="CN705" s="335"/>
      <c r="CO705" s="335"/>
      <c r="CP705" s="335"/>
      <c r="CQ705" s="335"/>
      <c r="CR705" s="335"/>
      <c r="CS705" s="335"/>
      <c r="CT705" s="335"/>
      <c r="CU705" s="335"/>
      <c r="CV705" s="335"/>
      <c r="CW705" s="335"/>
      <c r="CX705" s="335"/>
      <c r="CY705" s="335"/>
      <c r="CZ705" s="335"/>
      <c r="DA705" s="335"/>
      <c r="DB705" s="335"/>
      <c r="DC705" s="335"/>
      <c r="DD705" s="335"/>
      <c r="DE705" s="335"/>
      <c r="DF705" s="335"/>
      <c r="DG705" s="335"/>
      <c r="DH705" s="335"/>
      <c r="DI705" s="335"/>
      <c r="DJ705" s="335"/>
      <c r="DK705" s="335"/>
      <c r="DL705" s="335"/>
      <c r="DM705" s="335"/>
      <c r="DN705" s="335"/>
      <c r="DO705" s="335"/>
      <c r="DP705" s="335"/>
      <c r="DQ705" s="335"/>
      <c r="DR705" s="335"/>
      <c r="DS705" s="335"/>
      <c r="DT705" s="335"/>
      <c r="DU705" s="335"/>
      <c r="DV705" s="335"/>
      <c r="DW705" s="335"/>
      <c r="DX705" s="335"/>
      <c r="DY705" s="335"/>
      <c r="DZ705" s="335"/>
      <c r="EA705" s="335"/>
      <c r="EB705" s="335"/>
      <c r="EC705" s="335"/>
      <c r="ED705" s="335"/>
      <c r="EE705" s="335"/>
      <c r="EF705" s="335"/>
      <c r="EG705" s="335"/>
      <c r="EH705" s="335"/>
      <c r="EI705" s="335"/>
      <c r="EJ705" s="335"/>
      <c r="EK705" s="335"/>
      <c r="EL705" s="335"/>
      <c r="EM705" s="335"/>
    </row>
    <row r="706" spans="72:143">
      <c r="BT706" s="187"/>
      <c r="BU706" s="187" t="s">
        <v>62</v>
      </c>
      <c r="BV706" s="196">
        <v>120045</v>
      </c>
      <c r="BW706" s="197" t="e">
        <f t="shared" si="150"/>
        <v>#REF!</v>
      </c>
      <c r="BX706" s="198" t="e">
        <f>IF(AND(State_LOB_Code=18,LEFT(BW706,4)&lt;"2009"),81,State_LOB_Code)&amp;"|350"</f>
        <v>#REF!</v>
      </c>
      <c r="BY706" s="174"/>
      <c r="BZ706" s="175"/>
      <c r="CD706" s="163"/>
      <c r="CE706" s="363"/>
      <c r="CF706" s="335"/>
      <c r="CG706" s="335"/>
      <c r="CH706" s="335"/>
      <c r="CI706" s="335"/>
      <c r="CJ706" s="335"/>
      <c r="CK706" s="335"/>
      <c r="CL706" s="335"/>
      <c r="CM706" s="335"/>
      <c r="CN706" s="335"/>
      <c r="CO706" s="335"/>
      <c r="CP706" s="335"/>
      <c r="CQ706" s="335"/>
      <c r="CR706" s="335"/>
      <c r="CS706" s="335"/>
      <c r="CT706" s="335"/>
      <c r="CU706" s="335"/>
      <c r="CV706" s="335"/>
      <c r="CW706" s="335"/>
      <c r="CX706" s="335"/>
      <c r="CY706" s="335"/>
      <c r="CZ706" s="335"/>
      <c r="DA706" s="335"/>
      <c r="DB706" s="335"/>
      <c r="DC706" s="335"/>
      <c r="DD706" s="335"/>
      <c r="DE706" s="335"/>
      <c r="DF706" s="335"/>
      <c r="DG706" s="335"/>
      <c r="DH706" s="335"/>
      <c r="DI706" s="335"/>
      <c r="DJ706" s="335"/>
      <c r="DK706" s="335"/>
      <c r="DL706" s="335"/>
      <c r="DM706" s="335"/>
      <c r="DN706" s="335"/>
      <c r="DO706" s="335"/>
      <c r="DP706" s="335"/>
      <c r="DQ706" s="335"/>
      <c r="DR706" s="335"/>
      <c r="DS706" s="335"/>
      <c r="DT706" s="335"/>
      <c r="DU706" s="335"/>
      <c r="DV706" s="335"/>
      <c r="DW706" s="335"/>
      <c r="DX706" s="335"/>
      <c r="DY706" s="335"/>
      <c r="DZ706" s="335"/>
      <c r="EA706" s="335"/>
      <c r="EB706" s="335"/>
      <c r="EC706" s="335"/>
      <c r="ED706" s="335"/>
      <c r="EE706" s="335"/>
      <c r="EF706" s="335"/>
      <c r="EG706" s="335"/>
      <c r="EH706" s="335"/>
      <c r="EI706" s="335"/>
      <c r="EJ706" s="335"/>
      <c r="EK706" s="335"/>
      <c r="EL706" s="335"/>
      <c r="EM706" s="335"/>
    </row>
    <row r="707" spans="72:143">
      <c r="BT707" s="187"/>
      <c r="BU707" s="187" t="s">
        <v>63</v>
      </c>
      <c r="BV707" s="196">
        <v>120045</v>
      </c>
      <c r="BW707" s="197" t="e">
        <f t="shared" si="150"/>
        <v>#REF!</v>
      </c>
      <c r="BX707" s="198" t="e">
        <f>IF(AND(State_LOB_Code=18,LEFT(BW707,4)&lt;"2009"),81,State_LOB_Code)&amp;"|351"</f>
        <v>#REF!</v>
      </c>
      <c r="BY707" s="174"/>
      <c r="BZ707" s="175"/>
      <c r="CD707" s="163"/>
      <c r="CE707" s="363"/>
      <c r="CF707" s="335"/>
      <c r="CG707" s="335"/>
      <c r="CH707" s="335"/>
      <c r="CI707" s="335"/>
      <c r="CJ707" s="335"/>
      <c r="CK707" s="335"/>
      <c r="CL707" s="335"/>
      <c r="CM707" s="335"/>
      <c r="CN707" s="335"/>
      <c r="CO707" s="335"/>
      <c r="CP707" s="335"/>
      <c r="CQ707" s="335"/>
      <c r="CR707" s="335"/>
      <c r="CS707" s="335"/>
      <c r="CT707" s="335"/>
      <c r="CU707" s="335"/>
      <c r="CV707" s="335"/>
      <c r="CW707" s="335"/>
      <c r="CX707" s="335"/>
      <c r="CY707" s="335"/>
      <c r="CZ707" s="335"/>
      <c r="DA707" s="335"/>
      <c r="DB707" s="335"/>
      <c r="DC707" s="335"/>
      <c r="DD707" s="335"/>
      <c r="DE707" s="335"/>
      <c r="DF707" s="335"/>
      <c r="DG707" s="335"/>
      <c r="DH707" s="335"/>
      <c r="DI707" s="335"/>
      <c r="DJ707" s="335"/>
      <c r="DK707" s="335"/>
      <c r="DL707" s="335"/>
      <c r="DM707" s="335"/>
      <c r="DN707" s="335"/>
      <c r="DO707" s="335"/>
      <c r="DP707" s="335"/>
      <c r="DQ707" s="335"/>
      <c r="DR707" s="335"/>
      <c r="DS707" s="335"/>
      <c r="DT707" s="335"/>
      <c r="DU707" s="335"/>
      <c r="DV707" s="335"/>
      <c r="DW707" s="335"/>
      <c r="DX707" s="335"/>
      <c r="DY707" s="335"/>
      <c r="DZ707" s="335"/>
      <c r="EA707" s="335"/>
      <c r="EB707" s="335"/>
      <c r="EC707" s="335"/>
      <c r="ED707" s="335"/>
      <c r="EE707" s="335"/>
      <c r="EF707" s="335"/>
      <c r="EG707" s="335"/>
      <c r="EH707" s="335"/>
      <c r="EI707" s="335"/>
      <c r="EJ707" s="335"/>
      <c r="EK707" s="335"/>
      <c r="EL707" s="335"/>
      <c r="EM707" s="335"/>
    </row>
    <row r="708" spans="72:143">
      <c r="BT708" s="187"/>
      <c r="BU708" s="187" t="s">
        <v>64</v>
      </c>
      <c r="BV708" s="196">
        <v>120045</v>
      </c>
      <c r="BW708" s="197" t="e">
        <f t="shared" si="150"/>
        <v>#REF!</v>
      </c>
      <c r="BX708" s="198" t="e">
        <f>IF(AND(State_LOB_Code=18,LEFT(BW708,4)&lt;"2009"),81,State_LOB_Code)&amp;"|352"</f>
        <v>#REF!</v>
      </c>
      <c r="BY708" s="174"/>
      <c r="BZ708" s="175"/>
      <c r="CD708" s="163"/>
      <c r="CE708" s="363"/>
      <c r="CF708" s="335"/>
      <c r="CG708" s="335"/>
      <c r="CH708" s="335"/>
      <c r="CI708" s="335"/>
      <c r="CJ708" s="335"/>
      <c r="CK708" s="335"/>
      <c r="CL708" s="335"/>
      <c r="CM708" s="335"/>
      <c r="CN708" s="335"/>
      <c r="CO708" s="335"/>
      <c r="CP708" s="335"/>
      <c r="CQ708" s="335"/>
      <c r="CR708" s="335"/>
      <c r="CS708" s="335"/>
      <c r="CT708" s="335"/>
      <c r="CU708" s="335"/>
      <c r="CV708" s="335"/>
      <c r="CW708" s="335"/>
      <c r="CX708" s="335"/>
      <c r="CY708" s="335"/>
      <c r="CZ708" s="335"/>
      <c r="DA708" s="335"/>
      <c r="DB708" s="335"/>
      <c r="DC708" s="335"/>
      <c r="DD708" s="335"/>
      <c r="DE708" s="335"/>
      <c r="DF708" s="335"/>
      <c r="DG708" s="335"/>
      <c r="DH708" s="335"/>
      <c r="DI708" s="335"/>
      <c r="DJ708" s="335"/>
      <c r="DK708" s="335"/>
      <c r="DL708" s="335"/>
      <c r="DM708" s="335"/>
      <c r="DN708" s="335"/>
      <c r="DO708" s="335"/>
      <c r="DP708" s="335"/>
      <c r="DQ708" s="335"/>
      <c r="DR708" s="335"/>
      <c r="DS708" s="335"/>
      <c r="DT708" s="335"/>
      <c r="DU708" s="335"/>
      <c r="DV708" s="335"/>
      <c r="DW708" s="335"/>
      <c r="DX708" s="335"/>
      <c r="DY708" s="335"/>
      <c r="DZ708" s="335"/>
      <c r="EA708" s="335"/>
      <c r="EB708" s="335"/>
      <c r="EC708" s="335"/>
      <c r="ED708" s="335"/>
      <c r="EE708" s="335"/>
      <c r="EF708" s="335"/>
      <c r="EG708" s="335"/>
      <c r="EH708" s="335"/>
      <c r="EI708" s="335"/>
      <c r="EJ708" s="335"/>
      <c r="EK708" s="335"/>
      <c r="EL708" s="335"/>
      <c r="EM708" s="335"/>
    </row>
    <row r="709" spans="72:143">
      <c r="BT709" s="187"/>
      <c r="BU709" s="187" t="s">
        <v>65</v>
      </c>
      <c r="BV709" s="196">
        <v>120045</v>
      </c>
      <c r="BW709" s="197" t="e">
        <f t="shared" si="150"/>
        <v>#REF!</v>
      </c>
      <c r="BX709" s="198" t="e">
        <f>IF(AND(State_LOB_Code=18,LEFT(BW709,4)&lt;"2009"),81,State_LOB_Code)&amp;"|353"</f>
        <v>#REF!</v>
      </c>
      <c r="BY709" s="174"/>
      <c r="BZ709" s="175"/>
      <c r="CD709" s="163"/>
      <c r="CE709" s="363"/>
      <c r="CF709" s="335"/>
      <c r="CG709" s="335"/>
      <c r="CH709" s="335"/>
      <c r="CI709" s="335"/>
      <c r="CJ709" s="335"/>
      <c r="CK709" s="335"/>
      <c r="CL709" s="335"/>
      <c r="CM709" s="335"/>
      <c r="CN709" s="335"/>
      <c r="CO709" s="335"/>
      <c r="CP709" s="335"/>
      <c r="CQ709" s="335"/>
      <c r="CR709" s="335"/>
      <c r="CS709" s="335"/>
      <c r="CT709" s="335"/>
      <c r="CU709" s="335"/>
      <c r="CV709" s="335"/>
      <c r="CW709" s="335"/>
      <c r="CX709" s="335"/>
      <c r="CY709" s="335"/>
      <c r="CZ709" s="335"/>
      <c r="DA709" s="335"/>
      <c r="DB709" s="335"/>
      <c r="DC709" s="335"/>
      <c r="DD709" s="335"/>
      <c r="DE709" s="335"/>
      <c r="DF709" s="335"/>
      <c r="DG709" s="335"/>
      <c r="DH709" s="335"/>
      <c r="DI709" s="335"/>
      <c r="DJ709" s="335"/>
      <c r="DK709" s="335"/>
      <c r="DL709" s="335"/>
      <c r="DM709" s="335"/>
      <c r="DN709" s="335"/>
      <c r="DO709" s="335"/>
      <c r="DP709" s="335"/>
      <c r="DQ709" s="335"/>
      <c r="DR709" s="335"/>
      <c r="DS709" s="335"/>
      <c r="DT709" s="335"/>
      <c r="DU709" s="335"/>
      <c r="DV709" s="335"/>
      <c r="DW709" s="335"/>
      <c r="DX709" s="335"/>
      <c r="DY709" s="335"/>
      <c r="DZ709" s="335"/>
      <c r="EA709" s="335"/>
      <c r="EB709" s="335"/>
      <c r="EC709" s="335"/>
      <c r="ED709" s="335"/>
      <c r="EE709" s="335"/>
      <c r="EF709" s="335"/>
      <c r="EG709" s="335"/>
      <c r="EH709" s="335"/>
      <c r="EI709" s="335"/>
      <c r="EJ709" s="335"/>
      <c r="EK709" s="335"/>
      <c r="EL709" s="335"/>
      <c r="EM709" s="335"/>
    </row>
    <row r="710" spans="72:143">
      <c r="BT710" s="187"/>
      <c r="BU710" s="187" t="s">
        <v>66</v>
      </c>
      <c r="BV710" s="196">
        <v>120045</v>
      </c>
      <c r="BW710" s="197" t="e">
        <f t="shared" si="150"/>
        <v>#REF!</v>
      </c>
      <c r="BX710" s="198" t="e">
        <f>IF(AND(State_LOB_Code=18,LEFT(BW710,4)&lt;"2009"),81,State_LOB_Code)&amp;"|354"</f>
        <v>#REF!</v>
      </c>
      <c r="BY710" s="174"/>
      <c r="BZ710" s="175"/>
      <c r="CD710" s="163"/>
      <c r="CE710" s="363"/>
      <c r="CF710" s="335"/>
      <c r="CG710" s="335"/>
      <c r="CH710" s="335"/>
      <c r="CI710" s="335"/>
      <c r="CJ710" s="335"/>
      <c r="CK710" s="335"/>
      <c r="CL710" s="335"/>
      <c r="CM710" s="335"/>
      <c r="CN710" s="335"/>
      <c r="CO710" s="335"/>
      <c r="CP710" s="335"/>
      <c r="CQ710" s="335"/>
      <c r="CR710" s="335"/>
      <c r="CS710" s="335"/>
      <c r="CT710" s="335"/>
      <c r="CU710" s="335"/>
      <c r="CV710" s="335"/>
      <c r="CW710" s="335"/>
      <c r="CX710" s="335"/>
      <c r="CY710" s="335"/>
      <c r="CZ710" s="335"/>
      <c r="DA710" s="335"/>
      <c r="DB710" s="335"/>
      <c r="DC710" s="335"/>
      <c r="DD710" s="335"/>
      <c r="DE710" s="335"/>
      <c r="DF710" s="335"/>
      <c r="DG710" s="335"/>
      <c r="DH710" s="335"/>
      <c r="DI710" s="335"/>
      <c r="DJ710" s="335"/>
      <c r="DK710" s="335"/>
      <c r="DL710" s="335"/>
      <c r="DM710" s="335"/>
      <c r="DN710" s="335"/>
      <c r="DO710" s="335"/>
      <c r="DP710" s="335"/>
      <c r="DQ710" s="335"/>
      <c r="DR710" s="335"/>
      <c r="DS710" s="335"/>
      <c r="DT710" s="335"/>
      <c r="DU710" s="335"/>
      <c r="DV710" s="335"/>
      <c r="DW710" s="335"/>
      <c r="DX710" s="335"/>
      <c r="DY710" s="335"/>
      <c r="DZ710" s="335"/>
      <c r="EA710" s="335"/>
      <c r="EB710" s="335"/>
      <c r="EC710" s="335"/>
      <c r="ED710" s="335"/>
      <c r="EE710" s="335"/>
      <c r="EF710" s="335"/>
      <c r="EG710" s="335"/>
      <c r="EH710" s="335"/>
      <c r="EI710" s="335"/>
      <c r="EJ710" s="335"/>
      <c r="EK710" s="335"/>
      <c r="EL710" s="335"/>
      <c r="EM710" s="335"/>
    </row>
    <row r="711" spans="72:143">
      <c r="BT711" s="187"/>
      <c r="BU711" s="187" t="s">
        <v>67</v>
      </c>
      <c r="BV711" s="196">
        <v>120045</v>
      </c>
      <c r="BW711" s="197" t="e">
        <f t="shared" si="150"/>
        <v>#REF!</v>
      </c>
      <c r="BX711" s="198" t="e">
        <f>IF(AND(State_LOB_Code=18,LEFT(BW711,4)&lt;"2009"),81,State_LOB_Code)&amp;"|355"</f>
        <v>#REF!</v>
      </c>
      <c r="BY711" s="174"/>
      <c r="BZ711" s="175"/>
      <c r="CD711" s="163"/>
      <c r="CE711" s="363"/>
      <c r="CF711" s="335"/>
      <c r="CG711" s="335"/>
      <c r="CH711" s="335"/>
      <c r="CI711" s="335"/>
      <c r="CJ711" s="335"/>
      <c r="CK711" s="335"/>
      <c r="CL711" s="335"/>
      <c r="CM711" s="335"/>
      <c r="CN711" s="335"/>
      <c r="CO711" s="335"/>
      <c r="CP711" s="335"/>
      <c r="CQ711" s="335"/>
      <c r="CR711" s="335"/>
      <c r="CS711" s="335"/>
      <c r="CT711" s="335"/>
      <c r="CU711" s="335"/>
      <c r="CV711" s="335"/>
      <c r="CW711" s="335"/>
      <c r="CX711" s="335"/>
      <c r="CY711" s="335"/>
      <c r="CZ711" s="335"/>
      <c r="DA711" s="335"/>
      <c r="DB711" s="335"/>
      <c r="DC711" s="335"/>
      <c r="DD711" s="335"/>
      <c r="DE711" s="335"/>
      <c r="DF711" s="335"/>
      <c r="DG711" s="335"/>
      <c r="DH711" s="335"/>
      <c r="DI711" s="335"/>
      <c r="DJ711" s="335"/>
      <c r="DK711" s="335"/>
      <c r="DL711" s="335"/>
      <c r="DM711" s="335"/>
      <c r="DN711" s="335"/>
      <c r="DO711" s="335"/>
      <c r="DP711" s="335"/>
      <c r="DQ711" s="335"/>
      <c r="DR711" s="335"/>
      <c r="DS711" s="335"/>
      <c r="DT711" s="335"/>
      <c r="DU711" s="335"/>
      <c r="DV711" s="335"/>
      <c r="DW711" s="335"/>
      <c r="DX711" s="335"/>
      <c r="DY711" s="335"/>
      <c r="DZ711" s="335"/>
      <c r="EA711" s="335"/>
      <c r="EB711" s="335"/>
      <c r="EC711" s="335"/>
      <c r="ED711" s="335"/>
      <c r="EE711" s="335"/>
      <c r="EF711" s="335"/>
      <c r="EG711" s="335"/>
      <c r="EH711" s="335"/>
      <c r="EI711" s="335"/>
      <c r="EJ711" s="335"/>
      <c r="EK711" s="335"/>
      <c r="EL711" s="335"/>
      <c r="EM711" s="335"/>
    </row>
    <row r="712" spans="72:143">
      <c r="BT712" s="187"/>
      <c r="BU712" s="187" t="s">
        <v>68</v>
      </c>
      <c r="BV712" s="196">
        <v>120045</v>
      </c>
      <c r="BW712" s="197" t="e">
        <f t="shared" si="150"/>
        <v>#REF!</v>
      </c>
      <c r="BX712" s="198" t="e">
        <f>IF(AND(State_LOB_Code=18,LEFT(BW712,4)&lt;"2009"),81,State_LOB_Code)&amp;"|356"</f>
        <v>#REF!</v>
      </c>
      <c r="BY712" s="174"/>
      <c r="BZ712" s="175"/>
      <c r="CD712" s="163"/>
      <c r="CE712" s="363"/>
      <c r="CF712" s="335"/>
      <c r="CG712" s="335"/>
      <c r="CH712" s="335"/>
      <c r="CI712" s="335"/>
      <c r="CJ712" s="335"/>
      <c r="CK712" s="335"/>
      <c r="CL712" s="335"/>
      <c r="CM712" s="335"/>
      <c r="CN712" s="335"/>
      <c r="CO712" s="335"/>
      <c r="CP712" s="335"/>
      <c r="CQ712" s="335"/>
      <c r="CR712" s="335"/>
      <c r="CS712" s="335"/>
      <c r="CT712" s="335"/>
      <c r="CU712" s="335"/>
      <c r="CV712" s="335"/>
      <c r="CW712" s="335"/>
      <c r="CX712" s="335"/>
      <c r="CY712" s="335"/>
      <c r="CZ712" s="335"/>
      <c r="DA712" s="335"/>
      <c r="DB712" s="335"/>
      <c r="DC712" s="335"/>
      <c r="DD712" s="335"/>
      <c r="DE712" s="335"/>
      <c r="DF712" s="335"/>
      <c r="DG712" s="335"/>
      <c r="DH712" s="335"/>
      <c r="DI712" s="335"/>
      <c r="DJ712" s="335"/>
      <c r="DK712" s="335"/>
      <c r="DL712" s="335"/>
      <c r="DM712" s="335"/>
      <c r="DN712" s="335"/>
      <c r="DO712" s="335"/>
      <c r="DP712" s="335"/>
      <c r="DQ712" s="335"/>
      <c r="DR712" s="335"/>
      <c r="DS712" s="335"/>
      <c r="DT712" s="335"/>
      <c r="DU712" s="335"/>
      <c r="DV712" s="335"/>
      <c r="DW712" s="335"/>
      <c r="DX712" s="335"/>
      <c r="DY712" s="335"/>
      <c r="DZ712" s="335"/>
      <c r="EA712" s="335"/>
      <c r="EB712" s="335"/>
      <c r="EC712" s="335"/>
      <c r="ED712" s="335"/>
      <c r="EE712" s="335"/>
      <c r="EF712" s="335"/>
      <c r="EG712" s="335"/>
      <c r="EH712" s="335"/>
      <c r="EI712" s="335"/>
      <c r="EJ712" s="335"/>
      <c r="EK712" s="335"/>
      <c r="EL712" s="335"/>
      <c r="EM712" s="335"/>
    </row>
    <row r="713" spans="72:143">
      <c r="BT713" s="187"/>
      <c r="BU713" s="187" t="s">
        <v>69</v>
      </c>
      <c r="BV713" s="196">
        <v>120045</v>
      </c>
      <c r="BW713" s="197" t="e">
        <f t="shared" si="150"/>
        <v>#REF!</v>
      </c>
      <c r="BX713" s="198" t="e">
        <f>IF(AND(State_LOB_Code=18,LEFT(BW713,4)&lt;"2009"),81,State_LOB_Code)&amp;"|357"</f>
        <v>#REF!</v>
      </c>
      <c r="BY713" s="174"/>
      <c r="BZ713" s="175"/>
      <c r="CD713" s="163"/>
      <c r="CE713" s="363"/>
      <c r="CF713" s="335"/>
      <c r="CG713" s="335"/>
      <c r="CH713" s="335"/>
      <c r="CI713" s="335"/>
      <c r="CJ713" s="335"/>
      <c r="CK713" s="335"/>
      <c r="CL713" s="335"/>
      <c r="CM713" s="335"/>
      <c r="CN713" s="335"/>
      <c r="CO713" s="335"/>
      <c r="CP713" s="335"/>
      <c r="CQ713" s="335"/>
      <c r="CR713" s="335"/>
      <c r="CS713" s="335"/>
      <c r="CT713" s="335"/>
      <c r="CU713" s="335"/>
      <c r="CV713" s="335"/>
      <c r="CW713" s="335"/>
      <c r="CX713" s="335"/>
      <c r="CY713" s="335"/>
      <c r="CZ713" s="335"/>
      <c r="DA713" s="335"/>
      <c r="DB713" s="335"/>
      <c r="DC713" s="335"/>
      <c r="DD713" s="335"/>
      <c r="DE713" s="335"/>
      <c r="DF713" s="335"/>
      <c r="DG713" s="335"/>
      <c r="DH713" s="335"/>
      <c r="DI713" s="335"/>
      <c r="DJ713" s="335"/>
      <c r="DK713" s="335"/>
      <c r="DL713" s="335"/>
      <c r="DM713" s="335"/>
      <c r="DN713" s="335"/>
      <c r="DO713" s="335"/>
      <c r="DP713" s="335"/>
      <c r="DQ713" s="335"/>
      <c r="DR713" s="335"/>
      <c r="DS713" s="335"/>
      <c r="DT713" s="335"/>
      <c r="DU713" s="335"/>
      <c r="DV713" s="335"/>
      <c r="DW713" s="335"/>
      <c r="DX713" s="335"/>
      <c r="DY713" s="335"/>
      <c r="DZ713" s="335"/>
      <c r="EA713" s="335"/>
      <c r="EB713" s="335"/>
      <c r="EC713" s="335"/>
      <c r="ED713" s="335"/>
      <c r="EE713" s="335"/>
      <c r="EF713" s="335"/>
      <c r="EG713" s="335"/>
      <c r="EH713" s="335"/>
      <c r="EI713" s="335"/>
      <c r="EJ713" s="335"/>
      <c r="EK713" s="335"/>
      <c r="EL713" s="335"/>
      <c r="EM713" s="335"/>
    </row>
    <row r="714" spans="72:143">
      <c r="BT714" s="187"/>
      <c r="BU714" s="187" t="s">
        <v>70</v>
      </c>
      <c r="BV714" s="196">
        <v>120045</v>
      </c>
      <c r="BW714" s="197" t="e">
        <f t="shared" si="150"/>
        <v>#REF!</v>
      </c>
      <c r="BX714" s="198" t="e">
        <f>IF(AND(State_LOB_Code=18,LEFT(BW714,4)&lt;"2009"),81,State_LOB_Code)&amp;"|358"</f>
        <v>#REF!</v>
      </c>
      <c r="BY714" s="174"/>
      <c r="BZ714" s="175"/>
      <c r="CD714" s="163"/>
      <c r="CE714" s="363"/>
      <c r="CF714" s="335"/>
      <c r="CG714" s="335"/>
      <c r="CH714" s="335"/>
      <c r="CI714" s="335"/>
      <c r="CJ714" s="335"/>
      <c r="CK714" s="335"/>
      <c r="CL714" s="335"/>
      <c r="CM714" s="335"/>
      <c r="CN714" s="335"/>
      <c r="CO714" s="335"/>
      <c r="CP714" s="335"/>
      <c r="CQ714" s="335"/>
      <c r="CR714" s="335"/>
      <c r="CS714" s="335"/>
      <c r="CT714" s="335"/>
      <c r="CU714" s="335"/>
      <c r="CV714" s="335"/>
      <c r="CW714" s="335"/>
      <c r="CX714" s="335"/>
      <c r="CY714" s="335"/>
      <c r="CZ714" s="335"/>
      <c r="DA714" s="335"/>
      <c r="DB714" s="335"/>
      <c r="DC714" s="335"/>
      <c r="DD714" s="335"/>
      <c r="DE714" s="335"/>
      <c r="DF714" s="335"/>
      <c r="DG714" s="335"/>
      <c r="DH714" s="335"/>
      <c r="DI714" s="335"/>
      <c r="DJ714" s="335"/>
      <c r="DK714" s="335"/>
      <c r="DL714" s="335"/>
      <c r="DM714" s="335"/>
      <c r="DN714" s="335"/>
      <c r="DO714" s="335"/>
      <c r="DP714" s="335"/>
      <c r="DQ714" s="335"/>
      <c r="DR714" s="335"/>
      <c r="DS714" s="335"/>
      <c r="DT714" s="335"/>
      <c r="DU714" s="335"/>
      <c r="DV714" s="335"/>
      <c r="DW714" s="335"/>
      <c r="DX714" s="335"/>
      <c r="DY714" s="335"/>
      <c r="DZ714" s="335"/>
      <c r="EA714" s="335"/>
      <c r="EB714" s="335"/>
      <c r="EC714" s="335"/>
      <c r="ED714" s="335"/>
      <c r="EE714" s="335"/>
      <c r="EF714" s="335"/>
      <c r="EG714" s="335"/>
      <c r="EH714" s="335"/>
      <c r="EI714" s="335"/>
      <c r="EJ714" s="335"/>
      <c r="EK714" s="335"/>
      <c r="EL714" s="335"/>
      <c r="EM714" s="335"/>
    </row>
    <row r="715" spans="72:143">
      <c r="BT715" s="187"/>
      <c r="BU715" s="187" t="s">
        <v>71</v>
      </c>
      <c r="BV715" s="196">
        <v>120045</v>
      </c>
      <c r="BW715" s="197" t="e">
        <f t="shared" si="150"/>
        <v>#REF!</v>
      </c>
      <c r="BX715" s="198" t="e">
        <f>IF(AND(State_LOB_Code=18,LEFT(BW715,4)&lt;"2009"),81,State_LOB_Code)&amp;"|359"</f>
        <v>#REF!</v>
      </c>
      <c r="BY715" s="174"/>
      <c r="BZ715" s="175"/>
      <c r="CD715" s="163"/>
      <c r="CE715" s="363"/>
      <c r="CF715" s="335"/>
      <c r="CG715" s="335"/>
      <c r="CH715" s="335"/>
      <c r="CI715" s="335"/>
      <c r="CJ715" s="335"/>
      <c r="CK715" s="335"/>
      <c r="CL715" s="335"/>
      <c r="CM715" s="335"/>
      <c r="CN715" s="335"/>
      <c r="CO715" s="335"/>
      <c r="CP715" s="335"/>
      <c r="CQ715" s="335"/>
      <c r="CR715" s="335"/>
      <c r="CS715" s="335"/>
      <c r="CT715" s="335"/>
      <c r="CU715" s="335"/>
      <c r="CV715" s="335"/>
      <c r="CW715" s="335"/>
      <c r="CX715" s="335"/>
      <c r="CY715" s="335"/>
      <c r="CZ715" s="335"/>
      <c r="DA715" s="335"/>
      <c r="DB715" s="335"/>
      <c r="DC715" s="335"/>
      <c r="DD715" s="335"/>
      <c r="DE715" s="335"/>
      <c r="DF715" s="335"/>
      <c r="DG715" s="335"/>
      <c r="DH715" s="335"/>
      <c r="DI715" s="335"/>
      <c r="DJ715" s="335"/>
      <c r="DK715" s="335"/>
      <c r="DL715" s="335"/>
      <c r="DM715" s="335"/>
      <c r="DN715" s="335"/>
      <c r="DO715" s="335"/>
      <c r="DP715" s="335"/>
      <c r="DQ715" s="335"/>
      <c r="DR715" s="335"/>
      <c r="DS715" s="335"/>
      <c r="DT715" s="335"/>
      <c r="DU715" s="335"/>
      <c r="DV715" s="335"/>
      <c r="DW715" s="335"/>
      <c r="DX715" s="335"/>
      <c r="DY715" s="335"/>
      <c r="DZ715" s="335"/>
      <c r="EA715" s="335"/>
      <c r="EB715" s="335"/>
      <c r="EC715" s="335"/>
      <c r="ED715" s="335"/>
      <c r="EE715" s="335"/>
      <c r="EF715" s="335"/>
      <c r="EG715" s="335"/>
      <c r="EH715" s="335"/>
      <c r="EI715" s="335"/>
      <c r="EJ715" s="335"/>
      <c r="EK715" s="335"/>
      <c r="EL715" s="335"/>
      <c r="EM715" s="335"/>
    </row>
    <row r="716" spans="72:143">
      <c r="BT716" s="187"/>
      <c r="BU716" s="187" t="s">
        <v>72</v>
      </c>
      <c r="BV716" s="196">
        <v>120045</v>
      </c>
      <c r="BW716" s="197" t="e">
        <f t="shared" si="150"/>
        <v>#REF!</v>
      </c>
      <c r="BX716" s="198" t="e">
        <f>IF(AND(State_LOB_Code=18,LEFT(BW716,4)&lt;"2009"),81,State_LOB_Code)&amp;"|361"</f>
        <v>#REF!</v>
      </c>
      <c r="BY716" s="174"/>
      <c r="BZ716" s="175"/>
      <c r="CD716" s="163"/>
      <c r="CE716" s="363"/>
      <c r="CF716" s="335"/>
      <c r="CG716" s="335"/>
      <c r="CH716" s="335"/>
      <c r="CI716" s="335"/>
      <c r="CJ716" s="335"/>
      <c r="CK716" s="335"/>
      <c r="CL716" s="335"/>
      <c r="CM716" s="335"/>
      <c r="CN716" s="335"/>
      <c r="CO716" s="335"/>
      <c r="CP716" s="335"/>
      <c r="CQ716" s="335"/>
      <c r="CR716" s="335"/>
      <c r="CS716" s="335"/>
      <c r="CT716" s="335"/>
      <c r="CU716" s="335"/>
      <c r="CV716" s="335"/>
      <c r="CW716" s="335"/>
      <c r="CX716" s="335"/>
      <c r="CY716" s="335"/>
      <c r="CZ716" s="335"/>
      <c r="DA716" s="335"/>
      <c r="DB716" s="335"/>
      <c r="DC716" s="335"/>
      <c r="DD716" s="335"/>
      <c r="DE716" s="335"/>
      <c r="DF716" s="335"/>
      <c r="DG716" s="335"/>
      <c r="DH716" s="335"/>
      <c r="DI716" s="335"/>
      <c r="DJ716" s="335"/>
      <c r="DK716" s="335"/>
      <c r="DL716" s="335"/>
      <c r="DM716" s="335"/>
      <c r="DN716" s="335"/>
      <c r="DO716" s="335"/>
      <c r="DP716" s="335"/>
      <c r="DQ716" s="335"/>
      <c r="DR716" s="335"/>
      <c r="DS716" s="335"/>
      <c r="DT716" s="335"/>
      <c r="DU716" s="335"/>
      <c r="DV716" s="335"/>
      <c r="DW716" s="335"/>
      <c r="DX716" s="335"/>
      <c r="DY716" s="335"/>
      <c r="DZ716" s="335"/>
      <c r="EA716" s="335"/>
      <c r="EB716" s="335"/>
      <c r="EC716" s="335"/>
      <c r="ED716" s="335"/>
      <c r="EE716" s="335"/>
      <c r="EF716" s="335"/>
      <c r="EG716" s="335"/>
      <c r="EH716" s="335"/>
      <c r="EI716" s="335"/>
      <c r="EJ716" s="335"/>
      <c r="EK716" s="335"/>
      <c r="EL716" s="335"/>
      <c r="EM716" s="335"/>
    </row>
    <row r="717" spans="72:143">
      <c r="BT717" s="187"/>
      <c r="BU717" s="187" t="s">
        <v>73</v>
      </c>
      <c r="BV717" s="196">
        <v>120045</v>
      </c>
      <c r="BW717" s="197" t="e">
        <f t="shared" si="150"/>
        <v>#REF!</v>
      </c>
      <c r="BX717" s="198" t="e">
        <f>IF(AND(State_LOB_Code=18,LEFT(BW717,4)&lt;"2009"),81,State_LOB_Code)&amp;"|362"</f>
        <v>#REF!</v>
      </c>
      <c r="BY717" s="174"/>
      <c r="BZ717" s="175"/>
      <c r="CD717" s="163"/>
      <c r="CE717" s="363"/>
      <c r="CF717" s="335"/>
      <c r="CG717" s="335"/>
      <c r="CH717" s="335"/>
      <c r="CI717" s="335"/>
      <c r="CJ717" s="335"/>
      <c r="CK717" s="335"/>
      <c r="CL717" s="335"/>
      <c r="CM717" s="335"/>
      <c r="CN717" s="335"/>
      <c r="CO717" s="335"/>
      <c r="CP717" s="335"/>
      <c r="CQ717" s="335"/>
      <c r="CR717" s="335"/>
      <c r="CS717" s="335"/>
      <c r="CT717" s="335"/>
      <c r="CU717" s="335"/>
      <c r="CV717" s="335"/>
      <c r="CW717" s="335"/>
      <c r="CX717" s="335"/>
      <c r="CY717" s="335"/>
      <c r="CZ717" s="335"/>
      <c r="DA717" s="335"/>
      <c r="DB717" s="335"/>
      <c r="DC717" s="335"/>
      <c r="DD717" s="335"/>
      <c r="DE717" s="335"/>
      <c r="DF717" s="335"/>
      <c r="DG717" s="335"/>
      <c r="DH717" s="335"/>
      <c r="DI717" s="335"/>
      <c r="DJ717" s="335"/>
      <c r="DK717" s="335"/>
      <c r="DL717" s="335"/>
      <c r="DM717" s="335"/>
      <c r="DN717" s="335"/>
      <c r="DO717" s="335"/>
      <c r="DP717" s="335"/>
      <c r="DQ717" s="335"/>
      <c r="DR717" s="335"/>
      <c r="DS717" s="335"/>
      <c r="DT717" s="335"/>
      <c r="DU717" s="335"/>
      <c r="DV717" s="335"/>
      <c r="DW717" s="335"/>
      <c r="DX717" s="335"/>
      <c r="DY717" s="335"/>
      <c r="DZ717" s="335"/>
      <c r="EA717" s="335"/>
      <c r="EB717" s="335"/>
      <c r="EC717" s="335"/>
      <c r="ED717" s="335"/>
      <c r="EE717" s="335"/>
      <c r="EF717" s="335"/>
      <c r="EG717" s="335"/>
      <c r="EH717" s="335"/>
      <c r="EI717" s="335"/>
      <c r="EJ717" s="335"/>
      <c r="EK717" s="335"/>
      <c r="EL717" s="335"/>
      <c r="EM717" s="335"/>
    </row>
    <row r="718" spans="72:143">
      <c r="BT718" s="187"/>
      <c r="BU718" s="187" t="s">
        <v>74</v>
      </c>
      <c r="BV718" s="196">
        <v>120045</v>
      </c>
      <c r="BW718" s="197" t="e">
        <f t="shared" si="150"/>
        <v>#REF!</v>
      </c>
      <c r="BX718" s="198" t="e">
        <f>IF(AND(State_LOB_Code=18,LEFT(BW718,4)&lt;"2009"),81,State_LOB_Code)&amp;"|363"</f>
        <v>#REF!</v>
      </c>
      <c r="BY718" s="174"/>
      <c r="BZ718" s="175"/>
      <c r="CD718" s="163"/>
      <c r="CE718" s="363"/>
      <c r="CF718" s="335"/>
      <c r="CG718" s="335"/>
      <c r="CH718" s="335"/>
      <c r="CI718" s="335"/>
      <c r="CJ718" s="335"/>
      <c r="CK718" s="335"/>
      <c r="CL718" s="335"/>
      <c r="CM718" s="335"/>
      <c r="CN718" s="335"/>
      <c r="CO718" s="335"/>
      <c r="CP718" s="335"/>
      <c r="CQ718" s="335"/>
      <c r="CR718" s="335"/>
      <c r="CS718" s="335"/>
      <c r="CT718" s="335"/>
      <c r="CU718" s="335"/>
      <c r="CV718" s="335"/>
      <c r="CW718" s="335"/>
      <c r="CX718" s="335"/>
      <c r="CY718" s="335"/>
      <c r="CZ718" s="335"/>
      <c r="DA718" s="335"/>
      <c r="DB718" s="335"/>
      <c r="DC718" s="335"/>
      <c r="DD718" s="335"/>
      <c r="DE718" s="335"/>
      <c r="DF718" s="335"/>
      <c r="DG718" s="335"/>
      <c r="DH718" s="335"/>
      <c r="DI718" s="335"/>
      <c r="DJ718" s="335"/>
      <c r="DK718" s="335"/>
      <c r="DL718" s="335"/>
      <c r="DM718" s="335"/>
      <c r="DN718" s="335"/>
      <c r="DO718" s="335"/>
      <c r="DP718" s="335"/>
      <c r="DQ718" s="335"/>
      <c r="DR718" s="335"/>
      <c r="DS718" s="335"/>
      <c r="DT718" s="335"/>
      <c r="DU718" s="335"/>
      <c r="DV718" s="335"/>
      <c r="DW718" s="335"/>
      <c r="DX718" s="335"/>
      <c r="DY718" s="335"/>
      <c r="DZ718" s="335"/>
      <c r="EA718" s="335"/>
      <c r="EB718" s="335"/>
      <c r="EC718" s="335"/>
      <c r="ED718" s="335"/>
      <c r="EE718" s="335"/>
      <c r="EF718" s="335"/>
      <c r="EG718" s="335"/>
      <c r="EH718" s="335"/>
      <c r="EI718" s="335"/>
      <c r="EJ718" s="335"/>
      <c r="EK718" s="335"/>
      <c r="EL718" s="335"/>
      <c r="EM718" s="335"/>
    </row>
    <row r="719" spans="72:143">
      <c r="BT719" s="187"/>
      <c r="BU719" s="187" t="s">
        <v>75</v>
      </c>
      <c r="BV719" s="196">
        <v>120045</v>
      </c>
      <c r="BW719" s="197" t="e">
        <f t="shared" si="150"/>
        <v>#REF!</v>
      </c>
      <c r="BX719" s="198" t="e">
        <f>IF(AND(State_LOB_Code=18,LEFT(BW719,4)&lt;"2009"),81,State_LOB_Code)&amp;"|364"</f>
        <v>#REF!</v>
      </c>
      <c r="BY719" s="174"/>
      <c r="BZ719" s="175"/>
      <c r="CD719" s="163"/>
      <c r="CE719" s="363"/>
      <c r="CF719" s="335"/>
      <c r="CG719" s="335"/>
      <c r="CH719" s="335"/>
      <c r="CI719" s="335"/>
      <c r="CJ719" s="335"/>
      <c r="CK719" s="335"/>
      <c r="CL719" s="335"/>
      <c r="CM719" s="335"/>
      <c r="CN719" s="335"/>
      <c r="CO719" s="335"/>
      <c r="CP719" s="335"/>
      <c r="CQ719" s="335"/>
      <c r="CR719" s="335"/>
      <c r="CS719" s="335"/>
      <c r="CT719" s="335"/>
      <c r="CU719" s="335"/>
      <c r="CV719" s="335"/>
      <c r="CW719" s="335"/>
      <c r="CX719" s="335"/>
      <c r="CY719" s="335"/>
      <c r="CZ719" s="335"/>
      <c r="DA719" s="335"/>
      <c r="DB719" s="335"/>
      <c r="DC719" s="335"/>
      <c r="DD719" s="335"/>
      <c r="DE719" s="335"/>
      <c r="DF719" s="335"/>
      <c r="DG719" s="335"/>
      <c r="DH719" s="335"/>
      <c r="DI719" s="335"/>
      <c r="DJ719" s="335"/>
      <c r="DK719" s="335"/>
      <c r="DL719" s="335"/>
      <c r="DM719" s="335"/>
      <c r="DN719" s="335"/>
      <c r="DO719" s="335"/>
      <c r="DP719" s="335"/>
      <c r="DQ719" s="335"/>
      <c r="DR719" s="335"/>
      <c r="DS719" s="335"/>
      <c r="DT719" s="335"/>
      <c r="DU719" s="335"/>
      <c r="DV719" s="335"/>
      <c r="DW719" s="335"/>
      <c r="DX719" s="335"/>
      <c r="DY719" s="335"/>
      <c r="DZ719" s="335"/>
      <c r="EA719" s="335"/>
      <c r="EB719" s="335"/>
      <c r="EC719" s="335"/>
      <c r="ED719" s="335"/>
      <c r="EE719" s="335"/>
      <c r="EF719" s="335"/>
      <c r="EG719" s="335"/>
      <c r="EH719" s="335"/>
      <c r="EI719" s="335"/>
      <c r="EJ719" s="335"/>
      <c r="EK719" s="335"/>
      <c r="EL719" s="335"/>
      <c r="EM719" s="335"/>
    </row>
    <row r="720" spans="72:143">
      <c r="BT720" s="187"/>
      <c r="BU720" s="187" t="s">
        <v>76</v>
      </c>
      <c r="BV720" s="196">
        <v>120045</v>
      </c>
      <c r="BW720" s="197" t="e">
        <f t="shared" si="150"/>
        <v>#REF!</v>
      </c>
      <c r="BX720" s="198" t="e">
        <f>IF(AND(State_LOB_Code=18,LEFT(BW720,4)&lt;"2009"),81,State_LOB_Code)&amp;"|365"</f>
        <v>#REF!</v>
      </c>
      <c r="BY720" s="174"/>
      <c r="BZ720" s="175"/>
      <c r="CD720" s="163"/>
      <c r="CE720" s="363"/>
      <c r="CF720" s="335"/>
      <c r="CG720" s="335"/>
      <c r="CH720" s="335"/>
      <c r="CI720" s="335"/>
      <c r="CJ720" s="335"/>
      <c r="CK720" s="335"/>
      <c r="CL720" s="335"/>
      <c r="CM720" s="335"/>
      <c r="CN720" s="335"/>
      <c r="CO720" s="335"/>
      <c r="CP720" s="335"/>
      <c r="CQ720" s="335"/>
      <c r="CR720" s="335"/>
      <c r="CS720" s="335"/>
      <c r="CT720" s="335"/>
      <c r="CU720" s="335"/>
      <c r="CV720" s="335"/>
      <c r="CW720" s="335"/>
      <c r="CX720" s="335"/>
      <c r="CY720" s="335"/>
      <c r="CZ720" s="335"/>
      <c r="DA720" s="335"/>
      <c r="DB720" s="335"/>
      <c r="DC720" s="335"/>
      <c r="DD720" s="335"/>
      <c r="DE720" s="335"/>
      <c r="DF720" s="335"/>
      <c r="DG720" s="335"/>
      <c r="DH720" s="335"/>
      <c r="DI720" s="335"/>
      <c r="DJ720" s="335"/>
      <c r="DK720" s="335"/>
      <c r="DL720" s="335"/>
      <c r="DM720" s="335"/>
      <c r="DN720" s="335"/>
      <c r="DO720" s="335"/>
      <c r="DP720" s="335"/>
      <c r="DQ720" s="335"/>
      <c r="DR720" s="335"/>
      <c r="DS720" s="335"/>
      <c r="DT720" s="335"/>
      <c r="DU720" s="335"/>
      <c r="DV720" s="335"/>
      <c r="DW720" s="335"/>
      <c r="DX720" s="335"/>
      <c r="DY720" s="335"/>
      <c r="DZ720" s="335"/>
      <c r="EA720" s="335"/>
      <c r="EB720" s="335"/>
      <c r="EC720" s="335"/>
      <c r="ED720" s="335"/>
      <c r="EE720" s="335"/>
      <c r="EF720" s="335"/>
      <c r="EG720" s="335"/>
      <c r="EH720" s="335"/>
      <c r="EI720" s="335"/>
      <c r="EJ720" s="335"/>
      <c r="EK720" s="335"/>
      <c r="EL720" s="335"/>
      <c r="EM720" s="335"/>
    </row>
    <row r="721" spans="72:143">
      <c r="BT721" s="187"/>
      <c r="BU721" s="187" t="s">
        <v>77</v>
      </c>
      <c r="BV721" s="196">
        <v>120045</v>
      </c>
      <c r="BW721" s="197" t="e">
        <f t="shared" si="150"/>
        <v>#REF!</v>
      </c>
      <c r="BX721" s="198" t="e">
        <f>IF(AND(State_LOB_Code=18,LEFT(BW721,4)&lt;"2009"),81,State_LOB_Code)&amp;"|366"</f>
        <v>#REF!</v>
      </c>
      <c r="BY721" s="174"/>
      <c r="BZ721" s="175"/>
      <c r="CD721" s="163"/>
      <c r="CE721" s="363"/>
      <c r="CF721" s="335"/>
      <c r="CG721" s="335"/>
      <c r="CH721" s="335"/>
      <c r="CI721" s="335"/>
      <c r="CJ721" s="335"/>
      <c r="CK721" s="335"/>
      <c r="CL721" s="335"/>
      <c r="CM721" s="335"/>
      <c r="CN721" s="335"/>
      <c r="CO721" s="335"/>
      <c r="CP721" s="335"/>
      <c r="CQ721" s="335"/>
      <c r="CR721" s="335"/>
      <c r="CS721" s="335"/>
      <c r="CT721" s="335"/>
      <c r="CU721" s="335"/>
      <c r="CV721" s="335"/>
      <c r="CW721" s="335"/>
      <c r="CX721" s="335"/>
      <c r="CY721" s="335"/>
      <c r="CZ721" s="335"/>
      <c r="DA721" s="335"/>
      <c r="DB721" s="335"/>
      <c r="DC721" s="335"/>
      <c r="DD721" s="335"/>
      <c r="DE721" s="335"/>
      <c r="DF721" s="335"/>
      <c r="DG721" s="335"/>
      <c r="DH721" s="335"/>
      <c r="DI721" s="335"/>
      <c r="DJ721" s="335"/>
      <c r="DK721" s="335"/>
      <c r="DL721" s="335"/>
      <c r="DM721" s="335"/>
      <c r="DN721" s="335"/>
      <c r="DO721" s="335"/>
      <c r="DP721" s="335"/>
      <c r="DQ721" s="335"/>
      <c r="DR721" s="335"/>
      <c r="DS721" s="335"/>
      <c r="DT721" s="335"/>
      <c r="DU721" s="335"/>
      <c r="DV721" s="335"/>
      <c r="DW721" s="335"/>
      <c r="DX721" s="335"/>
      <c r="DY721" s="335"/>
      <c r="DZ721" s="335"/>
      <c r="EA721" s="335"/>
      <c r="EB721" s="335"/>
      <c r="EC721" s="335"/>
      <c r="ED721" s="335"/>
      <c r="EE721" s="335"/>
      <c r="EF721" s="335"/>
      <c r="EG721" s="335"/>
      <c r="EH721" s="335"/>
      <c r="EI721" s="335"/>
      <c r="EJ721" s="335"/>
      <c r="EK721" s="335"/>
      <c r="EL721" s="335"/>
      <c r="EM721" s="335"/>
    </row>
    <row r="722" spans="72:143">
      <c r="BT722" s="187"/>
      <c r="BU722" s="187" t="s">
        <v>78</v>
      </c>
      <c r="BV722" s="196">
        <v>120045</v>
      </c>
      <c r="BW722" s="197" t="e">
        <f t="shared" si="150"/>
        <v>#REF!</v>
      </c>
      <c r="BX722" s="198" t="e">
        <f>IF(AND(State_LOB_Code=18,LEFT(BW722,4)&lt;"2009"),81,State_LOB_Code)&amp;"|367"</f>
        <v>#REF!</v>
      </c>
      <c r="BY722" s="174"/>
      <c r="BZ722" s="175"/>
      <c r="CD722" s="163"/>
      <c r="CE722" s="363"/>
      <c r="CF722" s="335"/>
      <c r="CG722" s="335"/>
      <c r="CH722" s="335"/>
      <c r="CI722" s="335"/>
      <c r="CJ722" s="335"/>
      <c r="CK722" s="335"/>
      <c r="CL722" s="335"/>
      <c r="CM722" s="335"/>
      <c r="CN722" s="335"/>
      <c r="CO722" s="335"/>
      <c r="CP722" s="335"/>
      <c r="CQ722" s="335"/>
      <c r="CR722" s="335"/>
      <c r="CS722" s="335"/>
      <c r="CT722" s="335"/>
      <c r="CU722" s="335"/>
      <c r="CV722" s="335"/>
      <c r="CW722" s="335"/>
      <c r="CX722" s="335"/>
      <c r="CY722" s="335"/>
      <c r="CZ722" s="335"/>
      <c r="DA722" s="335"/>
      <c r="DB722" s="335"/>
      <c r="DC722" s="335"/>
      <c r="DD722" s="335"/>
      <c r="DE722" s="335"/>
      <c r="DF722" s="335"/>
      <c r="DG722" s="335"/>
      <c r="DH722" s="335"/>
      <c r="DI722" s="335"/>
      <c r="DJ722" s="335"/>
      <c r="DK722" s="335"/>
      <c r="DL722" s="335"/>
      <c r="DM722" s="335"/>
      <c r="DN722" s="335"/>
      <c r="DO722" s="335"/>
      <c r="DP722" s="335"/>
      <c r="DQ722" s="335"/>
      <c r="DR722" s="335"/>
      <c r="DS722" s="335"/>
      <c r="DT722" s="335"/>
      <c r="DU722" s="335"/>
      <c r="DV722" s="335"/>
      <c r="DW722" s="335"/>
      <c r="DX722" s="335"/>
      <c r="DY722" s="335"/>
      <c r="DZ722" s="335"/>
      <c r="EA722" s="335"/>
      <c r="EB722" s="335"/>
      <c r="EC722" s="335"/>
      <c r="ED722" s="335"/>
      <c r="EE722" s="335"/>
      <c r="EF722" s="335"/>
      <c r="EG722" s="335"/>
      <c r="EH722" s="335"/>
      <c r="EI722" s="335"/>
      <c r="EJ722" s="335"/>
      <c r="EK722" s="335"/>
      <c r="EL722" s="335"/>
      <c r="EM722" s="335"/>
    </row>
    <row r="723" spans="72:143">
      <c r="BT723" s="187"/>
      <c r="BU723" s="187" t="s">
        <v>79</v>
      </c>
      <c r="BV723" s="196">
        <v>120045</v>
      </c>
      <c r="BW723" s="197" t="e">
        <f t="shared" ref="BW723:BW750" si="151">LEFT(BW662,4)-1&amp;"Y"</f>
        <v>#REF!</v>
      </c>
      <c r="BX723" s="198" t="e">
        <f>IF(AND(State_LOB_Code=18,LEFT(BW723,4)&lt;"2009"),81,State_LOB_Code)&amp;"|368"</f>
        <v>#REF!</v>
      </c>
      <c r="BY723" s="174"/>
      <c r="BZ723" s="175"/>
      <c r="CD723" s="163"/>
      <c r="CE723" s="363"/>
      <c r="CF723" s="335"/>
      <c r="CG723" s="335"/>
      <c r="CH723" s="335"/>
      <c r="CI723" s="335"/>
      <c r="CJ723" s="335"/>
      <c r="CK723" s="335"/>
      <c r="CL723" s="335"/>
      <c r="CM723" s="335"/>
      <c r="CN723" s="335"/>
      <c r="CO723" s="335"/>
      <c r="CP723" s="335"/>
      <c r="CQ723" s="335"/>
      <c r="CR723" s="335"/>
      <c r="CS723" s="335"/>
      <c r="CT723" s="335"/>
      <c r="CU723" s="335"/>
      <c r="CV723" s="335"/>
      <c r="CW723" s="335"/>
      <c r="CX723" s="335"/>
      <c r="CY723" s="335"/>
      <c r="CZ723" s="335"/>
      <c r="DA723" s="335"/>
      <c r="DB723" s="335"/>
      <c r="DC723" s="335"/>
      <c r="DD723" s="335"/>
      <c r="DE723" s="335"/>
      <c r="DF723" s="335"/>
      <c r="DG723" s="335"/>
      <c r="DH723" s="335"/>
      <c r="DI723" s="335"/>
      <c r="DJ723" s="335"/>
      <c r="DK723" s="335"/>
      <c r="DL723" s="335"/>
      <c r="DM723" s="335"/>
      <c r="DN723" s="335"/>
      <c r="DO723" s="335"/>
      <c r="DP723" s="335"/>
      <c r="DQ723" s="335"/>
      <c r="DR723" s="335"/>
      <c r="DS723" s="335"/>
      <c r="DT723" s="335"/>
      <c r="DU723" s="335"/>
      <c r="DV723" s="335"/>
      <c r="DW723" s="335"/>
      <c r="DX723" s="335"/>
      <c r="DY723" s="335"/>
      <c r="DZ723" s="335"/>
      <c r="EA723" s="335"/>
      <c r="EB723" s="335"/>
      <c r="EC723" s="335"/>
      <c r="ED723" s="335"/>
      <c r="EE723" s="335"/>
      <c r="EF723" s="335"/>
      <c r="EG723" s="335"/>
      <c r="EH723" s="335"/>
      <c r="EI723" s="335"/>
      <c r="EJ723" s="335"/>
      <c r="EK723" s="335"/>
      <c r="EL723" s="335"/>
      <c r="EM723" s="335"/>
    </row>
    <row r="724" spans="72:143">
      <c r="BT724" s="187"/>
      <c r="BU724" s="187" t="s">
        <v>80</v>
      </c>
      <c r="BV724" s="196">
        <v>120045</v>
      </c>
      <c r="BW724" s="197" t="e">
        <f t="shared" si="151"/>
        <v>#REF!</v>
      </c>
      <c r="BX724" s="198" t="e">
        <f>IF(AND(State_LOB_Code=18,LEFT(BW724,4)&lt;"2009"),81,State_LOB_Code)&amp;"|369"</f>
        <v>#REF!</v>
      </c>
      <c r="BY724" s="174"/>
      <c r="BZ724" s="175"/>
      <c r="CD724" s="163"/>
      <c r="CE724" s="363"/>
      <c r="CF724" s="335"/>
      <c r="CG724" s="335"/>
      <c r="CH724" s="335"/>
      <c r="CI724" s="335"/>
      <c r="CJ724" s="335"/>
      <c r="CK724" s="335"/>
      <c r="CL724" s="335"/>
      <c r="CM724" s="335"/>
      <c r="CN724" s="335"/>
      <c r="CO724" s="335"/>
      <c r="CP724" s="335"/>
      <c r="CQ724" s="335"/>
      <c r="CR724" s="335"/>
      <c r="CS724" s="335"/>
      <c r="CT724" s="335"/>
      <c r="CU724" s="335"/>
      <c r="CV724" s="335"/>
      <c r="CW724" s="335"/>
      <c r="CX724" s="335"/>
      <c r="CY724" s="335"/>
      <c r="CZ724" s="335"/>
      <c r="DA724" s="335"/>
      <c r="DB724" s="335"/>
      <c r="DC724" s="335"/>
      <c r="DD724" s="335"/>
      <c r="DE724" s="335"/>
      <c r="DF724" s="335"/>
      <c r="DG724" s="335"/>
      <c r="DH724" s="335"/>
      <c r="DI724" s="335"/>
      <c r="DJ724" s="335"/>
      <c r="DK724" s="335"/>
      <c r="DL724" s="335"/>
      <c r="DM724" s="335"/>
      <c r="DN724" s="335"/>
      <c r="DO724" s="335"/>
      <c r="DP724" s="335"/>
      <c r="DQ724" s="335"/>
      <c r="DR724" s="335"/>
      <c r="DS724" s="335"/>
      <c r="DT724" s="335"/>
      <c r="DU724" s="335"/>
      <c r="DV724" s="335"/>
      <c r="DW724" s="335"/>
      <c r="DX724" s="335"/>
      <c r="DY724" s="335"/>
      <c r="DZ724" s="335"/>
      <c r="EA724" s="335"/>
      <c r="EB724" s="335"/>
      <c r="EC724" s="335"/>
      <c r="ED724" s="335"/>
      <c r="EE724" s="335"/>
      <c r="EF724" s="335"/>
      <c r="EG724" s="335"/>
      <c r="EH724" s="335"/>
      <c r="EI724" s="335"/>
      <c r="EJ724" s="335"/>
      <c r="EK724" s="335"/>
      <c r="EL724" s="335"/>
      <c r="EM724" s="335"/>
    </row>
    <row r="725" spans="72:143">
      <c r="BT725" s="187"/>
      <c r="BU725" s="187" t="s">
        <v>81</v>
      </c>
      <c r="BV725" s="196">
        <v>120045</v>
      </c>
      <c r="BW725" s="197" t="e">
        <f t="shared" si="151"/>
        <v>#REF!</v>
      </c>
      <c r="BX725" s="198" t="e">
        <f>IF(AND(State_LOB_Code=18,LEFT(BW725,4)&lt;"2009"),81,State_LOB_Code)&amp;"|370"</f>
        <v>#REF!</v>
      </c>
      <c r="BY725" s="174"/>
      <c r="BZ725" s="175"/>
      <c r="CD725" s="163"/>
      <c r="CE725" s="363"/>
      <c r="CF725" s="335"/>
      <c r="CG725" s="335"/>
      <c r="CH725" s="335"/>
      <c r="CI725" s="335"/>
      <c r="CJ725" s="335"/>
      <c r="CK725" s="335"/>
      <c r="CL725" s="335"/>
      <c r="CM725" s="335"/>
      <c r="CN725" s="335"/>
      <c r="CO725" s="335"/>
      <c r="CP725" s="335"/>
      <c r="CQ725" s="335"/>
      <c r="CR725" s="335"/>
      <c r="CS725" s="335"/>
      <c r="CT725" s="335"/>
      <c r="CU725" s="335"/>
      <c r="CV725" s="335"/>
      <c r="CW725" s="335"/>
      <c r="CX725" s="335"/>
      <c r="CY725" s="335"/>
      <c r="CZ725" s="335"/>
      <c r="DA725" s="335"/>
      <c r="DB725" s="335"/>
      <c r="DC725" s="335"/>
      <c r="DD725" s="335"/>
      <c r="DE725" s="335"/>
      <c r="DF725" s="335"/>
      <c r="DG725" s="335"/>
      <c r="DH725" s="335"/>
      <c r="DI725" s="335"/>
      <c r="DJ725" s="335"/>
      <c r="DK725" s="335"/>
      <c r="DL725" s="335"/>
      <c r="DM725" s="335"/>
      <c r="DN725" s="335"/>
      <c r="DO725" s="335"/>
      <c r="DP725" s="335"/>
      <c r="DQ725" s="335"/>
      <c r="DR725" s="335"/>
      <c r="DS725" s="335"/>
      <c r="DT725" s="335"/>
      <c r="DU725" s="335"/>
      <c r="DV725" s="335"/>
      <c r="DW725" s="335"/>
      <c r="DX725" s="335"/>
      <c r="DY725" s="335"/>
      <c r="DZ725" s="335"/>
      <c r="EA725" s="335"/>
      <c r="EB725" s="335"/>
      <c r="EC725" s="335"/>
      <c r="ED725" s="335"/>
      <c r="EE725" s="335"/>
      <c r="EF725" s="335"/>
      <c r="EG725" s="335"/>
      <c r="EH725" s="335"/>
      <c r="EI725" s="335"/>
      <c r="EJ725" s="335"/>
      <c r="EK725" s="335"/>
      <c r="EL725" s="335"/>
      <c r="EM725" s="335"/>
    </row>
    <row r="726" spans="72:143">
      <c r="BT726" s="187"/>
      <c r="BU726" s="187" t="s">
        <v>82</v>
      </c>
      <c r="BV726" s="196">
        <v>120045</v>
      </c>
      <c r="BW726" s="197" t="e">
        <f t="shared" si="151"/>
        <v>#REF!</v>
      </c>
      <c r="BX726" s="198" t="e">
        <f>IF(AND(State_LOB_Code=18,LEFT(BW726,4)&lt;"2009"),81,State_LOB_Code)&amp;"|371"</f>
        <v>#REF!</v>
      </c>
      <c r="BY726" s="174"/>
      <c r="BZ726" s="175"/>
      <c r="CD726" s="163"/>
      <c r="CE726" s="363"/>
      <c r="CF726" s="335"/>
      <c r="CG726" s="335"/>
      <c r="CH726" s="335"/>
      <c r="CI726" s="335"/>
      <c r="CJ726" s="335"/>
      <c r="CK726" s="335"/>
      <c r="CL726" s="335"/>
      <c r="CM726" s="335"/>
      <c r="CN726" s="335"/>
      <c r="CO726" s="335"/>
      <c r="CP726" s="335"/>
      <c r="CQ726" s="335"/>
      <c r="CR726" s="335"/>
      <c r="CS726" s="335"/>
      <c r="CT726" s="335"/>
      <c r="CU726" s="335"/>
      <c r="CV726" s="335"/>
      <c r="CW726" s="335"/>
      <c r="CX726" s="335"/>
      <c r="CY726" s="335"/>
      <c r="CZ726" s="335"/>
      <c r="DA726" s="335"/>
      <c r="DB726" s="335"/>
      <c r="DC726" s="335"/>
      <c r="DD726" s="335"/>
      <c r="DE726" s="335"/>
      <c r="DF726" s="335"/>
      <c r="DG726" s="335"/>
      <c r="DH726" s="335"/>
      <c r="DI726" s="335"/>
      <c r="DJ726" s="335"/>
      <c r="DK726" s="335"/>
      <c r="DL726" s="335"/>
      <c r="DM726" s="335"/>
      <c r="DN726" s="335"/>
      <c r="DO726" s="335"/>
      <c r="DP726" s="335"/>
      <c r="DQ726" s="335"/>
      <c r="DR726" s="335"/>
      <c r="DS726" s="335"/>
      <c r="DT726" s="335"/>
      <c r="DU726" s="335"/>
      <c r="DV726" s="335"/>
      <c r="DW726" s="335"/>
      <c r="DX726" s="335"/>
      <c r="DY726" s="335"/>
      <c r="DZ726" s="335"/>
      <c r="EA726" s="335"/>
      <c r="EB726" s="335"/>
      <c r="EC726" s="335"/>
      <c r="ED726" s="335"/>
      <c r="EE726" s="335"/>
      <c r="EF726" s="335"/>
      <c r="EG726" s="335"/>
      <c r="EH726" s="335"/>
      <c r="EI726" s="335"/>
      <c r="EJ726" s="335"/>
      <c r="EK726" s="335"/>
      <c r="EL726" s="335"/>
      <c r="EM726" s="335"/>
    </row>
    <row r="727" spans="72:143">
      <c r="BT727" s="187"/>
      <c r="BU727" s="187" t="s">
        <v>83</v>
      </c>
      <c r="BV727" s="196">
        <v>120045</v>
      </c>
      <c r="BW727" s="197" t="e">
        <f t="shared" si="151"/>
        <v>#REF!</v>
      </c>
      <c r="BX727" s="198" t="e">
        <f>IF(AND(State_LOB_Code=18,LEFT(BW727,4)&lt;"2009"),81,State_LOB_Code)&amp;"|372"</f>
        <v>#REF!</v>
      </c>
      <c r="BY727" s="174"/>
      <c r="BZ727" s="175"/>
      <c r="CD727" s="163"/>
      <c r="CE727" s="363"/>
      <c r="CF727" s="335"/>
      <c r="CG727" s="335"/>
      <c r="CH727" s="335"/>
      <c r="CI727" s="335"/>
      <c r="CJ727" s="335"/>
      <c r="CK727" s="335"/>
      <c r="CL727" s="335"/>
      <c r="CM727" s="335"/>
      <c r="CN727" s="335"/>
      <c r="CO727" s="335"/>
      <c r="CP727" s="335"/>
      <c r="CQ727" s="335"/>
      <c r="CR727" s="335"/>
      <c r="CS727" s="335"/>
      <c r="CT727" s="335"/>
      <c r="CU727" s="335"/>
      <c r="CV727" s="335"/>
      <c r="CW727" s="335"/>
      <c r="CX727" s="335"/>
      <c r="CY727" s="335"/>
      <c r="CZ727" s="335"/>
      <c r="DA727" s="335"/>
      <c r="DB727" s="335"/>
      <c r="DC727" s="335"/>
      <c r="DD727" s="335"/>
      <c r="DE727" s="335"/>
      <c r="DF727" s="335"/>
      <c r="DG727" s="335"/>
      <c r="DH727" s="335"/>
      <c r="DI727" s="335"/>
      <c r="DJ727" s="335"/>
      <c r="DK727" s="335"/>
      <c r="DL727" s="335"/>
      <c r="DM727" s="335"/>
      <c r="DN727" s="335"/>
      <c r="DO727" s="335"/>
      <c r="DP727" s="335"/>
      <c r="DQ727" s="335"/>
      <c r="DR727" s="335"/>
      <c r="DS727" s="335"/>
      <c r="DT727" s="335"/>
      <c r="DU727" s="335"/>
      <c r="DV727" s="335"/>
      <c r="DW727" s="335"/>
      <c r="DX727" s="335"/>
      <c r="DY727" s="335"/>
      <c r="DZ727" s="335"/>
      <c r="EA727" s="335"/>
      <c r="EB727" s="335"/>
      <c r="EC727" s="335"/>
      <c r="ED727" s="335"/>
      <c r="EE727" s="335"/>
      <c r="EF727" s="335"/>
      <c r="EG727" s="335"/>
      <c r="EH727" s="335"/>
      <c r="EI727" s="335"/>
      <c r="EJ727" s="335"/>
      <c r="EK727" s="335"/>
      <c r="EL727" s="335"/>
      <c r="EM727" s="335"/>
    </row>
    <row r="728" spans="72:143">
      <c r="BT728" s="187"/>
      <c r="BU728" s="187" t="s">
        <v>84</v>
      </c>
      <c r="BV728" s="196">
        <v>120045</v>
      </c>
      <c r="BW728" s="197" t="e">
        <f t="shared" si="151"/>
        <v>#REF!</v>
      </c>
      <c r="BX728" s="198" t="e">
        <f>IF(AND(State_LOB_Code=18,LEFT(BW728,4)&lt;"2009"),81,State_LOB_Code)&amp;"|373"</f>
        <v>#REF!</v>
      </c>
      <c r="BY728" s="174"/>
      <c r="BZ728" s="175"/>
      <c r="CD728" s="163"/>
      <c r="CE728" s="363"/>
      <c r="CF728" s="335"/>
      <c r="CG728" s="335"/>
      <c r="CH728" s="335"/>
      <c r="CI728" s="335"/>
      <c r="CJ728" s="335"/>
      <c r="CK728" s="335"/>
      <c r="CL728" s="335"/>
      <c r="CM728" s="335"/>
      <c r="CN728" s="335"/>
      <c r="CO728" s="335"/>
      <c r="CP728" s="335"/>
      <c r="CQ728" s="335"/>
      <c r="CR728" s="335"/>
      <c r="CS728" s="335"/>
      <c r="CT728" s="335"/>
      <c r="CU728" s="335"/>
      <c r="CV728" s="335"/>
      <c r="CW728" s="335"/>
      <c r="CX728" s="335"/>
      <c r="CY728" s="335"/>
      <c r="CZ728" s="335"/>
      <c r="DA728" s="335"/>
      <c r="DB728" s="335"/>
      <c r="DC728" s="335"/>
      <c r="DD728" s="335"/>
      <c r="DE728" s="335"/>
      <c r="DF728" s="335"/>
      <c r="DG728" s="335"/>
      <c r="DH728" s="335"/>
      <c r="DI728" s="335"/>
      <c r="DJ728" s="335"/>
      <c r="DK728" s="335"/>
      <c r="DL728" s="335"/>
      <c r="DM728" s="335"/>
      <c r="DN728" s="335"/>
      <c r="DO728" s="335"/>
      <c r="DP728" s="335"/>
      <c r="DQ728" s="335"/>
      <c r="DR728" s="335"/>
      <c r="DS728" s="335"/>
      <c r="DT728" s="335"/>
      <c r="DU728" s="335"/>
      <c r="DV728" s="335"/>
      <c r="DW728" s="335"/>
      <c r="DX728" s="335"/>
      <c r="DY728" s="335"/>
      <c r="DZ728" s="335"/>
      <c r="EA728" s="335"/>
      <c r="EB728" s="335"/>
      <c r="EC728" s="335"/>
      <c r="ED728" s="335"/>
      <c r="EE728" s="335"/>
      <c r="EF728" s="335"/>
      <c r="EG728" s="335"/>
      <c r="EH728" s="335"/>
      <c r="EI728" s="335"/>
      <c r="EJ728" s="335"/>
      <c r="EK728" s="335"/>
      <c r="EL728" s="335"/>
      <c r="EM728" s="335"/>
    </row>
    <row r="729" spans="72:143">
      <c r="BT729" s="187"/>
      <c r="BU729" s="187" t="s">
        <v>85</v>
      </c>
      <c r="BV729" s="196">
        <v>120045</v>
      </c>
      <c r="BW729" s="197" t="e">
        <f t="shared" si="151"/>
        <v>#REF!</v>
      </c>
      <c r="BX729" s="198" t="e">
        <f>IF(AND(State_LOB_Code=18,LEFT(BW729,4)&lt;"2009"),81,State_LOB_Code)&amp;"|374"</f>
        <v>#REF!</v>
      </c>
      <c r="BY729" s="174"/>
      <c r="BZ729" s="175"/>
      <c r="CD729" s="163"/>
      <c r="CE729" s="363"/>
      <c r="CF729" s="335"/>
      <c r="CG729" s="335"/>
      <c r="CH729" s="335"/>
      <c r="CI729" s="335"/>
      <c r="CJ729" s="335"/>
      <c r="CK729" s="335"/>
      <c r="CL729" s="335"/>
      <c r="CM729" s="335"/>
      <c r="CN729" s="335"/>
      <c r="CO729" s="335"/>
      <c r="CP729" s="335"/>
      <c r="CQ729" s="335"/>
      <c r="CR729" s="335"/>
      <c r="CS729" s="335"/>
      <c r="CT729" s="335"/>
      <c r="CU729" s="335"/>
      <c r="CV729" s="335"/>
      <c r="CW729" s="335"/>
      <c r="CX729" s="335"/>
      <c r="CY729" s="335"/>
      <c r="CZ729" s="335"/>
      <c r="DA729" s="335"/>
      <c r="DB729" s="335"/>
      <c r="DC729" s="335"/>
      <c r="DD729" s="335"/>
      <c r="DE729" s="335"/>
      <c r="DF729" s="335"/>
      <c r="DG729" s="335"/>
      <c r="DH729" s="335"/>
      <c r="DI729" s="335"/>
      <c r="DJ729" s="335"/>
      <c r="DK729" s="335"/>
      <c r="DL729" s="335"/>
      <c r="DM729" s="335"/>
      <c r="DN729" s="335"/>
      <c r="DO729" s="335"/>
      <c r="DP729" s="335"/>
      <c r="DQ729" s="335"/>
      <c r="DR729" s="335"/>
      <c r="DS729" s="335"/>
      <c r="DT729" s="335"/>
      <c r="DU729" s="335"/>
      <c r="DV729" s="335"/>
      <c r="DW729" s="335"/>
      <c r="DX729" s="335"/>
      <c r="DY729" s="335"/>
      <c r="DZ729" s="335"/>
      <c r="EA729" s="335"/>
      <c r="EB729" s="335"/>
      <c r="EC729" s="335"/>
      <c r="ED729" s="335"/>
      <c r="EE729" s="335"/>
      <c r="EF729" s="335"/>
      <c r="EG729" s="335"/>
      <c r="EH729" s="335"/>
      <c r="EI729" s="335"/>
      <c r="EJ729" s="335"/>
      <c r="EK729" s="335"/>
      <c r="EL729" s="335"/>
      <c r="EM729" s="335"/>
    </row>
    <row r="730" spans="72:143">
      <c r="BT730" s="187"/>
      <c r="BU730" s="187" t="s">
        <v>86</v>
      </c>
      <c r="BV730" s="196">
        <v>120045</v>
      </c>
      <c r="BW730" s="197" t="e">
        <f t="shared" si="151"/>
        <v>#REF!</v>
      </c>
      <c r="BX730" s="198" t="e">
        <f>IF(AND(State_LOB_Code=18,LEFT(BW730,4)&lt;"2009"),81,State_LOB_Code)&amp;"|376"</f>
        <v>#REF!</v>
      </c>
      <c r="BY730" s="174"/>
      <c r="BZ730" s="175"/>
      <c r="CD730" s="163"/>
      <c r="CE730" s="363"/>
      <c r="CF730" s="335"/>
      <c r="CG730" s="335"/>
      <c r="CH730" s="335"/>
      <c r="CI730" s="335"/>
      <c r="CJ730" s="335"/>
      <c r="CK730" s="335"/>
      <c r="CL730" s="335"/>
      <c r="CM730" s="335"/>
      <c r="CN730" s="335"/>
      <c r="CO730" s="335"/>
      <c r="CP730" s="335"/>
      <c r="CQ730" s="335"/>
      <c r="CR730" s="335"/>
      <c r="CS730" s="335"/>
      <c r="CT730" s="335"/>
      <c r="CU730" s="335"/>
      <c r="CV730" s="335"/>
      <c r="CW730" s="335"/>
      <c r="CX730" s="335"/>
      <c r="CY730" s="335"/>
      <c r="CZ730" s="335"/>
      <c r="DA730" s="335"/>
      <c r="DB730" s="335"/>
      <c r="DC730" s="335"/>
      <c r="DD730" s="335"/>
      <c r="DE730" s="335"/>
      <c r="DF730" s="335"/>
      <c r="DG730" s="335"/>
      <c r="DH730" s="335"/>
      <c r="DI730" s="335"/>
      <c r="DJ730" s="335"/>
      <c r="DK730" s="335"/>
      <c r="DL730" s="335"/>
      <c r="DM730" s="335"/>
      <c r="DN730" s="335"/>
      <c r="DO730" s="335"/>
      <c r="DP730" s="335"/>
      <c r="DQ730" s="335"/>
      <c r="DR730" s="335"/>
      <c r="DS730" s="335"/>
      <c r="DT730" s="335"/>
      <c r="DU730" s="335"/>
      <c r="DV730" s="335"/>
      <c r="DW730" s="335"/>
      <c r="DX730" s="335"/>
      <c r="DY730" s="335"/>
      <c r="DZ730" s="335"/>
      <c r="EA730" s="335"/>
      <c r="EB730" s="335"/>
      <c r="EC730" s="335"/>
      <c r="ED730" s="335"/>
      <c r="EE730" s="335"/>
      <c r="EF730" s="335"/>
      <c r="EG730" s="335"/>
      <c r="EH730" s="335"/>
      <c r="EI730" s="335"/>
      <c r="EJ730" s="335"/>
      <c r="EK730" s="335"/>
      <c r="EL730" s="335"/>
      <c r="EM730" s="335"/>
    </row>
    <row r="731" spans="72:143">
      <c r="BT731" s="187"/>
      <c r="BU731" s="187" t="s">
        <v>87</v>
      </c>
      <c r="BV731" s="196">
        <v>120045</v>
      </c>
      <c r="BW731" s="197" t="e">
        <f t="shared" si="151"/>
        <v>#REF!</v>
      </c>
      <c r="BX731" s="198" t="e">
        <f>IF(AND(State_LOB_Code=18,LEFT(BW731,4)&lt;"2009"),81,State_LOB_Code)&amp;"|377"</f>
        <v>#REF!</v>
      </c>
      <c r="BY731" s="174"/>
      <c r="BZ731" s="175"/>
      <c r="CD731" s="163"/>
      <c r="CE731" s="363"/>
      <c r="CF731" s="335"/>
      <c r="CG731" s="335"/>
      <c r="CH731" s="335"/>
      <c r="CI731" s="335"/>
      <c r="CJ731" s="335"/>
      <c r="CK731" s="335"/>
      <c r="CL731" s="335"/>
      <c r="CM731" s="335"/>
      <c r="CN731" s="335"/>
      <c r="CO731" s="335"/>
      <c r="CP731" s="335"/>
      <c r="CQ731" s="335"/>
      <c r="CR731" s="335"/>
      <c r="CS731" s="335"/>
      <c r="CT731" s="335"/>
      <c r="CU731" s="335"/>
      <c r="CV731" s="335"/>
      <c r="CW731" s="335"/>
      <c r="CX731" s="335"/>
      <c r="CY731" s="335"/>
      <c r="CZ731" s="335"/>
      <c r="DA731" s="335"/>
      <c r="DB731" s="335"/>
      <c r="DC731" s="335"/>
      <c r="DD731" s="335"/>
      <c r="DE731" s="335"/>
      <c r="DF731" s="335"/>
      <c r="DG731" s="335"/>
      <c r="DH731" s="335"/>
      <c r="DI731" s="335"/>
      <c r="DJ731" s="335"/>
      <c r="DK731" s="335"/>
      <c r="DL731" s="335"/>
      <c r="DM731" s="335"/>
      <c r="DN731" s="335"/>
      <c r="DO731" s="335"/>
      <c r="DP731" s="335"/>
      <c r="DQ731" s="335"/>
      <c r="DR731" s="335"/>
      <c r="DS731" s="335"/>
      <c r="DT731" s="335"/>
      <c r="DU731" s="335"/>
      <c r="DV731" s="335"/>
      <c r="DW731" s="335"/>
      <c r="DX731" s="335"/>
      <c r="DY731" s="335"/>
      <c r="DZ731" s="335"/>
      <c r="EA731" s="335"/>
      <c r="EB731" s="335"/>
      <c r="EC731" s="335"/>
      <c r="ED731" s="335"/>
      <c r="EE731" s="335"/>
      <c r="EF731" s="335"/>
      <c r="EG731" s="335"/>
      <c r="EH731" s="335"/>
      <c r="EI731" s="335"/>
      <c r="EJ731" s="335"/>
      <c r="EK731" s="335"/>
      <c r="EL731" s="335"/>
      <c r="EM731" s="335"/>
    </row>
    <row r="732" spans="72:143">
      <c r="BT732" s="187"/>
      <c r="BU732" s="187" t="s">
        <v>88</v>
      </c>
      <c r="BV732" s="196">
        <v>120045</v>
      </c>
      <c r="BW732" s="197" t="e">
        <f t="shared" si="151"/>
        <v>#REF!</v>
      </c>
      <c r="BX732" s="198" t="e">
        <f>IF(AND(State_LOB_Code=18,LEFT(BW732,4)&lt;"2009"),81,State_LOB_Code)&amp;"|378"</f>
        <v>#REF!</v>
      </c>
      <c r="BY732" s="174"/>
      <c r="BZ732" s="175"/>
      <c r="CD732" s="163"/>
      <c r="CE732" s="363"/>
      <c r="CF732" s="335"/>
      <c r="CG732" s="335"/>
      <c r="CH732" s="335"/>
      <c r="CI732" s="335"/>
      <c r="CJ732" s="335"/>
      <c r="CK732" s="335"/>
      <c r="CL732" s="335"/>
      <c r="CM732" s="335"/>
      <c r="CN732" s="335"/>
      <c r="CO732" s="335"/>
      <c r="CP732" s="335"/>
      <c r="CQ732" s="335"/>
      <c r="CR732" s="335"/>
      <c r="CS732" s="335"/>
      <c r="CT732" s="335"/>
      <c r="CU732" s="335"/>
      <c r="CV732" s="335"/>
      <c r="CW732" s="335"/>
      <c r="CX732" s="335"/>
      <c r="CY732" s="335"/>
      <c r="CZ732" s="335"/>
      <c r="DA732" s="335"/>
      <c r="DB732" s="335"/>
      <c r="DC732" s="335"/>
      <c r="DD732" s="335"/>
      <c r="DE732" s="335"/>
      <c r="DF732" s="335"/>
      <c r="DG732" s="335"/>
      <c r="DH732" s="335"/>
      <c r="DI732" s="335"/>
      <c r="DJ732" s="335"/>
      <c r="DK732" s="335"/>
      <c r="DL732" s="335"/>
      <c r="DM732" s="335"/>
      <c r="DN732" s="335"/>
      <c r="DO732" s="335"/>
      <c r="DP732" s="335"/>
      <c r="DQ732" s="335"/>
      <c r="DR732" s="335"/>
      <c r="DS732" s="335"/>
      <c r="DT732" s="335"/>
      <c r="DU732" s="335"/>
      <c r="DV732" s="335"/>
      <c r="DW732" s="335"/>
      <c r="DX732" s="335"/>
      <c r="DY732" s="335"/>
      <c r="DZ732" s="335"/>
      <c r="EA732" s="335"/>
      <c r="EB732" s="335"/>
      <c r="EC732" s="335"/>
      <c r="ED732" s="335"/>
      <c r="EE732" s="335"/>
      <c r="EF732" s="335"/>
      <c r="EG732" s="335"/>
      <c r="EH732" s="335"/>
      <c r="EI732" s="335"/>
      <c r="EJ732" s="335"/>
      <c r="EK732" s="335"/>
      <c r="EL732" s="335"/>
      <c r="EM732" s="335"/>
    </row>
    <row r="733" spans="72:143">
      <c r="BT733" s="187"/>
      <c r="BU733" s="187" t="s">
        <v>89</v>
      </c>
      <c r="BV733" s="196">
        <v>120045</v>
      </c>
      <c r="BW733" s="197" t="e">
        <f t="shared" si="151"/>
        <v>#REF!</v>
      </c>
      <c r="BX733" s="198" t="e">
        <f>IF(AND(State_LOB_Code=18,LEFT(BW733,4)&lt;"2009"),81,State_LOB_Code)&amp;"|379"</f>
        <v>#REF!</v>
      </c>
      <c r="BY733" s="174"/>
      <c r="BZ733" s="175"/>
      <c r="CD733" s="163"/>
      <c r="CE733" s="363"/>
      <c r="CF733" s="335"/>
      <c r="CG733" s="335"/>
      <c r="CH733" s="335"/>
      <c r="CI733" s="335"/>
      <c r="CJ733" s="335"/>
      <c r="CK733" s="335"/>
      <c r="CL733" s="335"/>
      <c r="CM733" s="335"/>
      <c r="CN733" s="335"/>
      <c r="CO733" s="335"/>
      <c r="CP733" s="335"/>
      <c r="CQ733" s="335"/>
      <c r="CR733" s="335"/>
      <c r="CS733" s="335"/>
      <c r="CT733" s="335"/>
      <c r="CU733" s="335"/>
      <c r="CV733" s="335"/>
      <c r="CW733" s="335"/>
      <c r="CX733" s="335"/>
      <c r="CY733" s="335"/>
      <c r="CZ733" s="335"/>
      <c r="DA733" s="335"/>
      <c r="DB733" s="335"/>
      <c r="DC733" s="335"/>
      <c r="DD733" s="335"/>
      <c r="DE733" s="335"/>
      <c r="DF733" s="335"/>
      <c r="DG733" s="335"/>
      <c r="DH733" s="335"/>
      <c r="DI733" s="335"/>
      <c r="DJ733" s="335"/>
      <c r="DK733" s="335"/>
      <c r="DL733" s="335"/>
      <c r="DM733" s="335"/>
      <c r="DN733" s="335"/>
      <c r="DO733" s="335"/>
      <c r="DP733" s="335"/>
      <c r="DQ733" s="335"/>
      <c r="DR733" s="335"/>
      <c r="DS733" s="335"/>
      <c r="DT733" s="335"/>
      <c r="DU733" s="335"/>
      <c r="DV733" s="335"/>
      <c r="DW733" s="335"/>
      <c r="DX733" s="335"/>
      <c r="DY733" s="335"/>
      <c r="DZ733" s="335"/>
      <c r="EA733" s="335"/>
      <c r="EB733" s="335"/>
      <c r="EC733" s="335"/>
      <c r="ED733" s="335"/>
      <c r="EE733" s="335"/>
      <c r="EF733" s="335"/>
      <c r="EG733" s="335"/>
      <c r="EH733" s="335"/>
      <c r="EI733" s="335"/>
      <c r="EJ733" s="335"/>
      <c r="EK733" s="335"/>
      <c r="EL733" s="335"/>
      <c r="EM733" s="335"/>
    </row>
    <row r="734" spans="72:143">
      <c r="BT734" s="187"/>
      <c r="BU734" s="187" t="s">
        <v>90</v>
      </c>
      <c r="BV734" s="196">
        <v>120045</v>
      </c>
      <c r="BW734" s="197" t="e">
        <f t="shared" si="151"/>
        <v>#REF!</v>
      </c>
      <c r="BX734" s="198" t="e">
        <f>IF(AND(State_LOB_Code=18,LEFT(BW734,4)&lt;"2009"),81,State_LOB_Code)&amp;"|380"</f>
        <v>#REF!</v>
      </c>
      <c r="BY734" s="174"/>
      <c r="BZ734" s="175"/>
      <c r="CD734" s="163"/>
      <c r="CE734" s="363"/>
      <c r="CF734" s="335"/>
      <c r="CG734" s="335"/>
      <c r="CH734" s="335"/>
      <c r="CI734" s="335"/>
      <c r="CJ734" s="335"/>
      <c r="CK734" s="335"/>
      <c r="CL734" s="335"/>
      <c r="CM734" s="335"/>
      <c r="CN734" s="335"/>
      <c r="CO734" s="335"/>
      <c r="CP734" s="335"/>
      <c r="CQ734" s="335"/>
      <c r="CR734" s="335"/>
      <c r="CS734" s="335"/>
      <c r="CT734" s="335"/>
      <c r="CU734" s="335"/>
      <c r="CV734" s="335"/>
      <c r="CW734" s="335"/>
      <c r="CX734" s="335"/>
      <c r="CY734" s="335"/>
      <c r="CZ734" s="335"/>
      <c r="DA734" s="335"/>
      <c r="DB734" s="335"/>
      <c r="DC734" s="335"/>
      <c r="DD734" s="335"/>
      <c r="DE734" s="335"/>
      <c r="DF734" s="335"/>
      <c r="DG734" s="335"/>
      <c r="DH734" s="335"/>
      <c r="DI734" s="335"/>
      <c r="DJ734" s="335"/>
      <c r="DK734" s="335"/>
      <c r="DL734" s="335"/>
      <c r="DM734" s="335"/>
      <c r="DN734" s="335"/>
      <c r="DO734" s="335"/>
      <c r="DP734" s="335"/>
      <c r="DQ734" s="335"/>
      <c r="DR734" s="335"/>
      <c r="DS734" s="335"/>
      <c r="DT734" s="335"/>
      <c r="DU734" s="335"/>
      <c r="DV734" s="335"/>
      <c r="DW734" s="335"/>
      <c r="DX734" s="335"/>
      <c r="DY734" s="335"/>
      <c r="DZ734" s="335"/>
      <c r="EA734" s="335"/>
      <c r="EB734" s="335"/>
      <c r="EC734" s="335"/>
      <c r="ED734" s="335"/>
      <c r="EE734" s="335"/>
      <c r="EF734" s="335"/>
      <c r="EG734" s="335"/>
      <c r="EH734" s="335"/>
      <c r="EI734" s="335"/>
      <c r="EJ734" s="335"/>
      <c r="EK734" s="335"/>
      <c r="EL734" s="335"/>
      <c r="EM734" s="335"/>
    </row>
    <row r="735" spans="72:143">
      <c r="BT735" s="187"/>
      <c r="BU735" s="187" t="s">
        <v>91</v>
      </c>
      <c r="BV735" s="196">
        <v>120045</v>
      </c>
      <c r="BW735" s="197" t="e">
        <f t="shared" si="151"/>
        <v>#REF!</v>
      </c>
      <c r="BX735" s="198" t="e">
        <f>IF(AND(State_LOB_Code=18,LEFT(BW735,4)&lt;"2009"),81,State_LOB_Code)&amp;"|381"</f>
        <v>#REF!</v>
      </c>
      <c r="BY735" s="174"/>
      <c r="BZ735" s="175"/>
      <c r="CD735" s="163"/>
      <c r="CE735" s="363"/>
      <c r="CF735" s="335"/>
      <c r="CG735" s="335"/>
      <c r="CH735" s="335"/>
      <c r="CI735" s="335"/>
      <c r="CJ735" s="335"/>
      <c r="CK735" s="335"/>
      <c r="CL735" s="335"/>
      <c r="CM735" s="335"/>
      <c r="CN735" s="335"/>
      <c r="CO735" s="335"/>
      <c r="CP735" s="335"/>
      <c r="CQ735" s="335"/>
      <c r="CR735" s="335"/>
      <c r="CS735" s="335"/>
      <c r="CT735" s="335"/>
      <c r="CU735" s="335"/>
      <c r="CV735" s="335"/>
      <c r="CW735" s="335"/>
      <c r="CX735" s="335"/>
      <c r="CY735" s="335"/>
      <c r="CZ735" s="335"/>
      <c r="DA735" s="335"/>
      <c r="DB735" s="335"/>
      <c r="DC735" s="335"/>
      <c r="DD735" s="335"/>
      <c r="DE735" s="335"/>
      <c r="DF735" s="335"/>
      <c r="DG735" s="335"/>
      <c r="DH735" s="335"/>
      <c r="DI735" s="335"/>
      <c r="DJ735" s="335"/>
      <c r="DK735" s="335"/>
      <c r="DL735" s="335"/>
      <c r="DM735" s="335"/>
      <c r="DN735" s="335"/>
      <c r="DO735" s="335"/>
      <c r="DP735" s="335"/>
      <c r="DQ735" s="335"/>
      <c r="DR735" s="335"/>
      <c r="DS735" s="335"/>
      <c r="DT735" s="335"/>
      <c r="DU735" s="335"/>
      <c r="DV735" s="335"/>
      <c r="DW735" s="335"/>
      <c r="DX735" s="335"/>
      <c r="DY735" s="335"/>
      <c r="DZ735" s="335"/>
      <c r="EA735" s="335"/>
      <c r="EB735" s="335"/>
      <c r="EC735" s="335"/>
      <c r="ED735" s="335"/>
      <c r="EE735" s="335"/>
      <c r="EF735" s="335"/>
      <c r="EG735" s="335"/>
      <c r="EH735" s="335"/>
      <c r="EI735" s="335"/>
      <c r="EJ735" s="335"/>
      <c r="EK735" s="335"/>
      <c r="EL735" s="335"/>
      <c r="EM735" s="335"/>
    </row>
    <row r="736" spans="72:143">
      <c r="BT736" s="187"/>
      <c r="BU736" s="187" t="s">
        <v>92</v>
      </c>
      <c r="BV736" s="196">
        <v>120045</v>
      </c>
      <c r="BW736" s="197" t="e">
        <f t="shared" si="151"/>
        <v>#REF!</v>
      </c>
      <c r="BX736" s="198" t="e">
        <f>IF(AND(State_LOB_Code=18,LEFT(BW736,4)&lt;"2009"),81,State_LOB_Code)&amp;"|382"</f>
        <v>#REF!</v>
      </c>
      <c r="BY736" s="174"/>
      <c r="BZ736" s="175"/>
      <c r="CD736" s="163"/>
      <c r="CE736" s="363"/>
      <c r="CF736" s="335"/>
      <c r="CG736" s="335"/>
      <c r="CH736" s="335"/>
      <c r="CI736" s="335"/>
      <c r="CJ736" s="335"/>
      <c r="CK736" s="335"/>
      <c r="CL736" s="335"/>
      <c r="CM736" s="335"/>
      <c r="CN736" s="335"/>
      <c r="CO736" s="335"/>
      <c r="CP736" s="335"/>
      <c r="CQ736" s="335"/>
      <c r="CR736" s="335"/>
      <c r="CS736" s="335"/>
      <c r="CT736" s="335"/>
      <c r="CU736" s="335"/>
      <c r="CV736" s="335"/>
      <c r="CW736" s="335"/>
      <c r="CX736" s="335"/>
      <c r="CY736" s="335"/>
      <c r="CZ736" s="335"/>
      <c r="DA736" s="335"/>
      <c r="DB736" s="335"/>
      <c r="DC736" s="335"/>
      <c r="DD736" s="335"/>
      <c r="DE736" s="335"/>
      <c r="DF736" s="335"/>
      <c r="DG736" s="335"/>
      <c r="DH736" s="335"/>
      <c r="DI736" s="335"/>
      <c r="DJ736" s="335"/>
      <c r="DK736" s="335"/>
      <c r="DL736" s="335"/>
      <c r="DM736" s="335"/>
      <c r="DN736" s="335"/>
      <c r="DO736" s="335"/>
      <c r="DP736" s="335"/>
      <c r="DQ736" s="335"/>
      <c r="DR736" s="335"/>
      <c r="DS736" s="335"/>
      <c r="DT736" s="335"/>
      <c r="DU736" s="335"/>
      <c r="DV736" s="335"/>
      <c r="DW736" s="335"/>
      <c r="DX736" s="335"/>
      <c r="DY736" s="335"/>
      <c r="DZ736" s="335"/>
      <c r="EA736" s="335"/>
      <c r="EB736" s="335"/>
      <c r="EC736" s="335"/>
      <c r="ED736" s="335"/>
      <c r="EE736" s="335"/>
      <c r="EF736" s="335"/>
      <c r="EG736" s="335"/>
      <c r="EH736" s="335"/>
      <c r="EI736" s="335"/>
      <c r="EJ736" s="335"/>
      <c r="EK736" s="335"/>
      <c r="EL736" s="335"/>
      <c r="EM736" s="335"/>
    </row>
    <row r="737" spans="72:143">
      <c r="BT737" s="187"/>
      <c r="BU737" s="187" t="s">
        <v>93</v>
      </c>
      <c r="BV737" s="196">
        <v>120045</v>
      </c>
      <c r="BW737" s="197" t="e">
        <f t="shared" si="151"/>
        <v>#REF!</v>
      </c>
      <c r="BX737" s="198" t="e">
        <f>IF(AND(State_LOB_Code=18,LEFT(BW737,4)&lt;"2009"),81,State_LOB_Code)&amp;"|384"</f>
        <v>#REF!</v>
      </c>
      <c r="BY737" s="174"/>
      <c r="BZ737" s="175"/>
      <c r="CD737" s="163"/>
      <c r="CE737" s="363"/>
      <c r="CF737" s="335"/>
      <c r="CG737" s="335"/>
      <c r="CH737" s="335"/>
      <c r="CI737" s="335"/>
      <c r="CJ737" s="335"/>
      <c r="CK737" s="335"/>
      <c r="CL737" s="335"/>
      <c r="CM737" s="335"/>
      <c r="CN737" s="335"/>
      <c r="CO737" s="335"/>
      <c r="CP737" s="335"/>
      <c r="CQ737" s="335"/>
      <c r="CR737" s="335"/>
      <c r="CS737" s="335"/>
      <c r="CT737" s="335"/>
      <c r="CU737" s="335"/>
      <c r="CV737" s="335"/>
      <c r="CW737" s="335"/>
      <c r="CX737" s="335"/>
      <c r="CY737" s="335"/>
      <c r="CZ737" s="335"/>
      <c r="DA737" s="335"/>
      <c r="DB737" s="335"/>
      <c r="DC737" s="335"/>
      <c r="DD737" s="335"/>
      <c r="DE737" s="335"/>
      <c r="DF737" s="335"/>
      <c r="DG737" s="335"/>
      <c r="DH737" s="335"/>
      <c r="DI737" s="335"/>
      <c r="DJ737" s="335"/>
      <c r="DK737" s="335"/>
      <c r="DL737" s="335"/>
      <c r="DM737" s="335"/>
      <c r="DN737" s="335"/>
      <c r="DO737" s="335"/>
      <c r="DP737" s="335"/>
      <c r="DQ737" s="335"/>
      <c r="DR737" s="335"/>
      <c r="DS737" s="335"/>
      <c r="DT737" s="335"/>
      <c r="DU737" s="335"/>
      <c r="DV737" s="335"/>
      <c r="DW737" s="335"/>
      <c r="DX737" s="335"/>
      <c r="DY737" s="335"/>
      <c r="DZ737" s="335"/>
      <c r="EA737" s="335"/>
      <c r="EB737" s="335"/>
      <c r="EC737" s="335"/>
      <c r="ED737" s="335"/>
      <c r="EE737" s="335"/>
      <c r="EF737" s="335"/>
      <c r="EG737" s="335"/>
      <c r="EH737" s="335"/>
      <c r="EI737" s="335"/>
      <c r="EJ737" s="335"/>
      <c r="EK737" s="335"/>
      <c r="EL737" s="335"/>
      <c r="EM737" s="335"/>
    </row>
    <row r="738" spans="72:143">
      <c r="BT738" s="187"/>
      <c r="BU738" s="187" t="s">
        <v>94</v>
      </c>
      <c r="BV738" s="196">
        <v>120045</v>
      </c>
      <c r="BW738" s="197" t="e">
        <f t="shared" si="151"/>
        <v>#REF!</v>
      </c>
      <c r="BX738" s="198" t="e">
        <f>IF(AND(State_LOB_Code=18,LEFT(BW738,4)&lt;"2009"),81,State_LOB_Code)&amp;"|385"</f>
        <v>#REF!</v>
      </c>
      <c r="BY738" s="174"/>
      <c r="BZ738" s="175"/>
      <c r="CD738" s="163"/>
      <c r="CE738" s="363"/>
      <c r="CF738" s="335"/>
      <c r="CG738" s="335"/>
      <c r="CH738" s="335"/>
      <c r="CI738" s="335"/>
      <c r="CJ738" s="335"/>
      <c r="CK738" s="335"/>
      <c r="CL738" s="335"/>
      <c r="CM738" s="335"/>
      <c r="CN738" s="335"/>
      <c r="CO738" s="335"/>
      <c r="CP738" s="335"/>
      <c r="CQ738" s="335"/>
      <c r="CR738" s="335"/>
      <c r="CS738" s="335"/>
      <c r="CT738" s="335"/>
      <c r="CU738" s="335"/>
      <c r="CV738" s="335"/>
      <c r="CW738" s="335"/>
      <c r="CX738" s="335"/>
      <c r="CY738" s="335"/>
      <c r="CZ738" s="335"/>
      <c r="DA738" s="335"/>
      <c r="DB738" s="335"/>
      <c r="DC738" s="335"/>
      <c r="DD738" s="335"/>
      <c r="DE738" s="335"/>
      <c r="DF738" s="335"/>
      <c r="DG738" s="335"/>
      <c r="DH738" s="335"/>
      <c r="DI738" s="335"/>
      <c r="DJ738" s="335"/>
      <c r="DK738" s="335"/>
      <c r="DL738" s="335"/>
      <c r="DM738" s="335"/>
      <c r="DN738" s="335"/>
      <c r="DO738" s="335"/>
      <c r="DP738" s="335"/>
      <c r="DQ738" s="335"/>
      <c r="DR738" s="335"/>
      <c r="DS738" s="335"/>
      <c r="DT738" s="335"/>
      <c r="DU738" s="335"/>
      <c r="DV738" s="335"/>
      <c r="DW738" s="335"/>
      <c r="DX738" s="335"/>
      <c r="DY738" s="335"/>
      <c r="DZ738" s="335"/>
      <c r="EA738" s="335"/>
      <c r="EB738" s="335"/>
      <c r="EC738" s="335"/>
      <c r="ED738" s="335"/>
      <c r="EE738" s="335"/>
      <c r="EF738" s="335"/>
      <c r="EG738" s="335"/>
      <c r="EH738" s="335"/>
      <c r="EI738" s="335"/>
      <c r="EJ738" s="335"/>
      <c r="EK738" s="335"/>
      <c r="EL738" s="335"/>
      <c r="EM738" s="335"/>
    </row>
    <row r="739" spans="72:143">
      <c r="BT739" s="187"/>
      <c r="BU739" s="187" t="s">
        <v>95</v>
      </c>
      <c r="BV739" s="196">
        <v>120045</v>
      </c>
      <c r="BW739" s="197" t="e">
        <f t="shared" si="151"/>
        <v>#REF!</v>
      </c>
      <c r="BX739" s="198" t="e">
        <f>IF(AND(State_LOB_Code=18,LEFT(BW739,4)&lt;"2009"),81,State_LOB_Code)&amp;"|386"</f>
        <v>#REF!</v>
      </c>
      <c r="BY739" s="174"/>
      <c r="BZ739" s="175"/>
      <c r="CD739" s="163"/>
      <c r="CE739" s="363"/>
      <c r="CF739" s="335"/>
      <c r="CG739" s="335"/>
      <c r="CH739" s="335"/>
      <c r="CI739" s="335"/>
      <c r="CJ739" s="335"/>
      <c r="CK739" s="335"/>
      <c r="CL739" s="335"/>
      <c r="CM739" s="335"/>
      <c r="CN739" s="335"/>
      <c r="CO739" s="335"/>
      <c r="CP739" s="335"/>
      <c r="CQ739" s="335"/>
      <c r="CR739" s="335"/>
      <c r="CS739" s="335"/>
      <c r="CT739" s="335"/>
      <c r="CU739" s="335"/>
      <c r="CV739" s="335"/>
      <c r="CW739" s="335"/>
      <c r="CX739" s="335"/>
      <c r="CY739" s="335"/>
      <c r="CZ739" s="335"/>
      <c r="DA739" s="335"/>
      <c r="DB739" s="335"/>
      <c r="DC739" s="335"/>
      <c r="DD739" s="335"/>
      <c r="DE739" s="335"/>
      <c r="DF739" s="335"/>
      <c r="DG739" s="335"/>
      <c r="DH739" s="335"/>
      <c r="DI739" s="335"/>
      <c r="DJ739" s="335"/>
      <c r="DK739" s="335"/>
      <c r="DL739" s="335"/>
      <c r="DM739" s="335"/>
      <c r="DN739" s="335"/>
      <c r="DO739" s="335"/>
      <c r="DP739" s="335"/>
      <c r="DQ739" s="335"/>
      <c r="DR739" s="335"/>
      <c r="DS739" s="335"/>
      <c r="DT739" s="335"/>
      <c r="DU739" s="335"/>
      <c r="DV739" s="335"/>
      <c r="DW739" s="335"/>
      <c r="DX739" s="335"/>
      <c r="DY739" s="335"/>
      <c r="DZ739" s="335"/>
      <c r="EA739" s="335"/>
      <c r="EB739" s="335"/>
      <c r="EC739" s="335"/>
      <c r="ED739" s="335"/>
      <c r="EE739" s="335"/>
      <c r="EF739" s="335"/>
      <c r="EG739" s="335"/>
      <c r="EH739" s="335"/>
      <c r="EI739" s="335"/>
      <c r="EJ739" s="335"/>
      <c r="EK739" s="335"/>
      <c r="EL739" s="335"/>
      <c r="EM739" s="335"/>
    </row>
    <row r="740" spans="72:143">
      <c r="BT740" s="187"/>
      <c r="BU740" s="187" t="s">
        <v>96</v>
      </c>
      <c r="BV740" s="196">
        <v>120045</v>
      </c>
      <c r="BW740" s="197" t="e">
        <f t="shared" si="151"/>
        <v>#REF!</v>
      </c>
      <c r="BX740" s="198" t="e">
        <f>IF(AND(State_LOB_Code=18,LEFT(BW740,4)&lt;"2009"),81,State_LOB_Code)&amp;"|387"</f>
        <v>#REF!</v>
      </c>
      <c r="BY740" s="174"/>
      <c r="BZ740" s="175"/>
      <c r="CD740" s="163"/>
      <c r="CE740" s="363"/>
      <c r="CF740" s="335"/>
      <c r="CG740" s="335"/>
      <c r="CH740" s="335"/>
      <c r="CI740" s="335"/>
      <c r="CJ740" s="335"/>
      <c r="CK740" s="335"/>
      <c r="CL740" s="335"/>
      <c r="CM740" s="335"/>
      <c r="CN740" s="335"/>
      <c r="CO740" s="335"/>
      <c r="CP740" s="335"/>
      <c r="CQ740" s="335"/>
      <c r="CR740" s="335"/>
      <c r="CS740" s="335"/>
      <c r="CT740" s="335"/>
      <c r="CU740" s="335"/>
      <c r="CV740" s="335"/>
      <c r="CW740" s="335"/>
      <c r="CX740" s="335"/>
      <c r="CY740" s="335"/>
      <c r="CZ740" s="335"/>
      <c r="DA740" s="335"/>
      <c r="DB740" s="335"/>
      <c r="DC740" s="335"/>
      <c r="DD740" s="335"/>
      <c r="DE740" s="335"/>
      <c r="DF740" s="335"/>
      <c r="DG740" s="335"/>
      <c r="DH740" s="335"/>
      <c r="DI740" s="335"/>
      <c r="DJ740" s="335"/>
      <c r="DK740" s="335"/>
      <c r="DL740" s="335"/>
      <c r="DM740" s="335"/>
      <c r="DN740" s="335"/>
      <c r="DO740" s="335"/>
      <c r="DP740" s="335"/>
      <c r="DQ740" s="335"/>
      <c r="DR740" s="335"/>
      <c r="DS740" s="335"/>
      <c r="DT740" s="335"/>
      <c r="DU740" s="335"/>
      <c r="DV740" s="335"/>
      <c r="DW740" s="335"/>
      <c r="DX740" s="335"/>
      <c r="DY740" s="335"/>
      <c r="DZ740" s="335"/>
      <c r="EA740" s="335"/>
      <c r="EB740" s="335"/>
      <c r="EC740" s="335"/>
      <c r="ED740" s="335"/>
      <c r="EE740" s="335"/>
      <c r="EF740" s="335"/>
      <c r="EG740" s="335"/>
      <c r="EH740" s="335"/>
      <c r="EI740" s="335"/>
      <c r="EJ740" s="335"/>
      <c r="EK740" s="335"/>
      <c r="EL740" s="335"/>
      <c r="EM740" s="335"/>
    </row>
    <row r="741" spans="72:143">
      <c r="BT741" s="187"/>
      <c r="BU741" s="187" t="s">
        <v>97</v>
      </c>
      <c r="BV741" s="196">
        <v>120045</v>
      </c>
      <c r="BW741" s="197" t="e">
        <f t="shared" si="151"/>
        <v>#REF!</v>
      </c>
      <c r="BX741" s="198" t="e">
        <f>IF(AND(State_LOB_Code=18,LEFT(BW741,4)&lt;"2009"),81,State_LOB_Code)&amp;"|388"</f>
        <v>#REF!</v>
      </c>
      <c r="BY741" s="174"/>
      <c r="BZ741" s="175"/>
      <c r="CD741" s="163"/>
      <c r="CE741" s="363"/>
      <c r="CF741" s="335"/>
      <c r="CG741" s="335"/>
      <c r="CH741" s="335"/>
      <c r="CI741" s="335"/>
      <c r="CJ741" s="335"/>
      <c r="CK741" s="335"/>
      <c r="CL741" s="335"/>
      <c r="CM741" s="335"/>
      <c r="CN741" s="335"/>
      <c r="CO741" s="335"/>
      <c r="CP741" s="335"/>
      <c r="CQ741" s="335"/>
      <c r="CR741" s="335"/>
      <c r="CS741" s="335"/>
      <c r="CT741" s="335"/>
      <c r="CU741" s="335"/>
      <c r="CV741" s="335"/>
      <c r="CW741" s="335"/>
      <c r="CX741" s="335"/>
      <c r="CY741" s="335"/>
      <c r="CZ741" s="335"/>
      <c r="DA741" s="335"/>
      <c r="DB741" s="335"/>
      <c r="DC741" s="335"/>
      <c r="DD741" s="335"/>
      <c r="DE741" s="335"/>
      <c r="DF741" s="335"/>
      <c r="DG741" s="335"/>
      <c r="DH741" s="335"/>
      <c r="DI741" s="335"/>
      <c r="DJ741" s="335"/>
      <c r="DK741" s="335"/>
      <c r="DL741" s="335"/>
      <c r="DM741" s="335"/>
      <c r="DN741" s="335"/>
      <c r="DO741" s="335"/>
      <c r="DP741" s="335"/>
      <c r="DQ741" s="335"/>
      <c r="DR741" s="335"/>
      <c r="DS741" s="335"/>
      <c r="DT741" s="335"/>
      <c r="DU741" s="335"/>
      <c r="DV741" s="335"/>
      <c r="DW741" s="335"/>
      <c r="DX741" s="335"/>
      <c r="DY741" s="335"/>
      <c r="DZ741" s="335"/>
      <c r="EA741" s="335"/>
      <c r="EB741" s="335"/>
      <c r="EC741" s="335"/>
      <c r="ED741" s="335"/>
      <c r="EE741" s="335"/>
      <c r="EF741" s="335"/>
      <c r="EG741" s="335"/>
      <c r="EH741" s="335"/>
      <c r="EI741" s="335"/>
      <c r="EJ741" s="335"/>
      <c r="EK741" s="335"/>
      <c r="EL741" s="335"/>
      <c r="EM741" s="335"/>
    </row>
    <row r="742" spans="72:143">
      <c r="BT742" s="187"/>
      <c r="BU742" s="189" t="s">
        <v>137</v>
      </c>
      <c r="BV742" s="199">
        <v>120045</v>
      </c>
      <c r="BW742" s="200" t="e">
        <f t="shared" si="151"/>
        <v>#REF!</v>
      </c>
      <c r="BX742" s="201" t="e">
        <f>IF(AND(State_LOB_Code=18,LEFT(BW742,4)&lt;"2009"),81,State_LOB_Code)&amp;"|600"</f>
        <v>#REF!</v>
      </c>
      <c r="BY742" s="176"/>
      <c r="BZ742" s="177"/>
      <c r="CD742" s="163"/>
      <c r="CE742" s="363"/>
      <c r="CF742" s="335"/>
      <c r="CG742" s="335"/>
      <c r="CH742" s="335"/>
      <c r="CI742" s="335"/>
      <c r="CJ742" s="335"/>
      <c r="CK742" s="335"/>
      <c r="CL742" s="335"/>
      <c r="CM742" s="335"/>
      <c r="CN742" s="335"/>
      <c r="CO742" s="335"/>
      <c r="CP742" s="335"/>
      <c r="CQ742" s="335"/>
      <c r="CR742" s="335"/>
      <c r="CS742" s="335"/>
      <c r="CT742" s="335"/>
      <c r="CU742" s="335"/>
      <c r="CV742" s="335"/>
      <c r="CW742" s="335"/>
      <c r="CX742" s="335"/>
      <c r="CY742" s="335"/>
      <c r="CZ742" s="335"/>
      <c r="DA742" s="335"/>
      <c r="DB742" s="335"/>
      <c r="DC742" s="335"/>
      <c r="DD742" s="335"/>
      <c r="DE742" s="335"/>
      <c r="DF742" s="335"/>
      <c r="DG742" s="335"/>
      <c r="DH742" s="335"/>
      <c r="DI742" s="335"/>
      <c r="DJ742" s="335"/>
      <c r="DK742" s="335"/>
      <c r="DL742" s="335"/>
      <c r="DM742" s="335"/>
      <c r="DN742" s="335"/>
      <c r="DO742" s="335"/>
      <c r="DP742" s="335"/>
      <c r="DQ742" s="335"/>
      <c r="DR742" s="335"/>
      <c r="DS742" s="335"/>
      <c r="DT742" s="335"/>
      <c r="DU742" s="335"/>
      <c r="DV742" s="335"/>
      <c r="DW742" s="335"/>
      <c r="DX742" s="335"/>
      <c r="DY742" s="335"/>
      <c r="DZ742" s="335"/>
      <c r="EA742" s="335"/>
      <c r="EB742" s="335"/>
      <c r="EC742" s="335"/>
      <c r="ED742" s="335"/>
      <c r="EE742" s="335"/>
      <c r="EF742" s="335"/>
      <c r="EG742" s="335"/>
      <c r="EH742" s="335"/>
      <c r="EI742" s="335"/>
      <c r="EJ742" s="335"/>
      <c r="EK742" s="335"/>
      <c r="EL742" s="335"/>
      <c r="EM742" s="335"/>
    </row>
    <row r="743" spans="72:143">
      <c r="BT743" s="187"/>
      <c r="BU743" s="187" t="s">
        <v>98</v>
      </c>
      <c r="BV743" s="196">
        <v>120045</v>
      </c>
      <c r="BW743" s="197" t="e">
        <f t="shared" si="151"/>
        <v>#REF!</v>
      </c>
      <c r="BX743" s="198" t="e">
        <f>IF(AND(State_LOB_Code=18,LEFT(BW743,4)&lt;"2009"),81,State_LOB_Code)&amp;"|336"</f>
        <v>#REF!</v>
      </c>
      <c r="BY743" s="174"/>
      <c r="BZ743" s="175"/>
      <c r="CD743" s="163"/>
      <c r="CE743" s="363"/>
      <c r="CF743" s="335"/>
      <c r="CG743" s="335"/>
      <c r="CH743" s="335"/>
      <c r="CI743" s="335"/>
      <c r="CJ743" s="335"/>
      <c r="CK743" s="335"/>
      <c r="CL743" s="335"/>
      <c r="CM743" s="335"/>
      <c r="CN743" s="335"/>
      <c r="CO743" s="335"/>
      <c r="CP743" s="335"/>
      <c r="CQ743" s="335"/>
      <c r="CR743" s="335"/>
      <c r="CS743" s="335"/>
      <c r="CT743" s="335"/>
      <c r="CU743" s="335"/>
      <c r="CV743" s="335"/>
      <c r="CW743" s="335"/>
      <c r="CX743" s="335"/>
      <c r="CY743" s="335"/>
      <c r="CZ743" s="335"/>
      <c r="DA743" s="335"/>
      <c r="DB743" s="335"/>
      <c r="DC743" s="335"/>
      <c r="DD743" s="335"/>
      <c r="DE743" s="335"/>
      <c r="DF743" s="335"/>
      <c r="DG743" s="335"/>
      <c r="DH743" s="335"/>
      <c r="DI743" s="335"/>
      <c r="DJ743" s="335"/>
      <c r="DK743" s="335"/>
      <c r="DL743" s="335"/>
      <c r="DM743" s="335"/>
      <c r="DN743" s="335"/>
      <c r="DO743" s="335"/>
      <c r="DP743" s="335"/>
      <c r="DQ743" s="335"/>
      <c r="DR743" s="335"/>
      <c r="DS743" s="335"/>
      <c r="DT743" s="335"/>
      <c r="DU743" s="335"/>
      <c r="DV743" s="335"/>
      <c r="DW743" s="335"/>
      <c r="DX743" s="335"/>
      <c r="DY743" s="335"/>
      <c r="DZ743" s="335"/>
      <c r="EA743" s="335"/>
      <c r="EB743" s="335"/>
      <c r="EC743" s="335"/>
      <c r="ED743" s="335"/>
      <c r="EE743" s="335"/>
      <c r="EF743" s="335"/>
      <c r="EG743" s="335"/>
      <c r="EH743" s="335"/>
      <c r="EI743" s="335"/>
      <c r="EJ743" s="335"/>
      <c r="EK743" s="335"/>
      <c r="EL743" s="335"/>
      <c r="EM743" s="335"/>
    </row>
    <row r="744" spans="72:143">
      <c r="BT744" s="187"/>
      <c r="BU744" s="187" t="s">
        <v>99</v>
      </c>
      <c r="BV744" s="196">
        <v>120045</v>
      </c>
      <c r="BW744" s="197" t="e">
        <f t="shared" si="151"/>
        <v>#REF!</v>
      </c>
      <c r="BX744" s="198" t="e">
        <f>IF(AND(State_LOB_Code=18,LEFT(BW744,4)&lt;"2009"),81,State_LOB_Code)&amp;"|345"</f>
        <v>#REF!</v>
      </c>
      <c r="BY744" s="174"/>
      <c r="BZ744" s="175"/>
      <c r="CD744" s="163"/>
      <c r="CE744" s="363"/>
      <c r="CF744" s="335"/>
      <c r="CG744" s="335"/>
      <c r="CH744" s="335"/>
      <c r="CI744" s="335"/>
      <c r="CJ744" s="335"/>
      <c r="CK744" s="335"/>
      <c r="CL744" s="335"/>
      <c r="CM744" s="335"/>
      <c r="CN744" s="335"/>
      <c r="CO744" s="335"/>
      <c r="CP744" s="335"/>
      <c r="CQ744" s="335"/>
      <c r="CR744" s="335"/>
      <c r="CS744" s="335"/>
      <c r="CT744" s="335"/>
      <c r="CU744" s="335"/>
      <c r="CV744" s="335"/>
      <c r="CW744" s="335"/>
      <c r="CX744" s="335"/>
      <c r="CY744" s="335"/>
      <c r="CZ744" s="335"/>
      <c r="DA744" s="335"/>
      <c r="DB744" s="335"/>
      <c r="DC744" s="335"/>
      <c r="DD744" s="335"/>
      <c r="DE744" s="335"/>
      <c r="DF744" s="335"/>
      <c r="DG744" s="335"/>
      <c r="DH744" s="335"/>
      <c r="DI744" s="335"/>
      <c r="DJ744" s="335"/>
      <c r="DK744" s="335"/>
      <c r="DL744" s="335"/>
      <c r="DM744" s="335"/>
      <c r="DN744" s="335"/>
      <c r="DO744" s="335"/>
      <c r="DP744" s="335"/>
      <c r="DQ744" s="335"/>
      <c r="DR744" s="335"/>
      <c r="DS744" s="335"/>
      <c r="DT744" s="335"/>
      <c r="DU744" s="335"/>
      <c r="DV744" s="335"/>
      <c r="DW744" s="335"/>
      <c r="DX744" s="335"/>
      <c r="DY744" s="335"/>
      <c r="DZ744" s="335"/>
      <c r="EA744" s="335"/>
      <c r="EB744" s="335"/>
      <c r="EC744" s="335"/>
      <c r="ED744" s="335"/>
      <c r="EE744" s="335"/>
      <c r="EF744" s="335"/>
      <c r="EG744" s="335"/>
      <c r="EH744" s="335"/>
      <c r="EI744" s="335"/>
      <c r="EJ744" s="335"/>
      <c r="EK744" s="335"/>
      <c r="EL744" s="335"/>
      <c r="EM744" s="335"/>
    </row>
    <row r="745" spans="72:143">
      <c r="BT745" s="187"/>
      <c r="BU745" s="187" t="s">
        <v>100</v>
      </c>
      <c r="BV745" s="196">
        <v>120045</v>
      </c>
      <c r="BW745" s="197" t="e">
        <f t="shared" si="151"/>
        <v>#REF!</v>
      </c>
      <c r="BX745" s="198" t="e">
        <f>IF(AND(State_LOB_Code=18,LEFT(BW745,4)&lt;"2009"),81,State_LOB_Code)&amp;"|360"</f>
        <v>#REF!</v>
      </c>
      <c r="BY745" s="174"/>
      <c r="BZ745" s="175"/>
      <c r="CD745" s="163"/>
      <c r="CE745" s="363"/>
      <c r="CF745" s="335"/>
      <c r="CG745" s="335"/>
      <c r="CH745" s="335"/>
      <c r="CI745" s="335"/>
      <c r="CJ745" s="335"/>
      <c r="CK745" s="335"/>
      <c r="CL745" s="335"/>
      <c r="CM745" s="335"/>
      <c r="CN745" s="335"/>
      <c r="CO745" s="335"/>
      <c r="CP745" s="335"/>
      <c r="CQ745" s="335"/>
      <c r="CR745" s="335"/>
      <c r="CS745" s="335"/>
      <c r="CT745" s="335"/>
      <c r="CU745" s="335"/>
      <c r="CV745" s="335"/>
      <c r="CW745" s="335"/>
      <c r="CX745" s="335"/>
      <c r="CY745" s="335"/>
      <c r="CZ745" s="335"/>
      <c r="DA745" s="335"/>
      <c r="DB745" s="335"/>
      <c r="DC745" s="335"/>
      <c r="DD745" s="335"/>
      <c r="DE745" s="335"/>
      <c r="DF745" s="335"/>
      <c r="DG745" s="335"/>
      <c r="DH745" s="335"/>
      <c r="DI745" s="335"/>
      <c r="DJ745" s="335"/>
      <c r="DK745" s="335"/>
      <c r="DL745" s="335"/>
      <c r="DM745" s="335"/>
      <c r="DN745" s="335"/>
      <c r="DO745" s="335"/>
      <c r="DP745" s="335"/>
      <c r="DQ745" s="335"/>
      <c r="DR745" s="335"/>
      <c r="DS745" s="335"/>
      <c r="DT745" s="335"/>
      <c r="DU745" s="335"/>
      <c r="DV745" s="335"/>
      <c r="DW745" s="335"/>
      <c r="DX745" s="335"/>
      <c r="DY745" s="335"/>
      <c r="DZ745" s="335"/>
      <c r="EA745" s="335"/>
      <c r="EB745" s="335"/>
      <c r="EC745" s="335"/>
      <c r="ED745" s="335"/>
      <c r="EE745" s="335"/>
      <c r="EF745" s="335"/>
      <c r="EG745" s="335"/>
      <c r="EH745" s="335"/>
      <c r="EI745" s="335"/>
      <c r="EJ745" s="335"/>
      <c r="EK745" s="335"/>
      <c r="EL745" s="335"/>
      <c r="EM745" s="335"/>
    </row>
    <row r="746" spans="72:143">
      <c r="BT746" s="187"/>
      <c r="BU746" s="187" t="s">
        <v>101</v>
      </c>
      <c r="BV746" s="196">
        <v>120045</v>
      </c>
      <c r="BW746" s="197" t="e">
        <f t="shared" si="151"/>
        <v>#REF!</v>
      </c>
      <c r="BX746" s="198" t="e">
        <f>IF(AND(State_LOB_Code=18,LEFT(BW746,4)&lt;"2009"),81,State_LOB_Code)&amp;"|375"</f>
        <v>#REF!</v>
      </c>
      <c r="BY746" s="174"/>
      <c r="BZ746" s="175"/>
      <c r="CD746" s="163"/>
      <c r="CE746" s="363"/>
      <c r="CF746" s="335"/>
      <c r="CG746" s="335"/>
      <c r="CH746" s="335"/>
      <c r="CI746" s="335"/>
      <c r="CJ746" s="335"/>
      <c r="CK746" s="335"/>
      <c r="CL746" s="335"/>
      <c r="CM746" s="335"/>
      <c r="CN746" s="335"/>
      <c r="CO746" s="335"/>
      <c r="CP746" s="335"/>
      <c r="CQ746" s="335"/>
      <c r="CR746" s="335"/>
      <c r="CS746" s="335"/>
      <c r="CT746" s="335"/>
      <c r="CU746" s="335"/>
      <c r="CV746" s="335"/>
      <c r="CW746" s="335"/>
      <c r="CX746" s="335"/>
      <c r="CY746" s="335"/>
      <c r="CZ746" s="335"/>
      <c r="DA746" s="335"/>
      <c r="DB746" s="335"/>
      <c r="DC746" s="335"/>
      <c r="DD746" s="335"/>
      <c r="DE746" s="335"/>
      <c r="DF746" s="335"/>
      <c r="DG746" s="335"/>
      <c r="DH746" s="335"/>
      <c r="DI746" s="335"/>
      <c r="DJ746" s="335"/>
      <c r="DK746" s="335"/>
      <c r="DL746" s="335"/>
      <c r="DM746" s="335"/>
      <c r="DN746" s="335"/>
      <c r="DO746" s="335"/>
      <c r="DP746" s="335"/>
      <c r="DQ746" s="335"/>
      <c r="DR746" s="335"/>
      <c r="DS746" s="335"/>
      <c r="DT746" s="335"/>
      <c r="DU746" s="335"/>
      <c r="DV746" s="335"/>
      <c r="DW746" s="335"/>
      <c r="DX746" s="335"/>
      <c r="DY746" s="335"/>
      <c r="DZ746" s="335"/>
      <c r="EA746" s="335"/>
      <c r="EB746" s="335"/>
      <c r="EC746" s="335"/>
      <c r="ED746" s="335"/>
      <c r="EE746" s="335"/>
      <c r="EF746" s="335"/>
      <c r="EG746" s="335"/>
      <c r="EH746" s="335"/>
      <c r="EI746" s="335"/>
      <c r="EJ746" s="335"/>
      <c r="EK746" s="335"/>
      <c r="EL746" s="335"/>
      <c r="EM746" s="335"/>
    </row>
    <row r="747" spans="72:143">
      <c r="BT747" s="187"/>
      <c r="BU747" s="187" t="s">
        <v>102</v>
      </c>
      <c r="BV747" s="196">
        <v>120045</v>
      </c>
      <c r="BW747" s="197" t="e">
        <f t="shared" si="151"/>
        <v>#REF!</v>
      </c>
      <c r="BX747" s="198" t="e">
        <f>IF(AND(State_LOB_Code=18,LEFT(BW747,4)&lt;"2009"),81,State_LOB_Code)&amp;"|383"</f>
        <v>#REF!</v>
      </c>
      <c r="BY747" s="174"/>
      <c r="BZ747" s="175"/>
      <c r="CD747" s="163"/>
      <c r="CE747" s="363"/>
      <c r="CF747" s="335"/>
      <c r="CG747" s="335"/>
      <c r="CH747" s="335"/>
      <c r="CI747" s="335"/>
      <c r="CJ747" s="335"/>
      <c r="CK747" s="335"/>
      <c r="CL747" s="335"/>
      <c r="CM747" s="335"/>
      <c r="CN747" s="335"/>
      <c r="CO747" s="335"/>
      <c r="CP747" s="335"/>
      <c r="CQ747" s="335"/>
      <c r="CR747" s="335"/>
      <c r="CS747" s="335"/>
      <c r="CT747" s="335"/>
      <c r="CU747" s="335"/>
      <c r="CV747" s="335"/>
      <c r="CW747" s="335"/>
      <c r="CX747" s="335"/>
      <c r="CY747" s="335"/>
      <c r="CZ747" s="335"/>
      <c r="DA747" s="335"/>
      <c r="DB747" s="335"/>
      <c r="DC747" s="335"/>
      <c r="DD747" s="335"/>
      <c r="DE747" s="335"/>
      <c r="DF747" s="335"/>
      <c r="DG747" s="335"/>
      <c r="DH747" s="335"/>
      <c r="DI747" s="335"/>
      <c r="DJ747" s="335"/>
      <c r="DK747" s="335"/>
      <c r="DL747" s="335"/>
      <c r="DM747" s="335"/>
      <c r="DN747" s="335"/>
      <c r="DO747" s="335"/>
      <c r="DP747" s="335"/>
      <c r="DQ747" s="335"/>
      <c r="DR747" s="335"/>
      <c r="DS747" s="335"/>
      <c r="DT747" s="335"/>
      <c r="DU747" s="335"/>
      <c r="DV747" s="335"/>
      <c r="DW747" s="335"/>
      <c r="DX747" s="335"/>
      <c r="DY747" s="335"/>
      <c r="DZ747" s="335"/>
      <c r="EA747" s="335"/>
      <c r="EB747" s="335"/>
      <c r="EC747" s="335"/>
      <c r="ED747" s="335"/>
      <c r="EE747" s="335"/>
      <c r="EF747" s="335"/>
      <c r="EG747" s="335"/>
      <c r="EH747" s="335"/>
      <c r="EI747" s="335"/>
      <c r="EJ747" s="335"/>
      <c r="EK747" s="335"/>
      <c r="EL747" s="335"/>
      <c r="EM747" s="335"/>
    </row>
    <row r="748" spans="72:143">
      <c r="BT748" s="187"/>
      <c r="BU748" s="187" t="s">
        <v>103</v>
      </c>
      <c r="BV748" s="196">
        <v>120045</v>
      </c>
      <c r="BW748" s="197" t="e">
        <f t="shared" si="151"/>
        <v>#REF!</v>
      </c>
      <c r="BX748" s="198" t="e">
        <f>IF(AND(State_LOB_Code=18,LEFT(BW748,4)&lt;"2009"),81,State_LOB_Code)&amp;"|332"</f>
        <v>#REF!</v>
      </c>
      <c r="BY748" s="174"/>
      <c r="BZ748" s="175"/>
      <c r="CD748" s="163"/>
      <c r="CE748" s="363"/>
      <c r="CF748" s="335"/>
      <c r="CG748" s="335"/>
      <c r="CH748" s="335"/>
      <c r="CI748" s="335"/>
      <c r="CJ748" s="335"/>
      <c r="CK748" s="335"/>
      <c r="CL748" s="335"/>
      <c r="CM748" s="335"/>
      <c r="CN748" s="335"/>
      <c r="CO748" s="335"/>
      <c r="CP748" s="335"/>
      <c r="CQ748" s="335"/>
      <c r="CR748" s="335"/>
      <c r="CS748" s="335"/>
      <c r="CT748" s="335"/>
      <c r="CU748" s="335"/>
      <c r="CV748" s="335"/>
      <c r="CW748" s="335"/>
      <c r="CX748" s="335"/>
      <c r="CY748" s="335"/>
      <c r="CZ748" s="335"/>
      <c r="DA748" s="335"/>
      <c r="DB748" s="335"/>
      <c r="DC748" s="335"/>
      <c r="DD748" s="335"/>
      <c r="DE748" s="335"/>
      <c r="DF748" s="335"/>
      <c r="DG748" s="335"/>
      <c r="DH748" s="335"/>
      <c r="DI748" s="335"/>
      <c r="DJ748" s="335"/>
      <c r="DK748" s="335"/>
      <c r="DL748" s="335"/>
      <c r="DM748" s="335"/>
      <c r="DN748" s="335"/>
      <c r="DO748" s="335"/>
      <c r="DP748" s="335"/>
      <c r="DQ748" s="335"/>
      <c r="DR748" s="335"/>
      <c r="DS748" s="335"/>
      <c r="DT748" s="335"/>
      <c r="DU748" s="335"/>
      <c r="DV748" s="335"/>
      <c r="DW748" s="335"/>
      <c r="DX748" s="335"/>
      <c r="DY748" s="335"/>
      <c r="DZ748" s="335"/>
      <c r="EA748" s="335"/>
      <c r="EB748" s="335"/>
      <c r="EC748" s="335"/>
      <c r="ED748" s="335"/>
      <c r="EE748" s="335"/>
      <c r="EF748" s="335"/>
      <c r="EG748" s="335"/>
      <c r="EH748" s="335"/>
      <c r="EI748" s="335"/>
      <c r="EJ748" s="335"/>
      <c r="EK748" s="335"/>
      <c r="EL748" s="335"/>
      <c r="EM748" s="335"/>
    </row>
    <row r="749" spans="72:143">
      <c r="BT749" s="187"/>
      <c r="BU749" s="187" t="s">
        <v>104</v>
      </c>
      <c r="BV749" s="196">
        <v>120045</v>
      </c>
      <c r="BW749" s="197" t="e">
        <f t="shared" si="151"/>
        <v>#REF!</v>
      </c>
      <c r="BX749" s="198" t="e">
        <f>IF(AND(State_LOB_Code=18,LEFT(BW749,4)&lt;"2009"),81,State_LOB_Code)&amp;"|330"</f>
        <v>#REF!</v>
      </c>
      <c r="BY749" s="174"/>
      <c r="BZ749" s="175"/>
      <c r="CD749" s="163"/>
      <c r="CE749" s="363"/>
      <c r="CF749" s="335"/>
      <c r="CG749" s="335"/>
      <c r="CH749" s="335"/>
      <c r="CI749" s="335"/>
      <c r="CJ749" s="335"/>
      <c r="CK749" s="335"/>
      <c r="CL749" s="335"/>
      <c r="CM749" s="335"/>
      <c r="CN749" s="335"/>
      <c r="CO749" s="335"/>
      <c r="CP749" s="335"/>
      <c r="CQ749" s="335"/>
      <c r="CR749" s="335"/>
      <c r="CS749" s="335"/>
      <c r="CT749" s="335"/>
      <c r="CU749" s="335"/>
      <c r="CV749" s="335"/>
      <c r="CW749" s="335"/>
      <c r="CX749" s="335"/>
      <c r="CY749" s="335"/>
      <c r="CZ749" s="335"/>
      <c r="DA749" s="335"/>
      <c r="DB749" s="335"/>
      <c r="DC749" s="335"/>
      <c r="DD749" s="335"/>
      <c r="DE749" s="335"/>
      <c r="DF749" s="335"/>
      <c r="DG749" s="335"/>
      <c r="DH749" s="335"/>
      <c r="DI749" s="335"/>
      <c r="DJ749" s="335"/>
      <c r="DK749" s="335"/>
      <c r="DL749" s="335"/>
      <c r="DM749" s="335"/>
      <c r="DN749" s="335"/>
      <c r="DO749" s="335"/>
      <c r="DP749" s="335"/>
      <c r="DQ749" s="335"/>
      <c r="DR749" s="335"/>
      <c r="DS749" s="335"/>
      <c r="DT749" s="335"/>
      <c r="DU749" s="335"/>
      <c r="DV749" s="335"/>
      <c r="DW749" s="335"/>
      <c r="DX749" s="335"/>
      <c r="DY749" s="335"/>
      <c r="DZ749" s="335"/>
      <c r="EA749" s="335"/>
      <c r="EB749" s="335"/>
      <c r="EC749" s="335"/>
      <c r="ED749" s="335"/>
      <c r="EE749" s="335"/>
      <c r="EF749" s="335"/>
      <c r="EG749" s="335"/>
      <c r="EH749" s="335"/>
      <c r="EI749" s="335"/>
      <c r="EJ749" s="335"/>
      <c r="EK749" s="335"/>
      <c r="EL749" s="335"/>
      <c r="EM749" s="335"/>
    </row>
    <row r="750" spans="72:143">
      <c r="BT750" s="187"/>
      <c r="BU750" s="190" t="s">
        <v>46</v>
      </c>
      <c r="BV750" s="202">
        <v>120068</v>
      </c>
      <c r="BW750" s="203" t="e">
        <f t="shared" si="151"/>
        <v>#REF!</v>
      </c>
      <c r="BX750" s="204" t="e">
        <f>IF(AND(State_LOB_Code=18,LEFT(BW750,4)&lt;"2009"),81,State_LOB_Code)</f>
        <v>#REF!</v>
      </c>
      <c r="BY750" s="191"/>
      <c r="BZ750" s="192"/>
      <c r="CD750" s="163"/>
      <c r="CE750" s="363"/>
      <c r="CF750" s="335"/>
      <c r="CG750" s="335"/>
      <c r="CH750" s="335"/>
      <c r="CI750" s="335"/>
      <c r="CJ750" s="335"/>
      <c r="CK750" s="335"/>
      <c r="CL750" s="335"/>
      <c r="CM750" s="335"/>
      <c r="CN750" s="335"/>
      <c r="CO750" s="335"/>
      <c r="CP750" s="335"/>
      <c r="CQ750" s="335"/>
      <c r="CR750" s="335"/>
      <c r="CS750" s="335"/>
      <c r="CT750" s="335"/>
      <c r="CU750" s="335"/>
      <c r="CV750" s="335"/>
      <c r="CW750" s="335"/>
      <c r="CX750" s="335"/>
      <c r="CY750" s="335"/>
      <c r="CZ750" s="335"/>
      <c r="DA750" s="335"/>
      <c r="DB750" s="335"/>
      <c r="DC750" s="335"/>
      <c r="DD750" s="335"/>
      <c r="DE750" s="335"/>
      <c r="DF750" s="335"/>
      <c r="DG750" s="335"/>
      <c r="DH750" s="335"/>
      <c r="DI750" s="335"/>
      <c r="DJ750" s="335"/>
      <c r="DK750" s="335"/>
      <c r="DL750" s="335"/>
      <c r="DM750" s="335"/>
      <c r="DN750" s="335"/>
      <c r="DO750" s="335"/>
      <c r="DP750" s="335"/>
      <c r="DQ750" s="335"/>
      <c r="DR750" s="335"/>
      <c r="DS750" s="335"/>
      <c r="DT750" s="335"/>
      <c r="DU750" s="335"/>
      <c r="DV750" s="335"/>
      <c r="DW750" s="335"/>
      <c r="DX750" s="335"/>
      <c r="DY750" s="335"/>
      <c r="DZ750" s="335"/>
      <c r="EA750" s="335"/>
      <c r="EB750" s="335"/>
      <c r="EC750" s="335"/>
      <c r="ED750" s="335"/>
      <c r="EE750" s="335"/>
      <c r="EF750" s="335"/>
      <c r="EG750" s="335"/>
      <c r="EH750" s="335"/>
      <c r="EI750" s="335"/>
      <c r="EJ750" s="335"/>
      <c r="EK750" s="335"/>
      <c r="EL750" s="335"/>
      <c r="EM750" s="335"/>
    </row>
    <row r="751" spans="72:143">
      <c r="BT751" s="187"/>
      <c r="BU751" s="187"/>
      <c r="BV751" s="188"/>
      <c r="BW751" s="188"/>
      <c r="BX751" s="188"/>
      <c r="BY751" s="178"/>
      <c r="BZ751" s="179"/>
      <c r="CD751" s="163"/>
      <c r="CE751" s="363"/>
      <c r="CF751" s="335"/>
      <c r="CG751" s="335"/>
      <c r="CH751" s="335"/>
      <c r="CI751" s="335"/>
      <c r="CJ751" s="335"/>
      <c r="CK751" s="335"/>
      <c r="CL751" s="335"/>
      <c r="CM751" s="335"/>
      <c r="CN751" s="335"/>
      <c r="CO751" s="335"/>
      <c r="CP751" s="335"/>
      <c r="CQ751" s="335"/>
      <c r="CR751" s="335"/>
      <c r="CS751" s="335"/>
      <c r="CT751" s="335"/>
      <c r="CU751" s="335"/>
      <c r="CV751" s="335"/>
      <c r="CW751" s="335"/>
      <c r="CX751" s="335"/>
      <c r="CY751" s="335"/>
      <c r="CZ751" s="335"/>
      <c r="DA751" s="335"/>
      <c r="DB751" s="335"/>
      <c r="DC751" s="335"/>
      <c r="DD751" s="335"/>
      <c r="DE751" s="335"/>
      <c r="DF751" s="335"/>
      <c r="DG751" s="335"/>
      <c r="DH751" s="335"/>
      <c r="DI751" s="335"/>
      <c r="DJ751" s="335"/>
      <c r="DK751" s="335"/>
      <c r="DL751" s="335"/>
      <c r="DM751" s="335"/>
      <c r="DN751" s="335"/>
      <c r="DO751" s="335"/>
      <c r="DP751" s="335"/>
      <c r="DQ751" s="335"/>
      <c r="DR751" s="335"/>
      <c r="DS751" s="335"/>
      <c r="DT751" s="335"/>
      <c r="DU751" s="335"/>
      <c r="DV751" s="335"/>
      <c r="DW751" s="335"/>
      <c r="DX751" s="335"/>
      <c r="DY751" s="335"/>
      <c r="DZ751" s="335"/>
      <c r="EA751" s="335"/>
      <c r="EB751" s="335"/>
      <c r="EC751" s="335"/>
      <c r="ED751" s="335"/>
      <c r="EE751" s="335"/>
      <c r="EF751" s="335"/>
      <c r="EG751" s="335"/>
      <c r="EH751" s="335"/>
      <c r="EI751" s="335"/>
      <c r="EJ751" s="335"/>
      <c r="EK751" s="335"/>
      <c r="EL751" s="335"/>
      <c r="EM751" s="335"/>
    </row>
    <row r="752" spans="72:143">
      <c r="BT752" s="187"/>
      <c r="BU752" s="184" t="s">
        <v>47</v>
      </c>
      <c r="BV752" s="193">
        <v>120045</v>
      </c>
      <c r="BW752" s="194" t="e">
        <f t="shared" ref="BW752:BW783" si="152">LEFT(BW691,4)-1&amp;"Y"</f>
        <v>#REF!</v>
      </c>
      <c r="BX752" s="195" t="e">
        <f>IF(AND(State_LOB_Code=18,LEFT(BW752,4)&lt;"2009"),81,State_LOB_Code)&amp;"|333"</f>
        <v>#REF!</v>
      </c>
      <c r="BY752" s="185"/>
      <c r="BZ752" s="186"/>
      <c r="CD752" s="163"/>
      <c r="CE752" s="363"/>
      <c r="CF752" s="335"/>
      <c r="CG752" s="335"/>
      <c r="CH752" s="335"/>
      <c r="CI752" s="335"/>
      <c r="CJ752" s="335"/>
      <c r="CK752" s="335"/>
      <c r="CL752" s="335"/>
      <c r="CM752" s="335"/>
      <c r="CN752" s="335"/>
      <c r="CO752" s="335"/>
      <c r="CP752" s="335"/>
      <c r="CQ752" s="335"/>
      <c r="CR752" s="335"/>
      <c r="CS752" s="335"/>
      <c r="CT752" s="335"/>
      <c r="CU752" s="335"/>
      <c r="CV752" s="335"/>
      <c r="CW752" s="335"/>
      <c r="CX752" s="335"/>
      <c r="CY752" s="335"/>
      <c r="CZ752" s="335"/>
      <c r="DA752" s="335"/>
      <c r="DB752" s="335"/>
      <c r="DC752" s="335"/>
      <c r="DD752" s="335"/>
      <c r="DE752" s="335"/>
      <c r="DF752" s="335"/>
      <c r="DG752" s="335"/>
      <c r="DH752" s="335"/>
      <c r="DI752" s="335"/>
      <c r="DJ752" s="335"/>
      <c r="DK752" s="335"/>
      <c r="DL752" s="335"/>
      <c r="DM752" s="335"/>
      <c r="DN752" s="335"/>
      <c r="DO752" s="335"/>
      <c r="DP752" s="335"/>
      <c r="DQ752" s="335"/>
      <c r="DR752" s="335"/>
      <c r="DS752" s="335"/>
      <c r="DT752" s="335"/>
      <c r="DU752" s="335"/>
      <c r="DV752" s="335"/>
      <c r="DW752" s="335"/>
      <c r="DX752" s="335"/>
      <c r="DY752" s="335"/>
      <c r="DZ752" s="335"/>
      <c r="EA752" s="335"/>
      <c r="EB752" s="335"/>
      <c r="EC752" s="335"/>
      <c r="ED752" s="335"/>
      <c r="EE752" s="335"/>
      <c r="EF752" s="335"/>
      <c r="EG752" s="335"/>
      <c r="EH752" s="335"/>
      <c r="EI752" s="335"/>
      <c r="EJ752" s="335"/>
      <c r="EK752" s="335"/>
      <c r="EL752" s="335"/>
      <c r="EM752" s="335"/>
    </row>
    <row r="753" spans="72:143">
      <c r="BT753" s="187"/>
      <c r="BU753" s="187" t="s">
        <v>48</v>
      </c>
      <c r="BV753" s="196">
        <v>120045</v>
      </c>
      <c r="BW753" s="197" t="e">
        <f t="shared" si="152"/>
        <v>#REF!</v>
      </c>
      <c r="BX753" s="198" t="e">
        <f>IF(AND(State_LOB_Code=18,LEFT(BW753,4)&lt;"2009"),81,State_LOB_Code)&amp;"|334"</f>
        <v>#REF!</v>
      </c>
      <c r="BY753" s="174"/>
      <c r="BZ753" s="175"/>
      <c r="CD753" s="163"/>
      <c r="CE753" s="363"/>
      <c r="CF753" s="335"/>
      <c r="CG753" s="335"/>
      <c r="CH753" s="335"/>
      <c r="CI753" s="335"/>
      <c r="CJ753" s="335"/>
      <c r="CK753" s="335"/>
      <c r="CL753" s="335"/>
      <c r="CM753" s="335"/>
      <c r="CN753" s="335"/>
      <c r="CO753" s="335"/>
      <c r="CP753" s="335"/>
      <c r="CQ753" s="335"/>
      <c r="CR753" s="335"/>
      <c r="CS753" s="335"/>
      <c r="CT753" s="335"/>
      <c r="CU753" s="335"/>
      <c r="CV753" s="335"/>
      <c r="CW753" s="335"/>
      <c r="CX753" s="335"/>
      <c r="CY753" s="335"/>
      <c r="CZ753" s="335"/>
      <c r="DA753" s="335"/>
      <c r="DB753" s="335"/>
      <c r="DC753" s="335"/>
      <c r="DD753" s="335"/>
      <c r="DE753" s="335"/>
      <c r="DF753" s="335"/>
      <c r="DG753" s="335"/>
      <c r="DH753" s="335"/>
      <c r="DI753" s="335"/>
      <c r="DJ753" s="335"/>
      <c r="DK753" s="335"/>
      <c r="DL753" s="335"/>
      <c r="DM753" s="335"/>
      <c r="DN753" s="335"/>
      <c r="DO753" s="335"/>
      <c r="DP753" s="335"/>
      <c r="DQ753" s="335"/>
      <c r="DR753" s="335"/>
      <c r="DS753" s="335"/>
      <c r="DT753" s="335"/>
      <c r="DU753" s="335"/>
      <c r="DV753" s="335"/>
      <c r="DW753" s="335"/>
      <c r="DX753" s="335"/>
      <c r="DY753" s="335"/>
      <c r="DZ753" s="335"/>
      <c r="EA753" s="335"/>
      <c r="EB753" s="335"/>
      <c r="EC753" s="335"/>
      <c r="ED753" s="335"/>
      <c r="EE753" s="335"/>
      <c r="EF753" s="335"/>
      <c r="EG753" s="335"/>
      <c r="EH753" s="335"/>
      <c r="EI753" s="335"/>
      <c r="EJ753" s="335"/>
      <c r="EK753" s="335"/>
      <c r="EL753" s="335"/>
      <c r="EM753" s="335"/>
    </row>
    <row r="754" spans="72:143">
      <c r="BT754" s="187"/>
      <c r="BU754" s="187" t="s">
        <v>49</v>
      </c>
      <c r="BV754" s="196">
        <v>120045</v>
      </c>
      <c r="BW754" s="197" t="e">
        <f t="shared" si="152"/>
        <v>#REF!</v>
      </c>
      <c r="BX754" s="198" t="e">
        <f>IF(AND(State_LOB_Code=18,LEFT(BW754,4)&lt;"2009"),81,State_LOB_Code)&amp;"|335"</f>
        <v>#REF!</v>
      </c>
      <c r="BY754" s="174"/>
      <c r="BZ754" s="175"/>
      <c r="CD754" s="163"/>
      <c r="CE754" s="363"/>
      <c r="CF754" s="335"/>
      <c r="CG754" s="335"/>
      <c r="CH754" s="335"/>
      <c r="CI754" s="335"/>
      <c r="CJ754" s="335"/>
      <c r="CK754" s="335"/>
      <c r="CL754" s="335"/>
      <c r="CM754" s="335"/>
      <c r="CN754" s="335"/>
      <c r="CO754" s="335"/>
      <c r="CP754" s="335"/>
      <c r="CQ754" s="335"/>
      <c r="CR754" s="335"/>
      <c r="CS754" s="335"/>
      <c r="CT754" s="335"/>
      <c r="CU754" s="335"/>
      <c r="CV754" s="335"/>
      <c r="CW754" s="335"/>
      <c r="CX754" s="335"/>
      <c r="CY754" s="335"/>
      <c r="CZ754" s="335"/>
      <c r="DA754" s="335"/>
      <c r="DB754" s="335"/>
      <c r="DC754" s="335"/>
      <c r="DD754" s="335"/>
      <c r="DE754" s="335"/>
      <c r="DF754" s="335"/>
      <c r="DG754" s="335"/>
      <c r="DH754" s="335"/>
      <c r="DI754" s="335"/>
      <c r="DJ754" s="335"/>
      <c r="DK754" s="335"/>
      <c r="DL754" s="335"/>
      <c r="DM754" s="335"/>
      <c r="DN754" s="335"/>
      <c r="DO754" s="335"/>
      <c r="DP754" s="335"/>
      <c r="DQ754" s="335"/>
      <c r="DR754" s="335"/>
      <c r="DS754" s="335"/>
      <c r="DT754" s="335"/>
      <c r="DU754" s="335"/>
      <c r="DV754" s="335"/>
      <c r="DW754" s="335"/>
      <c r="DX754" s="335"/>
      <c r="DY754" s="335"/>
      <c r="DZ754" s="335"/>
      <c r="EA754" s="335"/>
      <c r="EB754" s="335"/>
      <c r="EC754" s="335"/>
      <c r="ED754" s="335"/>
      <c r="EE754" s="335"/>
      <c r="EF754" s="335"/>
      <c r="EG754" s="335"/>
      <c r="EH754" s="335"/>
      <c r="EI754" s="335"/>
      <c r="EJ754" s="335"/>
      <c r="EK754" s="335"/>
      <c r="EL754" s="335"/>
      <c r="EM754" s="335"/>
    </row>
    <row r="755" spans="72:143">
      <c r="BT755" s="187"/>
      <c r="BU755" s="187" t="s">
        <v>50</v>
      </c>
      <c r="BV755" s="196">
        <v>120045</v>
      </c>
      <c r="BW755" s="197" t="e">
        <f t="shared" si="152"/>
        <v>#REF!</v>
      </c>
      <c r="BX755" s="198" t="e">
        <f>IF(AND(State_LOB_Code=18,LEFT(BW755,4)&lt;"2009"),81,State_LOB_Code)&amp;"|337"</f>
        <v>#REF!</v>
      </c>
      <c r="BY755" s="174"/>
      <c r="BZ755" s="175"/>
      <c r="CD755" s="163"/>
      <c r="CE755" s="363"/>
      <c r="CF755" s="335"/>
      <c r="CG755" s="335"/>
      <c r="CH755" s="335"/>
      <c r="CI755" s="335"/>
      <c r="CJ755" s="335"/>
      <c r="CK755" s="335"/>
      <c r="CL755" s="335"/>
      <c r="CM755" s="335"/>
      <c r="CN755" s="335"/>
      <c r="CO755" s="335"/>
      <c r="CP755" s="335"/>
      <c r="CQ755" s="335"/>
      <c r="CR755" s="335"/>
      <c r="CS755" s="335"/>
      <c r="CT755" s="335"/>
      <c r="CU755" s="335"/>
      <c r="CV755" s="335"/>
      <c r="CW755" s="335"/>
      <c r="CX755" s="335"/>
      <c r="CY755" s="335"/>
      <c r="CZ755" s="335"/>
      <c r="DA755" s="335"/>
      <c r="DB755" s="335"/>
      <c r="DC755" s="335"/>
      <c r="DD755" s="335"/>
      <c r="DE755" s="335"/>
      <c r="DF755" s="335"/>
      <c r="DG755" s="335"/>
      <c r="DH755" s="335"/>
      <c r="DI755" s="335"/>
      <c r="DJ755" s="335"/>
      <c r="DK755" s="335"/>
      <c r="DL755" s="335"/>
      <c r="DM755" s="335"/>
      <c r="DN755" s="335"/>
      <c r="DO755" s="335"/>
      <c r="DP755" s="335"/>
      <c r="DQ755" s="335"/>
      <c r="DR755" s="335"/>
      <c r="DS755" s="335"/>
      <c r="DT755" s="335"/>
      <c r="DU755" s="335"/>
      <c r="DV755" s="335"/>
      <c r="DW755" s="335"/>
      <c r="DX755" s="335"/>
      <c r="DY755" s="335"/>
      <c r="DZ755" s="335"/>
      <c r="EA755" s="335"/>
      <c r="EB755" s="335"/>
      <c r="EC755" s="335"/>
      <c r="ED755" s="335"/>
      <c r="EE755" s="335"/>
      <c r="EF755" s="335"/>
      <c r="EG755" s="335"/>
      <c r="EH755" s="335"/>
      <c r="EI755" s="335"/>
      <c r="EJ755" s="335"/>
      <c r="EK755" s="335"/>
      <c r="EL755" s="335"/>
      <c r="EM755" s="335"/>
    </row>
    <row r="756" spans="72:143">
      <c r="BT756" s="187"/>
      <c r="BU756" s="187" t="s">
        <v>51</v>
      </c>
      <c r="BV756" s="196">
        <v>120045</v>
      </c>
      <c r="BW756" s="197" t="e">
        <f t="shared" si="152"/>
        <v>#REF!</v>
      </c>
      <c r="BX756" s="198" t="e">
        <f>IF(AND(State_LOB_Code=18,LEFT(BW756,4)&lt;"2009"),81,State_LOB_Code)&amp;"|338"</f>
        <v>#REF!</v>
      </c>
      <c r="BY756" s="174"/>
      <c r="BZ756" s="175"/>
      <c r="CD756" s="163"/>
      <c r="CE756" s="363"/>
      <c r="CF756" s="335"/>
      <c r="CG756" s="335"/>
      <c r="CH756" s="335"/>
      <c r="CI756" s="335"/>
      <c r="CJ756" s="335"/>
      <c r="CK756" s="335"/>
      <c r="CL756" s="335"/>
      <c r="CM756" s="335"/>
      <c r="CN756" s="335"/>
      <c r="CO756" s="335"/>
      <c r="CP756" s="335"/>
      <c r="CQ756" s="335"/>
      <c r="CR756" s="335"/>
      <c r="CS756" s="335"/>
      <c r="CT756" s="335"/>
      <c r="CU756" s="335"/>
      <c r="CV756" s="335"/>
      <c r="CW756" s="335"/>
      <c r="CX756" s="335"/>
      <c r="CY756" s="335"/>
      <c r="CZ756" s="335"/>
      <c r="DA756" s="335"/>
      <c r="DB756" s="335"/>
      <c r="DC756" s="335"/>
      <c r="DD756" s="335"/>
      <c r="DE756" s="335"/>
      <c r="DF756" s="335"/>
      <c r="DG756" s="335"/>
      <c r="DH756" s="335"/>
      <c r="DI756" s="335"/>
      <c r="DJ756" s="335"/>
      <c r="DK756" s="335"/>
      <c r="DL756" s="335"/>
      <c r="DM756" s="335"/>
      <c r="DN756" s="335"/>
      <c r="DO756" s="335"/>
      <c r="DP756" s="335"/>
      <c r="DQ756" s="335"/>
      <c r="DR756" s="335"/>
      <c r="DS756" s="335"/>
      <c r="DT756" s="335"/>
      <c r="DU756" s="335"/>
      <c r="DV756" s="335"/>
      <c r="DW756" s="335"/>
      <c r="DX756" s="335"/>
      <c r="DY756" s="335"/>
      <c r="DZ756" s="335"/>
      <c r="EA756" s="335"/>
      <c r="EB756" s="335"/>
      <c r="EC756" s="335"/>
      <c r="ED756" s="335"/>
      <c r="EE756" s="335"/>
      <c r="EF756" s="335"/>
      <c r="EG756" s="335"/>
      <c r="EH756" s="335"/>
      <c r="EI756" s="335"/>
      <c r="EJ756" s="335"/>
      <c r="EK756" s="335"/>
      <c r="EL756" s="335"/>
      <c r="EM756" s="335"/>
    </row>
    <row r="757" spans="72:143">
      <c r="BT757" s="187"/>
      <c r="BU757" s="187" t="s">
        <v>52</v>
      </c>
      <c r="BV757" s="196">
        <v>120045</v>
      </c>
      <c r="BW757" s="197" t="e">
        <f t="shared" si="152"/>
        <v>#REF!</v>
      </c>
      <c r="BX757" s="198" t="e">
        <f>IF(AND(State_LOB_Code=18,LEFT(BW757,4)&lt;"2009"),81,State_LOB_Code)&amp;"|339"</f>
        <v>#REF!</v>
      </c>
      <c r="BY757" s="174"/>
      <c r="BZ757" s="175"/>
      <c r="CD757" s="163"/>
      <c r="CE757" s="363"/>
      <c r="CF757" s="335"/>
      <c r="CG757" s="335"/>
      <c r="CH757" s="335"/>
      <c r="CI757" s="335"/>
      <c r="CJ757" s="335"/>
      <c r="CK757" s="335"/>
      <c r="CL757" s="335"/>
      <c r="CM757" s="335"/>
      <c r="CN757" s="335"/>
      <c r="CO757" s="335"/>
      <c r="CP757" s="335"/>
      <c r="CQ757" s="335"/>
      <c r="CR757" s="335"/>
      <c r="CS757" s="335"/>
      <c r="CT757" s="335"/>
      <c r="CU757" s="335"/>
      <c r="CV757" s="335"/>
      <c r="CW757" s="335"/>
      <c r="CX757" s="335"/>
      <c r="CY757" s="335"/>
      <c r="CZ757" s="335"/>
      <c r="DA757" s="335"/>
      <c r="DB757" s="335"/>
      <c r="DC757" s="335"/>
      <c r="DD757" s="335"/>
      <c r="DE757" s="335"/>
      <c r="DF757" s="335"/>
      <c r="DG757" s="335"/>
      <c r="DH757" s="335"/>
      <c r="DI757" s="335"/>
      <c r="DJ757" s="335"/>
      <c r="DK757" s="335"/>
      <c r="DL757" s="335"/>
      <c r="DM757" s="335"/>
      <c r="DN757" s="335"/>
      <c r="DO757" s="335"/>
      <c r="DP757" s="335"/>
      <c r="DQ757" s="335"/>
      <c r="DR757" s="335"/>
      <c r="DS757" s="335"/>
      <c r="DT757" s="335"/>
      <c r="DU757" s="335"/>
      <c r="DV757" s="335"/>
      <c r="DW757" s="335"/>
      <c r="DX757" s="335"/>
      <c r="DY757" s="335"/>
      <c r="DZ757" s="335"/>
      <c r="EA757" s="335"/>
      <c r="EB757" s="335"/>
      <c r="EC757" s="335"/>
      <c r="ED757" s="335"/>
      <c r="EE757" s="335"/>
      <c r="EF757" s="335"/>
      <c r="EG757" s="335"/>
      <c r="EH757" s="335"/>
      <c r="EI757" s="335"/>
      <c r="EJ757" s="335"/>
      <c r="EK757" s="335"/>
      <c r="EL757" s="335"/>
      <c r="EM757" s="335"/>
    </row>
    <row r="758" spans="72:143">
      <c r="BT758" s="187"/>
      <c r="BU758" s="187" t="s">
        <v>53</v>
      </c>
      <c r="BV758" s="196">
        <v>120045</v>
      </c>
      <c r="BW758" s="197" t="e">
        <f t="shared" si="152"/>
        <v>#REF!</v>
      </c>
      <c r="BX758" s="198" t="e">
        <f>IF(AND(State_LOB_Code=18,LEFT(BW758,4)&lt;"2009"),81,State_LOB_Code)&amp;"|340"</f>
        <v>#REF!</v>
      </c>
      <c r="BY758" s="174"/>
      <c r="BZ758" s="175"/>
      <c r="CD758" s="163"/>
      <c r="CE758" s="363"/>
      <c r="CF758" s="335"/>
      <c r="CG758" s="335"/>
      <c r="CH758" s="335"/>
      <c r="CI758" s="335"/>
      <c r="CJ758" s="335"/>
      <c r="CK758" s="335"/>
      <c r="CL758" s="335"/>
      <c r="CM758" s="335"/>
      <c r="CN758" s="335"/>
      <c r="CO758" s="335"/>
      <c r="CP758" s="335"/>
      <c r="CQ758" s="335"/>
      <c r="CR758" s="335"/>
      <c r="CS758" s="335"/>
      <c r="CT758" s="335"/>
      <c r="CU758" s="335"/>
      <c r="CV758" s="335"/>
      <c r="CW758" s="335"/>
      <c r="CX758" s="335"/>
      <c r="CY758" s="335"/>
      <c r="CZ758" s="335"/>
      <c r="DA758" s="335"/>
      <c r="DB758" s="335"/>
      <c r="DC758" s="335"/>
      <c r="DD758" s="335"/>
      <c r="DE758" s="335"/>
      <c r="DF758" s="335"/>
      <c r="DG758" s="335"/>
      <c r="DH758" s="335"/>
      <c r="DI758" s="335"/>
      <c r="DJ758" s="335"/>
      <c r="DK758" s="335"/>
      <c r="DL758" s="335"/>
      <c r="DM758" s="335"/>
      <c r="DN758" s="335"/>
      <c r="DO758" s="335"/>
      <c r="DP758" s="335"/>
      <c r="DQ758" s="335"/>
      <c r="DR758" s="335"/>
      <c r="DS758" s="335"/>
      <c r="DT758" s="335"/>
      <c r="DU758" s="335"/>
      <c r="DV758" s="335"/>
      <c r="DW758" s="335"/>
      <c r="DX758" s="335"/>
      <c r="DY758" s="335"/>
      <c r="DZ758" s="335"/>
      <c r="EA758" s="335"/>
      <c r="EB758" s="335"/>
      <c r="EC758" s="335"/>
      <c r="ED758" s="335"/>
      <c r="EE758" s="335"/>
      <c r="EF758" s="335"/>
      <c r="EG758" s="335"/>
      <c r="EH758" s="335"/>
      <c r="EI758" s="335"/>
      <c r="EJ758" s="335"/>
      <c r="EK758" s="335"/>
      <c r="EL758" s="335"/>
      <c r="EM758" s="335"/>
    </row>
    <row r="759" spans="72:143">
      <c r="BT759" s="187"/>
      <c r="BU759" s="187" t="s">
        <v>54</v>
      </c>
      <c r="BV759" s="196">
        <v>120045</v>
      </c>
      <c r="BW759" s="197" t="e">
        <f t="shared" si="152"/>
        <v>#REF!</v>
      </c>
      <c r="BX759" s="198" t="e">
        <f>IF(AND(State_LOB_Code=18,LEFT(BW759,4)&lt;"2009"),81,State_LOB_Code)&amp;"|341"</f>
        <v>#REF!</v>
      </c>
      <c r="BY759" s="174"/>
      <c r="BZ759" s="175"/>
      <c r="CD759" s="163"/>
      <c r="CE759" s="363"/>
      <c r="CF759" s="335"/>
      <c r="CG759" s="335"/>
      <c r="CH759" s="335"/>
      <c r="CI759" s="335"/>
      <c r="CJ759" s="335"/>
      <c r="CK759" s="335"/>
      <c r="CL759" s="335"/>
      <c r="CM759" s="335"/>
      <c r="CN759" s="335"/>
      <c r="CO759" s="335"/>
      <c r="CP759" s="335"/>
      <c r="CQ759" s="335"/>
      <c r="CR759" s="335"/>
      <c r="CS759" s="335"/>
      <c r="CT759" s="335"/>
      <c r="CU759" s="335"/>
      <c r="CV759" s="335"/>
      <c r="CW759" s="335"/>
      <c r="CX759" s="335"/>
      <c r="CY759" s="335"/>
      <c r="CZ759" s="335"/>
      <c r="DA759" s="335"/>
      <c r="DB759" s="335"/>
      <c r="DC759" s="335"/>
      <c r="DD759" s="335"/>
      <c r="DE759" s="335"/>
      <c r="DF759" s="335"/>
      <c r="DG759" s="335"/>
      <c r="DH759" s="335"/>
      <c r="DI759" s="335"/>
      <c r="DJ759" s="335"/>
      <c r="DK759" s="335"/>
      <c r="DL759" s="335"/>
      <c r="DM759" s="335"/>
      <c r="DN759" s="335"/>
      <c r="DO759" s="335"/>
      <c r="DP759" s="335"/>
      <c r="DQ759" s="335"/>
      <c r="DR759" s="335"/>
      <c r="DS759" s="335"/>
      <c r="DT759" s="335"/>
      <c r="DU759" s="335"/>
      <c r="DV759" s="335"/>
      <c r="DW759" s="335"/>
      <c r="DX759" s="335"/>
      <c r="DY759" s="335"/>
      <c r="DZ759" s="335"/>
      <c r="EA759" s="335"/>
      <c r="EB759" s="335"/>
      <c r="EC759" s="335"/>
      <c r="ED759" s="335"/>
      <c r="EE759" s="335"/>
      <c r="EF759" s="335"/>
      <c r="EG759" s="335"/>
      <c r="EH759" s="335"/>
      <c r="EI759" s="335"/>
      <c r="EJ759" s="335"/>
      <c r="EK759" s="335"/>
      <c r="EL759" s="335"/>
      <c r="EM759" s="335"/>
    </row>
    <row r="760" spans="72:143">
      <c r="BT760" s="187"/>
      <c r="BU760" s="187" t="s">
        <v>55</v>
      </c>
      <c r="BV760" s="196">
        <v>120045</v>
      </c>
      <c r="BW760" s="197" t="e">
        <f t="shared" si="152"/>
        <v>#REF!</v>
      </c>
      <c r="BX760" s="198" t="e">
        <f>IF(AND(State_LOB_Code=18,LEFT(BW760,4)&lt;"2009"),81,State_LOB_Code)&amp;"|342"</f>
        <v>#REF!</v>
      </c>
      <c r="BY760" s="174"/>
      <c r="BZ760" s="175"/>
      <c r="CD760" s="163"/>
      <c r="CE760" s="363"/>
      <c r="CF760" s="335"/>
      <c r="CG760" s="335"/>
      <c r="CH760" s="335"/>
      <c r="CI760" s="335"/>
      <c r="CJ760" s="335"/>
      <c r="CK760" s="335"/>
      <c r="CL760" s="335"/>
      <c r="CM760" s="335"/>
      <c r="CN760" s="335"/>
      <c r="CO760" s="335"/>
      <c r="CP760" s="335"/>
      <c r="CQ760" s="335"/>
      <c r="CR760" s="335"/>
      <c r="CS760" s="335"/>
      <c r="CT760" s="335"/>
      <c r="CU760" s="335"/>
      <c r="CV760" s="335"/>
      <c r="CW760" s="335"/>
      <c r="CX760" s="335"/>
      <c r="CY760" s="335"/>
      <c r="CZ760" s="335"/>
      <c r="DA760" s="335"/>
      <c r="DB760" s="335"/>
      <c r="DC760" s="335"/>
      <c r="DD760" s="335"/>
      <c r="DE760" s="335"/>
      <c r="DF760" s="335"/>
      <c r="DG760" s="335"/>
      <c r="DH760" s="335"/>
      <c r="DI760" s="335"/>
      <c r="DJ760" s="335"/>
      <c r="DK760" s="335"/>
      <c r="DL760" s="335"/>
      <c r="DM760" s="335"/>
      <c r="DN760" s="335"/>
      <c r="DO760" s="335"/>
      <c r="DP760" s="335"/>
      <c r="DQ760" s="335"/>
      <c r="DR760" s="335"/>
      <c r="DS760" s="335"/>
      <c r="DT760" s="335"/>
      <c r="DU760" s="335"/>
      <c r="DV760" s="335"/>
      <c r="DW760" s="335"/>
      <c r="DX760" s="335"/>
      <c r="DY760" s="335"/>
      <c r="DZ760" s="335"/>
      <c r="EA760" s="335"/>
      <c r="EB760" s="335"/>
      <c r="EC760" s="335"/>
      <c r="ED760" s="335"/>
      <c r="EE760" s="335"/>
      <c r="EF760" s="335"/>
      <c r="EG760" s="335"/>
      <c r="EH760" s="335"/>
      <c r="EI760" s="335"/>
      <c r="EJ760" s="335"/>
      <c r="EK760" s="335"/>
      <c r="EL760" s="335"/>
      <c r="EM760" s="335"/>
    </row>
    <row r="761" spans="72:143">
      <c r="BT761" s="187"/>
      <c r="BU761" s="187" t="s">
        <v>56</v>
      </c>
      <c r="BV761" s="196">
        <v>120045</v>
      </c>
      <c r="BW761" s="197" t="e">
        <f t="shared" si="152"/>
        <v>#REF!</v>
      </c>
      <c r="BX761" s="198" t="e">
        <f>IF(AND(State_LOB_Code=18,LEFT(BW761,4)&lt;"2009"),81,State_LOB_Code)&amp;"|343"</f>
        <v>#REF!</v>
      </c>
      <c r="BY761" s="174"/>
      <c r="BZ761" s="175"/>
      <c r="CD761" s="163"/>
      <c r="CE761" s="363"/>
      <c r="CF761" s="335"/>
      <c r="CG761" s="335"/>
      <c r="CH761" s="335"/>
      <c r="CI761" s="335"/>
      <c r="CJ761" s="335"/>
      <c r="CK761" s="335"/>
      <c r="CL761" s="335"/>
      <c r="CM761" s="335"/>
      <c r="CN761" s="335"/>
      <c r="CO761" s="335"/>
      <c r="CP761" s="335"/>
      <c r="CQ761" s="335"/>
      <c r="CR761" s="335"/>
      <c r="CS761" s="335"/>
      <c r="CT761" s="335"/>
      <c r="CU761" s="335"/>
      <c r="CV761" s="335"/>
      <c r="CW761" s="335"/>
      <c r="CX761" s="335"/>
      <c r="CY761" s="335"/>
      <c r="CZ761" s="335"/>
      <c r="DA761" s="335"/>
      <c r="DB761" s="335"/>
      <c r="DC761" s="335"/>
      <c r="DD761" s="335"/>
      <c r="DE761" s="335"/>
      <c r="DF761" s="335"/>
      <c r="DG761" s="335"/>
      <c r="DH761" s="335"/>
      <c r="DI761" s="335"/>
      <c r="DJ761" s="335"/>
      <c r="DK761" s="335"/>
      <c r="DL761" s="335"/>
      <c r="DM761" s="335"/>
      <c r="DN761" s="335"/>
      <c r="DO761" s="335"/>
      <c r="DP761" s="335"/>
      <c r="DQ761" s="335"/>
      <c r="DR761" s="335"/>
      <c r="DS761" s="335"/>
      <c r="DT761" s="335"/>
      <c r="DU761" s="335"/>
      <c r="DV761" s="335"/>
      <c r="DW761" s="335"/>
      <c r="DX761" s="335"/>
      <c r="DY761" s="335"/>
      <c r="DZ761" s="335"/>
      <c r="EA761" s="335"/>
      <c r="EB761" s="335"/>
      <c r="EC761" s="335"/>
      <c r="ED761" s="335"/>
      <c r="EE761" s="335"/>
      <c r="EF761" s="335"/>
      <c r="EG761" s="335"/>
      <c r="EH761" s="335"/>
      <c r="EI761" s="335"/>
      <c r="EJ761" s="335"/>
      <c r="EK761" s="335"/>
      <c r="EL761" s="335"/>
      <c r="EM761" s="335"/>
    </row>
    <row r="762" spans="72:143">
      <c r="BT762" s="187"/>
      <c r="BU762" s="187" t="s">
        <v>57</v>
      </c>
      <c r="BV762" s="196">
        <v>120045</v>
      </c>
      <c r="BW762" s="197" t="e">
        <f t="shared" si="152"/>
        <v>#REF!</v>
      </c>
      <c r="BX762" s="198" t="e">
        <f>IF(AND(State_LOB_Code=18,LEFT(BW762,4)&lt;"2009"),81,State_LOB_Code)&amp;"|344"</f>
        <v>#REF!</v>
      </c>
      <c r="BY762" s="174"/>
      <c r="BZ762" s="175"/>
      <c r="CD762" s="163"/>
      <c r="CE762" s="363"/>
      <c r="CF762" s="335"/>
      <c r="CG762" s="335"/>
      <c r="CH762" s="335"/>
      <c r="CI762" s="335"/>
      <c r="CJ762" s="335"/>
      <c r="CK762" s="335"/>
      <c r="CL762" s="335"/>
      <c r="CM762" s="335"/>
      <c r="CN762" s="335"/>
      <c r="CO762" s="335"/>
      <c r="CP762" s="335"/>
      <c r="CQ762" s="335"/>
      <c r="CR762" s="335"/>
      <c r="CS762" s="335"/>
      <c r="CT762" s="335"/>
      <c r="CU762" s="335"/>
      <c r="CV762" s="335"/>
      <c r="CW762" s="335"/>
      <c r="CX762" s="335"/>
      <c r="CY762" s="335"/>
      <c r="CZ762" s="335"/>
      <c r="DA762" s="335"/>
      <c r="DB762" s="335"/>
      <c r="DC762" s="335"/>
      <c r="DD762" s="335"/>
      <c r="DE762" s="335"/>
      <c r="DF762" s="335"/>
      <c r="DG762" s="335"/>
      <c r="DH762" s="335"/>
      <c r="DI762" s="335"/>
      <c r="DJ762" s="335"/>
      <c r="DK762" s="335"/>
      <c r="DL762" s="335"/>
      <c r="DM762" s="335"/>
      <c r="DN762" s="335"/>
      <c r="DO762" s="335"/>
      <c r="DP762" s="335"/>
      <c r="DQ762" s="335"/>
      <c r="DR762" s="335"/>
      <c r="DS762" s="335"/>
      <c r="DT762" s="335"/>
      <c r="DU762" s="335"/>
      <c r="DV762" s="335"/>
      <c r="DW762" s="335"/>
      <c r="DX762" s="335"/>
      <c r="DY762" s="335"/>
      <c r="DZ762" s="335"/>
      <c r="EA762" s="335"/>
      <c r="EB762" s="335"/>
      <c r="EC762" s="335"/>
      <c r="ED762" s="335"/>
      <c r="EE762" s="335"/>
      <c r="EF762" s="335"/>
      <c r="EG762" s="335"/>
      <c r="EH762" s="335"/>
      <c r="EI762" s="335"/>
      <c r="EJ762" s="335"/>
      <c r="EK762" s="335"/>
      <c r="EL762" s="335"/>
      <c r="EM762" s="335"/>
    </row>
    <row r="763" spans="72:143">
      <c r="BT763" s="187"/>
      <c r="BU763" s="187" t="s">
        <v>58</v>
      </c>
      <c r="BV763" s="196">
        <v>120045</v>
      </c>
      <c r="BW763" s="197" t="e">
        <f t="shared" si="152"/>
        <v>#REF!</v>
      </c>
      <c r="BX763" s="198" t="e">
        <f>IF(AND(State_LOB_Code=18,LEFT(BW763,4)&lt;"2009"),81,State_LOB_Code)&amp;"|346"</f>
        <v>#REF!</v>
      </c>
      <c r="BY763" s="174"/>
      <c r="BZ763" s="175"/>
      <c r="CD763" s="163"/>
      <c r="CE763" s="363"/>
      <c r="CF763" s="335"/>
      <c r="CG763" s="335"/>
      <c r="CH763" s="335"/>
      <c r="CI763" s="335"/>
      <c r="CJ763" s="335"/>
      <c r="CK763" s="335"/>
      <c r="CL763" s="335"/>
      <c r="CM763" s="335"/>
      <c r="CN763" s="335"/>
      <c r="CO763" s="335"/>
      <c r="CP763" s="335"/>
      <c r="CQ763" s="335"/>
      <c r="CR763" s="335"/>
      <c r="CS763" s="335"/>
      <c r="CT763" s="335"/>
      <c r="CU763" s="335"/>
      <c r="CV763" s="335"/>
      <c r="CW763" s="335"/>
      <c r="CX763" s="335"/>
      <c r="CY763" s="335"/>
      <c r="CZ763" s="335"/>
      <c r="DA763" s="335"/>
      <c r="DB763" s="335"/>
      <c r="DC763" s="335"/>
      <c r="DD763" s="335"/>
      <c r="DE763" s="335"/>
      <c r="DF763" s="335"/>
      <c r="DG763" s="335"/>
      <c r="DH763" s="335"/>
      <c r="DI763" s="335"/>
      <c r="DJ763" s="335"/>
      <c r="DK763" s="335"/>
      <c r="DL763" s="335"/>
      <c r="DM763" s="335"/>
      <c r="DN763" s="335"/>
      <c r="DO763" s="335"/>
      <c r="DP763" s="335"/>
      <c r="DQ763" s="335"/>
      <c r="DR763" s="335"/>
      <c r="DS763" s="335"/>
      <c r="DT763" s="335"/>
      <c r="DU763" s="335"/>
      <c r="DV763" s="335"/>
      <c r="DW763" s="335"/>
      <c r="DX763" s="335"/>
      <c r="DY763" s="335"/>
      <c r="DZ763" s="335"/>
      <c r="EA763" s="335"/>
      <c r="EB763" s="335"/>
      <c r="EC763" s="335"/>
      <c r="ED763" s="335"/>
      <c r="EE763" s="335"/>
      <c r="EF763" s="335"/>
      <c r="EG763" s="335"/>
      <c r="EH763" s="335"/>
      <c r="EI763" s="335"/>
      <c r="EJ763" s="335"/>
      <c r="EK763" s="335"/>
      <c r="EL763" s="335"/>
      <c r="EM763" s="335"/>
    </row>
    <row r="764" spans="72:143">
      <c r="BT764" s="187"/>
      <c r="BU764" s="187" t="s">
        <v>59</v>
      </c>
      <c r="BV764" s="196">
        <v>120045</v>
      </c>
      <c r="BW764" s="197" t="e">
        <f t="shared" si="152"/>
        <v>#REF!</v>
      </c>
      <c r="BX764" s="198" t="e">
        <f>IF(AND(State_LOB_Code=18,LEFT(BW764,4)&lt;"2009"),81,State_LOB_Code)&amp;"|347"</f>
        <v>#REF!</v>
      </c>
      <c r="BY764" s="174"/>
      <c r="BZ764" s="175"/>
      <c r="CD764" s="163"/>
      <c r="CE764" s="363"/>
      <c r="CF764" s="335"/>
      <c r="CG764" s="335"/>
      <c r="CH764" s="335"/>
      <c r="CI764" s="335"/>
      <c r="CJ764" s="335"/>
      <c r="CK764" s="335"/>
      <c r="CL764" s="335"/>
      <c r="CM764" s="335"/>
      <c r="CN764" s="335"/>
      <c r="CO764" s="335"/>
      <c r="CP764" s="335"/>
      <c r="CQ764" s="335"/>
      <c r="CR764" s="335"/>
      <c r="CS764" s="335"/>
      <c r="CT764" s="335"/>
      <c r="CU764" s="335"/>
      <c r="CV764" s="335"/>
      <c r="CW764" s="335"/>
      <c r="CX764" s="335"/>
      <c r="CY764" s="335"/>
      <c r="CZ764" s="335"/>
      <c r="DA764" s="335"/>
      <c r="DB764" s="335"/>
      <c r="DC764" s="335"/>
      <c r="DD764" s="335"/>
      <c r="DE764" s="335"/>
      <c r="DF764" s="335"/>
      <c r="DG764" s="335"/>
      <c r="DH764" s="335"/>
      <c r="DI764" s="335"/>
      <c r="DJ764" s="335"/>
      <c r="DK764" s="335"/>
      <c r="DL764" s="335"/>
      <c r="DM764" s="335"/>
      <c r="DN764" s="335"/>
      <c r="DO764" s="335"/>
      <c r="DP764" s="335"/>
      <c r="DQ764" s="335"/>
      <c r="DR764" s="335"/>
      <c r="DS764" s="335"/>
      <c r="DT764" s="335"/>
      <c r="DU764" s="335"/>
      <c r="DV764" s="335"/>
      <c r="DW764" s="335"/>
      <c r="DX764" s="335"/>
      <c r="DY764" s="335"/>
      <c r="DZ764" s="335"/>
      <c r="EA764" s="335"/>
      <c r="EB764" s="335"/>
      <c r="EC764" s="335"/>
      <c r="ED764" s="335"/>
      <c r="EE764" s="335"/>
      <c r="EF764" s="335"/>
      <c r="EG764" s="335"/>
      <c r="EH764" s="335"/>
      <c r="EI764" s="335"/>
      <c r="EJ764" s="335"/>
      <c r="EK764" s="335"/>
      <c r="EL764" s="335"/>
      <c r="EM764" s="335"/>
    </row>
    <row r="765" spans="72:143">
      <c r="BT765" s="187"/>
      <c r="BU765" s="187" t="s">
        <v>60</v>
      </c>
      <c r="BV765" s="196">
        <v>120045</v>
      </c>
      <c r="BW765" s="197" t="e">
        <f t="shared" si="152"/>
        <v>#REF!</v>
      </c>
      <c r="BX765" s="198" t="e">
        <f>IF(AND(State_LOB_Code=18,LEFT(BW765,4)&lt;"2009"),81,State_LOB_Code)&amp;"|348"</f>
        <v>#REF!</v>
      </c>
      <c r="BY765" s="174"/>
      <c r="BZ765" s="175"/>
      <c r="CD765" s="163"/>
      <c r="CE765" s="363"/>
      <c r="CF765" s="335"/>
      <c r="CG765" s="335"/>
      <c r="CH765" s="335"/>
      <c r="CI765" s="335"/>
      <c r="CJ765" s="335"/>
      <c r="CK765" s="335"/>
      <c r="CL765" s="335"/>
      <c r="CM765" s="335"/>
      <c r="CN765" s="335"/>
      <c r="CO765" s="335"/>
      <c r="CP765" s="335"/>
      <c r="CQ765" s="335"/>
      <c r="CR765" s="335"/>
      <c r="CS765" s="335"/>
      <c r="CT765" s="335"/>
      <c r="CU765" s="335"/>
      <c r="CV765" s="335"/>
      <c r="CW765" s="335"/>
      <c r="CX765" s="335"/>
      <c r="CY765" s="335"/>
      <c r="CZ765" s="335"/>
      <c r="DA765" s="335"/>
      <c r="DB765" s="335"/>
      <c r="DC765" s="335"/>
      <c r="DD765" s="335"/>
      <c r="DE765" s="335"/>
      <c r="DF765" s="335"/>
      <c r="DG765" s="335"/>
      <c r="DH765" s="335"/>
      <c r="DI765" s="335"/>
      <c r="DJ765" s="335"/>
      <c r="DK765" s="335"/>
      <c r="DL765" s="335"/>
      <c r="DM765" s="335"/>
      <c r="DN765" s="335"/>
      <c r="DO765" s="335"/>
      <c r="DP765" s="335"/>
      <c r="DQ765" s="335"/>
      <c r="DR765" s="335"/>
      <c r="DS765" s="335"/>
      <c r="DT765" s="335"/>
      <c r="DU765" s="335"/>
      <c r="DV765" s="335"/>
      <c r="DW765" s="335"/>
      <c r="DX765" s="335"/>
      <c r="DY765" s="335"/>
      <c r="DZ765" s="335"/>
      <c r="EA765" s="335"/>
      <c r="EB765" s="335"/>
      <c r="EC765" s="335"/>
      <c r="ED765" s="335"/>
      <c r="EE765" s="335"/>
      <c r="EF765" s="335"/>
      <c r="EG765" s="335"/>
      <c r="EH765" s="335"/>
      <c r="EI765" s="335"/>
      <c r="EJ765" s="335"/>
      <c r="EK765" s="335"/>
      <c r="EL765" s="335"/>
      <c r="EM765" s="335"/>
    </row>
    <row r="766" spans="72:143">
      <c r="BT766" s="187"/>
      <c r="BU766" s="187" t="s">
        <v>61</v>
      </c>
      <c r="BV766" s="196">
        <v>120045</v>
      </c>
      <c r="BW766" s="197" t="e">
        <f t="shared" si="152"/>
        <v>#REF!</v>
      </c>
      <c r="BX766" s="198" t="e">
        <f>IF(AND(State_LOB_Code=18,LEFT(BW766,4)&lt;"2009"),81,State_LOB_Code)&amp;"|349"</f>
        <v>#REF!</v>
      </c>
      <c r="BY766" s="174"/>
      <c r="BZ766" s="175"/>
      <c r="CD766" s="163"/>
      <c r="CE766" s="363"/>
      <c r="CF766" s="335"/>
      <c r="CG766" s="335"/>
      <c r="CH766" s="335"/>
      <c r="CI766" s="335"/>
      <c r="CJ766" s="335"/>
      <c r="CK766" s="335"/>
      <c r="CL766" s="335"/>
      <c r="CM766" s="335"/>
      <c r="CN766" s="335"/>
      <c r="CO766" s="335"/>
      <c r="CP766" s="335"/>
      <c r="CQ766" s="335"/>
      <c r="CR766" s="335"/>
      <c r="CS766" s="335"/>
      <c r="CT766" s="335"/>
      <c r="CU766" s="335"/>
      <c r="CV766" s="335"/>
      <c r="CW766" s="335"/>
      <c r="CX766" s="335"/>
      <c r="CY766" s="335"/>
      <c r="CZ766" s="335"/>
      <c r="DA766" s="335"/>
      <c r="DB766" s="335"/>
      <c r="DC766" s="335"/>
      <c r="DD766" s="335"/>
      <c r="DE766" s="335"/>
      <c r="DF766" s="335"/>
      <c r="DG766" s="335"/>
      <c r="DH766" s="335"/>
      <c r="DI766" s="335"/>
      <c r="DJ766" s="335"/>
      <c r="DK766" s="335"/>
      <c r="DL766" s="335"/>
      <c r="DM766" s="335"/>
      <c r="DN766" s="335"/>
      <c r="DO766" s="335"/>
      <c r="DP766" s="335"/>
      <c r="DQ766" s="335"/>
      <c r="DR766" s="335"/>
      <c r="DS766" s="335"/>
      <c r="DT766" s="335"/>
      <c r="DU766" s="335"/>
      <c r="DV766" s="335"/>
      <c r="DW766" s="335"/>
      <c r="DX766" s="335"/>
      <c r="DY766" s="335"/>
      <c r="DZ766" s="335"/>
      <c r="EA766" s="335"/>
      <c r="EB766" s="335"/>
      <c r="EC766" s="335"/>
      <c r="ED766" s="335"/>
      <c r="EE766" s="335"/>
      <c r="EF766" s="335"/>
      <c r="EG766" s="335"/>
      <c r="EH766" s="335"/>
      <c r="EI766" s="335"/>
      <c r="EJ766" s="335"/>
      <c r="EK766" s="335"/>
      <c r="EL766" s="335"/>
      <c r="EM766" s="335"/>
    </row>
    <row r="767" spans="72:143">
      <c r="BT767" s="187"/>
      <c r="BU767" s="187" t="s">
        <v>62</v>
      </c>
      <c r="BV767" s="196">
        <v>120045</v>
      </c>
      <c r="BW767" s="197" t="e">
        <f t="shared" si="152"/>
        <v>#REF!</v>
      </c>
      <c r="BX767" s="198" t="e">
        <f>IF(AND(State_LOB_Code=18,LEFT(BW767,4)&lt;"2009"),81,State_LOB_Code)&amp;"|350"</f>
        <v>#REF!</v>
      </c>
      <c r="BY767" s="174"/>
      <c r="BZ767" s="175"/>
      <c r="CD767" s="163"/>
      <c r="CE767" s="363"/>
      <c r="CF767" s="335"/>
      <c r="CG767" s="335"/>
      <c r="CH767" s="335"/>
      <c r="CI767" s="335"/>
      <c r="CJ767" s="335"/>
      <c r="CK767" s="335"/>
      <c r="CL767" s="335"/>
      <c r="CM767" s="335"/>
      <c r="CN767" s="335"/>
      <c r="CO767" s="335"/>
      <c r="CP767" s="335"/>
      <c r="CQ767" s="335"/>
      <c r="CR767" s="335"/>
      <c r="CS767" s="335"/>
      <c r="CT767" s="335"/>
      <c r="CU767" s="335"/>
      <c r="CV767" s="335"/>
      <c r="CW767" s="335"/>
      <c r="CX767" s="335"/>
      <c r="CY767" s="335"/>
      <c r="CZ767" s="335"/>
      <c r="DA767" s="335"/>
      <c r="DB767" s="335"/>
      <c r="DC767" s="335"/>
      <c r="DD767" s="335"/>
      <c r="DE767" s="335"/>
      <c r="DF767" s="335"/>
      <c r="DG767" s="335"/>
      <c r="DH767" s="335"/>
      <c r="DI767" s="335"/>
      <c r="DJ767" s="335"/>
      <c r="DK767" s="335"/>
      <c r="DL767" s="335"/>
      <c r="DM767" s="335"/>
      <c r="DN767" s="335"/>
      <c r="DO767" s="335"/>
      <c r="DP767" s="335"/>
      <c r="DQ767" s="335"/>
      <c r="DR767" s="335"/>
      <c r="DS767" s="335"/>
      <c r="DT767" s="335"/>
      <c r="DU767" s="335"/>
      <c r="DV767" s="335"/>
      <c r="DW767" s="335"/>
      <c r="DX767" s="335"/>
      <c r="DY767" s="335"/>
      <c r="DZ767" s="335"/>
      <c r="EA767" s="335"/>
      <c r="EB767" s="335"/>
      <c r="EC767" s="335"/>
      <c r="ED767" s="335"/>
      <c r="EE767" s="335"/>
      <c r="EF767" s="335"/>
      <c r="EG767" s="335"/>
      <c r="EH767" s="335"/>
      <c r="EI767" s="335"/>
      <c r="EJ767" s="335"/>
      <c r="EK767" s="335"/>
      <c r="EL767" s="335"/>
      <c r="EM767" s="335"/>
    </row>
    <row r="768" spans="72:143">
      <c r="BT768" s="187"/>
      <c r="BU768" s="187" t="s">
        <v>63</v>
      </c>
      <c r="BV768" s="196">
        <v>120045</v>
      </c>
      <c r="BW768" s="197" t="e">
        <f t="shared" si="152"/>
        <v>#REF!</v>
      </c>
      <c r="BX768" s="198" t="e">
        <f>IF(AND(State_LOB_Code=18,LEFT(BW768,4)&lt;"2009"),81,State_LOB_Code)&amp;"|351"</f>
        <v>#REF!</v>
      </c>
      <c r="BY768" s="174"/>
      <c r="BZ768" s="175"/>
      <c r="CD768" s="163"/>
      <c r="CE768" s="363"/>
      <c r="CF768" s="335"/>
      <c r="CG768" s="335"/>
      <c r="CH768" s="335"/>
      <c r="CI768" s="335"/>
      <c r="CJ768" s="335"/>
      <c r="CK768" s="335"/>
      <c r="CL768" s="335"/>
      <c r="CM768" s="335"/>
      <c r="CN768" s="335"/>
      <c r="CO768" s="335"/>
      <c r="CP768" s="335"/>
      <c r="CQ768" s="335"/>
      <c r="CR768" s="335"/>
      <c r="CS768" s="335"/>
      <c r="CT768" s="335"/>
      <c r="CU768" s="335"/>
      <c r="CV768" s="335"/>
      <c r="CW768" s="335"/>
      <c r="CX768" s="335"/>
      <c r="CY768" s="335"/>
      <c r="CZ768" s="335"/>
      <c r="DA768" s="335"/>
      <c r="DB768" s="335"/>
      <c r="DC768" s="335"/>
      <c r="DD768" s="335"/>
      <c r="DE768" s="335"/>
      <c r="DF768" s="335"/>
      <c r="DG768" s="335"/>
      <c r="DH768" s="335"/>
      <c r="DI768" s="335"/>
      <c r="DJ768" s="335"/>
      <c r="DK768" s="335"/>
      <c r="DL768" s="335"/>
      <c r="DM768" s="335"/>
      <c r="DN768" s="335"/>
      <c r="DO768" s="335"/>
      <c r="DP768" s="335"/>
      <c r="DQ768" s="335"/>
      <c r="DR768" s="335"/>
      <c r="DS768" s="335"/>
      <c r="DT768" s="335"/>
      <c r="DU768" s="335"/>
      <c r="DV768" s="335"/>
      <c r="DW768" s="335"/>
      <c r="DX768" s="335"/>
      <c r="DY768" s="335"/>
      <c r="DZ768" s="335"/>
      <c r="EA768" s="335"/>
      <c r="EB768" s="335"/>
      <c r="EC768" s="335"/>
      <c r="ED768" s="335"/>
      <c r="EE768" s="335"/>
      <c r="EF768" s="335"/>
      <c r="EG768" s="335"/>
      <c r="EH768" s="335"/>
      <c r="EI768" s="335"/>
      <c r="EJ768" s="335"/>
      <c r="EK768" s="335"/>
      <c r="EL768" s="335"/>
      <c r="EM768" s="335"/>
    </row>
    <row r="769" spans="72:143">
      <c r="BT769" s="187"/>
      <c r="BU769" s="187" t="s">
        <v>64</v>
      </c>
      <c r="BV769" s="196">
        <v>120045</v>
      </c>
      <c r="BW769" s="197" t="e">
        <f t="shared" si="152"/>
        <v>#REF!</v>
      </c>
      <c r="BX769" s="198" t="e">
        <f>IF(AND(State_LOB_Code=18,LEFT(BW769,4)&lt;"2009"),81,State_LOB_Code)&amp;"|352"</f>
        <v>#REF!</v>
      </c>
      <c r="BY769" s="174"/>
      <c r="BZ769" s="175"/>
      <c r="CD769" s="163"/>
      <c r="CE769" s="363"/>
      <c r="CF769" s="335"/>
      <c r="CG769" s="335"/>
      <c r="CH769" s="335"/>
      <c r="CI769" s="335"/>
      <c r="CJ769" s="335"/>
      <c r="CK769" s="335"/>
      <c r="CL769" s="335"/>
      <c r="CM769" s="335"/>
      <c r="CN769" s="335"/>
      <c r="CO769" s="335"/>
      <c r="CP769" s="335"/>
      <c r="CQ769" s="335"/>
      <c r="CR769" s="335"/>
      <c r="CS769" s="335"/>
      <c r="CT769" s="335"/>
      <c r="CU769" s="335"/>
      <c r="CV769" s="335"/>
      <c r="CW769" s="335"/>
      <c r="CX769" s="335"/>
      <c r="CY769" s="335"/>
      <c r="CZ769" s="335"/>
      <c r="DA769" s="335"/>
      <c r="DB769" s="335"/>
      <c r="DC769" s="335"/>
      <c r="DD769" s="335"/>
      <c r="DE769" s="335"/>
      <c r="DF769" s="335"/>
      <c r="DG769" s="335"/>
      <c r="DH769" s="335"/>
      <c r="DI769" s="335"/>
      <c r="DJ769" s="335"/>
      <c r="DK769" s="335"/>
      <c r="DL769" s="335"/>
      <c r="DM769" s="335"/>
      <c r="DN769" s="335"/>
      <c r="DO769" s="335"/>
      <c r="DP769" s="335"/>
      <c r="DQ769" s="335"/>
      <c r="DR769" s="335"/>
      <c r="DS769" s="335"/>
      <c r="DT769" s="335"/>
      <c r="DU769" s="335"/>
      <c r="DV769" s="335"/>
      <c r="DW769" s="335"/>
      <c r="DX769" s="335"/>
      <c r="DY769" s="335"/>
      <c r="DZ769" s="335"/>
      <c r="EA769" s="335"/>
      <c r="EB769" s="335"/>
      <c r="EC769" s="335"/>
      <c r="ED769" s="335"/>
      <c r="EE769" s="335"/>
      <c r="EF769" s="335"/>
      <c r="EG769" s="335"/>
      <c r="EH769" s="335"/>
      <c r="EI769" s="335"/>
      <c r="EJ769" s="335"/>
      <c r="EK769" s="335"/>
      <c r="EL769" s="335"/>
      <c r="EM769" s="335"/>
    </row>
    <row r="770" spans="72:143">
      <c r="BT770" s="187"/>
      <c r="BU770" s="187" t="s">
        <v>65</v>
      </c>
      <c r="BV770" s="196">
        <v>120045</v>
      </c>
      <c r="BW770" s="197" t="e">
        <f t="shared" si="152"/>
        <v>#REF!</v>
      </c>
      <c r="BX770" s="198" t="e">
        <f>IF(AND(State_LOB_Code=18,LEFT(BW770,4)&lt;"2009"),81,State_LOB_Code)&amp;"|353"</f>
        <v>#REF!</v>
      </c>
      <c r="BY770" s="174"/>
      <c r="BZ770" s="175"/>
      <c r="CD770" s="163"/>
      <c r="CE770" s="363"/>
      <c r="CF770" s="335"/>
      <c r="CG770" s="335"/>
      <c r="CH770" s="335"/>
      <c r="CI770" s="335"/>
      <c r="CJ770" s="335"/>
      <c r="CK770" s="335"/>
      <c r="CL770" s="335"/>
      <c r="CM770" s="335"/>
      <c r="CN770" s="335"/>
      <c r="CO770" s="335"/>
      <c r="CP770" s="335"/>
      <c r="CQ770" s="335"/>
      <c r="CR770" s="335"/>
      <c r="CS770" s="335"/>
      <c r="CT770" s="335"/>
      <c r="CU770" s="335"/>
      <c r="CV770" s="335"/>
      <c r="CW770" s="335"/>
      <c r="CX770" s="335"/>
      <c r="CY770" s="335"/>
      <c r="CZ770" s="335"/>
      <c r="DA770" s="335"/>
      <c r="DB770" s="335"/>
      <c r="DC770" s="335"/>
      <c r="DD770" s="335"/>
      <c r="DE770" s="335"/>
      <c r="DF770" s="335"/>
      <c r="DG770" s="335"/>
      <c r="DH770" s="335"/>
      <c r="DI770" s="335"/>
      <c r="DJ770" s="335"/>
      <c r="DK770" s="335"/>
      <c r="DL770" s="335"/>
      <c r="DM770" s="335"/>
      <c r="DN770" s="335"/>
      <c r="DO770" s="335"/>
      <c r="DP770" s="335"/>
      <c r="DQ770" s="335"/>
      <c r="DR770" s="335"/>
      <c r="DS770" s="335"/>
      <c r="DT770" s="335"/>
      <c r="DU770" s="335"/>
      <c r="DV770" s="335"/>
      <c r="DW770" s="335"/>
      <c r="DX770" s="335"/>
      <c r="DY770" s="335"/>
      <c r="DZ770" s="335"/>
      <c r="EA770" s="335"/>
      <c r="EB770" s="335"/>
      <c r="EC770" s="335"/>
      <c r="ED770" s="335"/>
      <c r="EE770" s="335"/>
      <c r="EF770" s="335"/>
      <c r="EG770" s="335"/>
      <c r="EH770" s="335"/>
      <c r="EI770" s="335"/>
      <c r="EJ770" s="335"/>
      <c r="EK770" s="335"/>
      <c r="EL770" s="335"/>
      <c r="EM770" s="335"/>
    </row>
    <row r="771" spans="72:143">
      <c r="BT771" s="187"/>
      <c r="BU771" s="187" t="s">
        <v>66</v>
      </c>
      <c r="BV771" s="196">
        <v>120045</v>
      </c>
      <c r="BW771" s="197" t="e">
        <f t="shared" si="152"/>
        <v>#REF!</v>
      </c>
      <c r="BX771" s="198" t="e">
        <f>IF(AND(State_LOB_Code=18,LEFT(BW771,4)&lt;"2009"),81,State_LOB_Code)&amp;"|354"</f>
        <v>#REF!</v>
      </c>
      <c r="BY771" s="174"/>
      <c r="BZ771" s="175"/>
      <c r="CD771" s="163"/>
      <c r="CE771" s="363"/>
      <c r="CF771" s="335"/>
      <c r="CG771" s="335"/>
      <c r="CH771" s="335"/>
      <c r="CI771" s="335"/>
      <c r="CJ771" s="335"/>
      <c r="CK771" s="335"/>
      <c r="CL771" s="335"/>
      <c r="CM771" s="335"/>
      <c r="CN771" s="335"/>
      <c r="CO771" s="335"/>
      <c r="CP771" s="335"/>
      <c r="CQ771" s="335"/>
      <c r="CR771" s="335"/>
      <c r="CS771" s="335"/>
      <c r="CT771" s="335"/>
      <c r="CU771" s="335"/>
      <c r="CV771" s="335"/>
      <c r="CW771" s="335"/>
      <c r="CX771" s="335"/>
      <c r="CY771" s="335"/>
      <c r="CZ771" s="335"/>
      <c r="DA771" s="335"/>
      <c r="DB771" s="335"/>
      <c r="DC771" s="335"/>
      <c r="DD771" s="335"/>
      <c r="DE771" s="335"/>
      <c r="DF771" s="335"/>
      <c r="DG771" s="335"/>
      <c r="DH771" s="335"/>
      <c r="DI771" s="335"/>
      <c r="DJ771" s="335"/>
      <c r="DK771" s="335"/>
      <c r="DL771" s="335"/>
      <c r="DM771" s="335"/>
      <c r="DN771" s="335"/>
      <c r="DO771" s="335"/>
      <c r="DP771" s="335"/>
      <c r="DQ771" s="335"/>
      <c r="DR771" s="335"/>
      <c r="DS771" s="335"/>
      <c r="DT771" s="335"/>
      <c r="DU771" s="335"/>
      <c r="DV771" s="335"/>
      <c r="DW771" s="335"/>
      <c r="DX771" s="335"/>
      <c r="DY771" s="335"/>
      <c r="DZ771" s="335"/>
      <c r="EA771" s="335"/>
      <c r="EB771" s="335"/>
      <c r="EC771" s="335"/>
      <c r="ED771" s="335"/>
      <c r="EE771" s="335"/>
      <c r="EF771" s="335"/>
      <c r="EG771" s="335"/>
      <c r="EH771" s="335"/>
      <c r="EI771" s="335"/>
      <c r="EJ771" s="335"/>
      <c r="EK771" s="335"/>
      <c r="EL771" s="335"/>
      <c r="EM771" s="335"/>
    </row>
    <row r="772" spans="72:143">
      <c r="BT772" s="187"/>
      <c r="BU772" s="187" t="s">
        <v>67</v>
      </c>
      <c r="BV772" s="196">
        <v>120045</v>
      </c>
      <c r="BW772" s="197" t="e">
        <f t="shared" si="152"/>
        <v>#REF!</v>
      </c>
      <c r="BX772" s="198" t="e">
        <f>IF(AND(State_LOB_Code=18,LEFT(BW772,4)&lt;"2009"),81,State_LOB_Code)&amp;"|355"</f>
        <v>#REF!</v>
      </c>
      <c r="BY772" s="174"/>
      <c r="BZ772" s="175"/>
      <c r="CD772" s="163"/>
      <c r="CE772" s="363"/>
      <c r="CF772" s="335"/>
      <c r="CG772" s="335"/>
      <c r="CH772" s="335"/>
      <c r="CI772" s="335"/>
      <c r="CJ772" s="335"/>
      <c r="CK772" s="335"/>
      <c r="CL772" s="335"/>
      <c r="CM772" s="335"/>
      <c r="CN772" s="335"/>
      <c r="CO772" s="335"/>
      <c r="CP772" s="335"/>
      <c r="CQ772" s="335"/>
      <c r="CR772" s="335"/>
      <c r="CS772" s="335"/>
      <c r="CT772" s="335"/>
      <c r="CU772" s="335"/>
      <c r="CV772" s="335"/>
      <c r="CW772" s="335"/>
      <c r="CX772" s="335"/>
      <c r="CY772" s="335"/>
      <c r="CZ772" s="335"/>
      <c r="DA772" s="335"/>
      <c r="DB772" s="335"/>
      <c r="DC772" s="335"/>
      <c r="DD772" s="335"/>
      <c r="DE772" s="335"/>
      <c r="DF772" s="335"/>
      <c r="DG772" s="335"/>
      <c r="DH772" s="335"/>
      <c r="DI772" s="335"/>
      <c r="DJ772" s="335"/>
      <c r="DK772" s="335"/>
      <c r="DL772" s="335"/>
      <c r="DM772" s="335"/>
      <c r="DN772" s="335"/>
      <c r="DO772" s="335"/>
      <c r="DP772" s="335"/>
      <c r="DQ772" s="335"/>
      <c r="DR772" s="335"/>
      <c r="DS772" s="335"/>
      <c r="DT772" s="335"/>
      <c r="DU772" s="335"/>
      <c r="DV772" s="335"/>
      <c r="DW772" s="335"/>
      <c r="DX772" s="335"/>
      <c r="DY772" s="335"/>
      <c r="DZ772" s="335"/>
      <c r="EA772" s="335"/>
      <c r="EB772" s="335"/>
      <c r="EC772" s="335"/>
      <c r="ED772" s="335"/>
      <c r="EE772" s="335"/>
      <c r="EF772" s="335"/>
      <c r="EG772" s="335"/>
      <c r="EH772" s="335"/>
      <c r="EI772" s="335"/>
      <c r="EJ772" s="335"/>
      <c r="EK772" s="335"/>
      <c r="EL772" s="335"/>
      <c r="EM772" s="335"/>
    </row>
    <row r="773" spans="72:143">
      <c r="BT773" s="187"/>
      <c r="BU773" s="187" t="s">
        <v>68</v>
      </c>
      <c r="BV773" s="196">
        <v>120045</v>
      </c>
      <c r="BW773" s="197" t="e">
        <f t="shared" si="152"/>
        <v>#REF!</v>
      </c>
      <c r="BX773" s="198" t="e">
        <f>IF(AND(State_LOB_Code=18,LEFT(BW773,4)&lt;"2009"),81,State_LOB_Code)&amp;"|356"</f>
        <v>#REF!</v>
      </c>
      <c r="BY773" s="174"/>
      <c r="BZ773" s="175"/>
      <c r="CD773" s="163"/>
      <c r="CE773" s="363"/>
      <c r="CF773" s="335"/>
      <c r="CG773" s="335"/>
      <c r="CH773" s="335"/>
      <c r="CI773" s="335"/>
      <c r="CJ773" s="335"/>
      <c r="CK773" s="335"/>
      <c r="CL773" s="335"/>
      <c r="CM773" s="335"/>
      <c r="CN773" s="335"/>
      <c r="CO773" s="335"/>
      <c r="CP773" s="335"/>
      <c r="CQ773" s="335"/>
      <c r="CR773" s="335"/>
      <c r="CS773" s="335"/>
      <c r="CT773" s="335"/>
      <c r="CU773" s="335"/>
      <c r="CV773" s="335"/>
      <c r="CW773" s="335"/>
      <c r="CX773" s="335"/>
      <c r="CY773" s="335"/>
      <c r="CZ773" s="335"/>
      <c r="DA773" s="335"/>
      <c r="DB773" s="335"/>
      <c r="DC773" s="335"/>
      <c r="DD773" s="335"/>
      <c r="DE773" s="335"/>
      <c r="DF773" s="335"/>
      <c r="DG773" s="335"/>
      <c r="DH773" s="335"/>
      <c r="DI773" s="335"/>
      <c r="DJ773" s="335"/>
      <c r="DK773" s="335"/>
      <c r="DL773" s="335"/>
      <c r="DM773" s="335"/>
      <c r="DN773" s="335"/>
      <c r="DO773" s="335"/>
      <c r="DP773" s="335"/>
      <c r="DQ773" s="335"/>
      <c r="DR773" s="335"/>
      <c r="DS773" s="335"/>
      <c r="DT773" s="335"/>
      <c r="DU773" s="335"/>
      <c r="DV773" s="335"/>
      <c r="DW773" s="335"/>
      <c r="DX773" s="335"/>
      <c r="DY773" s="335"/>
      <c r="DZ773" s="335"/>
      <c r="EA773" s="335"/>
      <c r="EB773" s="335"/>
      <c r="EC773" s="335"/>
      <c r="ED773" s="335"/>
      <c r="EE773" s="335"/>
      <c r="EF773" s="335"/>
      <c r="EG773" s="335"/>
      <c r="EH773" s="335"/>
      <c r="EI773" s="335"/>
      <c r="EJ773" s="335"/>
      <c r="EK773" s="335"/>
      <c r="EL773" s="335"/>
      <c r="EM773" s="335"/>
    </row>
    <row r="774" spans="72:143">
      <c r="BT774" s="187"/>
      <c r="BU774" s="187" t="s">
        <v>69</v>
      </c>
      <c r="BV774" s="196">
        <v>120045</v>
      </c>
      <c r="BW774" s="197" t="e">
        <f t="shared" si="152"/>
        <v>#REF!</v>
      </c>
      <c r="BX774" s="198" t="e">
        <f>IF(AND(State_LOB_Code=18,LEFT(BW774,4)&lt;"2009"),81,State_LOB_Code)&amp;"|357"</f>
        <v>#REF!</v>
      </c>
      <c r="BY774" s="174"/>
      <c r="BZ774" s="175"/>
      <c r="CD774" s="163"/>
      <c r="CE774" s="363"/>
      <c r="CF774" s="335"/>
      <c r="CG774" s="335"/>
      <c r="CH774" s="335"/>
      <c r="CI774" s="335"/>
      <c r="CJ774" s="335"/>
      <c r="CK774" s="335"/>
      <c r="CL774" s="335"/>
      <c r="CM774" s="335"/>
      <c r="CN774" s="335"/>
      <c r="CO774" s="335"/>
      <c r="CP774" s="335"/>
      <c r="CQ774" s="335"/>
      <c r="CR774" s="335"/>
      <c r="CS774" s="335"/>
      <c r="CT774" s="335"/>
      <c r="CU774" s="335"/>
      <c r="CV774" s="335"/>
      <c r="CW774" s="335"/>
      <c r="CX774" s="335"/>
      <c r="CY774" s="335"/>
      <c r="CZ774" s="335"/>
      <c r="DA774" s="335"/>
      <c r="DB774" s="335"/>
      <c r="DC774" s="335"/>
      <c r="DD774" s="335"/>
      <c r="DE774" s="335"/>
      <c r="DF774" s="335"/>
      <c r="DG774" s="335"/>
      <c r="DH774" s="335"/>
      <c r="DI774" s="335"/>
      <c r="DJ774" s="335"/>
      <c r="DK774" s="335"/>
      <c r="DL774" s="335"/>
      <c r="DM774" s="335"/>
      <c r="DN774" s="335"/>
      <c r="DO774" s="335"/>
      <c r="DP774" s="335"/>
      <c r="DQ774" s="335"/>
      <c r="DR774" s="335"/>
      <c r="DS774" s="335"/>
      <c r="DT774" s="335"/>
      <c r="DU774" s="335"/>
      <c r="DV774" s="335"/>
      <c r="DW774" s="335"/>
      <c r="DX774" s="335"/>
      <c r="DY774" s="335"/>
      <c r="DZ774" s="335"/>
      <c r="EA774" s="335"/>
      <c r="EB774" s="335"/>
      <c r="EC774" s="335"/>
      <c r="ED774" s="335"/>
      <c r="EE774" s="335"/>
      <c r="EF774" s="335"/>
      <c r="EG774" s="335"/>
      <c r="EH774" s="335"/>
      <c r="EI774" s="335"/>
      <c r="EJ774" s="335"/>
      <c r="EK774" s="335"/>
      <c r="EL774" s="335"/>
      <c r="EM774" s="335"/>
    </row>
    <row r="775" spans="72:143">
      <c r="BT775" s="187"/>
      <c r="BU775" s="187" t="s">
        <v>70</v>
      </c>
      <c r="BV775" s="196">
        <v>120045</v>
      </c>
      <c r="BW775" s="197" t="e">
        <f t="shared" si="152"/>
        <v>#REF!</v>
      </c>
      <c r="BX775" s="198" t="e">
        <f>IF(AND(State_LOB_Code=18,LEFT(BW775,4)&lt;"2009"),81,State_LOB_Code)&amp;"|358"</f>
        <v>#REF!</v>
      </c>
      <c r="BY775" s="174"/>
      <c r="BZ775" s="175"/>
      <c r="CD775" s="163"/>
      <c r="CE775" s="363"/>
      <c r="CF775" s="335"/>
      <c r="CG775" s="335"/>
      <c r="CH775" s="335"/>
      <c r="CI775" s="335"/>
      <c r="CJ775" s="335"/>
      <c r="CK775" s="335"/>
      <c r="CL775" s="335"/>
      <c r="CM775" s="335"/>
      <c r="CN775" s="335"/>
      <c r="CO775" s="335"/>
      <c r="CP775" s="335"/>
      <c r="CQ775" s="335"/>
      <c r="CR775" s="335"/>
      <c r="CS775" s="335"/>
      <c r="CT775" s="335"/>
      <c r="CU775" s="335"/>
      <c r="CV775" s="335"/>
      <c r="CW775" s="335"/>
      <c r="CX775" s="335"/>
      <c r="CY775" s="335"/>
      <c r="CZ775" s="335"/>
      <c r="DA775" s="335"/>
      <c r="DB775" s="335"/>
      <c r="DC775" s="335"/>
      <c r="DD775" s="335"/>
      <c r="DE775" s="335"/>
      <c r="DF775" s="335"/>
      <c r="DG775" s="335"/>
      <c r="DH775" s="335"/>
      <c r="DI775" s="335"/>
      <c r="DJ775" s="335"/>
      <c r="DK775" s="335"/>
      <c r="DL775" s="335"/>
      <c r="DM775" s="335"/>
      <c r="DN775" s="335"/>
      <c r="DO775" s="335"/>
      <c r="DP775" s="335"/>
      <c r="DQ775" s="335"/>
      <c r="DR775" s="335"/>
      <c r="DS775" s="335"/>
      <c r="DT775" s="335"/>
      <c r="DU775" s="335"/>
      <c r="DV775" s="335"/>
      <c r="DW775" s="335"/>
      <c r="DX775" s="335"/>
      <c r="DY775" s="335"/>
      <c r="DZ775" s="335"/>
      <c r="EA775" s="335"/>
      <c r="EB775" s="335"/>
      <c r="EC775" s="335"/>
      <c r="ED775" s="335"/>
      <c r="EE775" s="335"/>
      <c r="EF775" s="335"/>
      <c r="EG775" s="335"/>
      <c r="EH775" s="335"/>
      <c r="EI775" s="335"/>
      <c r="EJ775" s="335"/>
      <c r="EK775" s="335"/>
      <c r="EL775" s="335"/>
      <c r="EM775" s="335"/>
    </row>
    <row r="776" spans="72:143">
      <c r="BT776" s="187"/>
      <c r="BU776" s="187" t="s">
        <v>71</v>
      </c>
      <c r="BV776" s="196">
        <v>120045</v>
      </c>
      <c r="BW776" s="197" t="e">
        <f t="shared" si="152"/>
        <v>#REF!</v>
      </c>
      <c r="BX776" s="198" t="e">
        <f>IF(AND(State_LOB_Code=18,LEFT(BW776,4)&lt;"2009"),81,State_LOB_Code)&amp;"|359"</f>
        <v>#REF!</v>
      </c>
      <c r="BY776" s="174"/>
      <c r="BZ776" s="175"/>
      <c r="CD776" s="163"/>
      <c r="CE776" s="363"/>
      <c r="CF776" s="335"/>
      <c r="CG776" s="335"/>
      <c r="CH776" s="335"/>
      <c r="CI776" s="335"/>
      <c r="CJ776" s="335"/>
      <c r="CK776" s="335"/>
      <c r="CL776" s="335"/>
      <c r="CM776" s="335"/>
      <c r="CN776" s="335"/>
      <c r="CO776" s="335"/>
      <c r="CP776" s="335"/>
      <c r="CQ776" s="335"/>
      <c r="CR776" s="335"/>
      <c r="CS776" s="335"/>
      <c r="CT776" s="335"/>
      <c r="CU776" s="335"/>
      <c r="CV776" s="335"/>
      <c r="CW776" s="335"/>
      <c r="CX776" s="335"/>
      <c r="CY776" s="335"/>
      <c r="CZ776" s="335"/>
      <c r="DA776" s="335"/>
      <c r="DB776" s="335"/>
      <c r="DC776" s="335"/>
      <c r="DD776" s="335"/>
      <c r="DE776" s="335"/>
      <c r="DF776" s="335"/>
      <c r="DG776" s="335"/>
      <c r="DH776" s="335"/>
      <c r="DI776" s="335"/>
      <c r="DJ776" s="335"/>
      <c r="DK776" s="335"/>
      <c r="DL776" s="335"/>
      <c r="DM776" s="335"/>
      <c r="DN776" s="335"/>
      <c r="DO776" s="335"/>
      <c r="DP776" s="335"/>
      <c r="DQ776" s="335"/>
      <c r="DR776" s="335"/>
      <c r="DS776" s="335"/>
      <c r="DT776" s="335"/>
      <c r="DU776" s="335"/>
      <c r="DV776" s="335"/>
      <c r="DW776" s="335"/>
      <c r="DX776" s="335"/>
      <c r="DY776" s="335"/>
      <c r="DZ776" s="335"/>
      <c r="EA776" s="335"/>
      <c r="EB776" s="335"/>
      <c r="EC776" s="335"/>
      <c r="ED776" s="335"/>
      <c r="EE776" s="335"/>
      <c r="EF776" s="335"/>
      <c r="EG776" s="335"/>
      <c r="EH776" s="335"/>
      <c r="EI776" s="335"/>
      <c r="EJ776" s="335"/>
      <c r="EK776" s="335"/>
      <c r="EL776" s="335"/>
      <c r="EM776" s="335"/>
    </row>
    <row r="777" spans="72:143">
      <c r="BT777" s="187"/>
      <c r="BU777" s="187" t="s">
        <v>72</v>
      </c>
      <c r="BV777" s="196">
        <v>120045</v>
      </c>
      <c r="BW777" s="197" t="e">
        <f t="shared" si="152"/>
        <v>#REF!</v>
      </c>
      <c r="BX777" s="198" t="e">
        <f>IF(AND(State_LOB_Code=18,LEFT(BW777,4)&lt;"2009"),81,State_LOB_Code)&amp;"|361"</f>
        <v>#REF!</v>
      </c>
      <c r="BY777" s="174"/>
      <c r="BZ777" s="175"/>
      <c r="CD777" s="163"/>
      <c r="CE777" s="363"/>
      <c r="CF777" s="335"/>
      <c r="CG777" s="335"/>
      <c r="CH777" s="335"/>
      <c r="CI777" s="335"/>
      <c r="CJ777" s="335"/>
      <c r="CK777" s="335"/>
      <c r="CL777" s="335"/>
      <c r="CM777" s="335"/>
      <c r="CN777" s="335"/>
      <c r="CO777" s="335"/>
      <c r="CP777" s="335"/>
      <c r="CQ777" s="335"/>
      <c r="CR777" s="335"/>
      <c r="CS777" s="335"/>
      <c r="CT777" s="335"/>
      <c r="CU777" s="335"/>
      <c r="CV777" s="335"/>
      <c r="CW777" s="335"/>
      <c r="CX777" s="335"/>
      <c r="CY777" s="335"/>
      <c r="CZ777" s="335"/>
      <c r="DA777" s="335"/>
      <c r="DB777" s="335"/>
      <c r="DC777" s="335"/>
      <c r="DD777" s="335"/>
      <c r="DE777" s="335"/>
      <c r="DF777" s="335"/>
      <c r="DG777" s="335"/>
      <c r="DH777" s="335"/>
      <c r="DI777" s="335"/>
      <c r="DJ777" s="335"/>
      <c r="DK777" s="335"/>
      <c r="DL777" s="335"/>
      <c r="DM777" s="335"/>
      <c r="DN777" s="335"/>
      <c r="DO777" s="335"/>
      <c r="DP777" s="335"/>
      <c r="DQ777" s="335"/>
      <c r="DR777" s="335"/>
      <c r="DS777" s="335"/>
      <c r="DT777" s="335"/>
      <c r="DU777" s="335"/>
      <c r="DV777" s="335"/>
      <c r="DW777" s="335"/>
      <c r="DX777" s="335"/>
      <c r="DY777" s="335"/>
      <c r="DZ777" s="335"/>
      <c r="EA777" s="335"/>
      <c r="EB777" s="335"/>
      <c r="EC777" s="335"/>
      <c r="ED777" s="335"/>
      <c r="EE777" s="335"/>
      <c r="EF777" s="335"/>
      <c r="EG777" s="335"/>
      <c r="EH777" s="335"/>
      <c r="EI777" s="335"/>
      <c r="EJ777" s="335"/>
      <c r="EK777" s="335"/>
      <c r="EL777" s="335"/>
      <c r="EM777" s="335"/>
    </row>
    <row r="778" spans="72:143">
      <c r="BT778" s="187"/>
      <c r="BU778" s="187" t="s">
        <v>73</v>
      </c>
      <c r="BV778" s="196">
        <v>120045</v>
      </c>
      <c r="BW778" s="197" t="e">
        <f t="shared" si="152"/>
        <v>#REF!</v>
      </c>
      <c r="BX778" s="198" t="e">
        <f>IF(AND(State_LOB_Code=18,LEFT(BW778,4)&lt;"2009"),81,State_LOB_Code)&amp;"|362"</f>
        <v>#REF!</v>
      </c>
      <c r="BY778" s="174"/>
      <c r="BZ778" s="175"/>
      <c r="CD778" s="163"/>
      <c r="CE778" s="363"/>
      <c r="CF778" s="335"/>
      <c r="CG778" s="335"/>
      <c r="CH778" s="335"/>
      <c r="CI778" s="335"/>
      <c r="CJ778" s="335"/>
      <c r="CK778" s="335"/>
      <c r="CL778" s="335"/>
      <c r="CM778" s="335"/>
      <c r="CN778" s="335"/>
      <c r="CO778" s="335"/>
      <c r="CP778" s="335"/>
      <c r="CQ778" s="335"/>
      <c r="CR778" s="335"/>
      <c r="CS778" s="335"/>
      <c r="CT778" s="335"/>
      <c r="CU778" s="335"/>
      <c r="CV778" s="335"/>
      <c r="CW778" s="335"/>
      <c r="CX778" s="335"/>
      <c r="CY778" s="335"/>
      <c r="CZ778" s="335"/>
      <c r="DA778" s="335"/>
      <c r="DB778" s="335"/>
      <c r="DC778" s="335"/>
      <c r="DD778" s="335"/>
      <c r="DE778" s="335"/>
      <c r="DF778" s="335"/>
      <c r="DG778" s="335"/>
      <c r="DH778" s="335"/>
      <c r="DI778" s="335"/>
      <c r="DJ778" s="335"/>
      <c r="DK778" s="335"/>
      <c r="DL778" s="335"/>
      <c r="DM778" s="335"/>
      <c r="DN778" s="335"/>
      <c r="DO778" s="335"/>
      <c r="DP778" s="335"/>
      <c r="DQ778" s="335"/>
      <c r="DR778" s="335"/>
      <c r="DS778" s="335"/>
      <c r="DT778" s="335"/>
      <c r="DU778" s="335"/>
      <c r="DV778" s="335"/>
      <c r="DW778" s="335"/>
      <c r="DX778" s="335"/>
      <c r="DY778" s="335"/>
      <c r="DZ778" s="335"/>
      <c r="EA778" s="335"/>
      <c r="EB778" s="335"/>
      <c r="EC778" s="335"/>
      <c r="ED778" s="335"/>
      <c r="EE778" s="335"/>
      <c r="EF778" s="335"/>
      <c r="EG778" s="335"/>
      <c r="EH778" s="335"/>
      <c r="EI778" s="335"/>
      <c r="EJ778" s="335"/>
      <c r="EK778" s="335"/>
      <c r="EL778" s="335"/>
      <c r="EM778" s="335"/>
    </row>
    <row r="779" spans="72:143">
      <c r="BT779" s="187"/>
      <c r="BU779" s="187" t="s">
        <v>74</v>
      </c>
      <c r="BV779" s="196">
        <v>120045</v>
      </c>
      <c r="BW779" s="197" t="e">
        <f t="shared" si="152"/>
        <v>#REF!</v>
      </c>
      <c r="BX779" s="198" t="e">
        <f>IF(AND(State_LOB_Code=18,LEFT(BW779,4)&lt;"2009"),81,State_LOB_Code)&amp;"|363"</f>
        <v>#REF!</v>
      </c>
      <c r="BY779" s="174"/>
      <c r="BZ779" s="175"/>
      <c r="CD779" s="163"/>
      <c r="CE779" s="363"/>
      <c r="CF779" s="335"/>
      <c r="CG779" s="335"/>
      <c r="CH779" s="335"/>
      <c r="CI779" s="335"/>
      <c r="CJ779" s="335"/>
      <c r="CK779" s="335"/>
      <c r="CL779" s="335"/>
      <c r="CM779" s="335"/>
      <c r="CN779" s="335"/>
      <c r="CO779" s="335"/>
      <c r="CP779" s="335"/>
      <c r="CQ779" s="335"/>
      <c r="CR779" s="335"/>
      <c r="CS779" s="335"/>
      <c r="CT779" s="335"/>
      <c r="CU779" s="335"/>
      <c r="CV779" s="335"/>
      <c r="CW779" s="335"/>
      <c r="CX779" s="335"/>
      <c r="CY779" s="335"/>
      <c r="CZ779" s="335"/>
      <c r="DA779" s="335"/>
      <c r="DB779" s="335"/>
      <c r="DC779" s="335"/>
      <c r="DD779" s="335"/>
      <c r="DE779" s="335"/>
      <c r="DF779" s="335"/>
      <c r="DG779" s="335"/>
      <c r="DH779" s="335"/>
      <c r="DI779" s="335"/>
      <c r="DJ779" s="335"/>
      <c r="DK779" s="335"/>
      <c r="DL779" s="335"/>
      <c r="DM779" s="335"/>
      <c r="DN779" s="335"/>
      <c r="DO779" s="335"/>
      <c r="DP779" s="335"/>
      <c r="DQ779" s="335"/>
      <c r="DR779" s="335"/>
      <c r="DS779" s="335"/>
      <c r="DT779" s="335"/>
      <c r="DU779" s="335"/>
      <c r="DV779" s="335"/>
      <c r="DW779" s="335"/>
      <c r="DX779" s="335"/>
      <c r="DY779" s="335"/>
      <c r="DZ779" s="335"/>
      <c r="EA779" s="335"/>
      <c r="EB779" s="335"/>
      <c r="EC779" s="335"/>
      <c r="ED779" s="335"/>
      <c r="EE779" s="335"/>
      <c r="EF779" s="335"/>
      <c r="EG779" s="335"/>
      <c r="EH779" s="335"/>
      <c r="EI779" s="335"/>
      <c r="EJ779" s="335"/>
      <c r="EK779" s="335"/>
      <c r="EL779" s="335"/>
      <c r="EM779" s="335"/>
    </row>
    <row r="780" spans="72:143">
      <c r="BT780" s="187"/>
      <c r="BU780" s="187" t="s">
        <v>75</v>
      </c>
      <c r="BV780" s="196">
        <v>120045</v>
      </c>
      <c r="BW780" s="197" t="e">
        <f t="shared" si="152"/>
        <v>#REF!</v>
      </c>
      <c r="BX780" s="198" t="e">
        <f>IF(AND(State_LOB_Code=18,LEFT(BW780,4)&lt;"2009"),81,State_LOB_Code)&amp;"|364"</f>
        <v>#REF!</v>
      </c>
      <c r="BY780" s="174"/>
      <c r="BZ780" s="175"/>
      <c r="CD780" s="163"/>
      <c r="CE780" s="363"/>
      <c r="CF780" s="335"/>
      <c r="CG780" s="335"/>
      <c r="CH780" s="335"/>
      <c r="CI780" s="335"/>
      <c r="CJ780" s="335"/>
      <c r="CK780" s="335"/>
      <c r="CL780" s="335"/>
      <c r="CM780" s="335"/>
      <c r="CN780" s="335"/>
      <c r="CO780" s="335"/>
      <c r="CP780" s="335"/>
      <c r="CQ780" s="335"/>
      <c r="CR780" s="335"/>
      <c r="CS780" s="335"/>
      <c r="CT780" s="335"/>
      <c r="CU780" s="335"/>
      <c r="CV780" s="335"/>
      <c r="CW780" s="335"/>
      <c r="CX780" s="335"/>
      <c r="CY780" s="335"/>
      <c r="CZ780" s="335"/>
      <c r="DA780" s="335"/>
      <c r="DB780" s="335"/>
      <c r="DC780" s="335"/>
      <c r="DD780" s="335"/>
      <c r="DE780" s="335"/>
      <c r="DF780" s="335"/>
      <c r="DG780" s="335"/>
      <c r="DH780" s="335"/>
      <c r="DI780" s="335"/>
      <c r="DJ780" s="335"/>
      <c r="DK780" s="335"/>
      <c r="DL780" s="335"/>
      <c r="DM780" s="335"/>
      <c r="DN780" s="335"/>
      <c r="DO780" s="335"/>
      <c r="DP780" s="335"/>
      <c r="DQ780" s="335"/>
      <c r="DR780" s="335"/>
      <c r="DS780" s="335"/>
      <c r="DT780" s="335"/>
      <c r="DU780" s="335"/>
      <c r="DV780" s="335"/>
      <c r="DW780" s="335"/>
      <c r="DX780" s="335"/>
      <c r="DY780" s="335"/>
      <c r="DZ780" s="335"/>
      <c r="EA780" s="335"/>
      <c r="EB780" s="335"/>
      <c r="EC780" s="335"/>
      <c r="ED780" s="335"/>
      <c r="EE780" s="335"/>
      <c r="EF780" s="335"/>
      <c r="EG780" s="335"/>
      <c r="EH780" s="335"/>
      <c r="EI780" s="335"/>
      <c r="EJ780" s="335"/>
      <c r="EK780" s="335"/>
      <c r="EL780" s="335"/>
      <c r="EM780" s="335"/>
    </row>
    <row r="781" spans="72:143">
      <c r="BT781" s="187"/>
      <c r="BU781" s="187" t="s">
        <v>76</v>
      </c>
      <c r="BV781" s="196">
        <v>120045</v>
      </c>
      <c r="BW781" s="197" t="e">
        <f t="shared" si="152"/>
        <v>#REF!</v>
      </c>
      <c r="BX781" s="198" t="e">
        <f>IF(AND(State_LOB_Code=18,LEFT(BW781,4)&lt;"2009"),81,State_LOB_Code)&amp;"|365"</f>
        <v>#REF!</v>
      </c>
      <c r="BY781" s="174"/>
      <c r="BZ781" s="175"/>
      <c r="CD781" s="163"/>
      <c r="CE781" s="363"/>
      <c r="CF781" s="335"/>
      <c r="CG781" s="335"/>
      <c r="CH781" s="335"/>
      <c r="CI781" s="335"/>
      <c r="CJ781" s="335"/>
      <c r="CK781" s="335"/>
      <c r="CL781" s="335"/>
      <c r="CM781" s="335"/>
      <c r="CN781" s="335"/>
      <c r="CO781" s="335"/>
      <c r="CP781" s="335"/>
      <c r="CQ781" s="335"/>
      <c r="CR781" s="335"/>
      <c r="CS781" s="335"/>
      <c r="CT781" s="335"/>
      <c r="CU781" s="335"/>
      <c r="CV781" s="335"/>
      <c r="CW781" s="335"/>
      <c r="CX781" s="335"/>
      <c r="CY781" s="335"/>
      <c r="CZ781" s="335"/>
      <c r="DA781" s="335"/>
      <c r="DB781" s="335"/>
      <c r="DC781" s="335"/>
      <c r="DD781" s="335"/>
      <c r="DE781" s="335"/>
      <c r="DF781" s="335"/>
      <c r="DG781" s="335"/>
      <c r="DH781" s="335"/>
      <c r="DI781" s="335"/>
      <c r="DJ781" s="335"/>
      <c r="DK781" s="335"/>
      <c r="DL781" s="335"/>
      <c r="DM781" s="335"/>
      <c r="DN781" s="335"/>
      <c r="DO781" s="335"/>
      <c r="DP781" s="335"/>
      <c r="DQ781" s="335"/>
      <c r="DR781" s="335"/>
      <c r="DS781" s="335"/>
      <c r="DT781" s="335"/>
      <c r="DU781" s="335"/>
      <c r="DV781" s="335"/>
      <c r="DW781" s="335"/>
      <c r="DX781" s="335"/>
      <c r="DY781" s="335"/>
      <c r="DZ781" s="335"/>
      <c r="EA781" s="335"/>
      <c r="EB781" s="335"/>
      <c r="EC781" s="335"/>
      <c r="ED781" s="335"/>
      <c r="EE781" s="335"/>
      <c r="EF781" s="335"/>
      <c r="EG781" s="335"/>
      <c r="EH781" s="335"/>
      <c r="EI781" s="335"/>
      <c r="EJ781" s="335"/>
      <c r="EK781" s="335"/>
      <c r="EL781" s="335"/>
      <c r="EM781" s="335"/>
    </row>
    <row r="782" spans="72:143">
      <c r="BT782" s="187"/>
      <c r="BU782" s="187" t="s">
        <v>77</v>
      </c>
      <c r="BV782" s="196">
        <v>120045</v>
      </c>
      <c r="BW782" s="197" t="e">
        <f t="shared" si="152"/>
        <v>#REF!</v>
      </c>
      <c r="BX782" s="198" t="e">
        <f>IF(AND(State_LOB_Code=18,LEFT(BW782,4)&lt;"2009"),81,State_LOB_Code)&amp;"|366"</f>
        <v>#REF!</v>
      </c>
      <c r="BY782" s="174"/>
      <c r="BZ782" s="175"/>
      <c r="CD782" s="163"/>
      <c r="CE782" s="363"/>
      <c r="CF782" s="335"/>
      <c r="CG782" s="335"/>
      <c r="CH782" s="335"/>
      <c r="CI782" s="335"/>
      <c r="CJ782" s="335"/>
      <c r="CK782" s="335"/>
      <c r="CL782" s="335"/>
      <c r="CM782" s="335"/>
      <c r="CN782" s="335"/>
      <c r="CO782" s="335"/>
      <c r="CP782" s="335"/>
      <c r="CQ782" s="335"/>
      <c r="CR782" s="335"/>
      <c r="CS782" s="335"/>
      <c r="CT782" s="335"/>
      <c r="CU782" s="335"/>
      <c r="CV782" s="335"/>
      <c r="CW782" s="335"/>
      <c r="CX782" s="335"/>
      <c r="CY782" s="335"/>
      <c r="CZ782" s="335"/>
      <c r="DA782" s="335"/>
      <c r="DB782" s="335"/>
      <c r="DC782" s="335"/>
      <c r="DD782" s="335"/>
      <c r="DE782" s="335"/>
      <c r="DF782" s="335"/>
      <c r="DG782" s="335"/>
      <c r="DH782" s="335"/>
      <c r="DI782" s="335"/>
      <c r="DJ782" s="335"/>
      <c r="DK782" s="335"/>
      <c r="DL782" s="335"/>
      <c r="DM782" s="335"/>
      <c r="DN782" s="335"/>
      <c r="DO782" s="335"/>
      <c r="DP782" s="335"/>
      <c r="DQ782" s="335"/>
      <c r="DR782" s="335"/>
      <c r="DS782" s="335"/>
      <c r="DT782" s="335"/>
      <c r="DU782" s="335"/>
      <c r="DV782" s="335"/>
      <c r="DW782" s="335"/>
      <c r="DX782" s="335"/>
      <c r="DY782" s="335"/>
      <c r="DZ782" s="335"/>
      <c r="EA782" s="335"/>
      <c r="EB782" s="335"/>
      <c r="EC782" s="335"/>
      <c r="ED782" s="335"/>
      <c r="EE782" s="335"/>
      <c r="EF782" s="335"/>
      <c r="EG782" s="335"/>
      <c r="EH782" s="335"/>
      <c r="EI782" s="335"/>
      <c r="EJ782" s="335"/>
      <c r="EK782" s="335"/>
      <c r="EL782" s="335"/>
      <c r="EM782" s="335"/>
    </row>
    <row r="783" spans="72:143">
      <c r="BT783" s="187"/>
      <c r="BU783" s="187" t="s">
        <v>78</v>
      </c>
      <c r="BV783" s="196">
        <v>120045</v>
      </c>
      <c r="BW783" s="197" t="e">
        <f t="shared" si="152"/>
        <v>#REF!</v>
      </c>
      <c r="BX783" s="198" t="e">
        <f>IF(AND(State_LOB_Code=18,LEFT(BW783,4)&lt;"2009"),81,State_LOB_Code)&amp;"|367"</f>
        <v>#REF!</v>
      </c>
      <c r="BY783" s="174"/>
      <c r="BZ783" s="175"/>
      <c r="CD783" s="163"/>
      <c r="CE783" s="363"/>
      <c r="CF783" s="335"/>
      <c r="CG783" s="335"/>
      <c r="CH783" s="335"/>
      <c r="CI783" s="335"/>
      <c r="CJ783" s="335"/>
      <c r="CK783" s="335"/>
      <c r="CL783" s="335"/>
      <c r="CM783" s="335"/>
      <c r="CN783" s="335"/>
      <c r="CO783" s="335"/>
      <c r="CP783" s="335"/>
      <c r="CQ783" s="335"/>
      <c r="CR783" s="335"/>
      <c r="CS783" s="335"/>
      <c r="CT783" s="335"/>
      <c r="CU783" s="335"/>
      <c r="CV783" s="335"/>
      <c r="CW783" s="335"/>
      <c r="CX783" s="335"/>
      <c r="CY783" s="335"/>
      <c r="CZ783" s="335"/>
      <c r="DA783" s="335"/>
      <c r="DB783" s="335"/>
      <c r="DC783" s="335"/>
      <c r="DD783" s="335"/>
      <c r="DE783" s="335"/>
      <c r="DF783" s="335"/>
      <c r="DG783" s="335"/>
      <c r="DH783" s="335"/>
      <c r="DI783" s="335"/>
      <c r="DJ783" s="335"/>
      <c r="DK783" s="335"/>
      <c r="DL783" s="335"/>
      <c r="DM783" s="335"/>
      <c r="DN783" s="335"/>
      <c r="DO783" s="335"/>
      <c r="DP783" s="335"/>
      <c r="DQ783" s="335"/>
      <c r="DR783" s="335"/>
      <c r="DS783" s="335"/>
      <c r="DT783" s="335"/>
      <c r="DU783" s="335"/>
      <c r="DV783" s="335"/>
      <c r="DW783" s="335"/>
      <c r="DX783" s="335"/>
      <c r="DY783" s="335"/>
      <c r="DZ783" s="335"/>
      <c r="EA783" s="335"/>
      <c r="EB783" s="335"/>
      <c r="EC783" s="335"/>
      <c r="ED783" s="335"/>
      <c r="EE783" s="335"/>
      <c r="EF783" s="335"/>
      <c r="EG783" s="335"/>
      <c r="EH783" s="335"/>
      <c r="EI783" s="335"/>
      <c r="EJ783" s="335"/>
      <c r="EK783" s="335"/>
      <c r="EL783" s="335"/>
      <c r="EM783" s="335"/>
    </row>
    <row r="784" spans="72:143">
      <c r="BT784" s="187"/>
      <c r="BU784" s="187" t="s">
        <v>79</v>
      </c>
      <c r="BV784" s="196">
        <v>120045</v>
      </c>
      <c r="BW784" s="197" t="e">
        <f t="shared" ref="BW784:BW811" si="153">LEFT(BW723,4)-1&amp;"Y"</f>
        <v>#REF!</v>
      </c>
      <c r="BX784" s="198" t="e">
        <f>IF(AND(State_LOB_Code=18,LEFT(BW784,4)&lt;"2009"),81,State_LOB_Code)&amp;"|368"</f>
        <v>#REF!</v>
      </c>
      <c r="BY784" s="174"/>
      <c r="BZ784" s="175"/>
      <c r="CD784" s="163"/>
      <c r="CE784" s="363"/>
      <c r="CF784" s="335"/>
      <c r="CG784" s="335"/>
      <c r="CH784" s="335"/>
      <c r="CI784" s="335"/>
      <c r="CJ784" s="335"/>
      <c r="CK784" s="335"/>
      <c r="CL784" s="335"/>
      <c r="CM784" s="335"/>
      <c r="CN784" s="335"/>
      <c r="CO784" s="335"/>
      <c r="CP784" s="335"/>
      <c r="CQ784" s="335"/>
      <c r="CR784" s="335"/>
      <c r="CS784" s="335"/>
      <c r="CT784" s="335"/>
      <c r="CU784" s="335"/>
      <c r="CV784" s="335"/>
      <c r="CW784" s="335"/>
      <c r="CX784" s="335"/>
      <c r="CY784" s="335"/>
      <c r="CZ784" s="335"/>
      <c r="DA784" s="335"/>
      <c r="DB784" s="335"/>
      <c r="DC784" s="335"/>
      <c r="DD784" s="335"/>
      <c r="DE784" s="335"/>
      <c r="DF784" s="335"/>
      <c r="DG784" s="335"/>
      <c r="DH784" s="335"/>
      <c r="DI784" s="335"/>
      <c r="DJ784" s="335"/>
      <c r="DK784" s="335"/>
      <c r="DL784" s="335"/>
      <c r="DM784" s="335"/>
      <c r="DN784" s="335"/>
      <c r="DO784" s="335"/>
      <c r="DP784" s="335"/>
      <c r="DQ784" s="335"/>
      <c r="DR784" s="335"/>
      <c r="DS784" s="335"/>
      <c r="DT784" s="335"/>
      <c r="DU784" s="335"/>
      <c r="DV784" s="335"/>
      <c r="DW784" s="335"/>
      <c r="DX784" s="335"/>
      <c r="DY784" s="335"/>
      <c r="DZ784" s="335"/>
      <c r="EA784" s="335"/>
      <c r="EB784" s="335"/>
      <c r="EC784" s="335"/>
      <c r="ED784" s="335"/>
      <c r="EE784" s="335"/>
      <c r="EF784" s="335"/>
      <c r="EG784" s="335"/>
      <c r="EH784" s="335"/>
      <c r="EI784" s="335"/>
      <c r="EJ784" s="335"/>
      <c r="EK784" s="335"/>
      <c r="EL784" s="335"/>
      <c r="EM784" s="335"/>
    </row>
    <row r="785" spans="72:143">
      <c r="BT785" s="187"/>
      <c r="BU785" s="187" t="s">
        <v>80</v>
      </c>
      <c r="BV785" s="196">
        <v>120045</v>
      </c>
      <c r="BW785" s="197" t="e">
        <f t="shared" si="153"/>
        <v>#REF!</v>
      </c>
      <c r="BX785" s="198" t="e">
        <f>IF(AND(State_LOB_Code=18,LEFT(BW785,4)&lt;"2009"),81,State_LOB_Code)&amp;"|369"</f>
        <v>#REF!</v>
      </c>
      <c r="BY785" s="174"/>
      <c r="BZ785" s="175"/>
      <c r="CD785" s="163"/>
      <c r="CE785" s="363"/>
      <c r="CF785" s="335"/>
      <c r="CG785" s="335"/>
      <c r="CH785" s="335"/>
      <c r="CI785" s="335"/>
      <c r="CJ785" s="335"/>
      <c r="CK785" s="335"/>
      <c r="CL785" s="335"/>
      <c r="CM785" s="335"/>
      <c r="CN785" s="335"/>
      <c r="CO785" s="335"/>
      <c r="CP785" s="335"/>
      <c r="CQ785" s="335"/>
      <c r="CR785" s="335"/>
      <c r="CS785" s="335"/>
      <c r="CT785" s="335"/>
      <c r="CU785" s="335"/>
      <c r="CV785" s="335"/>
      <c r="CW785" s="335"/>
      <c r="CX785" s="335"/>
      <c r="CY785" s="335"/>
      <c r="CZ785" s="335"/>
      <c r="DA785" s="335"/>
      <c r="DB785" s="335"/>
      <c r="DC785" s="335"/>
      <c r="DD785" s="335"/>
      <c r="DE785" s="335"/>
      <c r="DF785" s="335"/>
      <c r="DG785" s="335"/>
      <c r="DH785" s="335"/>
      <c r="DI785" s="335"/>
      <c r="DJ785" s="335"/>
      <c r="DK785" s="335"/>
      <c r="DL785" s="335"/>
      <c r="DM785" s="335"/>
      <c r="DN785" s="335"/>
      <c r="DO785" s="335"/>
      <c r="DP785" s="335"/>
      <c r="DQ785" s="335"/>
      <c r="DR785" s="335"/>
      <c r="DS785" s="335"/>
      <c r="DT785" s="335"/>
      <c r="DU785" s="335"/>
      <c r="DV785" s="335"/>
      <c r="DW785" s="335"/>
      <c r="DX785" s="335"/>
      <c r="DY785" s="335"/>
      <c r="DZ785" s="335"/>
      <c r="EA785" s="335"/>
      <c r="EB785" s="335"/>
      <c r="EC785" s="335"/>
      <c r="ED785" s="335"/>
      <c r="EE785" s="335"/>
      <c r="EF785" s="335"/>
      <c r="EG785" s="335"/>
      <c r="EH785" s="335"/>
      <c r="EI785" s="335"/>
      <c r="EJ785" s="335"/>
      <c r="EK785" s="335"/>
      <c r="EL785" s="335"/>
      <c r="EM785" s="335"/>
    </row>
    <row r="786" spans="72:143">
      <c r="BT786" s="187"/>
      <c r="BU786" s="187" t="s">
        <v>81</v>
      </c>
      <c r="BV786" s="196">
        <v>120045</v>
      </c>
      <c r="BW786" s="197" t="e">
        <f t="shared" si="153"/>
        <v>#REF!</v>
      </c>
      <c r="BX786" s="198" t="e">
        <f>IF(AND(State_LOB_Code=18,LEFT(BW786,4)&lt;"2009"),81,State_LOB_Code)&amp;"|370"</f>
        <v>#REF!</v>
      </c>
      <c r="BY786" s="174"/>
      <c r="BZ786" s="175"/>
      <c r="CD786" s="163"/>
      <c r="CE786" s="363"/>
      <c r="CF786" s="335"/>
      <c r="CG786" s="335"/>
      <c r="CH786" s="335"/>
      <c r="CI786" s="335"/>
      <c r="CJ786" s="335"/>
      <c r="CK786" s="335"/>
      <c r="CL786" s="335"/>
      <c r="CM786" s="335"/>
      <c r="CN786" s="335"/>
      <c r="CO786" s="335"/>
      <c r="CP786" s="335"/>
      <c r="CQ786" s="335"/>
      <c r="CR786" s="335"/>
      <c r="CS786" s="335"/>
      <c r="CT786" s="335"/>
      <c r="CU786" s="335"/>
      <c r="CV786" s="335"/>
      <c r="CW786" s="335"/>
      <c r="CX786" s="335"/>
      <c r="CY786" s="335"/>
      <c r="CZ786" s="335"/>
      <c r="DA786" s="335"/>
      <c r="DB786" s="335"/>
      <c r="DC786" s="335"/>
      <c r="DD786" s="335"/>
      <c r="DE786" s="335"/>
      <c r="DF786" s="335"/>
      <c r="DG786" s="335"/>
      <c r="DH786" s="335"/>
      <c r="DI786" s="335"/>
      <c r="DJ786" s="335"/>
      <c r="DK786" s="335"/>
      <c r="DL786" s="335"/>
      <c r="DM786" s="335"/>
      <c r="DN786" s="335"/>
      <c r="DO786" s="335"/>
      <c r="DP786" s="335"/>
      <c r="DQ786" s="335"/>
      <c r="DR786" s="335"/>
      <c r="DS786" s="335"/>
      <c r="DT786" s="335"/>
      <c r="DU786" s="335"/>
      <c r="DV786" s="335"/>
      <c r="DW786" s="335"/>
      <c r="DX786" s="335"/>
      <c r="DY786" s="335"/>
      <c r="DZ786" s="335"/>
      <c r="EA786" s="335"/>
      <c r="EB786" s="335"/>
      <c r="EC786" s="335"/>
      <c r="ED786" s="335"/>
      <c r="EE786" s="335"/>
      <c r="EF786" s="335"/>
      <c r="EG786" s="335"/>
      <c r="EH786" s="335"/>
      <c r="EI786" s="335"/>
      <c r="EJ786" s="335"/>
      <c r="EK786" s="335"/>
      <c r="EL786" s="335"/>
      <c r="EM786" s="335"/>
    </row>
    <row r="787" spans="72:143">
      <c r="BT787" s="187"/>
      <c r="BU787" s="187" t="s">
        <v>82</v>
      </c>
      <c r="BV787" s="196">
        <v>120045</v>
      </c>
      <c r="BW787" s="197" t="e">
        <f t="shared" si="153"/>
        <v>#REF!</v>
      </c>
      <c r="BX787" s="198" t="e">
        <f>IF(AND(State_LOB_Code=18,LEFT(BW787,4)&lt;"2009"),81,State_LOB_Code)&amp;"|371"</f>
        <v>#REF!</v>
      </c>
      <c r="BY787" s="174"/>
      <c r="BZ787" s="175"/>
      <c r="CD787" s="163"/>
      <c r="CE787" s="363"/>
      <c r="CF787" s="335"/>
      <c r="CG787" s="335"/>
      <c r="CH787" s="335"/>
      <c r="CI787" s="335"/>
      <c r="CJ787" s="335"/>
      <c r="CK787" s="335"/>
      <c r="CL787" s="335"/>
      <c r="CM787" s="335"/>
      <c r="CN787" s="335"/>
      <c r="CO787" s="335"/>
      <c r="CP787" s="335"/>
      <c r="CQ787" s="335"/>
      <c r="CR787" s="335"/>
      <c r="CS787" s="335"/>
      <c r="CT787" s="335"/>
      <c r="CU787" s="335"/>
      <c r="CV787" s="335"/>
      <c r="CW787" s="335"/>
      <c r="CX787" s="335"/>
      <c r="CY787" s="335"/>
      <c r="CZ787" s="335"/>
      <c r="DA787" s="335"/>
      <c r="DB787" s="335"/>
      <c r="DC787" s="335"/>
      <c r="DD787" s="335"/>
      <c r="DE787" s="335"/>
      <c r="DF787" s="335"/>
      <c r="DG787" s="335"/>
      <c r="DH787" s="335"/>
      <c r="DI787" s="335"/>
      <c r="DJ787" s="335"/>
      <c r="DK787" s="335"/>
      <c r="DL787" s="335"/>
      <c r="DM787" s="335"/>
      <c r="DN787" s="335"/>
      <c r="DO787" s="335"/>
      <c r="DP787" s="335"/>
      <c r="DQ787" s="335"/>
      <c r="DR787" s="335"/>
      <c r="DS787" s="335"/>
      <c r="DT787" s="335"/>
      <c r="DU787" s="335"/>
      <c r="DV787" s="335"/>
      <c r="DW787" s="335"/>
      <c r="DX787" s="335"/>
      <c r="DY787" s="335"/>
      <c r="DZ787" s="335"/>
      <c r="EA787" s="335"/>
      <c r="EB787" s="335"/>
      <c r="EC787" s="335"/>
      <c r="ED787" s="335"/>
      <c r="EE787" s="335"/>
      <c r="EF787" s="335"/>
      <c r="EG787" s="335"/>
      <c r="EH787" s="335"/>
      <c r="EI787" s="335"/>
      <c r="EJ787" s="335"/>
      <c r="EK787" s="335"/>
      <c r="EL787" s="335"/>
      <c r="EM787" s="335"/>
    </row>
    <row r="788" spans="72:143">
      <c r="BT788" s="187"/>
      <c r="BU788" s="187" t="s">
        <v>83</v>
      </c>
      <c r="BV788" s="196">
        <v>120045</v>
      </c>
      <c r="BW788" s="197" t="e">
        <f t="shared" si="153"/>
        <v>#REF!</v>
      </c>
      <c r="BX788" s="198" t="e">
        <f>IF(AND(State_LOB_Code=18,LEFT(BW788,4)&lt;"2009"),81,State_LOB_Code)&amp;"|372"</f>
        <v>#REF!</v>
      </c>
      <c r="BY788" s="174"/>
      <c r="BZ788" s="175"/>
      <c r="CD788" s="163"/>
      <c r="CE788" s="363"/>
      <c r="CF788" s="335"/>
      <c r="CG788" s="335"/>
      <c r="CH788" s="335"/>
      <c r="CI788" s="335"/>
      <c r="CJ788" s="335"/>
      <c r="CK788" s="335"/>
      <c r="CL788" s="335"/>
      <c r="CM788" s="335"/>
      <c r="CN788" s="335"/>
      <c r="CO788" s="335"/>
      <c r="CP788" s="335"/>
      <c r="CQ788" s="335"/>
      <c r="CR788" s="335"/>
      <c r="CS788" s="335"/>
      <c r="CT788" s="335"/>
      <c r="CU788" s="335"/>
      <c r="CV788" s="335"/>
      <c r="CW788" s="335"/>
      <c r="CX788" s="335"/>
      <c r="CY788" s="335"/>
      <c r="CZ788" s="335"/>
      <c r="DA788" s="335"/>
      <c r="DB788" s="335"/>
      <c r="DC788" s="335"/>
      <c r="DD788" s="335"/>
      <c r="DE788" s="335"/>
      <c r="DF788" s="335"/>
      <c r="DG788" s="335"/>
      <c r="DH788" s="335"/>
      <c r="DI788" s="335"/>
      <c r="DJ788" s="335"/>
      <c r="DK788" s="335"/>
      <c r="DL788" s="335"/>
      <c r="DM788" s="335"/>
      <c r="DN788" s="335"/>
      <c r="DO788" s="335"/>
      <c r="DP788" s="335"/>
      <c r="DQ788" s="335"/>
      <c r="DR788" s="335"/>
      <c r="DS788" s="335"/>
      <c r="DT788" s="335"/>
      <c r="DU788" s="335"/>
      <c r="DV788" s="335"/>
      <c r="DW788" s="335"/>
      <c r="DX788" s="335"/>
      <c r="DY788" s="335"/>
      <c r="DZ788" s="335"/>
      <c r="EA788" s="335"/>
      <c r="EB788" s="335"/>
      <c r="EC788" s="335"/>
      <c r="ED788" s="335"/>
      <c r="EE788" s="335"/>
      <c r="EF788" s="335"/>
      <c r="EG788" s="335"/>
      <c r="EH788" s="335"/>
      <c r="EI788" s="335"/>
      <c r="EJ788" s="335"/>
      <c r="EK788" s="335"/>
      <c r="EL788" s="335"/>
      <c r="EM788" s="335"/>
    </row>
    <row r="789" spans="72:143">
      <c r="BT789" s="187"/>
      <c r="BU789" s="187" t="s">
        <v>84</v>
      </c>
      <c r="BV789" s="196">
        <v>120045</v>
      </c>
      <c r="BW789" s="197" t="e">
        <f t="shared" si="153"/>
        <v>#REF!</v>
      </c>
      <c r="BX789" s="198" t="e">
        <f>IF(AND(State_LOB_Code=18,LEFT(BW789,4)&lt;"2009"),81,State_LOB_Code)&amp;"|373"</f>
        <v>#REF!</v>
      </c>
      <c r="BY789" s="174"/>
      <c r="BZ789" s="175"/>
      <c r="CD789" s="163"/>
      <c r="CE789" s="363"/>
      <c r="CF789" s="335"/>
      <c r="CG789" s="335"/>
      <c r="CH789" s="335"/>
      <c r="CI789" s="335"/>
      <c r="CJ789" s="335"/>
      <c r="CK789" s="335"/>
      <c r="CL789" s="335"/>
      <c r="CM789" s="335"/>
      <c r="CN789" s="335"/>
      <c r="CO789" s="335"/>
      <c r="CP789" s="335"/>
      <c r="CQ789" s="335"/>
      <c r="CR789" s="335"/>
      <c r="CS789" s="335"/>
      <c r="CT789" s="335"/>
      <c r="CU789" s="335"/>
      <c r="CV789" s="335"/>
      <c r="CW789" s="335"/>
      <c r="CX789" s="335"/>
      <c r="CY789" s="335"/>
      <c r="CZ789" s="335"/>
      <c r="DA789" s="335"/>
      <c r="DB789" s="335"/>
      <c r="DC789" s="335"/>
      <c r="DD789" s="335"/>
      <c r="DE789" s="335"/>
      <c r="DF789" s="335"/>
      <c r="DG789" s="335"/>
      <c r="DH789" s="335"/>
      <c r="DI789" s="335"/>
      <c r="DJ789" s="335"/>
      <c r="DK789" s="335"/>
      <c r="DL789" s="335"/>
      <c r="DM789" s="335"/>
      <c r="DN789" s="335"/>
      <c r="DO789" s="335"/>
      <c r="DP789" s="335"/>
      <c r="DQ789" s="335"/>
      <c r="DR789" s="335"/>
      <c r="DS789" s="335"/>
      <c r="DT789" s="335"/>
      <c r="DU789" s="335"/>
      <c r="DV789" s="335"/>
      <c r="DW789" s="335"/>
      <c r="DX789" s="335"/>
      <c r="DY789" s="335"/>
      <c r="DZ789" s="335"/>
      <c r="EA789" s="335"/>
      <c r="EB789" s="335"/>
      <c r="EC789" s="335"/>
      <c r="ED789" s="335"/>
      <c r="EE789" s="335"/>
      <c r="EF789" s="335"/>
      <c r="EG789" s="335"/>
      <c r="EH789" s="335"/>
      <c r="EI789" s="335"/>
      <c r="EJ789" s="335"/>
      <c r="EK789" s="335"/>
      <c r="EL789" s="335"/>
      <c r="EM789" s="335"/>
    </row>
    <row r="790" spans="72:143">
      <c r="BT790" s="187"/>
      <c r="BU790" s="187" t="s">
        <v>85</v>
      </c>
      <c r="BV790" s="196">
        <v>120045</v>
      </c>
      <c r="BW790" s="197" t="e">
        <f t="shared" si="153"/>
        <v>#REF!</v>
      </c>
      <c r="BX790" s="198" t="e">
        <f>IF(AND(State_LOB_Code=18,LEFT(BW790,4)&lt;"2009"),81,State_LOB_Code)&amp;"|374"</f>
        <v>#REF!</v>
      </c>
      <c r="BY790" s="174"/>
      <c r="BZ790" s="175"/>
      <c r="CD790" s="163"/>
      <c r="CE790" s="363"/>
      <c r="CF790" s="335"/>
      <c r="CG790" s="335"/>
      <c r="CH790" s="335"/>
      <c r="CI790" s="335"/>
      <c r="CJ790" s="335"/>
      <c r="CK790" s="335"/>
      <c r="CL790" s="335"/>
      <c r="CM790" s="335"/>
      <c r="CN790" s="335"/>
      <c r="CO790" s="335"/>
      <c r="CP790" s="335"/>
      <c r="CQ790" s="335"/>
      <c r="CR790" s="335"/>
      <c r="CS790" s="335"/>
      <c r="CT790" s="335"/>
      <c r="CU790" s="335"/>
      <c r="CV790" s="335"/>
      <c r="CW790" s="335"/>
      <c r="CX790" s="335"/>
      <c r="CY790" s="335"/>
      <c r="CZ790" s="335"/>
      <c r="DA790" s="335"/>
      <c r="DB790" s="335"/>
      <c r="DC790" s="335"/>
      <c r="DD790" s="335"/>
      <c r="DE790" s="335"/>
      <c r="DF790" s="335"/>
      <c r="DG790" s="335"/>
      <c r="DH790" s="335"/>
      <c r="DI790" s="335"/>
      <c r="DJ790" s="335"/>
      <c r="DK790" s="335"/>
      <c r="DL790" s="335"/>
      <c r="DM790" s="335"/>
      <c r="DN790" s="335"/>
      <c r="DO790" s="335"/>
      <c r="DP790" s="335"/>
      <c r="DQ790" s="335"/>
      <c r="DR790" s="335"/>
      <c r="DS790" s="335"/>
      <c r="DT790" s="335"/>
      <c r="DU790" s="335"/>
      <c r="DV790" s="335"/>
      <c r="DW790" s="335"/>
      <c r="DX790" s="335"/>
      <c r="DY790" s="335"/>
      <c r="DZ790" s="335"/>
      <c r="EA790" s="335"/>
      <c r="EB790" s="335"/>
      <c r="EC790" s="335"/>
      <c r="ED790" s="335"/>
      <c r="EE790" s="335"/>
      <c r="EF790" s="335"/>
      <c r="EG790" s="335"/>
      <c r="EH790" s="335"/>
      <c r="EI790" s="335"/>
      <c r="EJ790" s="335"/>
      <c r="EK790" s="335"/>
      <c r="EL790" s="335"/>
      <c r="EM790" s="335"/>
    </row>
    <row r="791" spans="72:143">
      <c r="BT791" s="187"/>
      <c r="BU791" s="187" t="s">
        <v>86</v>
      </c>
      <c r="BV791" s="196">
        <v>120045</v>
      </c>
      <c r="BW791" s="197" t="e">
        <f t="shared" si="153"/>
        <v>#REF!</v>
      </c>
      <c r="BX791" s="198" t="e">
        <f>IF(AND(State_LOB_Code=18,LEFT(BW791,4)&lt;"2009"),81,State_LOB_Code)&amp;"|376"</f>
        <v>#REF!</v>
      </c>
      <c r="BY791" s="174"/>
      <c r="BZ791" s="175"/>
      <c r="CD791" s="163"/>
      <c r="CE791" s="363"/>
      <c r="CF791" s="335"/>
      <c r="CG791" s="335"/>
      <c r="CH791" s="335"/>
      <c r="CI791" s="335"/>
      <c r="CJ791" s="335"/>
      <c r="CK791" s="335"/>
      <c r="CL791" s="335"/>
      <c r="CM791" s="335"/>
      <c r="CN791" s="335"/>
      <c r="CO791" s="335"/>
      <c r="CP791" s="335"/>
      <c r="CQ791" s="335"/>
      <c r="CR791" s="335"/>
      <c r="CS791" s="335"/>
      <c r="CT791" s="335"/>
      <c r="CU791" s="335"/>
      <c r="CV791" s="335"/>
      <c r="CW791" s="335"/>
      <c r="CX791" s="335"/>
      <c r="CY791" s="335"/>
      <c r="CZ791" s="335"/>
      <c r="DA791" s="335"/>
      <c r="DB791" s="335"/>
      <c r="DC791" s="335"/>
      <c r="DD791" s="335"/>
      <c r="DE791" s="335"/>
      <c r="DF791" s="335"/>
      <c r="DG791" s="335"/>
      <c r="DH791" s="335"/>
      <c r="DI791" s="335"/>
      <c r="DJ791" s="335"/>
      <c r="DK791" s="335"/>
      <c r="DL791" s="335"/>
      <c r="DM791" s="335"/>
      <c r="DN791" s="335"/>
      <c r="DO791" s="335"/>
      <c r="DP791" s="335"/>
      <c r="DQ791" s="335"/>
      <c r="DR791" s="335"/>
      <c r="DS791" s="335"/>
      <c r="DT791" s="335"/>
      <c r="DU791" s="335"/>
      <c r="DV791" s="335"/>
      <c r="DW791" s="335"/>
      <c r="DX791" s="335"/>
      <c r="DY791" s="335"/>
      <c r="DZ791" s="335"/>
      <c r="EA791" s="335"/>
      <c r="EB791" s="335"/>
      <c r="EC791" s="335"/>
      <c r="ED791" s="335"/>
      <c r="EE791" s="335"/>
      <c r="EF791" s="335"/>
      <c r="EG791" s="335"/>
      <c r="EH791" s="335"/>
      <c r="EI791" s="335"/>
      <c r="EJ791" s="335"/>
      <c r="EK791" s="335"/>
      <c r="EL791" s="335"/>
      <c r="EM791" s="335"/>
    </row>
    <row r="792" spans="72:143">
      <c r="BT792" s="187"/>
      <c r="BU792" s="187" t="s">
        <v>87</v>
      </c>
      <c r="BV792" s="196">
        <v>120045</v>
      </c>
      <c r="BW792" s="197" t="e">
        <f t="shared" si="153"/>
        <v>#REF!</v>
      </c>
      <c r="BX792" s="198" t="e">
        <f>IF(AND(State_LOB_Code=18,LEFT(BW792,4)&lt;"2009"),81,State_LOB_Code)&amp;"|377"</f>
        <v>#REF!</v>
      </c>
      <c r="BY792" s="174"/>
      <c r="BZ792" s="175"/>
      <c r="CD792" s="163"/>
      <c r="CE792" s="363"/>
      <c r="CF792" s="335"/>
      <c r="CG792" s="335"/>
      <c r="CH792" s="335"/>
      <c r="CI792" s="335"/>
      <c r="CJ792" s="335"/>
      <c r="CK792" s="335"/>
      <c r="CL792" s="335"/>
      <c r="CM792" s="335"/>
      <c r="CN792" s="335"/>
      <c r="CO792" s="335"/>
      <c r="CP792" s="335"/>
      <c r="CQ792" s="335"/>
      <c r="CR792" s="335"/>
      <c r="CS792" s="335"/>
      <c r="CT792" s="335"/>
      <c r="CU792" s="335"/>
      <c r="CV792" s="335"/>
      <c r="CW792" s="335"/>
      <c r="CX792" s="335"/>
      <c r="CY792" s="335"/>
      <c r="CZ792" s="335"/>
      <c r="DA792" s="335"/>
      <c r="DB792" s="335"/>
      <c r="DC792" s="335"/>
      <c r="DD792" s="335"/>
      <c r="DE792" s="335"/>
      <c r="DF792" s="335"/>
      <c r="DG792" s="335"/>
      <c r="DH792" s="335"/>
      <c r="DI792" s="335"/>
      <c r="DJ792" s="335"/>
      <c r="DK792" s="335"/>
      <c r="DL792" s="335"/>
      <c r="DM792" s="335"/>
      <c r="DN792" s="335"/>
      <c r="DO792" s="335"/>
      <c r="DP792" s="335"/>
      <c r="DQ792" s="335"/>
      <c r="DR792" s="335"/>
      <c r="DS792" s="335"/>
      <c r="DT792" s="335"/>
      <c r="DU792" s="335"/>
      <c r="DV792" s="335"/>
      <c r="DW792" s="335"/>
      <c r="DX792" s="335"/>
      <c r="DY792" s="335"/>
      <c r="DZ792" s="335"/>
      <c r="EA792" s="335"/>
      <c r="EB792" s="335"/>
      <c r="EC792" s="335"/>
      <c r="ED792" s="335"/>
      <c r="EE792" s="335"/>
      <c r="EF792" s="335"/>
      <c r="EG792" s="335"/>
      <c r="EH792" s="335"/>
      <c r="EI792" s="335"/>
      <c r="EJ792" s="335"/>
      <c r="EK792" s="335"/>
      <c r="EL792" s="335"/>
      <c r="EM792" s="335"/>
    </row>
    <row r="793" spans="72:143">
      <c r="BT793" s="187"/>
      <c r="BU793" s="187" t="s">
        <v>88</v>
      </c>
      <c r="BV793" s="196">
        <v>120045</v>
      </c>
      <c r="BW793" s="197" t="e">
        <f t="shared" si="153"/>
        <v>#REF!</v>
      </c>
      <c r="BX793" s="198" t="e">
        <f>IF(AND(State_LOB_Code=18,LEFT(BW793,4)&lt;"2009"),81,State_LOB_Code)&amp;"|378"</f>
        <v>#REF!</v>
      </c>
      <c r="BY793" s="174"/>
      <c r="BZ793" s="175"/>
      <c r="CD793" s="163"/>
      <c r="CE793" s="363"/>
      <c r="CF793" s="335"/>
      <c r="CG793" s="335"/>
      <c r="CH793" s="335"/>
      <c r="CI793" s="335"/>
      <c r="CJ793" s="335"/>
      <c r="CK793" s="335"/>
      <c r="CL793" s="335"/>
      <c r="CM793" s="335"/>
      <c r="CN793" s="335"/>
      <c r="CO793" s="335"/>
      <c r="CP793" s="335"/>
      <c r="CQ793" s="335"/>
      <c r="CR793" s="335"/>
      <c r="CS793" s="335"/>
      <c r="CT793" s="335"/>
      <c r="CU793" s="335"/>
      <c r="CV793" s="335"/>
      <c r="CW793" s="335"/>
      <c r="CX793" s="335"/>
      <c r="CY793" s="335"/>
      <c r="CZ793" s="335"/>
      <c r="DA793" s="335"/>
      <c r="DB793" s="335"/>
      <c r="DC793" s="335"/>
      <c r="DD793" s="335"/>
      <c r="DE793" s="335"/>
      <c r="DF793" s="335"/>
      <c r="DG793" s="335"/>
      <c r="DH793" s="335"/>
      <c r="DI793" s="335"/>
      <c r="DJ793" s="335"/>
      <c r="DK793" s="335"/>
      <c r="DL793" s="335"/>
      <c r="DM793" s="335"/>
      <c r="DN793" s="335"/>
      <c r="DO793" s="335"/>
      <c r="DP793" s="335"/>
      <c r="DQ793" s="335"/>
      <c r="DR793" s="335"/>
      <c r="DS793" s="335"/>
      <c r="DT793" s="335"/>
      <c r="DU793" s="335"/>
      <c r="DV793" s="335"/>
      <c r="DW793" s="335"/>
      <c r="DX793" s="335"/>
      <c r="DY793" s="335"/>
      <c r="DZ793" s="335"/>
      <c r="EA793" s="335"/>
      <c r="EB793" s="335"/>
      <c r="EC793" s="335"/>
      <c r="ED793" s="335"/>
      <c r="EE793" s="335"/>
      <c r="EF793" s="335"/>
      <c r="EG793" s="335"/>
      <c r="EH793" s="335"/>
      <c r="EI793" s="335"/>
      <c r="EJ793" s="335"/>
      <c r="EK793" s="335"/>
      <c r="EL793" s="335"/>
      <c r="EM793" s="335"/>
    </row>
    <row r="794" spans="72:143">
      <c r="BT794" s="187"/>
      <c r="BU794" s="187" t="s">
        <v>89</v>
      </c>
      <c r="BV794" s="196">
        <v>120045</v>
      </c>
      <c r="BW794" s="197" t="e">
        <f t="shared" si="153"/>
        <v>#REF!</v>
      </c>
      <c r="BX794" s="198" t="e">
        <f>IF(AND(State_LOB_Code=18,LEFT(BW794,4)&lt;"2009"),81,State_LOB_Code)&amp;"|379"</f>
        <v>#REF!</v>
      </c>
      <c r="BY794" s="174"/>
      <c r="BZ794" s="175"/>
      <c r="CD794" s="163"/>
      <c r="CE794" s="363"/>
      <c r="CF794" s="335"/>
      <c r="CG794" s="335"/>
      <c r="CH794" s="335"/>
      <c r="CI794" s="335"/>
      <c r="CJ794" s="335"/>
      <c r="CK794" s="335"/>
      <c r="CL794" s="335"/>
      <c r="CM794" s="335"/>
      <c r="CN794" s="335"/>
      <c r="CO794" s="335"/>
      <c r="CP794" s="335"/>
      <c r="CQ794" s="335"/>
      <c r="CR794" s="335"/>
      <c r="CS794" s="335"/>
      <c r="CT794" s="335"/>
      <c r="CU794" s="335"/>
      <c r="CV794" s="335"/>
      <c r="CW794" s="335"/>
      <c r="CX794" s="335"/>
      <c r="CY794" s="335"/>
      <c r="CZ794" s="335"/>
      <c r="DA794" s="335"/>
      <c r="DB794" s="335"/>
      <c r="DC794" s="335"/>
      <c r="DD794" s="335"/>
      <c r="DE794" s="335"/>
      <c r="DF794" s="335"/>
      <c r="DG794" s="335"/>
      <c r="DH794" s="335"/>
      <c r="DI794" s="335"/>
      <c r="DJ794" s="335"/>
      <c r="DK794" s="335"/>
      <c r="DL794" s="335"/>
      <c r="DM794" s="335"/>
      <c r="DN794" s="335"/>
      <c r="DO794" s="335"/>
      <c r="DP794" s="335"/>
      <c r="DQ794" s="335"/>
      <c r="DR794" s="335"/>
      <c r="DS794" s="335"/>
      <c r="DT794" s="335"/>
      <c r="DU794" s="335"/>
      <c r="DV794" s="335"/>
      <c r="DW794" s="335"/>
      <c r="DX794" s="335"/>
      <c r="DY794" s="335"/>
      <c r="DZ794" s="335"/>
      <c r="EA794" s="335"/>
      <c r="EB794" s="335"/>
      <c r="EC794" s="335"/>
      <c r="ED794" s="335"/>
      <c r="EE794" s="335"/>
      <c r="EF794" s="335"/>
      <c r="EG794" s="335"/>
      <c r="EH794" s="335"/>
      <c r="EI794" s="335"/>
      <c r="EJ794" s="335"/>
      <c r="EK794" s="335"/>
      <c r="EL794" s="335"/>
      <c r="EM794" s="335"/>
    </row>
    <row r="795" spans="72:143">
      <c r="BT795" s="187"/>
      <c r="BU795" s="187" t="s">
        <v>90</v>
      </c>
      <c r="BV795" s="196">
        <v>120045</v>
      </c>
      <c r="BW795" s="197" t="e">
        <f t="shared" si="153"/>
        <v>#REF!</v>
      </c>
      <c r="BX795" s="198" t="e">
        <f>IF(AND(State_LOB_Code=18,LEFT(BW795,4)&lt;"2009"),81,State_LOB_Code)&amp;"|380"</f>
        <v>#REF!</v>
      </c>
      <c r="BY795" s="174"/>
      <c r="BZ795" s="175"/>
      <c r="CD795" s="163"/>
      <c r="CE795" s="363"/>
      <c r="CF795" s="335"/>
      <c r="CG795" s="335"/>
      <c r="CH795" s="335"/>
      <c r="CI795" s="335"/>
      <c r="CJ795" s="335"/>
      <c r="CK795" s="335"/>
      <c r="CL795" s="335"/>
      <c r="CM795" s="335"/>
      <c r="CN795" s="335"/>
      <c r="CO795" s="335"/>
      <c r="CP795" s="335"/>
      <c r="CQ795" s="335"/>
      <c r="CR795" s="335"/>
      <c r="CS795" s="335"/>
      <c r="CT795" s="335"/>
      <c r="CU795" s="335"/>
      <c r="CV795" s="335"/>
      <c r="CW795" s="335"/>
      <c r="CX795" s="335"/>
      <c r="CY795" s="335"/>
      <c r="CZ795" s="335"/>
      <c r="DA795" s="335"/>
      <c r="DB795" s="335"/>
      <c r="DC795" s="335"/>
      <c r="DD795" s="335"/>
      <c r="DE795" s="335"/>
      <c r="DF795" s="335"/>
      <c r="DG795" s="335"/>
      <c r="DH795" s="335"/>
      <c r="DI795" s="335"/>
      <c r="DJ795" s="335"/>
      <c r="DK795" s="335"/>
      <c r="DL795" s="335"/>
      <c r="DM795" s="335"/>
      <c r="DN795" s="335"/>
      <c r="DO795" s="335"/>
      <c r="DP795" s="335"/>
      <c r="DQ795" s="335"/>
      <c r="DR795" s="335"/>
      <c r="DS795" s="335"/>
      <c r="DT795" s="335"/>
      <c r="DU795" s="335"/>
      <c r="DV795" s="335"/>
      <c r="DW795" s="335"/>
      <c r="DX795" s="335"/>
      <c r="DY795" s="335"/>
      <c r="DZ795" s="335"/>
      <c r="EA795" s="335"/>
      <c r="EB795" s="335"/>
      <c r="EC795" s="335"/>
      <c r="ED795" s="335"/>
      <c r="EE795" s="335"/>
      <c r="EF795" s="335"/>
      <c r="EG795" s="335"/>
      <c r="EH795" s="335"/>
      <c r="EI795" s="335"/>
      <c r="EJ795" s="335"/>
      <c r="EK795" s="335"/>
      <c r="EL795" s="335"/>
      <c r="EM795" s="335"/>
    </row>
    <row r="796" spans="72:143">
      <c r="BT796" s="187"/>
      <c r="BU796" s="187" t="s">
        <v>91</v>
      </c>
      <c r="BV796" s="196">
        <v>120045</v>
      </c>
      <c r="BW796" s="197" t="e">
        <f t="shared" si="153"/>
        <v>#REF!</v>
      </c>
      <c r="BX796" s="198" t="e">
        <f>IF(AND(State_LOB_Code=18,LEFT(BW796,4)&lt;"2009"),81,State_LOB_Code)&amp;"|381"</f>
        <v>#REF!</v>
      </c>
      <c r="BY796" s="174"/>
      <c r="BZ796" s="175"/>
      <c r="CD796" s="163"/>
      <c r="CE796" s="363"/>
      <c r="CF796" s="335"/>
      <c r="CG796" s="335"/>
      <c r="CH796" s="335"/>
      <c r="CI796" s="335"/>
      <c r="CJ796" s="335"/>
      <c r="CK796" s="335"/>
      <c r="CL796" s="335"/>
      <c r="CM796" s="335"/>
      <c r="CN796" s="335"/>
      <c r="CO796" s="335"/>
      <c r="CP796" s="335"/>
      <c r="CQ796" s="335"/>
      <c r="CR796" s="335"/>
      <c r="CS796" s="335"/>
      <c r="CT796" s="335"/>
      <c r="CU796" s="335"/>
      <c r="CV796" s="335"/>
      <c r="CW796" s="335"/>
      <c r="CX796" s="335"/>
      <c r="CY796" s="335"/>
      <c r="CZ796" s="335"/>
      <c r="DA796" s="335"/>
      <c r="DB796" s="335"/>
      <c r="DC796" s="335"/>
      <c r="DD796" s="335"/>
      <c r="DE796" s="335"/>
      <c r="DF796" s="335"/>
      <c r="DG796" s="335"/>
      <c r="DH796" s="335"/>
      <c r="DI796" s="335"/>
      <c r="DJ796" s="335"/>
      <c r="DK796" s="335"/>
      <c r="DL796" s="335"/>
      <c r="DM796" s="335"/>
      <c r="DN796" s="335"/>
      <c r="DO796" s="335"/>
      <c r="DP796" s="335"/>
      <c r="DQ796" s="335"/>
      <c r="DR796" s="335"/>
      <c r="DS796" s="335"/>
      <c r="DT796" s="335"/>
      <c r="DU796" s="335"/>
      <c r="DV796" s="335"/>
      <c r="DW796" s="335"/>
      <c r="DX796" s="335"/>
      <c r="DY796" s="335"/>
      <c r="DZ796" s="335"/>
      <c r="EA796" s="335"/>
      <c r="EB796" s="335"/>
      <c r="EC796" s="335"/>
      <c r="ED796" s="335"/>
      <c r="EE796" s="335"/>
      <c r="EF796" s="335"/>
      <c r="EG796" s="335"/>
      <c r="EH796" s="335"/>
      <c r="EI796" s="335"/>
      <c r="EJ796" s="335"/>
      <c r="EK796" s="335"/>
      <c r="EL796" s="335"/>
      <c r="EM796" s="335"/>
    </row>
    <row r="797" spans="72:143">
      <c r="BT797" s="187"/>
      <c r="BU797" s="187" t="s">
        <v>92</v>
      </c>
      <c r="BV797" s="196">
        <v>120045</v>
      </c>
      <c r="BW797" s="197" t="e">
        <f t="shared" si="153"/>
        <v>#REF!</v>
      </c>
      <c r="BX797" s="198" t="e">
        <f>IF(AND(State_LOB_Code=18,LEFT(BW797,4)&lt;"2009"),81,State_LOB_Code)&amp;"|382"</f>
        <v>#REF!</v>
      </c>
      <c r="BY797" s="174"/>
      <c r="BZ797" s="175"/>
      <c r="CD797" s="163"/>
      <c r="CE797" s="363"/>
      <c r="CF797" s="335"/>
      <c r="CG797" s="335"/>
      <c r="CH797" s="335"/>
      <c r="CI797" s="335"/>
      <c r="CJ797" s="335"/>
      <c r="CK797" s="335"/>
      <c r="CL797" s="335"/>
      <c r="CM797" s="335"/>
      <c r="CN797" s="335"/>
      <c r="CO797" s="335"/>
      <c r="CP797" s="335"/>
      <c r="CQ797" s="335"/>
      <c r="CR797" s="335"/>
      <c r="CS797" s="335"/>
      <c r="CT797" s="335"/>
      <c r="CU797" s="335"/>
      <c r="CV797" s="335"/>
      <c r="CW797" s="335"/>
      <c r="CX797" s="335"/>
      <c r="CY797" s="335"/>
      <c r="CZ797" s="335"/>
      <c r="DA797" s="335"/>
      <c r="DB797" s="335"/>
      <c r="DC797" s="335"/>
      <c r="DD797" s="335"/>
      <c r="DE797" s="335"/>
      <c r="DF797" s="335"/>
      <c r="DG797" s="335"/>
      <c r="DH797" s="335"/>
      <c r="DI797" s="335"/>
      <c r="DJ797" s="335"/>
      <c r="DK797" s="335"/>
      <c r="DL797" s="335"/>
      <c r="DM797" s="335"/>
      <c r="DN797" s="335"/>
      <c r="DO797" s="335"/>
      <c r="DP797" s="335"/>
      <c r="DQ797" s="335"/>
      <c r="DR797" s="335"/>
      <c r="DS797" s="335"/>
      <c r="DT797" s="335"/>
      <c r="DU797" s="335"/>
      <c r="DV797" s="335"/>
      <c r="DW797" s="335"/>
      <c r="DX797" s="335"/>
      <c r="DY797" s="335"/>
      <c r="DZ797" s="335"/>
      <c r="EA797" s="335"/>
      <c r="EB797" s="335"/>
      <c r="EC797" s="335"/>
      <c r="ED797" s="335"/>
      <c r="EE797" s="335"/>
      <c r="EF797" s="335"/>
      <c r="EG797" s="335"/>
      <c r="EH797" s="335"/>
      <c r="EI797" s="335"/>
      <c r="EJ797" s="335"/>
      <c r="EK797" s="335"/>
      <c r="EL797" s="335"/>
      <c r="EM797" s="335"/>
    </row>
    <row r="798" spans="72:143">
      <c r="BT798" s="187"/>
      <c r="BU798" s="187" t="s">
        <v>93</v>
      </c>
      <c r="BV798" s="196">
        <v>120045</v>
      </c>
      <c r="BW798" s="197" t="e">
        <f t="shared" si="153"/>
        <v>#REF!</v>
      </c>
      <c r="BX798" s="198" t="e">
        <f>IF(AND(State_LOB_Code=18,LEFT(BW798,4)&lt;"2009"),81,State_LOB_Code)&amp;"|384"</f>
        <v>#REF!</v>
      </c>
      <c r="BY798" s="174"/>
      <c r="BZ798" s="175"/>
      <c r="CD798" s="163"/>
      <c r="CE798" s="363"/>
      <c r="CF798" s="335"/>
      <c r="CG798" s="335"/>
      <c r="CH798" s="335"/>
      <c r="CI798" s="335"/>
      <c r="CJ798" s="335"/>
      <c r="CK798" s="335"/>
      <c r="CL798" s="335"/>
      <c r="CM798" s="335"/>
      <c r="CN798" s="335"/>
      <c r="CO798" s="335"/>
      <c r="CP798" s="335"/>
      <c r="CQ798" s="335"/>
      <c r="CR798" s="335"/>
      <c r="CS798" s="335"/>
      <c r="CT798" s="335"/>
      <c r="CU798" s="335"/>
      <c r="CV798" s="335"/>
      <c r="CW798" s="335"/>
      <c r="CX798" s="335"/>
      <c r="CY798" s="335"/>
      <c r="CZ798" s="335"/>
      <c r="DA798" s="335"/>
      <c r="DB798" s="335"/>
      <c r="DC798" s="335"/>
      <c r="DD798" s="335"/>
      <c r="DE798" s="335"/>
      <c r="DF798" s="335"/>
      <c r="DG798" s="335"/>
      <c r="DH798" s="335"/>
      <c r="DI798" s="335"/>
      <c r="DJ798" s="335"/>
      <c r="DK798" s="335"/>
      <c r="DL798" s="335"/>
      <c r="DM798" s="335"/>
      <c r="DN798" s="335"/>
      <c r="DO798" s="335"/>
      <c r="DP798" s="335"/>
      <c r="DQ798" s="335"/>
      <c r="DR798" s="335"/>
      <c r="DS798" s="335"/>
      <c r="DT798" s="335"/>
      <c r="DU798" s="335"/>
      <c r="DV798" s="335"/>
      <c r="DW798" s="335"/>
      <c r="DX798" s="335"/>
      <c r="DY798" s="335"/>
      <c r="DZ798" s="335"/>
      <c r="EA798" s="335"/>
      <c r="EB798" s="335"/>
      <c r="EC798" s="335"/>
      <c r="ED798" s="335"/>
      <c r="EE798" s="335"/>
      <c r="EF798" s="335"/>
      <c r="EG798" s="335"/>
      <c r="EH798" s="335"/>
      <c r="EI798" s="335"/>
      <c r="EJ798" s="335"/>
      <c r="EK798" s="335"/>
      <c r="EL798" s="335"/>
      <c r="EM798" s="335"/>
    </row>
    <row r="799" spans="72:143">
      <c r="BT799" s="187"/>
      <c r="BU799" s="187" t="s">
        <v>94</v>
      </c>
      <c r="BV799" s="196">
        <v>120045</v>
      </c>
      <c r="BW799" s="197" t="e">
        <f t="shared" si="153"/>
        <v>#REF!</v>
      </c>
      <c r="BX799" s="198" t="e">
        <f>IF(AND(State_LOB_Code=18,LEFT(BW799,4)&lt;"2009"),81,State_LOB_Code)&amp;"|385"</f>
        <v>#REF!</v>
      </c>
      <c r="BY799" s="174"/>
      <c r="BZ799" s="175"/>
      <c r="CD799" s="163"/>
      <c r="CE799" s="363"/>
      <c r="CF799" s="335"/>
      <c r="CG799" s="335"/>
      <c r="CH799" s="335"/>
      <c r="CI799" s="335"/>
      <c r="CJ799" s="335"/>
      <c r="CK799" s="335"/>
      <c r="CL799" s="335"/>
      <c r="CM799" s="335"/>
      <c r="CN799" s="335"/>
      <c r="CO799" s="335"/>
      <c r="CP799" s="335"/>
      <c r="CQ799" s="335"/>
      <c r="CR799" s="335"/>
      <c r="CS799" s="335"/>
      <c r="CT799" s="335"/>
      <c r="CU799" s="335"/>
      <c r="CV799" s="335"/>
      <c r="CW799" s="335"/>
      <c r="CX799" s="335"/>
      <c r="CY799" s="335"/>
      <c r="CZ799" s="335"/>
      <c r="DA799" s="335"/>
      <c r="DB799" s="335"/>
      <c r="DC799" s="335"/>
      <c r="DD799" s="335"/>
      <c r="DE799" s="335"/>
      <c r="DF799" s="335"/>
      <c r="DG799" s="335"/>
      <c r="DH799" s="335"/>
      <c r="DI799" s="335"/>
      <c r="DJ799" s="335"/>
      <c r="DK799" s="335"/>
      <c r="DL799" s="335"/>
      <c r="DM799" s="335"/>
      <c r="DN799" s="335"/>
      <c r="DO799" s="335"/>
      <c r="DP799" s="335"/>
      <c r="DQ799" s="335"/>
      <c r="DR799" s="335"/>
      <c r="DS799" s="335"/>
      <c r="DT799" s="335"/>
      <c r="DU799" s="335"/>
      <c r="DV799" s="335"/>
      <c r="DW799" s="335"/>
      <c r="DX799" s="335"/>
      <c r="DY799" s="335"/>
      <c r="DZ799" s="335"/>
      <c r="EA799" s="335"/>
      <c r="EB799" s="335"/>
      <c r="EC799" s="335"/>
      <c r="ED799" s="335"/>
      <c r="EE799" s="335"/>
      <c r="EF799" s="335"/>
      <c r="EG799" s="335"/>
      <c r="EH799" s="335"/>
      <c r="EI799" s="335"/>
      <c r="EJ799" s="335"/>
      <c r="EK799" s="335"/>
      <c r="EL799" s="335"/>
      <c r="EM799" s="335"/>
    </row>
    <row r="800" spans="72:143">
      <c r="BT800" s="187"/>
      <c r="BU800" s="187" t="s">
        <v>95</v>
      </c>
      <c r="BV800" s="196">
        <v>120045</v>
      </c>
      <c r="BW800" s="197" t="e">
        <f t="shared" si="153"/>
        <v>#REF!</v>
      </c>
      <c r="BX800" s="198" t="e">
        <f>IF(AND(State_LOB_Code=18,LEFT(BW800,4)&lt;"2009"),81,State_LOB_Code)&amp;"|386"</f>
        <v>#REF!</v>
      </c>
      <c r="BY800" s="174"/>
      <c r="BZ800" s="175"/>
      <c r="CD800" s="163"/>
      <c r="CE800" s="363"/>
      <c r="CF800" s="335"/>
      <c r="CG800" s="335"/>
      <c r="CH800" s="335"/>
      <c r="CI800" s="335"/>
      <c r="CJ800" s="335"/>
      <c r="CK800" s="335"/>
      <c r="CL800" s="335"/>
      <c r="CM800" s="335"/>
      <c r="CN800" s="335"/>
      <c r="CO800" s="335"/>
      <c r="CP800" s="335"/>
      <c r="CQ800" s="335"/>
      <c r="CR800" s="335"/>
      <c r="CS800" s="335"/>
      <c r="CT800" s="335"/>
      <c r="CU800" s="335"/>
      <c r="CV800" s="335"/>
      <c r="CW800" s="335"/>
      <c r="CX800" s="335"/>
      <c r="CY800" s="335"/>
      <c r="CZ800" s="335"/>
      <c r="DA800" s="335"/>
      <c r="DB800" s="335"/>
      <c r="DC800" s="335"/>
      <c r="DD800" s="335"/>
      <c r="DE800" s="335"/>
      <c r="DF800" s="335"/>
      <c r="DG800" s="335"/>
      <c r="DH800" s="335"/>
      <c r="DI800" s="335"/>
      <c r="DJ800" s="335"/>
      <c r="DK800" s="335"/>
      <c r="DL800" s="335"/>
      <c r="DM800" s="335"/>
      <c r="DN800" s="335"/>
      <c r="DO800" s="335"/>
      <c r="DP800" s="335"/>
      <c r="DQ800" s="335"/>
      <c r="DR800" s="335"/>
      <c r="DS800" s="335"/>
      <c r="DT800" s="335"/>
      <c r="DU800" s="335"/>
      <c r="DV800" s="335"/>
      <c r="DW800" s="335"/>
      <c r="DX800" s="335"/>
      <c r="DY800" s="335"/>
      <c r="DZ800" s="335"/>
      <c r="EA800" s="335"/>
      <c r="EB800" s="335"/>
      <c r="EC800" s="335"/>
      <c r="ED800" s="335"/>
      <c r="EE800" s="335"/>
      <c r="EF800" s="335"/>
      <c r="EG800" s="335"/>
      <c r="EH800" s="335"/>
      <c r="EI800" s="335"/>
      <c r="EJ800" s="335"/>
      <c r="EK800" s="335"/>
      <c r="EL800" s="335"/>
      <c r="EM800" s="335"/>
    </row>
    <row r="801" spans="72:143">
      <c r="BT801" s="187"/>
      <c r="BU801" s="187" t="s">
        <v>96</v>
      </c>
      <c r="BV801" s="196">
        <v>120045</v>
      </c>
      <c r="BW801" s="197" t="e">
        <f t="shared" si="153"/>
        <v>#REF!</v>
      </c>
      <c r="BX801" s="198" t="e">
        <f>IF(AND(State_LOB_Code=18,LEFT(BW801,4)&lt;"2009"),81,State_LOB_Code)&amp;"|387"</f>
        <v>#REF!</v>
      </c>
      <c r="BY801" s="174"/>
      <c r="BZ801" s="175"/>
      <c r="CD801" s="163"/>
      <c r="CE801" s="363"/>
      <c r="CF801" s="335"/>
      <c r="CG801" s="335"/>
      <c r="CH801" s="335"/>
      <c r="CI801" s="335"/>
      <c r="CJ801" s="335"/>
      <c r="CK801" s="335"/>
      <c r="CL801" s="335"/>
      <c r="CM801" s="335"/>
      <c r="CN801" s="335"/>
      <c r="CO801" s="335"/>
      <c r="CP801" s="335"/>
      <c r="CQ801" s="335"/>
      <c r="CR801" s="335"/>
      <c r="CS801" s="335"/>
      <c r="CT801" s="335"/>
      <c r="CU801" s="335"/>
      <c r="CV801" s="335"/>
      <c r="CW801" s="335"/>
      <c r="CX801" s="335"/>
      <c r="CY801" s="335"/>
      <c r="CZ801" s="335"/>
      <c r="DA801" s="335"/>
      <c r="DB801" s="335"/>
      <c r="DC801" s="335"/>
      <c r="DD801" s="335"/>
      <c r="DE801" s="335"/>
      <c r="DF801" s="335"/>
      <c r="DG801" s="335"/>
      <c r="DH801" s="335"/>
      <c r="DI801" s="335"/>
      <c r="DJ801" s="335"/>
      <c r="DK801" s="335"/>
      <c r="DL801" s="335"/>
      <c r="DM801" s="335"/>
      <c r="DN801" s="335"/>
      <c r="DO801" s="335"/>
      <c r="DP801" s="335"/>
      <c r="DQ801" s="335"/>
      <c r="DR801" s="335"/>
      <c r="DS801" s="335"/>
      <c r="DT801" s="335"/>
      <c r="DU801" s="335"/>
      <c r="DV801" s="335"/>
      <c r="DW801" s="335"/>
      <c r="DX801" s="335"/>
      <c r="DY801" s="335"/>
      <c r="DZ801" s="335"/>
      <c r="EA801" s="335"/>
      <c r="EB801" s="335"/>
      <c r="EC801" s="335"/>
      <c r="ED801" s="335"/>
      <c r="EE801" s="335"/>
      <c r="EF801" s="335"/>
      <c r="EG801" s="335"/>
      <c r="EH801" s="335"/>
      <c r="EI801" s="335"/>
      <c r="EJ801" s="335"/>
      <c r="EK801" s="335"/>
      <c r="EL801" s="335"/>
      <c r="EM801" s="335"/>
    </row>
    <row r="802" spans="72:143">
      <c r="BT802" s="187"/>
      <c r="BU802" s="187" t="s">
        <v>97</v>
      </c>
      <c r="BV802" s="196">
        <v>120045</v>
      </c>
      <c r="BW802" s="197" t="e">
        <f t="shared" si="153"/>
        <v>#REF!</v>
      </c>
      <c r="BX802" s="198" t="e">
        <f>IF(AND(State_LOB_Code=18,LEFT(BW802,4)&lt;"2009"),81,State_LOB_Code)&amp;"|388"</f>
        <v>#REF!</v>
      </c>
      <c r="BY802" s="174"/>
      <c r="BZ802" s="175"/>
      <c r="CD802" s="163"/>
      <c r="CE802" s="363"/>
      <c r="CF802" s="335"/>
      <c r="CG802" s="335"/>
      <c r="CH802" s="335"/>
      <c r="CI802" s="335"/>
      <c r="CJ802" s="335"/>
      <c r="CK802" s="335"/>
      <c r="CL802" s="335"/>
      <c r="CM802" s="335"/>
      <c r="CN802" s="335"/>
      <c r="CO802" s="335"/>
      <c r="CP802" s="335"/>
      <c r="CQ802" s="335"/>
      <c r="CR802" s="335"/>
      <c r="CS802" s="335"/>
      <c r="CT802" s="335"/>
      <c r="CU802" s="335"/>
      <c r="CV802" s="335"/>
      <c r="CW802" s="335"/>
      <c r="CX802" s="335"/>
      <c r="CY802" s="335"/>
      <c r="CZ802" s="335"/>
      <c r="DA802" s="335"/>
      <c r="DB802" s="335"/>
      <c r="DC802" s="335"/>
      <c r="DD802" s="335"/>
      <c r="DE802" s="335"/>
      <c r="DF802" s="335"/>
      <c r="DG802" s="335"/>
      <c r="DH802" s="335"/>
      <c r="DI802" s="335"/>
      <c r="DJ802" s="335"/>
      <c r="DK802" s="335"/>
      <c r="DL802" s="335"/>
      <c r="DM802" s="335"/>
      <c r="DN802" s="335"/>
      <c r="DO802" s="335"/>
      <c r="DP802" s="335"/>
      <c r="DQ802" s="335"/>
      <c r="DR802" s="335"/>
      <c r="DS802" s="335"/>
      <c r="DT802" s="335"/>
      <c r="DU802" s="335"/>
      <c r="DV802" s="335"/>
      <c r="DW802" s="335"/>
      <c r="DX802" s="335"/>
      <c r="DY802" s="335"/>
      <c r="DZ802" s="335"/>
      <c r="EA802" s="335"/>
      <c r="EB802" s="335"/>
      <c r="EC802" s="335"/>
      <c r="ED802" s="335"/>
      <c r="EE802" s="335"/>
      <c r="EF802" s="335"/>
      <c r="EG802" s="335"/>
      <c r="EH802" s="335"/>
      <c r="EI802" s="335"/>
      <c r="EJ802" s="335"/>
      <c r="EK802" s="335"/>
      <c r="EL802" s="335"/>
      <c r="EM802" s="335"/>
    </row>
    <row r="803" spans="72:143">
      <c r="BT803" s="187"/>
      <c r="BU803" s="189" t="s">
        <v>137</v>
      </c>
      <c r="BV803" s="199">
        <v>120045</v>
      </c>
      <c r="BW803" s="200" t="e">
        <f t="shared" si="153"/>
        <v>#REF!</v>
      </c>
      <c r="BX803" s="201" t="e">
        <f>IF(AND(State_LOB_Code=18,LEFT(BW803,4)&lt;"2009"),81,State_LOB_Code)&amp;"|600"</f>
        <v>#REF!</v>
      </c>
      <c r="BY803" s="176"/>
      <c r="BZ803" s="177"/>
      <c r="CD803" s="163"/>
      <c r="CE803" s="363"/>
      <c r="CF803" s="335"/>
      <c r="CG803" s="335"/>
      <c r="CH803" s="335"/>
      <c r="CI803" s="335"/>
      <c r="CJ803" s="335"/>
      <c r="CK803" s="335"/>
      <c r="CL803" s="335"/>
      <c r="CM803" s="335"/>
      <c r="CN803" s="335"/>
      <c r="CO803" s="335"/>
      <c r="CP803" s="335"/>
      <c r="CQ803" s="335"/>
      <c r="CR803" s="335"/>
      <c r="CS803" s="335"/>
      <c r="CT803" s="335"/>
      <c r="CU803" s="335"/>
      <c r="CV803" s="335"/>
      <c r="CW803" s="335"/>
      <c r="CX803" s="335"/>
      <c r="CY803" s="335"/>
      <c r="CZ803" s="335"/>
      <c r="DA803" s="335"/>
      <c r="DB803" s="335"/>
      <c r="DC803" s="335"/>
      <c r="DD803" s="335"/>
      <c r="DE803" s="335"/>
      <c r="DF803" s="335"/>
      <c r="DG803" s="335"/>
      <c r="DH803" s="335"/>
      <c r="DI803" s="335"/>
      <c r="DJ803" s="335"/>
      <c r="DK803" s="335"/>
      <c r="DL803" s="335"/>
      <c r="DM803" s="335"/>
      <c r="DN803" s="335"/>
      <c r="DO803" s="335"/>
      <c r="DP803" s="335"/>
      <c r="DQ803" s="335"/>
      <c r="DR803" s="335"/>
      <c r="DS803" s="335"/>
      <c r="DT803" s="335"/>
      <c r="DU803" s="335"/>
      <c r="DV803" s="335"/>
      <c r="DW803" s="335"/>
      <c r="DX803" s="335"/>
      <c r="DY803" s="335"/>
      <c r="DZ803" s="335"/>
      <c r="EA803" s="335"/>
      <c r="EB803" s="335"/>
      <c r="EC803" s="335"/>
      <c r="ED803" s="335"/>
      <c r="EE803" s="335"/>
      <c r="EF803" s="335"/>
      <c r="EG803" s="335"/>
      <c r="EH803" s="335"/>
      <c r="EI803" s="335"/>
      <c r="EJ803" s="335"/>
      <c r="EK803" s="335"/>
      <c r="EL803" s="335"/>
      <c r="EM803" s="335"/>
    </row>
    <row r="804" spans="72:143">
      <c r="BT804" s="187"/>
      <c r="BU804" s="187" t="s">
        <v>98</v>
      </c>
      <c r="BV804" s="196">
        <v>120045</v>
      </c>
      <c r="BW804" s="197" t="e">
        <f t="shared" si="153"/>
        <v>#REF!</v>
      </c>
      <c r="BX804" s="198" t="e">
        <f>IF(AND(State_LOB_Code=18,LEFT(BW804,4)&lt;"2009"),81,State_LOB_Code)&amp;"|336"</f>
        <v>#REF!</v>
      </c>
      <c r="BY804" s="174"/>
      <c r="BZ804" s="175"/>
      <c r="CD804" s="163"/>
      <c r="CE804" s="363"/>
      <c r="CF804" s="335"/>
      <c r="CG804" s="335"/>
      <c r="CH804" s="335"/>
      <c r="CI804" s="335"/>
      <c r="CJ804" s="335"/>
      <c r="CK804" s="335"/>
      <c r="CL804" s="335"/>
      <c r="CM804" s="335"/>
      <c r="CN804" s="335"/>
      <c r="CO804" s="335"/>
      <c r="CP804" s="335"/>
      <c r="CQ804" s="335"/>
      <c r="CR804" s="335"/>
      <c r="CS804" s="335"/>
      <c r="CT804" s="335"/>
      <c r="CU804" s="335"/>
      <c r="CV804" s="335"/>
      <c r="CW804" s="335"/>
      <c r="CX804" s="335"/>
      <c r="CY804" s="335"/>
      <c r="CZ804" s="335"/>
      <c r="DA804" s="335"/>
      <c r="DB804" s="335"/>
      <c r="DC804" s="335"/>
      <c r="DD804" s="335"/>
      <c r="DE804" s="335"/>
      <c r="DF804" s="335"/>
      <c r="DG804" s="335"/>
      <c r="DH804" s="335"/>
      <c r="DI804" s="335"/>
      <c r="DJ804" s="335"/>
      <c r="DK804" s="335"/>
      <c r="DL804" s="335"/>
      <c r="DM804" s="335"/>
      <c r="DN804" s="335"/>
      <c r="DO804" s="335"/>
      <c r="DP804" s="335"/>
      <c r="DQ804" s="335"/>
      <c r="DR804" s="335"/>
      <c r="DS804" s="335"/>
      <c r="DT804" s="335"/>
      <c r="DU804" s="335"/>
      <c r="DV804" s="335"/>
      <c r="DW804" s="335"/>
      <c r="DX804" s="335"/>
      <c r="DY804" s="335"/>
      <c r="DZ804" s="335"/>
      <c r="EA804" s="335"/>
      <c r="EB804" s="335"/>
      <c r="EC804" s="335"/>
      <c r="ED804" s="335"/>
      <c r="EE804" s="335"/>
      <c r="EF804" s="335"/>
      <c r="EG804" s="335"/>
      <c r="EH804" s="335"/>
      <c r="EI804" s="335"/>
      <c r="EJ804" s="335"/>
      <c r="EK804" s="335"/>
      <c r="EL804" s="335"/>
      <c r="EM804" s="335"/>
    </row>
    <row r="805" spans="72:143">
      <c r="BT805" s="187"/>
      <c r="BU805" s="187" t="s">
        <v>99</v>
      </c>
      <c r="BV805" s="196">
        <v>120045</v>
      </c>
      <c r="BW805" s="197" t="e">
        <f t="shared" si="153"/>
        <v>#REF!</v>
      </c>
      <c r="BX805" s="198" t="e">
        <f>IF(AND(State_LOB_Code=18,LEFT(BW805,4)&lt;"2009"),81,State_LOB_Code)&amp;"|345"</f>
        <v>#REF!</v>
      </c>
      <c r="BY805" s="174"/>
      <c r="BZ805" s="175"/>
      <c r="CD805" s="163"/>
      <c r="CE805" s="363"/>
      <c r="CF805" s="335"/>
      <c r="CG805" s="335"/>
      <c r="CH805" s="335"/>
      <c r="CI805" s="335"/>
      <c r="CJ805" s="335"/>
      <c r="CK805" s="335"/>
      <c r="CL805" s="335"/>
      <c r="CM805" s="335"/>
      <c r="CN805" s="335"/>
      <c r="CO805" s="335"/>
      <c r="CP805" s="335"/>
      <c r="CQ805" s="335"/>
      <c r="CR805" s="335"/>
      <c r="CS805" s="335"/>
      <c r="CT805" s="335"/>
      <c r="CU805" s="335"/>
      <c r="CV805" s="335"/>
      <c r="CW805" s="335"/>
      <c r="CX805" s="335"/>
      <c r="CY805" s="335"/>
      <c r="CZ805" s="335"/>
      <c r="DA805" s="335"/>
      <c r="DB805" s="335"/>
      <c r="DC805" s="335"/>
      <c r="DD805" s="335"/>
      <c r="DE805" s="335"/>
      <c r="DF805" s="335"/>
      <c r="DG805" s="335"/>
      <c r="DH805" s="335"/>
      <c r="DI805" s="335"/>
      <c r="DJ805" s="335"/>
      <c r="DK805" s="335"/>
      <c r="DL805" s="335"/>
      <c r="DM805" s="335"/>
      <c r="DN805" s="335"/>
      <c r="DO805" s="335"/>
      <c r="DP805" s="335"/>
      <c r="DQ805" s="335"/>
      <c r="DR805" s="335"/>
      <c r="DS805" s="335"/>
      <c r="DT805" s="335"/>
      <c r="DU805" s="335"/>
      <c r="DV805" s="335"/>
      <c r="DW805" s="335"/>
      <c r="DX805" s="335"/>
      <c r="DY805" s="335"/>
      <c r="DZ805" s="335"/>
      <c r="EA805" s="335"/>
      <c r="EB805" s="335"/>
      <c r="EC805" s="335"/>
      <c r="ED805" s="335"/>
      <c r="EE805" s="335"/>
      <c r="EF805" s="335"/>
      <c r="EG805" s="335"/>
      <c r="EH805" s="335"/>
      <c r="EI805" s="335"/>
      <c r="EJ805" s="335"/>
      <c r="EK805" s="335"/>
      <c r="EL805" s="335"/>
      <c r="EM805" s="335"/>
    </row>
    <row r="806" spans="72:143">
      <c r="BT806" s="187"/>
      <c r="BU806" s="187" t="s">
        <v>100</v>
      </c>
      <c r="BV806" s="196">
        <v>120045</v>
      </c>
      <c r="BW806" s="197" t="e">
        <f t="shared" si="153"/>
        <v>#REF!</v>
      </c>
      <c r="BX806" s="198" t="e">
        <f>IF(AND(State_LOB_Code=18,LEFT(BW806,4)&lt;"2009"),81,State_LOB_Code)&amp;"|360"</f>
        <v>#REF!</v>
      </c>
      <c r="BY806" s="174"/>
      <c r="BZ806" s="175"/>
      <c r="CD806" s="163"/>
      <c r="CE806" s="363"/>
      <c r="CF806" s="335"/>
      <c r="CG806" s="335"/>
      <c r="CH806" s="335"/>
      <c r="CI806" s="335"/>
      <c r="CJ806" s="335"/>
      <c r="CK806" s="335"/>
      <c r="CL806" s="335"/>
      <c r="CM806" s="335"/>
      <c r="CN806" s="335"/>
      <c r="CO806" s="335"/>
      <c r="CP806" s="335"/>
      <c r="CQ806" s="335"/>
      <c r="CR806" s="335"/>
      <c r="CS806" s="335"/>
      <c r="CT806" s="335"/>
      <c r="CU806" s="335"/>
      <c r="CV806" s="335"/>
      <c r="CW806" s="335"/>
      <c r="CX806" s="335"/>
      <c r="CY806" s="335"/>
      <c r="CZ806" s="335"/>
      <c r="DA806" s="335"/>
      <c r="DB806" s="335"/>
      <c r="DC806" s="335"/>
      <c r="DD806" s="335"/>
      <c r="DE806" s="335"/>
      <c r="DF806" s="335"/>
      <c r="DG806" s="335"/>
      <c r="DH806" s="335"/>
      <c r="DI806" s="335"/>
      <c r="DJ806" s="335"/>
      <c r="DK806" s="335"/>
      <c r="DL806" s="335"/>
      <c r="DM806" s="335"/>
      <c r="DN806" s="335"/>
      <c r="DO806" s="335"/>
      <c r="DP806" s="335"/>
      <c r="DQ806" s="335"/>
      <c r="DR806" s="335"/>
      <c r="DS806" s="335"/>
      <c r="DT806" s="335"/>
      <c r="DU806" s="335"/>
      <c r="DV806" s="335"/>
      <c r="DW806" s="335"/>
      <c r="DX806" s="335"/>
      <c r="DY806" s="335"/>
      <c r="DZ806" s="335"/>
      <c r="EA806" s="335"/>
      <c r="EB806" s="335"/>
      <c r="EC806" s="335"/>
      <c r="ED806" s="335"/>
      <c r="EE806" s="335"/>
      <c r="EF806" s="335"/>
      <c r="EG806" s="335"/>
      <c r="EH806" s="335"/>
      <c r="EI806" s="335"/>
      <c r="EJ806" s="335"/>
      <c r="EK806" s="335"/>
      <c r="EL806" s="335"/>
      <c r="EM806" s="335"/>
    </row>
    <row r="807" spans="72:143">
      <c r="BT807" s="187"/>
      <c r="BU807" s="187" t="s">
        <v>101</v>
      </c>
      <c r="BV807" s="196">
        <v>120045</v>
      </c>
      <c r="BW807" s="197" t="e">
        <f t="shared" si="153"/>
        <v>#REF!</v>
      </c>
      <c r="BX807" s="198" t="e">
        <f>IF(AND(State_LOB_Code=18,LEFT(BW807,4)&lt;"2009"),81,State_LOB_Code)&amp;"|375"</f>
        <v>#REF!</v>
      </c>
      <c r="BY807" s="174"/>
      <c r="BZ807" s="175"/>
      <c r="CD807" s="163"/>
      <c r="CE807" s="363"/>
      <c r="CF807" s="335"/>
      <c r="CG807" s="335"/>
      <c r="CH807" s="335"/>
      <c r="CI807" s="335"/>
      <c r="CJ807" s="335"/>
      <c r="CK807" s="335"/>
      <c r="CL807" s="335"/>
      <c r="CM807" s="335"/>
      <c r="CN807" s="335"/>
      <c r="CO807" s="335"/>
      <c r="CP807" s="335"/>
      <c r="CQ807" s="335"/>
      <c r="CR807" s="335"/>
      <c r="CS807" s="335"/>
      <c r="CT807" s="335"/>
      <c r="CU807" s="335"/>
      <c r="CV807" s="335"/>
      <c r="CW807" s="335"/>
      <c r="CX807" s="335"/>
      <c r="CY807" s="335"/>
      <c r="CZ807" s="335"/>
      <c r="DA807" s="335"/>
      <c r="DB807" s="335"/>
      <c r="DC807" s="335"/>
      <c r="DD807" s="335"/>
      <c r="DE807" s="335"/>
      <c r="DF807" s="335"/>
      <c r="DG807" s="335"/>
      <c r="DH807" s="335"/>
      <c r="DI807" s="335"/>
      <c r="DJ807" s="335"/>
      <c r="DK807" s="335"/>
      <c r="DL807" s="335"/>
      <c r="DM807" s="335"/>
      <c r="DN807" s="335"/>
      <c r="DO807" s="335"/>
      <c r="DP807" s="335"/>
      <c r="DQ807" s="335"/>
      <c r="DR807" s="335"/>
      <c r="DS807" s="335"/>
      <c r="DT807" s="335"/>
      <c r="DU807" s="335"/>
      <c r="DV807" s="335"/>
      <c r="DW807" s="335"/>
      <c r="DX807" s="335"/>
      <c r="DY807" s="335"/>
      <c r="DZ807" s="335"/>
      <c r="EA807" s="335"/>
      <c r="EB807" s="335"/>
      <c r="EC807" s="335"/>
      <c r="ED807" s="335"/>
      <c r="EE807" s="335"/>
      <c r="EF807" s="335"/>
      <c r="EG807" s="335"/>
      <c r="EH807" s="335"/>
      <c r="EI807" s="335"/>
      <c r="EJ807" s="335"/>
      <c r="EK807" s="335"/>
      <c r="EL807" s="335"/>
      <c r="EM807" s="335"/>
    </row>
    <row r="808" spans="72:143">
      <c r="BT808" s="187"/>
      <c r="BU808" s="187" t="s">
        <v>102</v>
      </c>
      <c r="BV808" s="196">
        <v>120045</v>
      </c>
      <c r="BW808" s="197" t="e">
        <f t="shared" si="153"/>
        <v>#REF!</v>
      </c>
      <c r="BX808" s="198" t="e">
        <f>IF(AND(State_LOB_Code=18,LEFT(BW808,4)&lt;"2009"),81,State_LOB_Code)&amp;"|383"</f>
        <v>#REF!</v>
      </c>
      <c r="BY808" s="174"/>
      <c r="BZ808" s="175"/>
      <c r="CD808" s="163"/>
      <c r="CE808" s="363"/>
      <c r="CF808" s="335"/>
      <c r="CG808" s="335"/>
      <c r="CH808" s="335"/>
      <c r="CI808" s="335"/>
      <c r="CJ808" s="335"/>
      <c r="CK808" s="335"/>
      <c r="CL808" s="335"/>
      <c r="CM808" s="335"/>
      <c r="CN808" s="335"/>
      <c r="CO808" s="335"/>
      <c r="CP808" s="335"/>
      <c r="CQ808" s="335"/>
      <c r="CR808" s="335"/>
      <c r="CS808" s="335"/>
      <c r="CT808" s="335"/>
      <c r="CU808" s="335"/>
      <c r="CV808" s="335"/>
      <c r="CW808" s="335"/>
      <c r="CX808" s="335"/>
      <c r="CY808" s="335"/>
      <c r="CZ808" s="335"/>
      <c r="DA808" s="335"/>
      <c r="DB808" s="335"/>
      <c r="DC808" s="335"/>
      <c r="DD808" s="335"/>
      <c r="DE808" s="335"/>
      <c r="DF808" s="335"/>
      <c r="DG808" s="335"/>
      <c r="DH808" s="335"/>
      <c r="DI808" s="335"/>
      <c r="DJ808" s="335"/>
      <c r="DK808" s="335"/>
      <c r="DL808" s="335"/>
      <c r="DM808" s="335"/>
      <c r="DN808" s="335"/>
      <c r="DO808" s="335"/>
      <c r="DP808" s="335"/>
      <c r="DQ808" s="335"/>
      <c r="DR808" s="335"/>
      <c r="DS808" s="335"/>
      <c r="DT808" s="335"/>
      <c r="DU808" s="335"/>
      <c r="DV808" s="335"/>
      <c r="DW808" s="335"/>
      <c r="DX808" s="335"/>
      <c r="DY808" s="335"/>
      <c r="DZ808" s="335"/>
      <c r="EA808" s="335"/>
      <c r="EB808" s="335"/>
      <c r="EC808" s="335"/>
      <c r="ED808" s="335"/>
      <c r="EE808" s="335"/>
      <c r="EF808" s="335"/>
      <c r="EG808" s="335"/>
      <c r="EH808" s="335"/>
      <c r="EI808" s="335"/>
      <c r="EJ808" s="335"/>
      <c r="EK808" s="335"/>
      <c r="EL808" s="335"/>
      <c r="EM808" s="335"/>
    </row>
    <row r="809" spans="72:143">
      <c r="BT809" s="187"/>
      <c r="BU809" s="187" t="s">
        <v>103</v>
      </c>
      <c r="BV809" s="196">
        <v>120045</v>
      </c>
      <c r="BW809" s="197" t="e">
        <f t="shared" si="153"/>
        <v>#REF!</v>
      </c>
      <c r="BX809" s="198" t="e">
        <f>IF(AND(State_LOB_Code=18,LEFT(BW809,4)&lt;"2009"),81,State_LOB_Code)&amp;"|332"</f>
        <v>#REF!</v>
      </c>
      <c r="BY809" s="174"/>
      <c r="BZ809" s="175"/>
      <c r="CD809" s="163"/>
      <c r="CE809" s="363"/>
      <c r="CF809" s="335"/>
      <c r="CG809" s="335"/>
      <c r="CH809" s="335"/>
      <c r="CI809" s="335"/>
      <c r="CJ809" s="335"/>
      <c r="CK809" s="335"/>
      <c r="CL809" s="335"/>
      <c r="CM809" s="335"/>
      <c r="CN809" s="335"/>
      <c r="CO809" s="335"/>
      <c r="CP809" s="335"/>
      <c r="CQ809" s="335"/>
      <c r="CR809" s="335"/>
      <c r="CS809" s="335"/>
      <c r="CT809" s="335"/>
      <c r="CU809" s="335"/>
      <c r="CV809" s="335"/>
      <c r="CW809" s="335"/>
      <c r="CX809" s="335"/>
      <c r="CY809" s="335"/>
      <c r="CZ809" s="335"/>
      <c r="DA809" s="335"/>
      <c r="DB809" s="335"/>
      <c r="DC809" s="335"/>
      <c r="DD809" s="335"/>
      <c r="DE809" s="335"/>
      <c r="DF809" s="335"/>
      <c r="DG809" s="335"/>
      <c r="DH809" s="335"/>
      <c r="DI809" s="335"/>
      <c r="DJ809" s="335"/>
      <c r="DK809" s="335"/>
      <c r="DL809" s="335"/>
      <c r="DM809" s="335"/>
      <c r="DN809" s="335"/>
      <c r="DO809" s="335"/>
      <c r="DP809" s="335"/>
      <c r="DQ809" s="335"/>
      <c r="DR809" s="335"/>
      <c r="DS809" s="335"/>
      <c r="DT809" s="335"/>
      <c r="DU809" s="335"/>
      <c r="DV809" s="335"/>
      <c r="DW809" s="335"/>
      <c r="DX809" s="335"/>
      <c r="DY809" s="335"/>
      <c r="DZ809" s="335"/>
      <c r="EA809" s="335"/>
      <c r="EB809" s="335"/>
      <c r="EC809" s="335"/>
      <c r="ED809" s="335"/>
      <c r="EE809" s="335"/>
      <c r="EF809" s="335"/>
      <c r="EG809" s="335"/>
      <c r="EH809" s="335"/>
      <c r="EI809" s="335"/>
      <c r="EJ809" s="335"/>
      <c r="EK809" s="335"/>
      <c r="EL809" s="335"/>
      <c r="EM809" s="335"/>
    </row>
    <row r="810" spans="72:143">
      <c r="BT810" s="187"/>
      <c r="BU810" s="187" t="s">
        <v>104</v>
      </c>
      <c r="BV810" s="196">
        <v>120045</v>
      </c>
      <c r="BW810" s="197" t="e">
        <f t="shared" si="153"/>
        <v>#REF!</v>
      </c>
      <c r="BX810" s="198" t="e">
        <f>IF(AND(State_LOB_Code=18,LEFT(BW810,4)&lt;"2009"),81,State_LOB_Code)&amp;"|330"</f>
        <v>#REF!</v>
      </c>
      <c r="BY810" s="174"/>
      <c r="BZ810" s="175"/>
      <c r="CD810" s="163"/>
      <c r="CE810" s="363"/>
      <c r="CF810" s="335"/>
      <c r="CG810" s="335"/>
      <c r="CH810" s="335"/>
      <c r="CI810" s="335"/>
      <c r="CJ810" s="335"/>
      <c r="CK810" s="335"/>
      <c r="CL810" s="335"/>
      <c r="CM810" s="335"/>
      <c r="CN810" s="335"/>
      <c r="CO810" s="335"/>
      <c r="CP810" s="335"/>
      <c r="CQ810" s="335"/>
      <c r="CR810" s="335"/>
      <c r="CS810" s="335"/>
      <c r="CT810" s="335"/>
      <c r="CU810" s="335"/>
      <c r="CV810" s="335"/>
      <c r="CW810" s="335"/>
      <c r="CX810" s="335"/>
      <c r="CY810" s="335"/>
      <c r="CZ810" s="335"/>
      <c r="DA810" s="335"/>
      <c r="DB810" s="335"/>
      <c r="DC810" s="335"/>
      <c r="DD810" s="335"/>
      <c r="DE810" s="335"/>
      <c r="DF810" s="335"/>
      <c r="DG810" s="335"/>
      <c r="DH810" s="335"/>
      <c r="DI810" s="335"/>
      <c r="DJ810" s="335"/>
      <c r="DK810" s="335"/>
      <c r="DL810" s="335"/>
      <c r="DM810" s="335"/>
      <c r="DN810" s="335"/>
      <c r="DO810" s="335"/>
      <c r="DP810" s="335"/>
      <c r="DQ810" s="335"/>
      <c r="DR810" s="335"/>
      <c r="DS810" s="335"/>
      <c r="DT810" s="335"/>
      <c r="DU810" s="335"/>
      <c r="DV810" s="335"/>
      <c r="DW810" s="335"/>
      <c r="DX810" s="335"/>
      <c r="DY810" s="335"/>
      <c r="DZ810" s="335"/>
      <c r="EA810" s="335"/>
      <c r="EB810" s="335"/>
      <c r="EC810" s="335"/>
      <c r="ED810" s="335"/>
      <c r="EE810" s="335"/>
      <c r="EF810" s="335"/>
      <c r="EG810" s="335"/>
      <c r="EH810" s="335"/>
      <c r="EI810" s="335"/>
      <c r="EJ810" s="335"/>
      <c r="EK810" s="335"/>
      <c r="EL810" s="335"/>
      <c r="EM810" s="335"/>
    </row>
    <row r="811" spans="72:143">
      <c r="BT811" s="187"/>
      <c r="BU811" s="190" t="s">
        <v>46</v>
      </c>
      <c r="BV811" s="202">
        <v>120068</v>
      </c>
      <c r="BW811" s="203" t="e">
        <f t="shared" si="153"/>
        <v>#REF!</v>
      </c>
      <c r="BX811" s="204" t="e">
        <f>IF(AND(State_LOB_Code=18,LEFT(BW811,4)&lt;"2009"),81,State_LOB_Code)</f>
        <v>#REF!</v>
      </c>
      <c r="BY811" s="191"/>
      <c r="BZ811" s="192"/>
      <c r="CD811" s="163"/>
      <c r="CE811" s="363"/>
      <c r="CF811" s="335"/>
      <c r="CG811" s="335"/>
      <c r="CH811" s="335"/>
      <c r="CI811" s="335"/>
      <c r="CJ811" s="335"/>
      <c r="CK811" s="335"/>
      <c r="CL811" s="335"/>
      <c r="CM811" s="335"/>
      <c r="CN811" s="335"/>
      <c r="CO811" s="335"/>
      <c r="CP811" s="335"/>
      <c r="CQ811" s="335"/>
      <c r="CR811" s="335"/>
      <c r="CS811" s="335"/>
      <c r="CT811" s="335"/>
      <c r="CU811" s="335"/>
      <c r="CV811" s="335"/>
      <c r="CW811" s="335"/>
      <c r="CX811" s="335"/>
      <c r="CY811" s="335"/>
      <c r="CZ811" s="335"/>
      <c r="DA811" s="335"/>
      <c r="DB811" s="335"/>
      <c r="DC811" s="335"/>
      <c r="DD811" s="335"/>
      <c r="DE811" s="335"/>
      <c r="DF811" s="335"/>
      <c r="DG811" s="335"/>
      <c r="DH811" s="335"/>
      <c r="DI811" s="335"/>
      <c r="DJ811" s="335"/>
      <c r="DK811" s="335"/>
      <c r="DL811" s="335"/>
      <c r="DM811" s="335"/>
      <c r="DN811" s="335"/>
      <c r="DO811" s="335"/>
      <c r="DP811" s="335"/>
      <c r="DQ811" s="335"/>
      <c r="DR811" s="335"/>
      <c r="DS811" s="335"/>
      <c r="DT811" s="335"/>
      <c r="DU811" s="335"/>
      <c r="DV811" s="335"/>
      <c r="DW811" s="335"/>
      <c r="DX811" s="335"/>
      <c r="DY811" s="335"/>
      <c r="DZ811" s="335"/>
      <c r="EA811" s="335"/>
      <c r="EB811" s="335"/>
      <c r="EC811" s="335"/>
      <c r="ED811" s="335"/>
      <c r="EE811" s="335"/>
      <c r="EF811" s="335"/>
      <c r="EG811" s="335"/>
      <c r="EH811" s="335"/>
      <c r="EI811" s="335"/>
      <c r="EJ811" s="335"/>
      <c r="EK811" s="335"/>
      <c r="EL811" s="335"/>
      <c r="EM811" s="335"/>
    </row>
    <row r="812" spans="72:143">
      <c r="BT812" s="187"/>
      <c r="BU812" s="187"/>
      <c r="BV812" s="188"/>
      <c r="BW812" s="188"/>
      <c r="BX812" s="188"/>
      <c r="BY812" s="178"/>
      <c r="BZ812" s="179"/>
      <c r="CD812" s="163"/>
      <c r="CE812" s="363"/>
      <c r="CF812" s="335"/>
      <c r="CG812" s="335"/>
      <c r="CH812" s="335"/>
      <c r="CI812" s="335"/>
      <c r="CJ812" s="335"/>
      <c r="CK812" s="335"/>
      <c r="CL812" s="335"/>
      <c r="CM812" s="335"/>
      <c r="CN812" s="335"/>
      <c r="CO812" s="335"/>
      <c r="CP812" s="335"/>
      <c r="CQ812" s="335"/>
      <c r="CR812" s="335"/>
      <c r="CS812" s="335"/>
      <c r="CT812" s="335"/>
      <c r="CU812" s="335"/>
      <c r="CV812" s="335"/>
      <c r="CW812" s="335"/>
      <c r="CX812" s="335"/>
      <c r="CY812" s="335"/>
      <c r="CZ812" s="335"/>
      <c r="DA812" s="335"/>
      <c r="DB812" s="335"/>
      <c r="DC812" s="335"/>
      <c r="DD812" s="335"/>
      <c r="DE812" s="335"/>
      <c r="DF812" s="335"/>
      <c r="DG812" s="335"/>
      <c r="DH812" s="335"/>
      <c r="DI812" s="335"/>
      <c r="DJ812" s="335"/>
      <c r="DK812" s="335"/>
      <c r="DL812" s="335"/>
      <c r="DM812" s="335"/>
      <c r="DN812" s="335"/>
      <c r="DO812" s="335"/>
      <c r="DP812" s="335"/>
      <c r="DQ812" s="335"/>
      <c r="DR812" s="335"/>
      <c r="DS812" s="335"/>
      <c r="DT812" s="335"/>
      <c r="DU812" s="335"/>
      <c r="DV812" s="335"/>
      <c r="DW812" s="335"/>
      <c r="DX812" s="335"/>
      <c r="DY812" s="335"/>
      <c r="DZ812" s="335"/>
      <c r="EA812" s="335"/>
      <c r="EB812" s="335"/>
      <c r="EC812" s="335"/>
      <c r="ED812" s="335"/>
      <c r="EE812" s="335"/>
      <c r="EF812" s="335"/>
      <c r="EG812" s="335"/>
      <c r="EH812" s="335"/>
      <c r="EI812" s="335"/>
      <c r="EJ812" s="335"/>
      <c r="EK812" s="335"/>
      <c r="EL812" s="335"/>
      <c r="EM812" s="335"/>
    </row>
    <row r="813" spans="72:143">
      <c r="BT813" s="187"/>
      <c r="BU813" s="184" t="s">
        <v>47</v>
      </c>
      <c r="BV813" s="193">
        <v>120045</v>
      </c>
      <c r="BW813" s="194" t="e">
        <f t="shared" ref="BW813:BW844" si="154">LEFT(BW752,4)-1&amp;"Y"</f>
        <v>#REF!</v>
      </c>
      <c r="BX813" s="195" t="e">
        <f>IF(AND(State_LOB_Code=18,LEFT(BW813,4)&lt;"2009"),81,State_LOB_Code)&amp;"|333"</f>
        <v>#REF!</v>
      </c>
      <c r="BY813" s="185"/>
      <c r="BZ813" s="186"/>
      <c r="CD813" s="163"/>
      <c r="CE813" s="363"/>
      <c r="CF813" s="335"/>
      <c r="CG813" s="335"/>
      <c r="CH813" s="335"/>
      <c r="CI813" s="335"/>
      <c r="CJ813" s="335"/>
      <c r="CK813" s="335"/>
      <c r="CL813" s="335"/>
      <c r="CM813" s="335"/>
      <c r="CN813" s="335"/>
      <c r="CO813" s="335"/>
      <c r="CP813" s="335"/>
      <c r="CQ813" s="335"/>
      <c r="CR813" s="335"/>
      <c r="CS813" s="335"/>
      <c r="CT813" s="335"/>
      <c r="CU813" s="335"/>
      <c r="CV813" s="335"/>
      <c r="CW813" s="335"/>
      <c r="CX813" s="335"/>
      <c r="CY813" s="335"/>
      <c r="CZ813" s="335"/>
      <c r="DA813" s="335"/>
      <c r="DB813" s="335"/>
      <c r="DC813" s="335"/>
      <c r="DD813" s="335"/>
      <c r="DE813" s="335"/>
      <c r="DF813" s="335"/>
      <c r="DG813" s="335"/>
      <c r="DH813" s="335"/>
      <c r="DI813" s="335"/>
      <c r="DJ813" s="335"/>
      <c r="DK813" s="335"/>
      <c r="DL813" s="335"/>
      <c r="DM813" s="335"/>
      <c r="DN813" s="335"/>
      <c r="DO813" s="335"/>
      <c r="DP813" s="335"/>
      <c r="DQ813" s="335"/>
      <c r="DR813" s="335"/>
      <c r="DS813" s="335"/>
      <c r="DT813" s="335"/>
      <c r="DU813" s="335"/>
      <c r="DV813" s="335"/>
      <c r="DW813" s="335"/>
      <c r="DX813" s="335"/>
      <c r="DY813" s="335"/>
      <c r="DZ813" s="335"/>
      <c r="EA813" s="335"/>
      <c r="EB813" s="335"/>
      <c r="EC813" s="335"/>
      <c r="ED813" s="335"/>
      <c r="EE813" s="335"/>
      <c r="EF813" s="335"/>
      <c r="EG813" s="335"/>
      <c r="EH813" s="335"/>
      <c r="EI813" s="335"/>
      <c r="EJ813" s="335"/>
      <c r="EK813" s="335"/>
      <c r="EL813" s="335"/>
      <c r="EM813" s="335"/>
    </row>
    <row r="814" spans="72:143">
      <c r="BT814" s="187"/>
      <c r="BU814" s="187" t="s">
        <v>48</v>
      </c>
      <c r="BV814" s="196">
        <v>120045</v>
      </c>
      <c r="BW814" s="197" t="e">
        <f t="shared" si="154"/>
        <v>#REF!</v>
      </c>
      <c r="BX814" s="198" t="e">
        <f>IF(AND(State_LOB_Code=18,LEFT(BW814,4)&lt;"2009"),81,State_LOB_Code)&amp;"|334"</f>
        <v>#REF!</v>
      </c>
      <c r="BY814" s="174"/>
      <c r="BZ814" s="175"/>
      <c r="CD814" s="163"/>
      <c r="CE814" s="363"/>
      <c r="CF814" s="335"/>
      <c r="CG814" s="335"/>
      <c r="CH814" s="335"/>
      <c r="CI814" s="335"/>
      <c r="CJ814" s="335"/>
      <c r="CK814" s="335"/>
      <c r="CL814" s="335"/>
      <c r="CM814" s="335"/>
      <c r="CN814" s="335"/>
      <c r="CO814" s="335"/>
      <c r="CP814" s="335"/>
      <c r="CQ814" s="335"/>
      <c r="CR814" s="335"/>
      <c r="CS814" s="335"/>
      <c r="CT814" s="335"/>
      <c r="CU814" s="335"/>
      <c r="CV814" s="335"/>
      <c r="CW814" s="335"/>
      <c r="CX814" s="335"/>
      <c r="CY814" s="335"/>
      <c r="CZ814" s="335"/>
      <c r="DA814" s="335"/>
      <c r="DB814" s="335"/>
      <c r="DC814" s="335"/>
      <c r="DD814" s="335"/>
      <c r="DE814" s="335"/>
      <c r="DF814" s="335"/>
      <c r="DG814" s="335"/>
      <c r="DH814" s="335"/>
      <c r="DI814" s="335"/>
      <c r="DJ814" s="335"/>
      <c r="DK814" s="335"/>
      <c r="DL814" s="335"/>
      <c r="DM814" s="335"/>
      <c r="DN814" s="335"/>
      <c r="DO814" s="335"/>
      <c r="DP814" s="335"/>
      <c r="DQ814" s="335"/>
      <c r="DR814" s="335"/>
      <c r="DS814" s="335"/>
      <c r="DT814" s="335"/>
      <c r="DU814" s="335"/>
      <c r="DV814" s="335"/>
      <c r="DW814" s="335"/>
      <c r="DX814" s="335"/>
      <c r="DY814" s="335"/>
      <c r="DZ814" s="335"/>
      <c r="EA814" s="335"/>
      <c r="EB814" s="335"/>
      <c r="EC814" s="335"/>
      <c r="ED814" s="335"/>
      <c r="EE814" s="335"/>
      <c r="EF814" s="335"/>
      <c r="EG814" s="335"/>
      <c r="EH814" s="335"/>
      <c r="EI814" s="335"/>
      <c r="EJ814" s="335"/>
      <c r="EK814" s="335"/>
      <c r="EL814" s="335"/>
      <c r="EM814" s="335"/>
    </row>
    <row r="815" spans="72:143">
      <c r="BT815" s="187"/>
      <c r="BU815" s="187" t="s">
        <v>49</v>
      </c>
      <c r="BV815" s="196">
        <v>120045</v>
      </c>
      <c r="BW815" s="197" t="e">
        <f t="shared" si="154"/>
        <v>#REF!</v>
      </c>
      <c r="BX815" s="198" t="e">
        <f>IF(AND(State_LOB_Code=18,LEFT(BW815,4)&lt;"2009"),81,State_LOB_Code)&amp;"|335"</f>
        <v>#REF!</v>
      </c>
      <c r="BY815" s="174"/>
      <c r="BZ815" s="175"/>
      <c r="CD815" s="163"/>
      <c r="CE815" s="363"/>
      <c r="CF815" s="335"/>
      <c r="CG815" s="335"/>
      <c r="CH815" s="335"/>
      <c r="CI815" s="335"/>
      <c r="CJ815" s="335"/>
      <c r="CK815" s="335"/>
      <c r="CL815" s="335"/>
      <c r="CM815" s="335"/>
      <c r="CN815" s="335"/>
      <c r="CO815" s="335"/>
      <c r="CP815" s="335"/>
      <c r="CQ815" s="335"/>
      <c r="CR815" s="335"/>
      <c r="CS815" s="335"/>
      <c r="CT815" s="335"/>
      <c r="CU815" s="335"/>
      <c r="CV815" s="335"/>
      <c r="CW815" s="335"/>
      <c r="CX815" s="335"/>
      <c r="CY815" s="335"/>
      <c r="CZ815" s="335"/>
      <c r="DA815" s="335"/>
      <c r="DB815" s="335"/>
      <c r="DC815" s="335"/>
      <c r="DD815" s="335"/>
      <c r="DE815" s="335"/>
      <c r="DF815" s="335"/>
      <c r="DG815" s="335"/>
      <c r="DH815" s="335"/>
      <c r="DI815" s="335"/>
      <c r="DJ815" s="335"/>
      <c r="DK815" s="335"/>
      <c r="DL815" s="335"/>
      <c r="DM815" s="335"/>
      <c r="DN815" s="335"/>
      <c r="DO815" s="335"/>
      <c r="DP815" s="335"/>
      <c r="DQ815" s="335"/>
      <c r="DR815" s="335"/>
      <c r="DS815" s="335"/>
      <c r="DT815" s="335"/>
      <c r="DU815" s="335"/>
      <c r="DV815" s="335"/>
      <c r="DW815" s="335"/>
      <c r="DX815" s="335"/>
      <c r="DY815" s="335"/>
      <c r="DZ815" s="335"/>
      <c r="EA815" s="335"/>
      <c r="EB815" s="335"/>
      <c r="EC815" s="335"/>
      <c r="ED815" s="335"/>
      <c r="EE815" s="335"/>
      <c r="EF815" s="335"/>
      <c r="EG815" s="335"/>
      <c r="EH815" s="335"/>
      <c r="EI815" s="335"/>
      <c r="EJ815" s="335"/>
      <c r="EK815" s="335"/>
      <c r="EL815" s="335"/>
      <c r="EM815" s="335"/>
    </row>
    <row r="816" spans="72:143">
      <c r="BT816" s="187"/>
      <c r="BU816" s="187" t="s">
        <v>50</v>
      </c>
      <c r="BV816" s="196">
        <v>120045</v>
      </c>
      <c r="BW816" s="197" t="e">
        <f t="shared" si="154"/>
        <v>#REF!</v>
      </c>
      <c r="BX816" s="198" t="e">
        <f>IF(AND(State_LOB_Code=18,LEFT(BW816,4)&lt;"2009"),81,State_LOB_Code)&amp;"|337"</f>
        <v>#REF!</v>
      </c>
      <c r="BY816" s="174"/>
      <c r="BZ816" s="175"/>
      <c r="CD816" s="163"/>
      <c r="CE816" s="363"/>
      <c r="CF816" s="335"/>
      <c r="CG816" s="335"/>
      <c r="CH816" s="335"/>
      <c r="CI816" s="335"/>
      <c r="CJ816" s="335"/>
      <c r="CK816" s="335"/>
      <c r="CL816" s="335"/>
      <c r="CM816" s="335"/>
      <c r="CN816" s="335"/>
      <c r="CO816" s="335"/>
      <c r="CP816" s="335"/>
      <c r="CQ816" s="335"/>
      <c r="CR816" s="335"/>
      <c r="CS816" s="335"/>
      <c r="CT816" s="335"/>
      <c r="CU816" s="335"/>
      <c r="CV816" s="335"/>
      <c r="CW816" s="335"/>
      <c r="CX816" s="335"/>
      <c r="CY816" s="335"/>
      <c r="CZ816" s="335"/>
      <c r="DA816" s="335"/>
      <c r="DB816" s="335"/>
      <c r="DC816" s="335"/>
      <c r="DD816" s="335"/>
      <c r="DE816" s="335"/>
      <c r="DF816" s="335"/>
      <c r="DG816" s="335"/>
      <c r="DH816" s="335"/>
      <c r="DI816" s="335"/>
      <c r="DJ816" s="335"/>
      <c r="DK816" s="335"/>
      <c r="DL816" s="335"/>
      <c r="DM816" s="335"/>
      <c r="DN816" s="335"/>
      <c r="DO816" s="335"/>
      <c r="DP816" s="335"/>
      <c r="DQ816" s="335"/>
      <c r="DR816" s="335"/>
      <c r="DS816" s="335"/>
      <c r="DT816" s="335"/>
      <c r="DU816" s="335"/>
      <c r="DV816" s="335"/>
      <c r="DW816" s="335"/>
      <c r="DX816" s="335"/>
      <c r="DY816" s="335"/>
      <c r="DZ816" s="335"/>
      <c r="EA816" s="335"/>
      <c r="EB816" s="335"/>
      <c r="EC816" s="335"/>
      <c r="ED816" s="335"/>
      <c r="EE816" s="335"/>
      <c r="EF816" s="335"/>
      <c r="EG816" s="335"/>
      <c r="EH816" s="335"/>
      <c r="EI816" s="335"/>
      <c r="EJ816" s="335"/>
      <c r="EK816" s="335"/>
      <c r="EL816" s="335"/>
      <c r="EM816" s="335"/>
    </row>
    <row r="817" spans="72:143">
      <c r="BT817" s="187"/>
      <c r="BU817" s="187" t="s">
        <v>51</v>
      </c>
      <c r="BV817" s="196">
        <v>120045</v>
      </c>
      <c r="BW817" s="197" t="e">
        <f t="shared" si="154"/>
        <v>#REF!</v>
      </c>
      <c r="BX817" s="198" t="e">
        <f>IF(AND(State_LOB_Code=18,LEFT(BW817,4)&lt;"2009"),81,State_LOB_Code)&amp;"|338"</f>
        <v>#REF!</v>
      </c>
      <c r="BY817" s="174"/>
      <c r="BZ817" s="175"/>
      <c r="CD817" s="163"/>
      <c r="CE817" s="363"/>
      <c r="CF817" s="335"/>
      <c r="CG817" s="335"/>
      <c r="CH817" s="335"/>
      <c r="CI817" s="335"/>
      <c r="CJ817" s="335"/>
      <c r="CK817" s="335"/>
      <c r="CL817" s="335"/>
      <c r="CM817" s="335"/>
      <c r="CN817" s="335"/>
      <c r="CO817" s="335"/>
      <c r="CP817" s="335"/>
      <c r="CQ817" s="335"/>
      <c r="CR817" s="335"/>
      <c r="CS817" s="335"/>
      <c r="CT817" s="335"/>
      <c r="CU817" s="335"/>
      <c r="CV817" s="335"/>
      <c r="CW817" s="335"/>
      <c r="CX817" s="335"/>
      <c r="CY817" s="335"/>
      <c r="CZ817" s="335"/>
      <c r="DA817" s="335"/>
      <c r="DB817" s="335"/>
      <c r="DC817" s="335"/>
      <c r="DD817" s="335"/>
      <c r="DE817" s="335"/>
      <c r="DF817" s="335"/>
      <c r="DG817" s="335"/>
      <c r="DH817" s="335"/>
      <c r="DI817" s="335"/>
      <c r="DJ817" s="335"/>
      <c r="DK817" s="335"/>
      <c r="DL817" s="335"/>
      <c r="DM817" s="335"/>
      <c r="DN817" s="335"/>
      <c r="DO817" s="335"/>
      <c r="DP817" s="335"/>
      <c r="DQ817" s="335"/>
      <c r="DR817" s="335"/>
      <c r="DS817" s="335"/>
      <c r="DT817" s="335"/>
      <c r="DU817" s="335"/>
      <c r="DV817" s="335"/>
      <c r="DW817" s="335"/>
      <c r="DX817" s="335"/>
      <c r="DY817" s="335"/>
      <c r="DZ817" s="335"/>
      <c r="EA817" s="335"/>
      <c r="EB817" s="335"/>
      <c r="EC817" s="335"/>
      <c r="ED817" s="335"/>
      <c r="EE817" s="335"/>
      <c r="EF817" s="335"/>
      <c r="EG817" s="335"/>
      <c r="EH817" s="335"/>
      <c r="EI817" s="335"/>
      <c r="EJ817" s="335"/>
      <c r="EK817" s="335"/>
      <c r="EL817" s="335"/>
      <c r="EM817" s="335"/>
    </row>
    <row r="818" spans="72:143">
      <c r="BT818" s="187"/>
      <c r="BU818" s="187" t="s">
        <v>52</v>
      </c>
      <c r="BV818" s="196">
        <v>120045</v>
      </c>
      <c r="BW818" s="197" t="e">
        <f t="shared" si="154"/>
        <v>#REF!</v>
      </c>
      <c r="BX818" s="198" t="e">
        <f>IF(AND(State_LOB_Code=18,LEFT(BW818,4)&lt;"2009"),81,State_LOB_Code)&amp;"|339"</f>
        <v>#REF!</v>
      </c>
      <c r="BY818" s="174"/>
      <c r="BZ818" s="175"/>
      <c r="CD818" s="163"/>
      <c r="CE818" s="363"/>
      <c r="CF818" s="335"/>
      <c r="CG818" s="335"/>
      <c r="CH818" s="335"/>
      <c r="CI818" s="335"/>
      <c r="CJ818" s="335"/>
      <c r="CK818" s="335"/>
      <c r="CL818" s="335"/>
      <c r="CM818" s="335"/>
      <c r="CN818" s="335"/>
      <c r="CO818" s="335"/>
      <c r="CP818" s="335"/>
      <c r="CQ818" s="335"/>
      <c r="CR818" s="335"/>
      <c r="CS818" s="335"/>
      <c r="CT818" s="335"/>
      <c r="CU818" s="335"/>
      <c r="CV818" s="335"/>
      <c r="CW818" s="335"/>
      <c r="CX818" s="335"/>
      <c r="CY818" s="335"/>
      <c r="CZ818" s="335"/>
      <c r="DA818" s="335"/>
      <c r="DB818" s="335"/>
      <c r="DC818" s="335"/>
      <c r="DD818" s="335"/>
      <c r="DE818" s="335"/>
      <c r="DF818" s="335"/>
      <c r="DG818" s="335"/>
      <c r="DH818" s="335"/>
      <c r="DI818" s="335"/>
      <c r="DJ818" s="335"/>
      <c r="DK818" s="335"/>
      <c r="DL818" s="335"/>
      <c r="DM818" s="335"/>
      <c r="DN818" s="335"/>
      <c r="DO818" s="335"/>
      <c r="DP818" s="335"/>
      <c r="DQ818" s="335"/>
      <c r="DR818" s="335"/>
      <c r="DS818" s="335"/>
      <c r="DT818" s="335"/>
      <c r="DU818" s="335"/>
      <c r="DV818" s="335"/>
      <c r="DW818" s="335"/>
      <c r="DX818" s="335"/>
      <c r="DY818" s="335"/>
      <c r="DZ818" s="335"/>
      <c r="EA818" s="335"/>
      <c r="EB818" s="335"/>
      <c r="EC818" s="335"/>
      <c r="ED818" s="335"/>
      <c r="EE818" s="335"/>
      <c r="EF818" s="335"/>
      <c r="EG818" s="335"/>
      <c r="EH818" s="335"/>
      <c r="EI818" s="335"/>
      <c r="EJ818" s="335"/>
      <c r="EK818" s="335"/>
      <c r="EL818" s="335"/>
      <c r="EM818" s="335"/>
    </row>
    <row r="819" spans="72:143">
      <c r="BT819" s="187"/>
      <c r="BU819" s="187" t="s">
        <v>53</v>
      </c>
      <c r="BV819" s="196">
        <v>120045</v>
      </c>
      <c r="BW819" s="197" t="e">
        <f t="shared" si="154"/>
        <v>#REF!</v>
      </c>
      <c r="BX819" s="198" t="e">
        <f>IF(AND(State_LOB_Code=18,LEFT(BW819,4)&lt;"2009"),81,State_LOB_Code)&amp;"|340"</f>
        <v>#REF!</v>
      </c>
      <c r="BY819" s="174"/>
      <c r="BZ819" s="175"/>
      <c r="CD819" s="163"/>
      <c r="CE819" s="363"/>
      <c r="CF819" s="335"/>
      <c r="CG819" s="335"/>
      <c r="CH819" s="335"/>
      <c r="CI819" s="335"/>
      <c r="CJ819" s="335"/>
      <c r="CK819" s="335"/>
      <c r="CL819" s="335"/>
      <c r="CM819" s="335"/>
      <c r="CN819" s="335"/>
      <c r="CO819" s="335"/>
      <c r="CP819" s="335"/>
      <c r="CQ819" s="335"/>
      <c r="CR819" s="335"/>
      <c r="CS819" s="335"/>
      <c r="CT819" s="335"/>
      <c r="CU819" s="335"/>
      <c r="CV819" s="335"/>
      <c r="CW819" s="335"/>
      <c r="CX819" s="335"/>
      <c r="CY819" s="335"/>
      <c r="CZ819" s="335"/>
      <c r="DA819" s="335"/>
      <c r="DB819" s="335"/>
      <c r="DC819" s="335"/>
      <c r="DD819" s="335"/>
      <c r="DE819" s="335"/>
      <c r="DF819" s="335"/>
      <c r="DG819" s="335"/>
      <c r="DH819" s="335"/>
      <c r="DI819" s="335"/>
      <c r="DJ819" s="335"/>
      <c r="DK819" s="335"/>
      <c r="DL819" s="335"/>
      <c r="DM819" s="335"/>
      <c r="DN819" s="335"/>
      <c r="DO819" s="335"/>
      <c r="DP819" s="335"/>
      <c r="DQ819" s="335"/>
      <c r="DR819" s="335"/>
      <c r="DS819" s="335"/>
      <c r="DT819" s="335"/>
      <c r="DU819" s="335"/>
      <c r="DV819" s="335"/>
      <c r="DW819" s="335"/>
      <c r="DX819" s="335"/>
      <c r="DY819" s="335"/>
      <c r="DZ819" s="335"/>
      <c r="EA819" s="335"/>
      <c r="EB819" s="335"/>
      <c r="EC819" s="335"/>
      <c r="ED819" s="335"/>
      <c r="EE819" s="335"/>
      <c r="EF819" s="335"/>
      <c r="EG819" s="335"/>
      <c r="EH819" s="335"/>
      <c r="EI819" s="335"/>
      <c r="EJ819" s="335"/>
      <c r="EK819" s="335"/>
      <c r="EL819" s="335"/>
      <c r="EM819" s="335"/>
    </row>
    <row r="820" spans="72:143">
      <c r="BT820" s="187"/>
      <c r="BU820" s="187" t="s">
        <v>54</v>
      </c>
      <c r="BV820" s="196">
        <v>120045</v>
      </c>
      <c r="BW820" s="197" t="e">
        <f t="shared" si="154"/>
        <v>#REF!</v>
      </c>
      <c r="BX820" s="198" t="e">
        <f>IF(AND(State_LOB_Code=18,LEFT(BW820,4)&lt;"2009"),81,State_LOB_Code)&amp;"|341"</f>
        <v>#REF!</v>
      </c>
      <c r="BY820" s="174"/>
      <c r="BZ820" s="175"/>
      <c r="CD820" s="163"/>
      <c r="CE820" s="363"/>
      <c r="CF820" s="335"/>
      <c r="CG820" s="335"/>
      <c r="CH820" s="335"/>
      <c r="CI820" s="335"/>
      <c r="CJ820" s="335"/>
      <c r="CK820" s="335"/>
      <c r="CL820" s="335"/>
      <c r="CM820" s="335"/>
      <c r="CN820" s="335"/>
      <c r="CO820" s="335"/>
      <c r="CP820" s="335"/>
      <c r="CQ820" s="335"/>
      <c r="CR820" s="335"/>
      <c r="CS820" s="335"/>
      <c r="CT820" s="335"/>
      <c r="CU820" s="335"/>
      <c r="CV820" s="335"/>
      <c r="CW820" s="335"/>
      <c r="CX820" s="335"/>
      <c r="CY820" s="335"/>
      <c r="CZ820" s="335"/>
      <c r="DA820" s="335"/>
      <c r="DB820" s="335"/>
      <c r="DC820" s="335"/>
      <c r="DD820" s="335"/>
      <c r="DE820" s="335"/>
      <c r="DF820" s="335"/>
      <c r="DG820" s="335"/>
      <c r="DH820" s="335"/>
      <c r="DI820" s="335"/>
      <c r="DJ820" s="335"/>
      <c r="DK820" s="335"/>
      <c r="DL820" s="335"/>
      <c r="DM820" s="335"/>
      <c r="DN820" s="335"/>
      <c r="DO820" s="335"/>
      <c r="DP820" s="335"/>
      <c r="DQ820" s="335"/>
      <c r="DR820" s="335"/>
      <c r="DS820" s="335"/>
      <c r="DT820" s="335"/>
      <c r="DU820" s="335"/>
      <c r="DV820" s="335"/>
      <c r="DW820" s="335"/>
      <c r="DX820" s="335"/>
      <c r="DY820" s="335"/>
      <c r="DZ820" s="335"/>
      <c r="EA820" s="335"/>
      <c r="EB820" s="335"/>
      <c r="EC820" s="335"/>
      <c r="ED820" s="335"/>
      <c r="EE820" s="335"/>
      <c r="EF820" s="335"/>
      <c r="EG820" s="335"/>
      <c r="EH820" s="335"/>
      <c r="EI820" s="335"/>
      <c r="EJ820" s="335"/>
      <c r="EK820" s="335"/>
      <c r="EL820" s="335"/>
      <c r="EM820" s="335"/>
    </row>
    <row r="821" spans="72:143">
      <c r="BT821" s="187"/>
      <c r="BU821" s="187" t="s">
        <v>55</v>
      </c>
      <c r="BV821" s="196">
        <v>120045</v>
      </c>
      <c r="BW821" s="197" t="e">
        <f t="shared" si="154"/>
        <v>#REF!</v>
      </c>
      <c r="BX821" s="198" t="e">
        <f>IF(AND(State_LOB_Code=18,LEFT(BW821,4)&lt;"2009"),81,State_LOB_Code)&amp;"|342"</f>
        <v>#REF!</v>
      </c>
      <c r="BY821" s="174"/>
      <c r="BZ821" s="175"/>
      <c r="CD821" s="163"/>
      <c r="CE821" s="363"/>
      <c r="CF821" s="335"/>
      <c r="CG821" s="335"/>
      <c r="CH821" s="335"/>
      <c r="CI821" s="335"/>
      <c r="CJ821" s="335"/>
      <c r="CK821" s="335"/>
      <c r="CL821" s="335"/>
      <c r="CM821" s="335"/>
      <c r="CN821" s="335"/>
      <c r="CO821" s="335"/>
      <c r="CP821" s="335"/>
      <c r="CQ821" s="335"/>
      <c r="CR821" s="335"/>
      <c r="CS821" s="335"/>
      <c r="CT821" s="335"/>
      <c r="CU821" s="335"/>
      <c r="CV821" s="335"/>
      <c r="CW821" s="335"/>
      <c r="CX821" s="335"/>
      <c r="CY821" s="335"/>
      <c r="CZ821" s="335"/>
      <c r="DA821" s="335"/>
      <c r="DB821" s="335"/>
      <c r="DC821" s="335"/>
      <c r="DD821" s="335"/>
      <c r="DE821" s="335"/>
      <c r="DF821" s="335"/>
      <c r="DG821" s="335"/>
      <c r="DH821" s="335"/>
      <c r="DI821" s="335"/>
      <c r="DJ821" s="335"/>
      <c r="DK821" s="335"/>
      <c r="DL821" s="335"/>
      <c r="DM821" s="335"/>
      <c r="DN821" s="335"/>
      <c r="DO821" s="335"/>
      <c r="DP821" s="335"/>
      <c r="DQ821" s="335"/>
      <c r="DR821" s="335"/>
      <c r="DS821" s="335"/>
      <c r="DT821" s="335"/>
      <c r="DU821" s="335"/>
      <c r="DV821" s="335"/>
      <c r="DW821" s="335"/>
      <c r="DX821" s="335"/>
      <c r="DY821" s="335"/>
      <c r="DZ821" s="335"/>
      <c r="EA821" s="335"/>
      <c r="EB821" s="335"/>
      <c r="EC821" s="335"/>
      <c r="ED821" s="335"/>
      <c r="EE821" s="335"/>
      <c r="EF821" s="335"/>
      <c r="EG821" s="335"/>
      <c r="EH821" s="335"/>
      <c r="EI821" s="335"/>
      <c r="EJ821" s="335"/>
      <c r="EK821" s="335"/>
      <c r="EL821" s="335"/>
      <c r="EM821" s="335"/>
    </row>
    <row r="822" spans="72:143">
      <c r="BT822" s="187"/>
      <c r="BU822" s="187" t="s">
        <v>56</v>
      </c>
      <c r="BV822" s="196">
        <v>120045</v>
      </c>
      <c r="BW822" s="197" t="e">
        <f t="shared" si="154"/>
        <v>#REF!</v>
      </c>
      <c r="BX822" s="198" t="e">
        <f>IF(AND(State_LOB_Code=18,LEFT(BW822,4)&lt;"2009"),81,State_LOB_Code)&amp;"|343"</f>
        <v>#REF!</v>
      </c>
      <c r="BY822" s="174"/>
      <c r="BZ822" s="175"/>
      <c r="CD822" s="163"/>
      <c r="CE822" s="363"/>
      <c r="CF822" s="335"/>
      <c r="CG822" s="335"/>
      <c r="CH822" s="335"/>
      <c r="CI822" s="335"/>
      <c r="CJ822" s="335"/>
      <c r="CK822" s="335"/>
      <c r="CL822" s="335"/>
      <c r="CM822" s="335"/>
      <c r="CN822" s="335"/>
      <c r="CO822" s="335"/>
      <c r="CP822" s="335"/>
      <c r="CQ822" s="335"/>
      <c r="CR822" s="335"/>
      <c r="CS822" s="335"/>
      <c r="CT822" s="335"/>
      <c r="CU822" s="335"/>
      <c r="CV822" s="335"/>
      <c r="CW822" s="335"/>
      <c r="CX822" s="335"/>
      <c r="CY822" s="335"/>
      <c r="CZ822" s="335"/>
      <c r="DA822" s="335"/>
      <c r="DB822" s="335"/>
      <c r="DC822" s="335"/>
      <c r="DD822" s="335"/>
      <c r="DE822" s="335"/>
      <c r="DF822" s="335"/>
      <c r="DG822" s="335"/>
      <c r="DH822" s="335"/>
      <c r="DI822" s="335"/>
      <c r="DJ822" s="335"/>
      <c r="DK822" s="335"/>
      <c r="DL822" s="335"/>
      <c r="DM822" s="335"/>
      <c r="DN822" s="335"/>
      <c r="DO822" s="335"/>
      <c r="DP822" s="335"/>
      <c r="DQ822" s="335"/>
      <c r="DR822" s="335"/>
      <c r="DS822" s="335"/>
      <c r="DT822" s="335"/>
      <c r="DU822" s="335"/>
      <c r="DV822" s="335"/>
      <c r="DW822" s="335"/>
      <c r="DX822" s="335"/>
      <c r="DY822" s="335"/>
      <c r="DZ822" s="335"/>
      <c r="EA822" s="335"/>
      <c r="EB822" s="335"/>
      <c r="EC822" s="335"/>
      <c r="ED822" s="335"/>
      <c r="EE822" s="335"/>
      <c r="EF822" s="335"/>
      <c r="EG822" s="335"/>
      <c r="EH822" s="335"/>
      <c r="EI822" s="335"/>
      <c r="EJ822" s="335"/>
      <c r="EK822" s="335"/>
      <c r="EL822" s="335"/>
      <c r="EM822" s="335"/>
    </row>
    <row r="823" spans="72:143">
      <c r="BT823" s="187"/>
      <c r="BU823" s="187" t="s">
        <v>57</v>
      </c>
      <c r="BV823" s="196">
        <v>120045</v>
      </c>
      <c r="BW823" s="197" t="e">
        <f t="shared" si="154"/>
        <v>#REF!</v>
      </c>
      <c r="BX823" s="198" t="e">
        <f>IF(AND(State_LOB_Code=18,LEFT(BW823,4)&lt;"2009"),81,State_LOB_Code)&amp;"|344"</f>
        <v>#REF!</v>
      </c>
      <c r="BY823" s="174"/>
      <c r="BZ823" s="175"/>
      <c r="CD823" s="163"/>
      <c r="CE823" s="363"/>
      <c r="CF823" s="335"/>
      <c r="CG823" s="335"/>
      <c r="CH823" s="335"/>
      <c r="CI823" s="335"/>
      <c r="CJ823" s="335"/>
      <c r="CK823" s="335"/>
      <c r="CL823" s="335"/>
      <c r="CM823" s="335"/>
      <c r="CN823" s="335"/>
      <c r="CO823" s="335"/>
      <c r="CP823" s="335"/>
      <c r="CQ823" s="335"/>
      <c r="CR823" s="335"/>
      <c r="CS823" s="335"/>
      <c r="CT823" s="335"/>
      <c r="CU823" s="335"/>
      <c r="CV823" s="335"/>
      <c r="CW823" s="335"/>
      <c r="CX823" s="335"/>
      <c r="CY823" s="335"/>
      <c r="CZ823" s="335"/>
      <c r="DA823" s="335"/>
      <c r="DB823" s="335"/>
      <c r="DC823" s="335"/>
      <c r="DD823" s="335"/>
      <c r="DE823" s="335"/>
      <c r="DF823" s="335"/>
      <c r="DG823" s="335"/>
      <c r="DH823" s="335"/>
      <c r="DI823" s="335"/>
      <c r="DJ823" s="335"/>
      <c r="DK823" s="335"/>
      <c r="DL823" s="335"/>
      <c r="DM823" s="335"/>
      <c r="DN823" s="335"/>
      <c r="DO823" s="335"/>
      <c r="DP823" s="335"/>
      <c r="DQ823" s="335"/>
      <c r="DR823" s="335"/>
      <c r="DS823" s="335"/>
      <c r="DT823" s="335"/>
      <c r="DU823" s="335"/>
      <c r="DV823" s="335"/>
      <c r="DW823" s="335"/>
      <c r="DX823" s="335"/>
      <c r="DY823" s="335"/>
      <c r="DZ823" s="335"/>
      <c r="EA823" s="335"/>
      <c r="EB823" s="335"/>
      <c r="EC823" s="335"/>
      <c r="ED823" s="335"/>
      <c r="EE823" s="335"/>
      <c r="EF823" s="335"/>
      <c r="EG823" s="335"/>
      <c r="EH823" s="335"/>
      <c r="EI823" s="335"/>
      <c r="EJ823" s="335"/>
      <c r="EK823" s="335"/>
      <c r="EL823" s="335"/>
      <c r="EM823" s="335"/>
    </row>
    <row r="824" spans="72:143">
      <c r="BT824" s="187"/>
      <c r="BU824" s="187" t="s">
        <v>58</v>
      </c>
      <c r="BV824" s="196">
        <v>120045</v>
      </c>
      <c r="BW824" s="197" t="e">
        <f t="shared" si="154"/>
        <v>#REF!</v>
      </c>
      <c r="BX824" s="198" t="e">
        <f>IF(AND(State_LOB_Code=18,LEFT(BW824,4)&lt;"2009"),81,State_LOB_Code)&amp;"|346"</f>
        <v>#REF!</v>
      </c>
      <c r="BY824" s="174"/>
      <c r="BZ824" s="175"/>
      <c r="CD824" s="163"/>
      <c r="CE824" s="363"/>
      <c r="CF824" s="335"/>
      <c r="CG824" s="335"/>
      <c r="CH824" s="335"/>
      <c r="CI824" s="335"/>
      <c r="CJ824" s="335"/>
      <c r="CK824" s="335"/>
      <c r="CL824" s="335"/>
      <c r="CM824" s="335"/>
      <c r="CN824" s="335"/>
      <c r="CO824" s="335"/>
      <c r="CP824" s="335"/>
      <c r="CQ824" s="335"/>
      <c r="CR824" s="335"/>
      <c r="CS824" s="335"/>
      <c r="CT824" s="335"/>
      <c r="CU824" s="335"/>
      <c r="CV824" s="335"/>
      <c r="CW824" s="335"/>
      <c r="CX824" s="335"/>
      <c r="CY824" s="335"/>
      <c r="CZ824" s="335"/>
      <c r="DA824" s="335"/>
      <c r="DB824" s="335"/>
      <c r="DC824" s="335"/>
      <c r="DD824" s="335"/>
      <c r="DE824" s="335"/>
      <c r="DF824" s="335"/>
      <c r="DG824" s="335"/>
      <c r="DH824" s="335"/>
      <c r="DI824" s="335"/>
      <c r="DJ824" s="335"/>
      <c r="DK824" s="335"/>
      <c r="DL824" s="335"/>
      <c r="DM824" s="335"/>
      <c r="DN824" s="335"/>
      <c r="DO824" s="335"/>
      <c r="DP824" s="335"/>
      <c r="DQ824" s="335"/>
      <c r="DR824" s="335"/>
      <c r="DS824" s="335"/>
      <c r="DT824" s="335"/>
      <c r="DU824" s="335"/>
      <c r="DV824" s="335"/>
      <c r="DW824" s="335"/>
      <c r="DX824" s="335"/>
      <c r="DY824" s="335"/>
      <c r="DZ824" s="335"/>
      <c r="EA824" s="335"/>
      <c r="EB824" s="335"/>
      <c r="EC824" s="335"/>
      <c r="ED824" s="335"/>
      <c r="EE824" s="335"/>
      <c r="EF824" s="335"/>
      <c r="EG824" s="335"/>
      <c r="EH824" s="335"/>
      <c r="EI824" s="335"/>
      <c r="EJ824" s="335"/>
      <c r="EK824" s="335"/>
      <c r="EL824" s="335"/>
      <c r="EM824" s="335"/>
    </row>
    <row r="825" spans="72:143">
      <c r="BT825" s="187"/>
      <c r="BU825" s="187" t="s">
        <v>59</v>
      </c>
      <c r="BV825" s="196">
        <v>120045</v>
      </c>
      <c r="BW825" s="197" t="e">
        <f t="shared" si="154"/>
        <v>#REF!</v>
      </c>
      <c r="BX825" s="198" t="e">
        <f>IF(AND(State_LOB_Code=18,LEFT(BW825,4)&lt;"2009"),81,State_LOB_Code)&amp;"|347"</f>
        <v>#REF!</v>
      </c>
      <c r="BY825" s="174"/>
      <c r="BZ825" s="175"/>
      <c r="CD825" s="163"/>
      <c r="CE825" s="363"/>
      <c r="CF825" s="335"/>
      <c r="CG825" s="335"/>
      <c r="CH825" s="335"/>
      <c r="CI825" s="335"/>
      <c r="CJ825" s="335"/>
      <c r="CK825" s="335"/>
      <c r="CL825" s="335"/>
      <c r="CM825" s="335"/>
      <c r="CN825" s="335"/>
      <c r="CO825" s="335"/>
      <c r="CP825" s="335"/>
      <c r="CQ825" s="335"/>
      <c r="CR825" s="335"/>
      <c r="CS825" s="335"/>
      <c r="CT825" s="335"/>
      <c r="CU825" s="335"/>
      <c r="CV825" s="335"/>
      <c r="CW825" s="335"/>
      <c r="CX825" s="335"/>
      <c r="CY825" s="335"/>
      <c r="CZ825" s="335"/>
      <c r="DA825" s="335"/>
      <c r="DB825" s="335"/>
      <c r="DC825" s="335"/>
      <c r="DD825" s="335"/>
      <c r="DE825" s="335"/>
      <c r="DF825" s="335"/>
      <c r="DG825" s="335"/>
      <c r="DH825" s="335"/>
      <c r="DI825" s="335"/>
      <c r="DJ825" s="335"/>
      <c r="DK825" s="335"/>
      <c r="DL825" s="335"/>
      <c r="DM825" s="335"/>
      <c r="DN825" s="335"/>
      <c r="DO825" s="335"/>
      <c r="DP825" s="335"/>
      <c r="DQ825" s="335"/>
      <c r="DR825" s="335"/>
      <c r="DS825" s="335"/>
      <c r="DT825" s="335"/>
      <c r="DU825" s="335"/>
      <c r="DV825" s="335"/>
      <c r="DW825" s="335"/>
      <c r="DX825" s="335"/>
      <c r="DY825" s="335"/>
      <c r="DZ825" s="335"/>
      <c r="EA825" s="335"/>
      <c r="EB825" s="335"/>
      <c r="EC825" s="335"/>
      <c r="ED825" s="335"/>
      <c r="EE825" s="335"/>
      <c r="EF825" s="335"/>
      <c r="EG825" s="335"/>
      <c r="EH825" s="335"/>
      <c r="EI825" s="335"/>
      <c r="EJ825" s="335"/>
      <c r="EK825" s="335"/>
      <c r="EL825" s="335"/>
      <c r="EM825" s="335"/>
    </row>
    <row r="826" spans="72:143">
      <c r="BT826" s="187"/>
      <c r="BU826" s="187" t="s">
        <v>60</v>
      </c>
      <c r="BV826" s="196">
        <v>120045</v>
      </c>
      <c r="BW826" s="197" t="e">
        <f t="shared" si="154"/>
        <v>#REF!</v>
      </c>
      <c r="BX826" s="198" t="e">
        <f>IF(AND(State_LOB_Code=18,LEFT(BW826,4)&lt;"2009"),81,State_LOB_Code)&amp;"|348"</f>
        <v>#REF!</v>
      </c>
      <c r="BY826" s="174"/>
      <c r="BZ826" s="175"/>
      <c r="CD826" s="163"/>
      <c r="CE826" s="363"/>
      <c r="CF826" s="335"/>
      <c r="CG826" s="335"/>
      <c r="CH826" s="335"/>
      <c r="CI826" s="335"/>
      <c r="CJ826" s="335"/>
      <c r="CK826" s="335"/>
      <c r="CL826" s="335"/>
      <c r="CM826" s="335"/>
      <c r="CN826" s="335"/>
      <c r="CO826" s="335"/>
      <c r="CP826" s="335"/>
      <c r="CQ826" s="335"/>
      <c r="CR826" s="335"/>
      <c r="CS826" s="335"/>
      <c r="CT826" s="335"/>
      <c r="CU826" s="335"/>
      <c r="CV826" s="335"/>
      <c r="CW826" s="335"/>
      <c r="CX826" s="335"/>
      <c r="CY826" s="335"/>
      <c r="CZ826" s="335"/>
      <c r="DA826" s="335"/>
      <c r="DB826" s="335"/>
      <c r="DC826" s="335"/>
      <c r="DD826" s="335"/>
      <c r="DE826" s="335"/>
      <c r="DF826" s="335"/>
      <c r="DG826" s="335"/>
      <c r="DH826" s="335"/>
      <c r="DI826" s="335"/>
      <c r="DJ826" s="335"/>
      <c r="DK826" s="335"/>
      <c r="DL826" s="335"/>
      <c r="DM826" s="335"/>
      <c r="DN826" s="335"/>
      <c r="DO826" s="335"/>
      <c r="DP826" s="335"/>
      <c r="DQ826" s="335"/>
      <c r="DR826" s="335"/>
      <c r="DS826" s="335"/>
      <c r="DT826" s="335"/>
      <c r="DU826" s="335"/>
      <c r="DV826" s="335"/>
      <c r="DW826" s="335"/>
      <c r="DX826" s="335"/>
      <c r="DY826" s="335"/>
      <c r="DZ826" s="335"/>
      <c r="EA826" s="335"/>
      <c r="EB826" s="335"/>
      <c r="EC826" s="335"/>
      <c r="ED826" s="335"/>
      <c r="EE826" s="335"/>
      <c r="EF826" s="335"/>
      <c r="EG826" s="335"/>
      <c r="EH826" s="335"/>
      <c r="EI826" s="335"/>
      <c r="EJ826" s="335"/>
      <c r="EK826" s="335"/>
      <c r="EL826" s="335"/>
      <c r="EM826" s="335"/>
    </row>
    <row r="827" spans="72:143">
      <c r="BT827" s="187"/>
      <c r="BU827" s="187" t="s">
        <v>61</v>
      </c>
      <c r="BV827" s="196">
        <v>120045</v>
      </c>
      <c r="BW827" s="197" t="e">
        <f t="shared" si="154"/>
        <v>#REF!</v>
      </c>
      <c r="BX827" s="198" t="e">
        <f>IF(AND(State_LOB_Code=18,LEFT(BW827,4)&lt;"2009"),81,State_LOB_Code)&amp;"|349"</f>
        <v>#REF!</v>
      </c>
      <c r="BY827" s="174"/>
      <c r="BZ827" s="175"/>
      <c r="CD827" s="163"/>
      <c r="CE827" s="363"/>
      <c r="CF827" s="335"/>
      <c r="CG827" s="335"/>
      <c r="CH827" s="335"/>
      <c r="CI827" s="335"/>
      <c r="CJ827" s="335"/>
      <c r="CK827" s="335"/>
      <c r="CL827" s="335"/>
      <c r="CM827" s="335"/>
      <c r="CN827" s="335"/>
      <c r="CO827" s="335"/>
      <c r="CP827" s="335"/>
      <c r="CQ827" s="335"/>
      <c r="CR827" s="335"/>
      <c r="CS827" s="335"/>
      <c r="CT827" s="335"/>
      <c r="CU827" s="335"/>
      <c r="CV827" s="335"/>
      <c r="CW827" s="335"/>
      <c r="CX827" s="335"/>
      <c r="CY827" s="335"/>
      <c r="CZ827" s="335"/>
      <c r="DA827" s="335"/>
      <c r="DB827" s="335"/>
      <c r="DC827" s="335"/>
      <c r="DD827" s="335"/>
      <c r="DE827" s="335"/>
      <c r="DF827" s="335"/>
      <c r="DG827" s="335"/>
      <c r="DH827" s="335"/>
      <c r="DI827" s="335"/>
      <c r="DJ827" s="335"/>
      <c r="DK827" s="335"/>
      <c r="DL827" s="335"/>
      <c r="DM827" s="335"/>
      <c r="DN827" s="335"/>
      <c r="DO827" s="335"/>
      <c r="DP827" s="335"/>
      <c r="DQ827" s="335"/>
      <c r="DR827" s="335"/>
      <c r="DS827" s="335"/>
      <c r="DT827" s="335"/>
      <c r="DU827" s="335"/>
      <c r="DV827" s="335"/>
      <c r="DW827" s="335"/>
      <c r="DX827" s="335"/>
      <c r="DY827" s="335"/>
      <c r="DZ827" s="335"/>
      <c r="EA827" s="335"/>
      <c r="EB827" s="335"/>
      <c r="EC827" s="335"/>
      <c r="ED827" s="335"/>
      <c r="EE827" s="335"/>
      <c r="EF827" s="335"/>
      <c r="EG827" s="335"/>
      <c r="EH827" s="335"/>
      <c r="EI827" s="335"/>
      <c r="EJ827" s="335"/>
      <c r="EK827" s="335"/>
      <c r="EL827" s="335"/>
      <c r="EM827" s="335"/>
    </row>
    <row r="828" spans="72:143">
      <c r="BT828" s="187"/>
      <c r="BU828" s="187" t="s">
        <v>62</v>
      </c>
      <c r="BV828" s="196">
        <v>120045</v>
      </c>
      <c r="BW828" s="197" t="e">
        <f t="shared" si="154"/>
        <v>#REF!</v>
      </c>
      <c r="BX828" s="198" t="e">
        <f>IF(AND(State_LOB_Code=18,LEFT(BW828,4)&lt;"2009"),81,State_LOB_Code)&amp;"|350"</f>
        <v>#REF!</v>
      </c>
      <c r="BY828" s="174"/>
      <c r="BZ828" s="175"/>
      <c r="CD828" s="163"/>
      <c r="CE828" s="363"/>
      <c r="CF828" s="335"/>
      <c r="CG828" s="335"/>
      <c r="CH828" s="335"/>
      <c r="CI828" s="335"/>
      <c r="CJ828" s="335"/>
      <c r="CK828" s="335"/>
      <c r="CL828" s="335"/>
      <c r="CM828" s="335"/>
      <c r="CN828" s="335"/>
      <c r="CO828" s="335"/>
      <c r="CP828" s="335"/>
      <c r="CQ828" s="335"/>
      <c r="CR828" s="335"/>
      <c r="CS828" s="335"/>
      <c r="CT828" s="335"/>
      <c r="CU828" s="335"/>
      <c r="CV828" s="335"/>
      <c r="CW828" s="335"/>
      <c r="CX828" s="335"/>
      <c r="CY828" s="335"/>
      <c r="CZ828" s="335"/>
      <c r="DA828" s="335"/>
      <c r="DB828" s="335"/>
      <c r="DC828" s="335"/>
      <c r="DD828" s="335"/>
      <c r="DE828" s="335"/>
      <c r="DF828" s="335"/>
      <c r="DG828" s="335"/>
      <c r="DH828" s="335"/>
      <c r="DI828" s="335"/>
      <c r="DJ828" s="335"/>
      <c r="DK828" s="335"/>
      <c r="DL828" s="335"/>
      <c r="DM828" s="335"/>
      <c r="DN828" s="335"/>
      <c r="DO828" s="335"/>
      <c r="DP828" s="335"/>
      <c r="DQ828" s="335"/>
      <c r="DR828" s="335"/>
      <c r="DS828" s="335"/>
      <c r="DT828" s="335"/>
      <c r="DU828" s="335"/>
      <c r="DV828" s="335"/>
      <c r="DW828" s="335"/>
      <c r="DX828" s="335"/>
      <c r="DY828" s="335"/>
      <c r="DZ828" s="335"/>
      <c r="EA828" s="335"/>
      <c r="EB828" s="335"/>
      <c r="EC828" s="335"/>
      <c r="ED828" s="335"/>
      <c r="EE828" s="335"/>
      <c r="EF828" s="335"/>
      <c r="EG828" s="335"/>
      <c r="EH828" s="335"/>
      <c r="EI828" s="335"/>
      <c r="EJ828" s="335"/>
      <c r="EK828" s="335"/>
      <c r="EL828" s="335"/>
      <c r="EM828" s="335"/>
    </row>
    <row r="829" spans="72:143">
      <c r="BT829" s="187"/>
      <c r="BU829" s="187" t="s">
        <v>63</v>
      </c>
      <c r="BV829" s="196">
        <v>120045</v>
      </c>
      <c r="BW829" s="197" t="e">
        <f t="shared" si="154"/>
        <v>#REF!</v>
      </c>
      <c r="BX829" s="198" t="e">
        <f>IF(AND(State_LOB_Code=18,LEFT(BW829,4)&lt;"2009"),81,State_LOB_Code)&amp;"|351"</f>
        <v>#REF!</v>
      </c>
      <c r="BY829" s="174"/>
      <c r="BZ829" s="175"/>
      <c r="CD829" s="163"/>
      <c r="CE829" s="363"/>
      <c r="CF829" s="335"/>
      <c r="CG829" s="335"/>
      <c r="CH829" s="335"/>
      <c r="CI829" s="335"/>
      <c r="CJ829" s="335"/>
      <c r="CK829" s="335"/>
      <c r="CL829" s="335"/>
      <c r="CM829" s="335"/>
      <c r="CN829" s="335"/>
      <c r="CO829" s="335"/>
      <c r="CP829" s="335"/>
      <c r="CQ829" s="335"/>
      <c r="CR829" s="335"/>
      <c r="CS829" s="335"/>
      <c r="CT829" s="335"/>
      <c r="CU829" s="335"/>
      <c r="CV829" s="335"/>
      <c r="CW829" s="335"/>
      <c r="CX829" s="335"/>
      <c r="CY829" s="335"/>
      <c r="CZ829" s="335"/>
      <c r="DA829" s="335"/>
      <c r="DB829" s="335"/>
      <c r="DC829" s="335"/>
      <c r="DD829" s="335"/>
      <c r="DE829" s="335"/>
      <c r="DF829" s="335"/>
      <c r="DG829" s="335"/>
      <c r="DH829" s="335"/>
      <c r="DI829" s="335"/>
      <c r="DJ829" s="335"/>
      <c r="DK829" s="335"/>
      <c r="DL829" s="335"/>
      <c r="DM829" s="335"/>
      <c r="DN829" s="335"/>
      <c r="DO829" s="335"/>
      <c r="DP829" s="335"/>
      <c r="DQ829" s="335"/>
      <c r="DR829" s="335"/>
      <c r="DS829" s="335"/>
      <c r="DT829" s="335"/>
      <c r="DU829" s="335"/>
      <c r="DV829" s="335"/>
      <c r="DW829" s="335"/>
      <c r="DX829" s="335"/>
      <c r="DY829" s="335"/>
      <c r="DZ829" s="335"/>
      <c r="EA829" s="335"/>
      <c r="EB829" s="335"/>
      <c r="EC829" s="335"/>
      <c r="ED829" s="335"/>
      <c r="EE829" s="335"/>
      <c r="EF829" s="335"/>
      <c r="EG829" s="335"/>
      <c r="EH829" s="335"/>
      <c r="EI829" s="335"/>
      <c r="EJ829" s="335"/>
      <c r="EK829" s="335"/>
      <c r="EL829" s="335"/>
      <c r="EM829" s="335"/>
    </row>
    <row r="830" spans="72:143">
      <c r="BT830" s="187"/>
      <c r="BU830" s="187" t="s">
        <v>64</v>
      </c>
      <c r="BV830" s="196">
        <v>120045</v>
      </c>
      <c r="BW830" s="197" t="e">
        <f t="shared" si="154"/>
        <v>#REF!</v>
      </c>
      <c r="BX830" s="198" t="e">
        <f>IF(AND(State_LOB_Code=18,LEFT(BW830,4)&lt;"2009"),81,State_LOB_Code)&amp;"|352"</f>
        <v>#REF!</v>
      </c>
      <c r="BY830" s="174"/>
      <c r="BZ830" s="175"/>
      <c r="CD830" s="163"/>
      <c r="CE830" s="363"/>
      <c r="CF830" s="335"/>
      <c r="CG830" s="335"/>
      <c r="CH830" s="335"/>
      <c r="CI830" s="335"/>
      <c r="CJ830" s="335"/>
      <c r="CK830" s="335"/>
      <c r="CL830" s="335"/>
      <c r="CM830" s="335"/>
      <c r="CN830" s="335"/>
      <c r="CO830" s="335"/>
      <c r="CP830" s="335"/>
      <c r="CQ830" s="335"/>
      <c r="CR830" s="335"/>
      <c r="CS830" s="335"/>
      <c r="CT830" s="335"/>
      <c r="CU830" s="335"/>
      <c r="CV830" s="335"/>
      <c r="CW830" s="335"/>
      <c r="CX830" s="335"/>
      <c r="CY830" s="335"/>
      <c r="CZ830" s="335"/>
      <c r="DA830" s="335"/>
      <c r="DB830" s="335"/>
      <c r="DC830" s="335"/>
      <c r="DD830" s="335"/>
      <c r="DE830" s="335"/>
      <c r="DF830" s="335"/>
      <c r="DG830" s="335"/>
      <c r="DH830" s="335"/>
      <c r="DI830" s="335"/>
      <c r="DJ830" s="335"/>
      <c r="DK830" s="335"/>
      <c r="DL830" s="335"/>
      <c r="DM830" s="335"/>
      <c r="DN830" s="335"/>
      <c r="DO830" s="335"/>
      <c r="DP830" s="335"/>
      <c r="DQ830" s="335"/>
      <c r="DR830" s="335"/>
      <c r="DS830" s="335"/>
      <c r="DT830" s="335"/>
      <c r="DU830" s="335"/>
      <c r="DV830" s="335"/>
      <c r="DW830" s="335"/>
      <c r="DX830" s="335"/>
      <c r="DY830" s="335"/>
      <c r="DZ830" s="335"/>
      <c r="EA830" s="335"/>
      <c r="EB830" s="335"/>
      <c r="EC830" s="335"/>
      <c r="ED830" s="335"/>
      <c r="EE830" s="335"/>
      <c r="EF830" s="335"/>
      <c r="EG830" s="335"/>
      <c r="EH830" s="335"/>
      <c r="EI830" s="335"/>
      <c r="EJ830" s="335"/>
      <c r="EK830" s="335"/>
      <c r="EL830" s="335"/>
      <c r="EM830" s="335"/>
    </row>
    <row r="831" spans="72:143">
      <c r="BT831" s="187"/>
      <c r="BU831" s="187" t="s">
        <v>65</v>
      </c>
      <c r="BV831" s="196">
        <v>120045</v>
      </c>
      <c r="BW831" s="197" t="e">
        <f t="shared" si="154"/>
        <v>#REF!</v>
      </c>
      <c r="BX831" s="198" t="e">
        <f>IF(AND(State_LOB_Code=18,LEFT(BW831,4)&lt;"2009"),81,State_LOB_Code)&amp;"|353"</f>
        <v>#REF!</v>
      </c>
      <c r="BY831" s="174"/>
      <c r="BZ831" s="175"/>
      <c r="CD831" s="163"/>
      <c r="CE831" s="363"/>
      <c r="CF831" s="335"/>
      <c r="CG831" s="335"/>
      <c r="CH831" s="335"/>
      <c r="CI831" s="335"/>
      <c r="CJ831" s="335"/>
      <c r="CK831" s="335"/>
      <c r="CL831" s="335"/>
      <c r="CM831" s="335"/>
      <c r="CN831" s="335"/>
      <c r="CO831" s="335"/>
      <c r="CP831" s="335"/>
      <c r="CQ831" s="335"/>
      <c r="CR831" s="335"/>
      <c r="CS831" s="335"/>
      <c r="CT831" s="335"/>
      <c r="CU831" s="335"/>
      <c r="CV831" s="335"/>
      <c r="CW831" s="335"/>
      <c r="CX831" s="335"/>
      <c r="CY831" s="335"/>
      <c r="CZ831" s="335"/>
      <c r="DA831" s="335"/>
      <c r="DB831" s="335"/>
      <c r="DC831" s="335"/>
      <c r="DD831" s="335"/>
      <c r="DE831" s="335"/>
      <c r="DF831" s="335"/>
      <c r="DG831" s="335"/>
      <c r="DH831" s="335"/>
      <c r="DI831" s="335"/>
      <c r="DJ831" s="335"/>
      <c r="DK831" s="335"/>
      <c r="DL831" s="335"/>
      <c r="DM831" s="335"/>
      <c r="DN831" s="335"/>
      <c r="DO831" s="335"/>
      <c r="DP831" s="335"/>
      <c r="DQ831" s="335"/>
      <c r="DR831" s="335"/>
      <c r="DS831" s="335"/>
      <c r="DT831" s="335"/>
      <c r="DU831" s="335"/>
      <c r="DV831" s="335"/>
      <c r="DW831" s="335"/>
      <c r="DX831" s="335"/>
      <c r="DY831" s="335"/>
      <c r="DZ831" s="335"/>
      <c r="EA831" s="335"/>
      <c r="EB831" s="335"/>
      <c r="EC831" s="335"/>
      <c r="ED831" s="335"/>
      <c r="EE831" s="335"/>
      <c r="EF831" s="335"/>
      <c r="EG831" s="335"/>
      <c r="EH831" s="335"/>
      <c r="EI831" s="335"/>
      <c r="EJ831" s="335"/>
      <c r="EK831" s="335"/>
      <c r="EL831" s="335"/>
      <c r="EM831" s="335"/>
    </row>
    <row r="832" spans="72:143">
      <c r="BT832" s="187"/>
      <c r="BU832" s="187" t="s">
        <v>66</v>
      </c>
      <c r="BV832" s="196">
        <v>120045</v>
      </c>
      <c r="BW832" s="197" t="e">
        <f t="shared" si="154"/>
        <v>#REF!</v>
      </c>
      <c r="BX832" s="198" t="e">
        <f>IF(AND(State_LOB_Code=18,LEFT(BW832,4)&lt;"2009"),81,State_LOB_Code)&amp;"|354"</f>
        <v>#REF!</v>
      </c>
      <c r="BY832" s="174"/>
      <c r="BZ832" s="175"/>
      <c r="CD832" s="163"/>
      <c r="CE832" s="363"/>
      <c r="CF832" s="335"/>
      <c r="CG832" s="335"/>
      <c r="CH832" s="335"/>
      <c r="CI832" s="335"/>
      <c r="CJ832" s="335"/>
      <c r="CK832" s="335"/>
      <c r="CL832" s="335"/>
      <c r="CM832" s="335"/>
      <c r="CN832" s="335"/>
      <c r="CO832" s="335"/>
      <c r="CP832" s="335"/>
      <c r="CQ832" s="335"/>
      <c r="CR832" s="335"/>
      <c r="CS832" s="335"/>
      <c r="CT832" s="335"/>
      <c r="CU832" s="335"/>
      <c r="CV832" s="335"/>
      <c r="CW832" s="335"/>
      <c r="CX832" s="335"/>
      <c r="CY832" s="335"/>
      <c r="CZ832" s="335"/>
      <c r="DA832" s="335"/>
      <c r="DB832" s="335"/>
      <c r="DC832" s="335"/>
      <c r="DD832" s="335"/>
      <c r="DE832" s="335"/>
      <c r="DF832" s="335"/>
      <c r="DG832" s="335"/>
      <c r="DH832" s="335"/>
      <c r="DI832" s="335"/>
      <c r="DJ832" s="335"/>
      <c r="DK832" s="335"/>
      <c r="DL832" s="335"/>
      <c r="DM832" s="335"/>
      <c r="DN832" s="335"/>
      <c r="DO832" s="335"/>
      <c r="DP832" s="335"/>
      <c r="DQ832" s="335"/>
      <c r="DR832" s="335"/>
      <c r="DS832" s="335"/>
      <c r="DT832" s="335"/>
      <c r="DU832" s="335"/>
      <c r="DV832" s="335"/>
      <c r="DW832" s="335"/>
      <c r="DX832" s="335"/>
      <c r="DY832" s="335"/>
      <c r="DZ832" s="335"/>
      <c r="EA832" s="335"/>
      <c r="EB832" s="335"/>
      <c r="EC832" s="335"/>
      <c r="ED832" s="335"/>
      <c r="EE832" s="335"/>
      <c r="EF832" s="335"/>
      <c r="EG832" s="335"/>
      <c r="EH832" s="335"/>
      <c r="EI832" s="335"/>
      <c r="EJ832" s="335"/>
      <c r="EK832" s="335"/>
      <c r="EL832" s="335"/>
      <c r="EM832" s="335"/>
    </row>
    <row r="833" spans="72:143">
      <c r="BT833" s="187"/>
      <c r="BU833" s="187" t="s">
        <v>67</v>
      </c>
      <c r="BV833" s="196">
        <v>120045</v>
      </c>
      <c r="BW833" s="197" t="e">
        <f t="shared" si="154"/>
        <v>#REF!</v>
      </c>
      <c r="BX833" s="198" t="e">
        <f>IF(AND(State_LOB_Code=18,LEFT(BW833,4)&lt;"2009"),81,State_LOB_Code)&amp;"|355"</f>
        <v>#REF!</v>
      </c>
      <c r="BY833" s="174"/>
      <c r="BZ833" s="175"/>
      <c r="CD833" s="163"/>
      <c r="CE833" s="363"/>
      <c r="CF833" s="335"/>
      <c r="CG833" s="335"/>
      <c r="CH833" s="335"/>
      <c r="CI833" s="335"/>
      <c r="CJ833" s="335"/>
      <c r="CK833" s="335"/>
      <c r="CL833" s="335"/>
      <c r="CM833" s="335"/>
      <c r="CN833" s="335"/>
      <c r="CO833" s="335"/>
      <c r="CP833" s="335"/>
      <c r="CQ833" s="335"/>
      <c r="CR833" s="335"/>
      <c r="CS833" s="335"/>
      <c r="CT833" s="335"/>
      <c r="CU833" s="335"/>
      <c r="CV833" s="335"/>
      <c r="CW833" s="335"/>
      <c r="CX833" s="335"/>
      <c r="CY833" s="335"/>
      <c r="CZ833" s="335"/>
      <c r="DA833" s="335"/>
      <c r="DB833" s="335"/>
      <c r="DC833" s="335"/>
      <c r="DD833" s="335"/>
      <c r="DE833" s="335"/>
      <c r="DF833" s="335"/>
      <c r="DG833" s="335"/>
      <c r="DH833" s="335"/>
      <c r="DI833" s="335"/>
      <c r="DJ833" s="335"/>
      <c r="DK833" s="335"/>
      <c r="DL833" s="335"/>
      <c r="DM833" s="335"/>
      <c r="DN833" s="335"/>
      <c r="DO833" s="335"/>
      <c r="DP833" s="335"/>
      <c r="DQ833" s="335"/>
      <c r="DR833" s="335"/>
      <c r="DS833" s="335"/>
      <c r="DT833" s="335"/>
      <c r="DU833" s="335"/>
      <c r="DV833" s="335"/>
      <c r="DW833" s="335"/>
      <c r="DX833" s="335"/>
      <c r="DY833" s="335"/>
      <c r="DZ833" s="335"/>
      <c r="EA833" s="335"/>
      <c r="EB833" s="335"/>
      <c r="EC833" s="335"/>
      <c r="ED833" s="335"/>
      <c r="EE833" s="335"/>
      <c r="EF833" s="335"/>
      <c r="EG833" s="335"/>
      <c r="EH833" s="335"/>
      <c r="EI833" s="335"/>
      <c r="EJ833" s="335"/>
      <c r="EK833" s="335"/>
      <c r="EL833" s="335"/>
      <c r="EM833" s="335"/>
    </row>
    <row r="834" spans="72:143">
      <c r="BT834" s="187"/>
      <c r="BU834" s="187" t="s">
        <v>68</v>
      </c>
      <c r="BV834" s="196">
        <v>120045</v>
      </c>
      <c r="BW834" s="197" t="e">
        <f t="shared" si="154"/>
        <v>#REF!</v>
      </c>
      <c r="BX834" s="198" t="e">
        <f>IF(AND(State_LOB_Code=18,LEFT(BW834,4)&lt;"2009"),81,State_LOB_Code)&amp;"|356"</f>
        <v>#REF!</v>
      </c>
      <c r="BY834" s="174"/>
      <c r="BZ834" s="175"/>
      <c r="CD834" s="163"/>
      <c r="CE834" s="363"/>
      <c r="CF834" s="335"/>
      <c r="CG834" s="335"/>
      <c r="CH834" s="335"/>
      <c r="CI834" s="335"/>
      <c r="CJ834" s="335"/>
      <c r="CK834" s="335"/>
      <c r="CL834" s="335"/>
      <c r="CM834" s="335"/>
      <c r="CN834" s="335"/>
      <c r="CO834" s="335"/>
      <c r="CP834" s="335"/>
      <c r="CQ834" s="335"/>
      <c r="CR834" s="335"/>
      <c r="CS834" s="335"/>
      <c r="CT834" s="335"/>
      <c r="CU834" s="335"/>
      <c r="CV834" s="335"/>
      <c r="CW834" s="335"/>
      <c r="CX834" s="335"/>
      <c r="CY834" s="335"/>
      <c r="CZ834" s="335"/>
      <c r="DA834" s="335"/>
      <c r="DB834" s="335"/>
      <c r="DC834" s="335"/>
      <c r="DD834" s="335"/>
      <c r="DE834" s="335"/>
      <c r="DF834" s="335"/>
      <c r="DG834" s="335"/>
      <c r="DH834" s="335"/>
      <c r="DI834" s="335"/>
      <c r="DJ834" s="335"/>
      <c r="DK834" s="335"/>
      <c r="DL834" s="335"/>
      <c r="DM834" s="335"/>
      <c r="DN834" s="335"/>
      <c r="DO834" s="335"/>
      <c r="DP834" s="335"/>
      <c r="DQ834" s="335"/>
      <c r="DR834" s="335"/>
      <c r="DS834" s="335"/>
      <c r="DT834" s="335"/>
      <c r="DU834" s="335"/>
      <c r="DV834" s="335"/>
      <c r="DW834" s="335"/>
      <c r="DX834" s="335"/>
      <c r="DY834" s="335"/>
      <c r="DZ834" s="335"/>
      <c r="EA834" s="335"/>
      <c r="EB834" s="335"/>
      <c r="EC834" s="335"/>
      <c r="ED834" s="335"/>
      <c r="EE834" s="335"/>
      <c r="EF834" s="335"/>
      <c r="EG834" s="335"/>
      <c r="EH834" s="335"/>
      <c r="EI834" s="335"/>
      <c r="EJ834" s="335"/>
      <c r="EK834" s="335"/>
      <c r="EL834" s="335"/>
      <c r="EM834" s="335"/>
    </row>
    <row r="835" spans="72:143">
      <c r="BT835" s="187"/>
      <c r="BU835" s="187" t="s">
        <v>69</v>
      </c>
      <c r="BV835" s="196">
        <v>120045</v>
      </c>
      <c r="BW835" s="197" t="e">
        <f t="shared" si="154"/>
        <v>#REF!</v>
      </c>
      <c r="BX835" s="198" t="e">
        <f>IF(AND(State_LOB_Code=18,LEFT(BW835,4)&lt;"2009"),81,State_LOB_Code)&amp;"|357"</f>
        <v>#REF!</v>
      </c>
      <c r="BY835" s="174"/>
      <c r="BZ835" s="175"/>
      <c r="CD835" s="163"/>
      <c r="CE835" s="363"/>
      <c r="CF835" s="335"/>
      <c r="CG835" s="335"/>
      <c r="CH835" s="335"/>
      <c r="CI835" s="335"/>
      <c r="CJ835" s="335"/>
      <c r="CK835" s="335"/>
      <c r="CL835" s="335"/>
      <c r="CM835" s="335"/>
      <c r="CN835" s="335"/>
      <c r="CO835" s="335"/>
      <c r="CP835" s="335"/>
      <c r="CQ835" s="335"/>
      <c r="CR835" s="335"/>
      <c r="CS835" s="335"/>
      <c r="CT835" s="335"/>
      <c r="CU835" s="335"/>
      <c r="CV835" s="335"/>
      <c r="CW835" s="335"/>
      <c r="CX835" s="335"/>
      <c r="CY835" s="335"/>
      <c r="CZ835" s="335"/>
      <c r="DA835" s="335"/>
      <c r="DB835" s="335"/>
      <c r="DC835" s="335"/>
      <c r="DD835" s="335"/>
      <c r="DE835" s="335"/>
      <c r="DF835" s="335"/>
      <c r="DG835" s="335"/>
      <c r="DH835" s="335"/>
      <c r="DI835" s="335"/>
      <c r="DJ835" s="335"/>
      <c r="DK835" s="335"/>
      <c r="DL835" s="335"/>
      <c r="DM835" s="335"/>
      <c r="DN835" s="335"/>
      <c r="DO835" s="335"/>
      <c r="DP835" s="335"/>
      <c r="DQ835" s="335"/>
      <c r="DR835" s="335"/>
      <c r="DS835" s="335"/>
      <c r="DT835" s="335"/>
      <c r="DU835" s="335"/>
      <c r="DV835" s="335"/>
      <c r="DW835" s="335"/>
      <c r="DX835" s="335"/>
      <c r="DY835" s="335"/>
      <c r="DZ835" s="335"/>
      <c r="EA835" s="335"/>
      <c r="EB835" s="335"/>
      <c r="EC835" s="335"/>
      <c r="ED835" s="335"/>
      <c r="EE835" s="335"/>
      <c r="EF835" s="335"/>
      <c r="EG835" s="335"/>
      <c r="EH835" s="335"/>
      <c r="EI835" s="335"/>
      <c r="EJ835" s="335"/>
      <c r="EK835" s="335"/>
      <c r="EL835" s="335"/>
      <c r="EM835" s="335"/>
    </row>
    <row r="836" spans="72:143">
      <c r="BT836" s="187"/>
      <c r="BU836" s="187" t="s">
        <v>70</v>
      </c>
      <c r="BV836" s="196">
        <v>120045</v>
      </c>
      <c r="BW836" s="197" t="e">
        <f t="shared" si="154"/>
        <v>#REF!</v>
      </c>
      <c r="BX836" s="198" t="e">
        <f>IF(AND(State_LOB_Code=18,LEFT(BW836,4)&lt;"2009"),81,State_LOB_Code)&amp;"|358"</f>
        <v>#REF!</v>
      </c>
      <c r="BY836" s="174"/>
      <c r="BZ836" s="175"/>
      <c r="CD836" s="163"/>
      <c r="CE836" s="363"/>
      <c r="CF836" s="335"/>
      <c r="CG836" s="335"/>
      <c r="CH836" s="335"/>
      <c r="CI836" s="335"/>
      <c r="CJ836" s="335"/>
      <c r="CK836" s="335"/>
      <c r="CL836" s="335"/>
      <c r="CM836" s="335"/>
      <c r="CN836" s="335"/>
      <c r="CO836" s="335"/>
      <c r="CP836" s="335"/>
      <c r="CQ836" s="335"/>
      <c r="CR836" s="335"/>
      <c r="CS836" s="335"/>
      <c r="CT836" s="335"/>
      <c r="CU836" s="335"/>
      <c r="CV836" s="335"/>
      <c r="CW836" s="335"/>
      <c r="CX836" s="335"/>
      <c r="CY836" s="335"/>
      <c r="CZ836" s="335"/>
      <c r="DA836" s="335"/>
      <c r="DB836" s="335"/>
      <c r="DC836" s="335"/>
      <c r="DD836" s="335"/>
      <c r="DE836" s="335"/>
      <c r="DF836" s="335"/>
      <c r="DG836" s="335"/>
      <c r="DH836" s="335"/>
      <c r="DI836" s="335"/>
      <c r="DJ836" s="335"/>
      <c r="DK836" s="335"/>
      <c r="DL836" s="335"/>
      <c r="DM836" s="335"/>
      <c r="DN836" s="335"/>
      <c r="DO836" s="335"/>
      <c r="DP836" s="335"/>
      <c r="DQ836" s="335"/>
      <c r="DR836" s="335"/>
      <c r="DS836" s="335"/>
      <c r="DT836" s="335"/>
      <c r="DU836" s="335"/>
      <c r="DV836" s="335"/>
      <c r="DW836" s="335"/>
      <c r="DX836" s="335"/>
      <c r="DY836" s="335"/>
      <c r="DZ836" s="335"/>
      <c r="EA836" s="335"/>
      <c r="EB836" s="335"/>
      <c r="EC836" s="335"/>
      <c r="ED836" s="335"/>
      <c r="EE836" s="335"/>
      <c r="EF836" s="335"/>
      <c r="EG836" s="335"/>
      <c r="EH836" s="335"/>
      <c r="EI836" s="335"/>
      <c r="EJ836" s="335"/>
      <c r="EK836" s="335"/>
      <c r="EL836" s="335"/>
      <c r="EM836" s="335"/>
    </row>
    <row r="837" spans="72:143">
      <c r="BT837" s="187"/>
      <c r="BU837" s="187" t="s">
        <v>71</v>
      </c>
      <c r="BV837" s="196">
        <v>120045</v>
      </c>
      <c r="BW837" s="197" t="e">
        <f t="shared" si="154"/>
        <v>#REF!</v>
      </c>
      <c r="BX837" s="198" t="e">
        <f>IF(AND(State_LOB_Code=18,LEFT(BW837,4)&lt;"2009"),81,State_LOB_Code)&amp;"|359"</f>
        <v>#REF!</v>
      </c>
      <c r="BY837" s="174"/>
      <c r="BZ837" s="175"/>
      <c r="CD837" s="163"/>
      <c r="CE837" s="363"/>
      <c r="CF837" s="335"/>
      <c r="CG837" s="335"/>
      <c r="CH837" s="335"/>
      <c r="CI837" s="335"/>
      <c r="CJ837" s="335"/>
      <c r="CK837" s="335"/>
      <c r="CL837" s="335"/>
      <c r="CM837" s="335"/>
      <c r="CN837" s="335"/>
      <c r="CO837" s="335"/>
      <c r="CP837" s="335"/>
      <c r="CQ837" s="335"/>
      <c r="CR837" s="335"/>
      <c r="CS837" s="335"/>
      <c r="CT837" s="335"/>
      <c r="CU837" s="335"/>
      <c r="CV837" s="335"/>
      <c r="CW837" s="335"/>
      <c r="CX837" s="335"/>
      <c r="CY837" s="335"/>
      <c r="CZ837" s="335"/>
      <c r="DA837" s="335"/>
      <c r="DB837" s="335"/>
      <c r="DC837" s="335"/>
      <c r="DD837" s="335"/>
      <c r="DE837" s="335"/>
      <c r="DF837" s="335"/>
      <c r="DG837" s="335"/>
      <c r="DH837" s="335"/>
      <c r="DI837" s="335"/>
      <c r="DJ837" s="335"/>
      <c r="DK837" s="335"/>
      <c r="DL837" s="335"/>
      <c r="DM837" s="335"/>
      <c r="DN837" s="335"/>
      <c r="DO837" s="335"/>
      <c r="DP837" s="335"/>
      <c r="DQ837" s="335"/>
      <c r="DR837" s="335"/>
      <c r="DS837" s="335"/>
      <c r="DT837" s="335"/>
      <c r="DU837" s="335"/>
      <c r="DV837" s="335"/>
      <c r="DW837" s="335"/>
      <c r="DX837" s="335"/>
      <c r="DY837" s="335"/>
      <c r="DZ837" s="335"/>
      <c r="EA837" s="335"/>
      <c r="EB837" s="335"/>
      <c r="EC837" s="335"/>
      <c r="ED837" s="335"/>
      <c r="EE837" s="335"/>
      <c r="EF837" s="335"/>
      <c r="EG837" s="335"/>
      <c r="EH837" s="335"/>
      <c r="EI837" s="335"/>
      <c r="EJ837" s="335"/>
      <c r="EK837" s="335"/>
      <c r="EL837" s="335"/>
      <c r="EM837" s="335"/>
    </row>
    <row r="838" spans="72:143">
      <c r="BT838" s="187"/>
      <c r="BU838" s="187" t="s">
        <v>72</v>
      </c>
      <c r="BV838" s="196">
        <v>120045</v>
      </c>
      <c r="BW838" s="197" t="e">
        <f t="shared" si="154"/>
        <v>#REF!</v>
      </c>
      <c r="BX838" s="198" t="e">
        <f>IF(AND(State_LOB_Code=18,LEFT(BW838,4)&lt;"2009"),81,State_LOB_Code)&amp;"|361"</f>
        <v>#REF!</v>
      </c>
      <c r="BY838" s="174"/>
      <c r="BZ838" s="175"/>
      <c r="CD838" s="163"/>
      <c r="CE838" s="363"/>
      <c r="CF838" s="335"/>
      <c r="CG838" s="335"/>
      <c r="CH838" s="335"/>
      <c r="CI838" s="335"/>
      <c r="CJ838" s="335"/>
      <c r="CK838" s="335"/>
      <c r="CL838" s="335"/>
      <c r="CM838" s="335"/>
      <c r="CN838" s="335"/>
      <c r="CO838" s="335"/>
      <c r="CP838" s="335"/>
      <c r="CQ838" s="335"/>
      <c r="CR838" s="335"/>
      <c r="CS838" s="335"/>
      <c r="CT838" s="335"/>
      <c r="CU838" s="335"/>
      <c r="CV838" s="335"/>
      <c r="CW838" s="335"/>
      <c r="CX838" s="335"/>
      <c r="CY838" s="335"/>
      <c r="CZ838" s="335"/>
      <c r="DA838" s="335"/>
      <c r="DB838" s="335"/>
      <c r="DC838" s="335"/>
      <c r="DD838" s="335"/>
      <c r="DE838" s="335"/>
      <c r="DF838" s="335"/>
      <c r="DG838" s="335"/>
      <c r="DH838" s="335"/>
      <c r="DI838" s="335"/>
      <c r="DJ838" s="335"/>
      <c r="DK838" s="335"/>
      <c r="DL838" s="335"/>
      <c r="DM838" s="335"/>
      <c r="DN838" s="335"/>
      <c r="DO838" s="335"/>
      <c r="DP838" s="335"/>
      <c r="DQ838" s="335"/>
      <c r="DR838" s="335"/>
      <c r="DS838" s="335"/>
      <c r="DT838" s="335"/>
      <c r="DU838" s="335"/>
      <c r="DV838" s="335"/>
      <c r="DW838" s="335"/>
      <c r="DX838" s="335"/>
      <c r="DY838" s="335"/>
      <c r="DZ838" s="335"/>
      <c r="EA838" s="335"/>
      <c r="EB838" s="335"/>
      <c r="EC838" s="335"/>
      <c r="ED838" s="335"/>
      <c r="EE838" s="335"/>
      <c r="EF838" s="335"/>
      <c r="EG838" s="335"/>
      <c r="EH838" s="335"/>
      <c r="EI838" s="335"/>
      <c r="EJ838" s="335"/>
      <c r="EK838" s="335"/>
      <c r="EL838" s="335"/>
      <c r="EM838" s="335"/>
    </row>
    <row r="839" spans="72:143">
      <c r="BT839" s="187"/>
      <c r="BU839" s="187" t="s">
        <v>73</v>
      </c>
      <c r="BV839" s="196">
        <v>120045</v>
      </c>
      <c r="BW839" s="197" t="e">
        <f t="shared" si="154"/>
        <v>#REF!</v>
      </c>
      <c r="BX839" s="198" t="e">
        <f>IF(AND(State_LOB_Code=18,LEFT(BW839,4)&lt;"2009"),81,State_LOB_Code)&amp;"|362"</f>
        <v>#REF!</v>
      </c>
      <c r="BY839" s="174"/>
      <c r="BZ839" s="175"/>
      <c r="CD839" s="163"/>
      <c r="CE839" s="363"/>
      <c r="CF839" s="335"/>
      <c r="CG839" s="335"/>
      <c r="CH839" s="335"/>
      <c r="CI839" s="335"/>
      <c r="CJ839" s="335"/>
      <c r="CK839" s="335"/>
      <c r="CL839" s="335"/>
      <c r="CM839" s="335"/>
      <c r="CN839" s="335"/>
      <c r="CO839" s="335"/>
      <c r="CP839" s="335"/>
      <c r="CQ839" s="335"/>
      <c r="CR839" s="335"/>
      <c r="CS839" s="335"/>
      <c r="CT839" s="335"/>
      <c r="CU839" s="335"/>
      <c r="CV839" s="335"/>
      <c r="CW839" s="335"/>
      <c r="CX839" s="335"/>
      <c r="CY839" s="335"/>
      <c r="CZ839" s="335"/>
      <c r="DA839" s="335"/>
      <c r="DB839" s="335"/>
      <c r="DC839" s="335"/>
      <c r="DD839" s="335"/>
      <c r="DE839" s="335"/>
      <c r="DF839" s="335"/>
      <c r="DG839" s="335"/>
      <c r="DH839" s="335"/>
      <c r="DI839" s="335"/>
      <c r="DJ839" s="335"/>
      <c r="DK839" s="335"/>
      <c r="DL839" s="335"/>
      <c r="DM839" s="335"/>
      <c r="DN839" s="335"/>
      <c r="DO839" s="335"/>
      <c r="DP839" s="335"/>
      <c r="DQ839" s="335"/>
      <c r="DR839" s="335"/>
      <c r="DS839" s="335"/>
      <c r="DT839" s="335"/>
      <c r="DU839" s="335"/>
      <c r="DV839" s="335"/>
      <c r="DW839" s="335"/>
      <c r="DX839" s="335"/>
      <c r="DY839" s="335"/>
      <c r="DZ839" s="335"/>
      <c r="EA839" s="335"/>
      <c r="EB839" s="335"/>
      <c r="EC839" s="335"/>
      <c r="ED839" s="335"/>
      <c r="EE839" s="335"/>
      <c r="EF839" s="335"/>
      <c r="EG839" s="335"/>
      <c r="EH839" s="335"/>
      <c r="EI839" s="335"/>
      <c r="EJ839" s="335"/>
      <c r="EK839" s="335"/>
      <c r="EL839" s="335"/>
      <c r="EM839" s="335"/>
    </row>
    <row r="840" spans="72:143">
      <c r="BT840" s="187"/>
      <c r="BU840" s="187" t="s">
        <v>74</v>
      </c>
      <c r="BV840" s="196">
        <v>120045</v>
      </c>
      <c r="BW840" s="197" t="e">
        <f t="shared" si="154"/>
        <v>#REF!</v>
      </c>
      <c r="BX840" s="198" t="e">
        <f>IF(AND(State_LOB_Code=18,LEFT(BW840,4)&lt;"2009"),81,State_LOB_Code)&amp;"|363"</f>
        <v>#REF!</v>
      </c>
      <c r="BY840" s="174"/>
      <c r="BZ840" s="175"/>
      <c r="CD840" s="163"/>
      <c r="CE840" s="363"/>
      <c r="CF840" s="335"/>
      <c r="CG840" s="335"/>
      <c r="CH840" s="335"/>
      <c r="CI840" s="335"/>
      <c r="CJ840" s="335"/>
      <c r="CK840" s="335"/>
      <c r="CL840" s="335"/>
      <c r="CM840" s="335"/>
      <c r="CN840" s="335"/>
      <c r="CO840" s="335"/>
      <c r="CP840" s="335"/>
      <c r="CQ840" s="335"/>
      <c r="CR840" s="335"/>
      <c r="CS840" s="335"/>
      <c r="CT840" s="335"/>
      <c r="CU840" s="335"/>
      <c r="CV840" s="335"/>
      <c r="CW840" s="335"/>
      <c r="CX840" s="335"/>
      <c r="CY840" s="335"/>
      <c r="CZ840" s="335"/>
      <c r="DA840" s="335"/>
      <c r="DB840" s="335"/>
      <c r="DC840" s="335"/>
      <c r="DD840" s="335"/>
      <c r="DE840" s="335"/>
      <c r="DF840" s="335"/>
      <c r="DG840" s="335"/>
      <c r="DH840" s="335"/>
      <c r="DI840" s="335"/>
      <c r="DJ840" s="335"/>
      <c r="DK840" s="335"/>
      <c r="DL840" s="335"/>
      <c r="DM840" s="335"/>
      <c r="DN840" s="335"/>
      <c r="DO840" s="335"/>
      <c r="DP840" s="335"/>
      <c r="DQ840" s="335"/>
      <c r="DR840" s="335"/>
      <c r="DS840" s="335"/>
      <c r="DT840" s="335"/>
      <c r="DU840" s="335"/>
      <c r="DV840" s="335"/>
      <c r="DW840" s="335"/>
      <c r="DX840" s="335"/>
      <c r="DY840" s="335"/>
      <c r="DZ840" s="335"/>
      <c r="EA840" s="335"/>
      <c r="EB840" s="335"/>
      <c r="EC840" s="335"/>
      <c r="ED840" s="335"/>
      <c r="EE840" s="335"/>
      <c r="EF840" s="335"/>
      <c r="EG840" s="335"/>
      <c r="EH840" s="335"/>
      <c r="EI840" s="335"/>
      <c r="EJ840" s="335"/>
      <c r="EK840" s="335"/>
      <c r="EL840" s="335"/>
      <c r="EM840" s="335"/>
    </row>
    <row r="841" spans="72:143">
      <c r="BT841" s="187"/>
      <c r="BU841" s="187" t="s">
        <v>75</v>
      </c>
      <c r="BV841" s="196">
        <v>120045</v>
      </c>
      <c r="BW841" s="197" t="e">
        <f t="shared" si="154"/>
        <v>#REF!</v>
      </c>
      <c r="BX841" s="198" t="e">
        <f>IF(AND(State_LOB_Code=18,LEFT(BW841,4)&lt;"2009"),81,State_LOB_Code)&amp;"|364"</f>
        <v>#REF!</v>
      </c>
      <c r="BY841" s="174"/>
      <c r="BZ841" s="175"/>
      <c r="CD841" s="163"/>
      <c r="CE841" s="363"/>
      <c r="CF841" s="335"/>
      <c r="CG841" s="335"/>
      <c r="CH841" s="335"/>
      <c r="CI841" s="335"/>
      <c r="CJ841" s="335"/>
      <c r="CK841" s="335"/>
      <c r="CL841" s="335"/>
      <c r="CM841" s="335"/>
      <c r="CN841" s="335"/>
      <c r="CO841" s="335"/>
      <c r="CP841" s="335"/>
      <c r="CQ841" s="335"/>
      <c r="CR841" s="335"/>
      <c r="CS841" s="335"/>
      <c r="CT841" s="335"/>
      <c r="CU841" s="335"/>
      <c r="CV841" s="335"/>
      <c r="CW841" s="335"/>
      <c r="CX841" s="335"/>
      <c r="CY841" s="335"/>
      <c r="CZ841" s="335"/>
      <c r="DA841" s="335"/>
      <c r="DB841" s="335"/>
      <c r="DC841" s="335"/>
      <c r="DD841" s="335"/>
      <c r="DE841" s="335"/>
      <c r="DF841" s="335"/>
      <c r="DG841" s="335"/>
      <c r="DH841" s="335"/>
      <c r="DI841" s="335"/>
      <c r="DJ841" s="335"/>
      <c r="DK841" s="335"/>
      <c r="DL841" s="335"/>
      <c r="DM841" s="335"/>
      <c r="DN841" s="335"/>
      <c r="DO841" s="335"/>
      <c r="DP841" s="335"/>
      <c r="DQ841" s="335"/>
      <c r="DR841" s="335"/>
      <c r="DS841" s="335"/>
      <c r="DT841" s="335"/>
      <c r="DU841" s="335"/>
      <c r="DV841" s="335"/>
      <c r="DW841" s="335"/>
      <c r="DX841" s="335"/>
      <c r="DY841" s="335"/>
      <c r="DZ841" s="335"/>
      <c r="EA841" s="335"/>
      <c r="EB841" s="335"/>
      <c r="EC841" s="335"/>
      <c r="ED841" s="335"/>
      <c r="EE841" s="335"/>
      <c r="EF841" s="335"/>
      <c r="EG841" s="335"/>
      <c r="EH841" s="335"/>
      <c r="EI841" s="335"/>
      <c r="EJ841" s="335"/>
      <c r="EK841" s="335"/>
      <c r="EL841" s="335"/>
      <c r="EM841" s="335"/>
    </row>
    <row r="842" spans="72:143">
      <c r="BT842" s="187"/>
      <c r="BU842" s="187" t="s">
        <v>76</v>
      </c>
      <c r="BV842" s="196">
        <v>120045</v>
      </c>
      <c r="BW842" s="197" t="e">
        <f t="shared" si="154"/>
        <v>#REF!</v>
      </c>
      <c r="BX842" s="198" t="e">
        <f>IF(AND(State_LOB_Code=18,LEFT(BW842,4)&lt;"2009"),81,State_LOB_Code)&amp;"|365"</f>
        <v>#REF!</v>
      </c>
      <c r="BY842" s="174"/>
      <c r="BZ842" s="175"/>
      <c r="CD842" s="163"/>
      <c r="CE842" s="363"/>
      <c r="CF842" s="335"/>
      <c r="CG842" s="335"/>
      <c r="CH842" s="335"/>
      <c r="CI842" s="335"/>
      <c r="CJ842" s="335"/>
      <c r="CK842" s="335"/>
      <c r="CL842" s="335"/>
      <c r="CM842" s="335"/>
      <c r="CN842" s="335"/>
      <c r="CO842" s="335"/>
      <c r="CP842" s="335"/>
      <c r="CQ842" s="335"/>
      <c r="CR842" s="335"/>
      <c r="CS842" s="335"/>
      <c r="CT842" s="335"/>
      <c r="CU842" s="335"/>
      <c r="CV842" s="335"/>
      <c r="CW842" s="335"/>
      <c r="CX842" s="335"/>
      <c r="CY842" s="335"/>
      <c r="CZ842" s="335"/>
      <c r="DA842" s="335"/>
      <c r="DB842" s="335"/>
      <c r="DC842" s="335"/>
      <c r="DD842" s="335"/>
      <c r="DE842" s="335"/>
      <c r="DF842" s="335"/>
      <c r="DG842" s="335"/>
      <c r="DH842" s="335"/>
      <c r="DI842" s="335"/>
      <c r="DJ842" s="335"/>
      <c r="DK842" s="335"/>
      <c r="DL842" s="335"/>
      <c r="DM842" s="335"/>
      <c r="DN842" s="335"/>
      <c r="DO842" s="335"/>
      <c r="DP842" s="335"/>
      <c r="DQ842" s="335"/>
      <c r="DR842" s="335"/>
      <c r="DS842" s="335"/>
      <c r="DT842" s="335"/>
      <c r="DU842" s="335"/>
      <c r="DV842" s="335"/>
      <c r="DW842" s="335"/>
      <c r="DX842" s="335"/>
      <c r="DY842" s="335"/>
      <c r="DZ842" s="335"/>
      <c r="EA842" s="335"/>
      <c r="EB842" s="335"/>
      <c r="EC842" s="335"/>
      <c r="ED842" s="335"/>
      <c r="EE842" s="335"/>
      <c r="EF842" s="335"/>
      <c r="EG842" s="335"/>
      <c r="EH842" s="335"/>
      <c r="EI842" s="335"/>
      <c r="EJ842" s="335"/>
      <c r="EK842" s="335"/>
      <c r="EL842" s="335"/>
      <c r="EM842" s="335"/>
    </row>
    <row r="843" spans="72:143">
      <c r="BT843" s="187"/>
      <c r="BU843" s="187" t="s">
        <v>77</v>
      </c>
      <c r="BV843" s="196">
        <v>120045</v>
      </c>
      <c r="BW843" s="197" t="e">
        <f t="shared" si="154"/>
        <v>#REF!</v>
      </c>
      <c r="BX843" s="198" t="e">
        <f>IF(AND(State_LOB_Code=18,LEFT(BW843,4)&lt;"2009"),81,State_LOB_Code)&amp;"|366"</f>
        <v>#REF!</v>
      </c>
      <c r="BY843" s="174"/>
      <c r="BZ843" s="175"/>
      <c r="CD843" s="163"/>
      <c r="CE843" s="363"/>
      <c r="CF843" s="335"/>
      <c r="CG843" s="335"/>
      <c r="CH843" s="335"/>
      <c r="CI843" s="335"/>
      <c r="CJ843" s="335"/>
      <c r="CK843" s="335"/>
      <c r="CL843" s="335"/>
      <c r="CM843" s="335"/>
      <c r="CN843" s="335"/>
      <c r="CO843" s="335"/>
      <c r="CP843" s="335"/>
      <c r="CQ843" s="335"/>
      <c r="CR843" s="335"/>
      <c r="CS843" s="335"/>
      <c r="CT843" s="335"/>
      <c r="CU843" s="335"/>
      <c r="CV843" s="335"/>
      <c r="CW843" s="335"/>
      <c r="CX843" s="335"/>
      <c r="CY843" s="335"/>
      <c r="CZ843" s="335"/>
      <c r="DA843" s="335"/>
      <c r="DB843" s="335"/>
      <c r="DC843" s="335"/>
      <c r="DD843" s="335"/>
      <c r="DE843" s="335"/>
      <c r="DF843" s="335"/>
      <c r="DG843" s="335"/>
      <c r="DH843" s="335"/>
      <c r="DI843" s="335"/>
      <c r="DJ843" s="335"/>
      <c r="DK843" s="335"/>
      <c r="DL843" s="335"/>
      <c r="DM843" s="335"/>
      <c r="DN843" s="335"/>
      <c r="DO843" s="335"/>
      <c r="DP843" s="335"/>
      <c r="DQ843" s="335"/>
      <c r="DR843" s="335"/>
      <c r="DS843" s="335"/>
      <c r="DT843" s="335"/>
      <c r="DU843" s="335"/>
      <c r="DV843" s="335"/>
      <c r="DW843" s="335"/>
      <c r="DX843" s="335"/>
      <c r="DY843" s="335"/>
      <c r="DZ843" s="335"/>
      <c r="EA843" s="335"/>
      <c r="EB843" s="335"/>
      <c r="EC843" s="335"/>
      <c r="ED843" s="335"/>
      <c r="EE843" s="335"/>
      <c r="EF843" s="335"/>
      <c r="EG843" s="335"/>
      <c r="EH843" s="335"/>
      <c r="EI843" s="335"/>
      <c r="EJ843" s="335"/>
      <c r="EK843" s="335"/>
      <c r="EL843" s="335"/>
      <c r="EM843" s="335"/>
    </row>
    <row r="844" spans="72:143">
      <c r="BT844" s="187"/>
      <c r="BU844" s="187" t="s">
        <v>78</v>
      </c>
      <c r="BV844" s="196">
        <v>120045</v>
      </c>
      <c r="BW844" s="197" t="e">
        <f t="shared" si="154"/>
        <v>#REF!</v>
      </c>
      <c r="BX844" s="198" t="e">
        <f>IF(AND(State_LOB_Code=18,LEFT(BW844,4)&lt;"2009"),81,State_LOB_Code)&amp;"|367"</f>
        <v>#REF!</v>
      </c>
      <c r="BY844" s="174"/>
      <c r="BZ844" s="175"/>
      <c r="CD844" s="163"/>
      <c r="CE844" s="363"/>
      <c r="CF844" s="335"/>
      <c r="CG844" s="335"/>
      <c r="CH844" s="335"/>
      <c r="CI844" s="335"/>
      <c r="CJ844" s="335"/>
      <c r="CK844" s="335"/>
      <c r="CL844" s="335"/>
      <c r="CM844" s="335"/>
      <c r="CN844" s="335"/>
      <c r="CO844" s="335"/>
      <c r="CP844" s="335"/>
      <c r="CQ844" s="335"/>
      <c r="CR844" s="335"/>
      <c r="CS844" s="335"/>
      <c r="CT844" s="335"/>
      <c r="CU844" s="335"/>
      <c r="CV844" s="335"/>
      <c r="CW844" s="335"/>
      <c r="CX844" s="335"/>
      <c r="CY844" s="335"/>
      <c r="CZ844" s="335"/>
      <c r="DA844" s="335"/>
      <c r="DB844" s="335"/>
      <c r="DC844" s="335"/>
      <c r="DD844" s="335"/>
      <c r="DE844" s="335"/>
      <c r="DF844" s="335"/>
      <c r="DG844" s="335"/>
      <c r="DH844" s="335"/>
      <c r="DI844" s="335"/>
      <c r="DJ844" s="335"/>
      <c r="DK844" s="335"/>
      <c r="DL844" s="335"/>
      <c r="DM844" s="335"/>
      <c r="DN844" s="335"/>
      <c r="DO844" s="335"/>
      <c r="DP844" s="335"/>
      <c r="DQ844" s="335"/>
      <c r="DR844" s="335"/>
      <c r="DS844" s="335"/>
      <c r="DT844" s="335"/>
      <c r="DU844" s="335"/>
      <c r="DV844" s="335"/>
      <c r="DW844" s="335"/>
      <c r="DX844" s="335"/>
      <c r="DY844" s="335"/>
      <c r="DZ844" s="335"/>
      <c r="EA844" s="335"/>
      <c r="EB844" s="335"/>
      <c r="EC844" s="335"/>
      <c r="ED844" s="335"/>
      <c r="EE844" s="335"/>
      <c r="EF844" s="335"/>
      <c r="EG844" s="335"/>
      <c r="EH844" s="335"/>
      <c r="EI844" s="335"/>
      <c r="EJ844" s="335"/>
      <c r="EK844" s="335"/>
      <c r="EL844" s="335"/>
      <c r="EM844" s="335"/>
    </row>
    <row r="845" spans="72:143">
      <c r="BT845" s="187"/>
      <c r="BU845" s="187" t="s">
        <v>79</v>
      </c>
      <c r="BV845" s="196">
        <v>120045</v>
      </c>
      <c r="BW845" s="197" t="e">
        <f t="shared" ref="BW845:BW872" si="155">LEFT(BW784,4)-1&amp;"Y"</f>
        <v>#REF!</v>
      </c>
      <c r="BX845" s="198" t="e">
        <f>IF(AND(State_LOB_Code=18,LEFT(BW845,4)&lt;"2009"),81,State_LOB_Code)&amp;"|368"</f>
        <v>#REF!</v>
      </c>
      <c r="BY845" s="174"/>
      <c r="BZ845" s="175"/>
      <c r="CD845" s="163"/>
      <c r="CE845" s="363"/>
      <c r="CF845" s="335"/>
      <c r="CG845" s="335"/>
      <c r="CH845" s="335"/>
      <c r="CI845" s="335"/>
      <c r="CJ845" s="335"/>
      <c r="CK845" s="335"/>
      <c r="CL845" s="335"/>
      <c r="CM845" s="335"/>
      <c r="CN845" s="335"/>
      <c r="CO845" s="335"/>
      <c r="CP845" s="335"/>
      <c r="CQ845" s="335"/>
      <c r="CR845" s="335"/>
      <c r="CS845" s="335"/>
      <c r="CT845" s="335"/>
      <c r="CU845" s="335"/>
      <c r="CV845" s="335"/>
      <c r="CW845" s="335"/>
      <c r="CX845" s="335"/>
      <c r="CY845" s="335"/>
      <c r="CZ845" s="335"/>
      <c r="DA845" s="335"/>
      <c r="DB845" s="335"/>
      <c r="DC845" s="335"/>
      <c r="DD845" s="335"/>
      <c r="DE845" s="335"/>
      <c r="DF845" s="335"/>
      <c r="DG845" s="335"/>
      <c r="DH845" s="335"/>
      <c r="DI845" s="335"/>
      <c r="DJ845" s="335"/>
      <c r="DK845" s="335"/>
      <c r="DL845" s="335"/>
      <c r="DM845" s="335"/>
      <c r="DN845" s="335"/>
      <c r="DO845" s="335"/>
      <c r="DP845" s="335"/>
      <c r="DQ845" s="335"/>
      <c r="DR845" s="335"/>
      <c r="DS845" s="335"/>
      <c r="DT845" s="335"/>
      <c r="DU845" s="335"/>
      <c r="DV845" s="335"/>
      <c r="DW845" s="335"/>
      <c r="DX845" s="335"/>
      <c r="DY845" s="335"/>
      <c r="DZ845" s="335"/>
      <c r="EA845" s="335"/>
      <c r="EB845" s="335"/>
      <c r="EC845" s="335"/>
      <c r="ED845" s="335"/>
      <c r="EE845" s="335"/>
      <c r="EF845" s="335"/>
      <c r="EG845" s="335"/>
      <c r="EH845" s="335"/>
      <c r="EI845" s="335"/>
      <c r="EJ845" s="335"/>
      <c r="EK845" s="335"/>
      <c r="EL845" s="335"/>
      <c r="EM845" s="335"/>
    </row>
    <row r="846" spans="72:143">
      <c r="BT846" s="187"/>
      <c r="BU846" s="187" t="s">
        <v>80</v>
      </c>
      <c r="BV846" s="196">
        <v>120045</v>
      </c>
      <c r="BW846" s="197" t="e">
        <f t="shared" si="155"/>
        <v>#REF!</v>
      </c>
      <c r="BX846" s="198" t="e">
        <f>IF(AND(State_LOB_Code=18,LEFT(BW846,4)&lt;"2009"),81,State_LOB_Code)&amp;"|369"</f>
        <v>#REF!</v>
      </c>
      <c r="BY846" s="174"/>
      <c r="BZ846" s="175"/>
      <c r="CD846" s="163"/>
      <c r="CE846" s="363"/>
      <c r="CF846" s="335"/>
      <c r="CG846" s="335"/>
      <c r="CH846" s="335"/>
      <c r="CI846" s="335"/>
      <c r="CJ846" s="335"/>
      <c r="CK846" s="335"/>
      <c r="CL846" s="335"/>
      <c r="CM846" s="335"/>
      <c r="CN846" s="335"/>
      <c r="CO846" s="335"/>
      <c r="CP846" s="335"/>
      <c r="CQ846" s="335"/>
      <c r="CR846" s="335"/>
      <c r="CS846" s="335"/>
      <c r="CT846" s="335"/>
      <c r="CU846" s="335"/>
      <c r="CV846" s="335"/>
      <c r="CW846" s="335"/>
      <c r="CX846" s="335"/>
      <c r="CY846" s="335"/>
      <c r="CZ846" s="335"/>
      <c r="DA846" s="335"/>
      <c r="DB846" s="335"/>
      <c r="DC846" s="335"/>
      <c r="DD846" s="335"/>
      <c r="DE846" s="335"/>
      <c r="DF846" s="335"/>
      <c r="DG846" s="335"/>
      <c r="DH846" s="335"/>
      <c r="DI846" s="335"/>
      <c r="DJ846" s="335"/>
      <c r="DK846" s="335"/>
      <c r="DL846" s="335"/>
      <c r="DM846" s="335"/>
      <c r="DN846" s="335"/>
      <c r="DO846" s="335"/>
      <c r="DP846" s="335"/>
      <c r="DQ846" s="335"/>
      <c r="DR846" s="335"/>
      <c r="DS846" s="335"/>
      <c r="DT846" s="335"/>
      <c r="DU846" s="335"/>
      <c r="DV846" s="335"/>
      <c r="DW846" s="335"/>
      <c r="DX846" s="335"/>
      <c r="DY846" s="335"/>
      <c r="DZ846" s="335"/>
      <c r="EA846" s="335"/>
      <c r="EB846" s="335"/>
      <c r="EC846" s="335"/>
      <c r="ED846" s="335"/>
      <c r="EE846" s="335"/>
      <c r="EF846" s="335"/>
      <c r="EG846" s="335"/>
      <c r="EH846" s="335"/>
      <c r="EI846" s="335"/>
      <c r="EJ846" s="335"/>
      <c r="EK846" s="335"/>
      <c r="EL846" s="335"/>
      <c r="EM846" s="335"/>
    </row>
    <row r="847" spans="72:143">
      <c r="BT847" s="187"/>
      <c r="BU847" s="187" t="s">
        <v>81</v>
      </c>
      <c r="BV847" s="196">
        <v>120045</v>
      </c>
      <c r="BW847" s="197" t="e">
        <f t="shared" si="155"/>
        <v>#REF!</v>
      </c>
      <c r="BX847" s="198" t="e">
        <f>IF(AND(State_LOB_Code=18,LEFT(BW847,4)&lt;"2009"),81,State_LOB_Code)&amp;"|370"</f>
        <v>#REF!</v>
      </c>
      <c r="BY847" s="174"/>
      <c r="BZ847" s="175"/>
      <c r="CD847" s="163"/>
      <c r="CE847" s="363"/>
      <c r="CF847" s="335"/>
      <c r="CG847" s="335"/>
      <c r="CH847" s="335"/>
      <c r="CI847" s="335"/>
      <c r="CJ847" s="335"/>
      <c r="CK847" s="335"/>
      <c r="CL847" s="335"/>
      <c r="CM847" s="335"/>
      <c r="CN847" s="335"/>
      <c r="CO847" s="335"/>
      <c r="CP847" s="335"/>
      <c r="CQ847" s="335"/>
      <c r="CR847" s="335"/>
      <c r="CS847" s="335"/>
      <c r="CT847" s="335"/>
      <c r="CU847" s="335"/>
      <c r="CV847" s="335"/>
      <c r="CW847" s="335"/>
      <c r="CX847" s="335"/>
      <c r="CY847" s="335"/>
      <c r="CZ847" s="335"/>
      <c r="DA847" s="335"/>
      <c r="DB847" s="335"/>
      <c r="DC847" s="335"/>
      <c r="DD847" s="335"/>
      <c r="DE847" s="335"/>
      <c r="DF847" s="335"/>
      <c r="DG847" s="335"/>
      <c r="DH847" s="335"/>
      <c r="DI847" s="335"/>
      <c r="DJ847" s="335"/>
      <c r="DK847" s="335"/>
      <c r="DL847" s="335"/>
      <c r="DM847" s="335"/>
      <c r="DN847" s="335"/>
      <c r="DO847" s="335"/>
      <c r="DP847" s="335"/>
      <c r="DQ847" s="335"/>
      <c r="DR847" s="335"/>
      <c r="DS847" s="335"/>
      <c r="DT847" s="335"/>
      <c r="DU847" s="335"/>
      <c r="DV847" s="335"/>
      <c r="DW847" s="335"/>
      <c r="DX847" s="335"/>
      <c r="DY847" s="335"/>
      <c r="DZ847" s="335"/>
      <c r="EA847" s="335"/>
      <c r="EB847" s="335"/>
      <c r="EC847" s="335"/>
      <c r="ED847" s="335"/>
      <c r="EE847" s="335"/>
      <c r="EF847" s="335"/>
      <c r="EG847" s="335"/>
      <c r="EH847" s="335"/>
      <c r="EI847" s="335"/>
      <c r="EJ847" s="335"/>
      <c r="EK847" s="335"/>
      <c r="EL847" s="335"/>
      <c r="EM847" s="335"/>
    </row>
    <row r="848" spans="72:143">
      <c r="BT848" s="187"/>
      <c r="BU848" s="187" t="s">
        <v>82</v>
      </c>
      <c r="BV848" s="196">
        <v>120045</v>
      </c>
      <c r="BW848" s="197" t="e">
        <f t="shared" si="155"/>
        <v>#REF!</v>
      </c>
      <c r="BX848" s="198" t="e">
        <f>IF(AND(State_LOB_Code=18,LEFT(BW848,4)&lt;"2009"),81,State_LOB_Code)&amp;"|371"</f>
        <v>#REF!</v>
      </c>
      <c r="BY848" s="174"/>
      <c r="BZ848" s="175"/>
      <c r="CD848" s="163"/>
      <c r="CE848" s="363"/>
      <c r="CF848" s="335"/>
      <c r="CG848" s="335"/>
      <c r="CH848" s="335"/>
      <c r="CI848" s="335"/>
      <c r="CJ848" s="335"/>
      <c r="CK848" s="335"/>
      <c r="CL848" s="335"/>
      <c r="CM848" s="335"/>
      <c r="CN848" s="335"/>
      <c r="CO848" s="335"/>
      <c r="CP848" s="335"/>
      <c r="CQ848" s="335"/>
      <c r="CR848" s="335"/>
      <c r="CS848" s="335"/>
      <c r="CT848" s="335"/>
      <c r="CU848" s="335"/>
      <c r="CV848" s="335"/>
      <c r="CW848" s="335"/>
      <c r="CX848" s="335"/>
      <c r="CY848" s="335"/>
      <c r="CZ848" s="335"/>
      <c r="DA848" s="335"/>
      <c r="DB848" s="335"/>
      <c r="DC848" s="335"/>
      <c r="DD848" s="335"/>
      <c r="DE848" s="335"/>
      <c r="DF848" s="335"/>
      <c r="DG848" s="335"/>
      <c r="DH848" s="335"/>
      <c r="DI848" s="335"/>
      <c r="DJ848" s="335"/>
      <c r="DK848" s="335"/>
      <c r="DL848" s="335"/>
      <c r="DM848" s="335"/>
      <c r="DN848" s="335"/>
      <c r="DO848" s="335"/>
      <c r="DP848" s="335"/>
      <c r="DQ848" s="335"/>
      <c r="DR848" s="335"/>
      <c r="DS848" s="335"/>
      <c r="DT848" s="335"/>
      <c r="DU848" s="335"/>
      <c r="DV848" s="335"/>
      <c r="DW848" s="335"/>
      <c r="DX848" s="335"/>
      <c r="DY848" s="335"/>
      <c r="DZ848" s="335"/>
      <c r="EA848" s="335"/>
      <c r="EB848" s="335"/>
      <c r="EC848" s="335"/>
      <c r="ED848" s="335"/>
      <c r="EE848" s="335"/>
      <c r="EF848" s="335"/>
      <c r="EG848" s="335"/>
      <c r="EH848" s="335"/>
      <c r="EI848" s="335"/>
      <c r="EJ848" s="335"/>
      <c r="EK848" s="335"/>
      <c r="EL848" s="335"/>
      <c r="EM848" s="335"/>
    </row>
    <row r="849" spans="72:143">
      <c r="BT849" s="187"/>
      <c r="BU849" s="187" t="s">
        <v>83</v>
      </c>
      <c r="BV849" s="196">
        <v>120045</v>
      </c>
      <c r="BW849" s="197" t="e">
        <f t="shared" si="155"/>
        <v>#REF!</v>
      </c>
      <c r="BX849" s="198" t="e">
        <f>IF(AND(State_LOB_Code=18,LEFT(BW849,4)&lt;"2009"),81,State_LOB_Code)&amp;"|372"</f>
        <v>#REF!</v>
      </c>
      <c r="BY849" s="174"/>
      <c r="BZ849" s="175"/>
      <c r="CD849" s="163"/>
      <c r="CE849" s="363"/>
      <c r="CF849" s="335"/>
      <c r="CG849" s="335"/>
      <c r="CH849" s="335"/>
      <c r="CI849" s="335"/>
      <c r="CJ849" s="335"/>
      <c r="CK849" s="335"/>
      <c r="CL849" s="335"/>
      <c r="CM849" s="335"/>
      <c r="CN849" s="335"/>
      <c r="CO849" s="335"/>
      <c r="CP849" s="335"/>
      <c r="CQ849" s="335"/>
      <c r="CR849" s="335"/>
      <c r="CS849" s="335"/>
      <c r="CT849" s="335"/>
      <c r="CU849" s="335"/>
      <c r="CV849" s="335"/>
      <c r="CW849" s="335"/>
      <c r="CX849" s="335"/>
      <c r="CY849" s="335"/>
      <c r="CZ849" s="335"/>
      <c r="DA849" s="335"/>
      <c r="DB849" s="335"/>
      <c r="DC849" s="335"/>
      <c r="DD849" s="335"/>
      <c r="DE849" s="335"/>
      <c r="DF849" s="335"/>
      <c r="DG849" s="335"/>
      <c r="DH849" s="335"/>
      <c r="DI849" s="335"/>
      <c r="DJ849" s="335"/>
      <c r="DK849" s="335"/>
      <c r="DL849" s="335"/>
      <c r="DM849" s="335"/>
      <c r="DN849" s="335"/>
      <c r="DO849" s="335"/>
      <c r="DP849" s="335"/>
      <c r="DQ849" s="335"/>
      <c r="DR849" s="335"/>
      <c r="DS849" s="335"/>
      <c r="DT849" s="335"/>
      <c r="DU849" s="335"/>
      <c r="DV849" s="335"/>
      <c r="DW849" s="335"/>
      <c r="DX849" s="335"/>
      <c r="DY849" s="335"/>
      <c r="DZ849" s="335"/>
      <c r="EA849" s="335"/>
      <c r="EB849" s="335"/>
      <c r="EC849" s="335"/>
      <c r="ED849" s="335"/>
      <c r="EE849" s="335"/>
      <c r="EF849" s="335"/>
      <c r="EG849" s="335"/>
      <c r="EH849" s="335"/>
      <c r="EI849" s="335"/>
      <c r="EJ849" s="335"/>
      <c r="EK849" s="335"/>
      <c r="EL849" s="335"/>
      <c r="EM849" s="335"/>
    </row>
    <row r="850" spans="72:143">
      <c r="BT850" s="187"/>
      <c r="BU850" s="187" t="s">
        <v>84</v>
      </c>
      <c r="BV850" s="196">
        <v>120045</v>
      </c>
      <c r="BW850" s="197" t="e">
        <f t="shared" si="155"/>
        <v>#REF!</v>
      </c>
      <c r="BX850" s="198" t="e">
        <f>IF(AND(State_LOB_Code=18,LEFT(BW850,4)&lt;"2009"),81,State_LOB_Code)&amp;"|373"</f>
        <v>#REF!</v>
      </c>
      <c r="BY850" s="174"/>
      <c r="BZ850" s="175"/>
      <c r="CD850" s="163"/>
      <c r="CE850" s="363"/>
      <c r="CF850" s="335"/>
      <c r="CG850" s="335"/>
      <c r="CH850" s="335"/>
      <c r="CI850" s="335"/>
      <c r="CJ850" s="335"/>
      <c r="CK850" s="335"/>
      <c r="CL850" s="335"/>
      <c r="CM850" s="335"/>
      <c r="CN850" s="335"/>
      <c r="CO850" s="335"/>
      <c r="CP850" s="335"/>
      <c r="CQ850" s="335"/>
      <c r="CR850" s="335"/>
      <c r="CS850" s="335"/>
      <c r="CT850" s="335"/>
      <c r="CU850" s="335"/>
      <c r="CV850" s="335"/>
      <c r="CW850" s="335"/>
      <c r="CX850" s="335"/>
      <c r="CY850" s="335"/>
      <c r="CZ850" s="335"/>
      <c r="DA850" s="335"/>
      <c r="DB850" s="335"/>
      <c r="DC850" s="335"/>
      <c r="DD850" s="335"/>
      <c r="DE850" s="335"/>
      <c r="DF850" s="335"/>
      <c r="DG850" s="335"/>
      <c r="DH850" s="335"/>
      <c r="DI850" s="335"/>
      <c r="DJ850" s="335"/>
      <c r="DK850" s="335"/>
      <c r="DL850" s="335"/>
      <c r="DM850" s="335"/>
      <c r="DN850" s="335"/>
      <c r="DO850" s="335"/>
      <c r="DP850" s="335"/>
      <c r="DQ850" s="335"/>
      <c r="DR850" s="335"/>
      <c r="DS850" s="335"/>
      <c r="DT850" s="335"/>
      <c r="DU850" s="335"/>
      <c r="DV850" s="335"/>
      <c r="DW850" s="335"/>
      <c r="DX850" s="335"/>
      <c r="DY850" s="335"/>
      <c r="DZ850" s="335"/>
      <c r="EA850" s="335"/>
      <c r="EB850" s="335"/>
      <c r="EC850" s="335"/>
      <c r="ED850" s="335"/>
      <c r="EE850" s="335"/>
      <c r="EF850" s="335"/>
      <c r="EG850" s="335"/>
      <c r="EH850" s="335"/>
      <c r="EI850" s="335"/>
      <c r="EJ850" s="335"/>
      <c r="EK850" s="335"/>
      <c r="EL850" s="335"/>
      <c r="EM850" s="335"/>
    </row>
    <row r="851" spans="72:143">
      <c r="BT851" s="187"/>
      <c r="BU851" s="187" t="s">
        <v>85</v>
      </c>
      <c r="BV851" s="196">
        <v>120045</v>
      </c>
      <c r="BW851" s="197" t="e">
        <f t="shared" si="155"/>
        <v>#REF!</v>
      </c>
      <c r="BX851" s="198" t="e">
        <f>IF(AND(State_LOB_Code=18,LEFT(BW851,4)&lt;"2009"),81,State_LOB_Code)&amp;"|374"</f>
        <v>#REF!</v>
      </c>
      <c r="BY851" s="174"/>
      <c r="BZ851" s="175"/>
      <c r="CD851" s="163"/>
      <c r="CE851" s="363"/>
      <c r="CF851" s="335"/>
      <c r="CG851" s="335"/>
      <c r="CH851" s="335"/>
      <c r="CI851" s="335"/>
      <c r="CJ851" s="335"/>
      <c r="CK851" s="335"/>
      <c r="CL851" s="335"/>
      <c r="CM851" s="335"/>
      <c r="CN851" s="335"/>
      <c r="CO851" s="335"/>
      <c r="CP851" s="335"/>
      <c r="CQ851" s="335"/>
      <c r="CR851" s="335"/>
      <c r="CS851" s="335"/>
      <c r="CT851" s="335"/>
      <c r="CU851" s="335"/>
      <c r="CV851" s="335"/>
      <c r="CW851" s="335"/>
      <c r="CX851" s="335"/>
      <c r="CY851" s="335"/>
      <c r="CZ851" s="335"/>
      <c r="DA851" s="335"/>
      <c r="DB851" s="335"/>
      <c r="DC851" s="335"/>
      <c r="DD851" s="335"/>
      <c r="DE851" s="335"/>
      <c r="DF851" s="335"/>
      <c r="DG851" s="335"/>
      <c r="DH851" s="335"/>
      <c r="DI851" s="335"/>
      <c r="DJ851" s="335"/>
      <c r="DK851" s="335"/>
      <c r="DL851" s="335"/>
      <c r="DM851" s="335"/>
      <c r="DN851" s="335"/>
      <c r="DO851" s="335"/>
      <c r="DP851" s="335"/>
      <c r="DQ851" s="335"/>
      <c r="DR851" s="335"/>
      <c r="DS851" s="335"/>
      <c r="DT851" s="335"/>
      <c r="DU851" s="335"/>
      <c r="DV851" s="335"/>
      <c r="DW851" s="335"/>
      <c r="DX851" s="335"/>
      <c r="DY851" s="335"/>
      <c r="DZ851" s="335"/>
      <c r="EA851" s="335"/>
      <c r="EB851" s="335"/>
      <c r="EC851" s="335"/>
      <c r="ED851" s="335"/>
      <c r="EE851" s="335"/>
      <c r="EF851" s="335"/>
      <c r="EG851" s="335"/>
      <c r="EH851" s="335"/>
      <c r="EI851" s="335"/>
      <c r="EJ851" s="335"/>
      <c r="EK851" s="335"/>
      <c r="EL851" s="335"/>
      <c r="EM851" s="335"/>
    </row>
    <row r="852" spans="72:143">
      <c r="BT852" s="187"/>
      <c r="BU852" s="187" t="s">
        <v>86</v>
      </c>
      <c r="BV852" s="196">
        <v>120045</v>
      </c>
      <c r="BW852" s="197" t="e">
        <f t="shared" si="155"/>
        <v>#REF!</v>
      </c>
      <c r="BX852" s="198" t="e">
        <f>IF(AND(State_LOB_Code=18,LEFT(BW852,4)&lt;"2009"),81,State_LOB_Code)&amp;"|376"</f>
        <v>#REF!</v>
      </c>
      <c r="BY852" s="174"/>
      <c r="BZ852" s="175"/>
      <c r="CD852" s="163"/>
      <c r="CE852" s="363"/>
      <c r="CF852" s="335"/>
      <c r="CG852" s="335"/>
      <c r="CH852" s="335"/>
      <c r="CI852" s="335"/>
      <c r="CJ852" s="335"/>
      <c r="CK852" s="335"/>
      <c r="CL852" s="335"/>
      <c r="CM852" s="335"/>
      <c r="CN852" s="335"/>
      <c r="CO852" s="335"/>
      <c r="CP852" s="335"/>
      <c r="CQ852" s="335"/>
      <c r="CR852" s="335"/>
      <c r="CS852" s="335"/>
      <c r="CT852" s="335"/>
      <c r="CU852" s="335"/>
      <c r="CV852" s="335"/>
      <c r="CW852" s="335"/>
      <c r="CX852" s="335"/>
      <c r="CY852" s="335"/>
      <c r="CZ852" s="335"/>
      <c r="DA852" s="335"/>
      <c r="DB852" s="335"/>
      <c r="DC852" s="335"/>
      <c r="DD852" s="335"/>
      <c r="DE852" s="335"/>
      <c r="DF852" s="335"/>
      <c r="DG852" s="335"/>
      <c r="DH852" s="335"/>
      <c r="DI852" s="335"/>
      <c r="DJ852" s="335"/>
      <c r="DK852" s="335"/>
      <c r="DL852" s="335"/>
      <c r="DM852" s="335"/>
      <c r="DN852" s="335"/>
      <c r="DO852" s="335"/>
      <c r="DP852" s="335"/>
      <c r="DQ852" s="335"/>
      <c r="DR852" s="335"/>
      <c r="DS852" s="335"/>
      <c r="DT852" s="335"/>
      <c r="DU852" s="335"/>
      <c r="DV852" s="335"/>
      <c r="DW852" s="335"/>
      <c r="DX852" s="335"/>
      <c r="DY852" s="335"/>
      <c r="DZ852" s="335"/>
      <c r="EA852" s="335"/>
      <c r="EB852" s="335"/>
      <c r="EC852" s="335"/>
      <c r="ED852" s="335"/>
      <c r="EE852" s="335"/>
      <c r="EF852" s="335"/>
      <c r="EG852" s="335"/>
      <c r="EH852" s="335"/>
      <c r="EI852" s="335"/>
      <c r="EJ852" s="335"/>
      <c r="EK852" s="335"/>
      <c r="EL852" s="335"/>
      <c r="EM852" s="335"/>
    </row>
    <row r="853" spans="72:143">
      <c r="BT853" s="187"/>
      <c r="BU853" s="187" t="s">
        <v>87</v>
      </c>
      <c r="BV853" s="196">
        <v>120045</v>
      </c>
      <c r="BW853" s="197" t="e">
        <f t="shared" si="155"/>
        <v>#REF!</v>
      </c>
      <c r="BX853" s="198" t="e">
        <f>IF(AND(State_LOB_Code=18,LEFT(BW853,4)&lt;"2009"),81,State_LOB_Code)&amp;"|377"</f>
        <v>#REF!</v>
      </c>
      <c r="BY853" s="174"/>
      <c r="BZ853" s="175"/>
      <c r="CD853" s="163"/>
      <c r="CE853" s="363"/>
      <c r="CF853" s="335"/>
      <c r="CG853" s="335"/>
      <c r="CH853" s="335"/>
      <c r="CI853" s="335"/>
      <c r="CJ853" s="335"/>
      <c r="CK853" s="335"/>
      <c r="CL853" s="335"/>
      <c r="CM853" s="335"/>
      <c r="CN853" s="335"/>
      <c r="CO853" s="335"/>
      <c r="CP853" s="335"/>
      <c r="CQ853" s="335"/>
      <c r="CR853" s="335"/>
      <c r="CS853" s="335"/>
      <c r="CT853" s="335"/>
      <c r="CU853" s="335"/>
      <c r="CV853" s="335"/>
      <c r="CW853" s="335"/>
      <c r="CX853" s="335"/>
      <c r="CY853" s="335"/>
      <c r="CZ853" s="335"/>
      <c r="DA853" s="335"/>
      <c r="DB853" s="335"/>
      <c r="DC853" s="335"/>
      <c r="DD853" s="335"/>
      <c r="DE853" s="335"/>
      <c r="DF853" s="335"/>
      <c r="DG853" s="335"/>
      <c r="DH853" s="335"/>
      <c r="DI853" s="335"/>
      <c r="DJ853" s="335"/>
      <c r="DK853" s="335"/>
      <c r="DL853" s="335"/>
      <c r="DM853" s="335"/>
      <c r="DN853" s="335"/>
      <c r="DO853" s="335"/>
      <c r="DP853" s="335"/>
      <c r="DQ853" s="335"/>
      <c r="DR853" s="335"/>
      <c r="DS853" s="335"/>
      <c r="DT853" s="335"/>
      <c r="DU853" s="335"/>
      <c r="DV853" s="335"/>
      <c r="DW853" s="335"/>
      <c r="DX853" s="335"/>
      <c r="DY853" s="335"/>
      <c r="DZ853" s="335"/>
      <c r="EA853" s="335"/>
      <c r="EB853" s="335"/>
      <c r="EC853" s="335"/>
      <c r="ED853" s="335"/>
      <c r="EE853" s="335"/>
      <c r="EF853" s="335"/>
      <c r="EG853" s="335"/>
      <c r="EH853" s="335"/>
      <c r="EI853" s="335"/>
      <c r="EJ853" s="335"/>
      <c r="EK853" s="335"/>
      <c r="EL853" s="335"/>
      <c r="EM853" s="335"/>
    </row>
    <row r="854" spans="72:143">
      <c r="BT854" s="187"/>
      <c r="BU854" s="187" t="s">
        <v>88</v>
      </c>
      <c r="BV854" s="196">
        <v>120045</v>
      </c>
      <c r="BW854" s="197" t="e">
        <f t="shared" si="155"/>
        <v>#REF!</v>
      </c>
      <c r="BX854" s="198" t="e">
        <f>IF(AND(State_LOB_Code=18,LEFT(BW854,4)&lt;"2009"),81,State_LOB_Code)&amp;"|378"</f>
        <v>#REF!</v>
      </c>
      <c r="BY854" s="174"/>
      <c r="BZ854" s="175"/>
      <c r="CD854" s="163"/>
      <c r="CE854" s="363"/>
      <c r="CF854" s="335"/>
      <c r="CG854" s="335"/>
      <c r="CH854" s="335"/>
      <c r="CI854" s="335"/>
      <c r="CJ854" s="335"/>
      <c r="CK854" s="335"/>
      <c r="CL854" s="335"/>
      <c r="CM854" s="335"/>
      <c r="CN854" s="335"/>
      <c r="CO854" s="335"/>
      <c r="CP854" s="335"/>
      <c r="CQ854" s="335"/>
      <c r="CR854" s="335"/>
      <c r="CS854" s="335"/>
      <c r="CT854" s="335"/>
      <c r="CU854" s="335"/>
      <c r="CV854" s="335"/>
      <c r="CW854" s="335"/>
      <c r="CX854" s="335"/>
      <c r="CY854" s="335"/>
      <c r="CZ854" s="335"/>
      <c r="DA854" s="335"/>
      <c r="DB854" s="335"/>
      <c r="DC854" s="335"/>
      <c r="DD854" s="335"/>
      <c r="DE854" s="335"/>
      <c r="DF854" s="335"/>
      <c r="DG854" s="335"/>
      <c r="DH854" s="335"/>
      <c r="DI854" s="335"/>
      <c r="DJ854" s="335"/>
      <c r="DK854" s="335"/>
      <c r="DL854" s="335"/>
      <c r="DM854" s="335"/>
      <c r="DN854" s="335"/>
      <c r="DO854" s="335"/>
      <c r="DP854" s="335"/>
      <c r="DQ854" s="335"/>
      <c r="DR854" s="335"/>
      <c r="DS854" s="335"/>
      <c r="DT854" s="335"/>
      <c r="DU854" s="335"/>
      <c r="DV854" s="335"/>
      <c r="DW854" s="335"/>
      <c r="DX854" s="335"/>
      <c r="DY854" s="335"/>
      <c r="DZ854" s="335"/>
      <c r="EA854" s="335"/>
      <c r="EB854" s="335"/>
      <c r="EC854" s="335"/>
      <c r="ED854" s="335"/>
      <c r="EE854" s="335"/>
      <c r="EF854" s="335"/>
      <c r="EG854" s="335"/>
      <c r="EH854" s="335"/>
      <c r="EI854" s="335"/>
      <c r="EJ854" s="335"/>
      <c r="EK854" s="335"/>
      <c r="EL854" s="335"/>
      <c r="EM854" s="335"/>
    </row>
    <row r="855" spans="72:143">
      <c r="BT855" s="187"/>
      <c r="BU855" s="187" t="s">
        <v>89</v>
      </c>
      <c r="BV855" s="196">
        <v>120045</v>
      </c>
      <c r="BW855" s="197" t="e">
        <f t="shared" si="155"/>
        <v>#REF!</v>
      </c>
      <c r="BX855" s="198" t="e">
        <f>IF(AND(State_LOB_Code=18,LEFT(BW855,4)&lt;"2009"),81,State_LOB_Code)&amp;"|379"</f>
        <v>#REF!</v>
      </c>
      <c r="BY855" s="174"/>
      <c r="BZ855" s="175"/>
      <c r="CD855" s="163"/>
      <c r="CE855" s="363"/>
      <c r="CF855" s="335"/>
      <c r="CG855" s="335"/>
      <c r="CH855" s="335"/>
      <c r="CI855" s="335"/>
      <c r="CJ855" s="335"/>
      <c r="CK855" s="335"/>
      <c r="CL855" s="335"/>
      <c r="CM855" s="335"/>
      <c r="CN855" s="335"/>
      <c r="CO855" s="335"/>
      <c r="CP855" s="335"/>
      <c r="CQ855" s="335"/>
      <c r="CR855" s="335"/>
      <c r="CS855" s="335"/>
      <c r="CT855" s="335"/>
      <c r="CU855" s="335"/>
      <c r="CV855" s="335"/>
      <c r="CW855" s="335"/>
      <c r="CX855" s="335"/>
      <c r="CY855" s="335"/>
      <c r="CZ855" s="335"/>
      <c r="DA855" s="335"/>
      <c r="DB855" s="335"/>
      <c r="DC855" s="335"/>
      <c r="DD855" s="335"/>
      <c r="DE855" s="335"/>
      <c r="DF855" s="335"/>
      <c r="DG855" s="335"/>
      <c r="DH855" s="335"/>
      <c r="DI855" s="335"/>
      <c r="DJ855" s="335"/>
      <c r="DK855" s="335"/>
      <c r="DL855" s="335"/>
      <c r="DM855" s="335"/>
      <c r="DN855" s="335"/>
      <c r="DO855" s="335"/>
      <c r="DP855" s="335"/>
      <c r="DQ855" s="335"/>
      <c r="DR855" s="335"/>
      <c r="DS855" s="335"/>
      <c r="DT855" s="335"/>
      <c r="DU855" s="335"/>
      <c r="DV855" s="335"/>
      <c r="DW855" s="335"/>
      <c r="DX855" s="335"/>
      <c r="DY855" s="335"/>
      <c r="DZ855" s="335"/>
      <c r="EA855" s="335"/>
      <c r="EB855" s="335"/>
      <c r="EC855" s="335"/>
      <c r="ED855" s="335"/>
      <c r="EE855" s="335"/>
      <c r="EF855" s="335"/>
      <c r="EG855" s="335"/>
      <c r="EH855" s="335"/>
      <c r="EI855" s="335"/>
      <c r="EJ855" s="335"/>
      <c r="EK855" s="335"/>
      <c r="EL855" s="335"/>
      <c r="EM855" s="335"/>
    </row>
    <row r="856" spans="72:143">
      <c r="BT856" s="187"/>
      <c r="BU856" s="187" t="s">
        <v>90</v>
      </c>
      <c r="BV856" s="196">
        <v>120045</v>
      </c>
      <c r="BW856" s="197" t="e">
        <f t="shared" si="155"/>
        <v>#REF!</v>
      </c>
      <c r="BX856" s="198" t="e">
        <f>IF(AND(State_LOB_Code=18,LEFT(BW856,4)&lt;"2009"),81,State_LOB_Code)&amp;"|380"</f>
        <v>#REF!</v>
      </c>
      <c r="BY856" s="174"/>
      <c r="BZ856" s="175"/>
      <c r="CD856" s="163"/>
      <c r="CE856" s="363"/>
      <c r="CF856" s="335"/>
      <c r="CG856" s="335"/>
      <c r="CH856" s="335"/>
      <c r="CI856" s="335"/>
      <c r="CJ856" s="335"/>
      <c r="CK856" s="335"/>
      <c r="CL856" s="335"/>
      <c r="CM856" s="335"/>
      <c r="CN856" s="335"/>
      <c r="CO856" s="335"/>
      <c r="CP856" s="335"/>
      <c r="CQ856" s="335"/>
      <c r="CR856" s="335"/>
      <c r="CS856" s="335"/>
      <c r="CT856" s="335"/>
      <c r="CU856" s="335"/>
      <c r="CV856" s="335"/>
      <c r="CW856" s="335"/>
      <c r="CX856" s="335"/>
      <c r="CY856" s="335"/>
      <c r="CZ856" s="335"/>
      <c r="DA856" s="335"/>
      <c r="DB856" s="335"/>
      <c r="DC856" s="335"/>
      <c r="DD856" s="335"/>
      <c r="DE856" s="335"/>
      <c r="DF856" s="335"/>
      <c r="DG856" s="335"/>
      <c r="DH856" s="335"/>
      <c r="DI856" s="335"/>
      <c r="DJ856" s="335"/>
      <c r="DK856" s="335"/>
      <c r="DL856" s="335"/>
      <c r="DM856" s="335"/>
      <c r="DN856" s="335"/>
      <c r="DO856" s="335"/>
      <c r="DP856" s="335"/>
      <c r="DQ856" s="335"/>
      <c r="DR856" s="335"/>
      <c r="DS856" s="335"/>
      <c r="DT856" s="335"/>
      <c r="DU856" s="335"/>
      <c r="DV856" s="335"/>
      <c r="DW856" s="335"/>
      <c r="DX856" s="335"/>
      <c r="DY856" s="335"/>
      <c r="DZ856" s="335"/>
      <c r="EA856" s="335"/>
      <c r="EB856" s="335"/>
      <c r="EC856" s="335"/>
      <c r="ED856" s="335"/>
      <c r="EE856" s="335"/>
      <c r="EF856" s="335"/>
      <c r="EG856" s="335"/>
      <c r="EH856" s="335"/>
      <c r="EI856" s="335"/>
      <c r="EJ856" s="335"/>
      <c r="EK856" s="335"/>
      <c r="EL856" s="335"/>
      <c r="EM856" s="335"/>
    </row>
    <row r="857" spans="72:143">
      <c r="BT857" s="187"/>
      <c r="BU857" s="187" t="s">
        <v>91</v>
      </c>
      <c r="BV857" s="196">
        <v>120045</v>
      </c>
      <c r="BW857" s="197" t="e">
        <f t="shared" si="155"/>
        <v>#REF!</v>
      </c>
      <c r="BX857" s="198" t="e">
        <f>IF(AND(State_LOB_Code=18,LEFT(BW857,4)&lt;"2009"),81,State_LOB_Code)&amp;"|381"</f>
        <v>#REF!</v>
      </c>
      <c r="BY857" s="174"/>
      <c r="BZ857" s="175"/>
      <c r="CD857" s="163"/>
      <c r="CE857" s="363"/>
      <c r="CF857" s="335"/>
      <c r="CG857" s="335"/>
      <c r="CH857" s="335"/>
      <c r="CI857" s="335"/>
      <c r="CJ857" s="335"/>
      <c r="CK857" s="335"/>
      <c r="CL857" s="335"/>
      <c r="CM857" s="335"/>
      <c r="CN857" s="335"/>
      <c r="CO857" s="335"/>
      <c r="CP857" s="335"/>
      <c r="CQ857" s="335"/>
      <c r="CR857" s="335"/>
      <c r="CS857" s="335"/>
      <c r="CT857" s="335"/>
      <c r="CU857" s="335"/>
      <c r="CV857" s="335"/>
      <c r="CW857" s="335"/>
      <c r="CX857" s="335"/>
      <c r="CY857" s="335"/>
      <c r="CZ857" s="335"/>
      <c r="DA857" s="335"/>
      <c r="DB857" s="335"/>
      <c r="DC857" s="335"/>
      <c r="DD857" s="335"/>
      <c r="DE857" s="335"/>
      <c r="DF857" s="335"/>
      <c r="DG857" s="335"/>
      <c r="DH857" s="335"/>
      <c r="DI857" s="335"/>
      <c r="DJ857" s="335"/>
      <c r="DK857" s="335"/>
      <c r="DL857" s="335"/>
      <c r="DM857" s="335"/>
      <c r="DN857" s="335"/>
      <c r="DO857" s="335"/>
      <c r="DP857" s="335"/>
      <c r="DQ857" s="335"/>
      <c r="DR857" s="335"/>
      <c r="DS857" s="335"/>
      <c r="DT857" s="335"/>
      <c r="DU857" s="335"/>
      <c r="DV857" s="335"/>
      <c r="DW857" s="335"/>
      <c r="DX857" s="335"/>
      <c r="DY857" s="335"/>
      <c r="DZ857" s="335"/>
      <c r="EA857" s="335"/>
      <c r="EB857" s="335"/>
      <c r="EC857" s="335"/>
      <c r="ED857" s="335"/>
      <c r="EE857" s="335"/>
      <c r="EF857" s="335"/>
      <c r="EG857" s="335"/>
      <c r="EH857" s="335"/>
      <c r="EI857" s="335"/>
      <c r="EJ857" s="335"/>
      <c r="EK857" s="335"/>
      <c r="EL857" s="335"/>
      <c r="EM857" s="335"/>
    </row>
    <row r="858" spans="72:143">
      <c r="BT858" s="187"/>
      <c r="BU858" s="187" t="s">
        <v>92</v>
      </c>
      <c r="BV858" s="196">
        <v>120045</v>
      </c>
      <c r="BW858" s="197" t="e">
        <f t="shared" si="155"/>
        <v>#REF!</v>
      </c>
      <c r="BX858" s="198" t="e">
        <f>IF(AND(State_LOB_Code=18,LEFT(BW858,4)&lt;"2009"),81,State_LOB_Code)&amp;"|382"</f>
        <v>#REF!</v>
      </c>
      <c r="BY858" s="174"/>
      <c r="BZ858" s="175"/>
      <c r="CD858" s="163"/>
      <c r="CE858" s="363"/>
      <c r="CF858" s="335"/>
      <c r="CG858" s="335"/>
      <c r="CH858" s="335"/>
      <c r="CI858" s="335"/>
      <c r="CJ858" s="335"/>
      <c r="CK858" s="335"/>
      <c r="CL858" s="335"/>
      <c r="CM858" s="335"/>
      <c r="CN858" s="335"/>
      <c r="CO858" s="335"/>
      <c r="CP858" s="335"/>
      <c r="CQ858" s="335"/>
      <c r="CR858" s="335"/>
      <c r="CS858" s="335"/>
      <c r="CT858" s="335"/>
      <c r="CU858" s="335"/>
      <c r="CV858" s="335"/>
      <c r="CW858" s="335"/>
      <c r="CX858" s="335"/>
      <c r="CY858" s="335"/>
      <c r="CZ858" s="335"/>
      <c r="DA858" s="335"/>
      <c r="DB858" s="335"/>
      <c r="DC858" s="335"/>
      <c r="DD858" s="335"/>
      <c r="DE858" s="335"/>
      <c r="DF858" s="335"/>
      <c r="DG858" s="335"/>
      <c r="DH858" s="335"/>
      <c r="DI858" s="335"/>
      <c r="DJ858" s="335"/>
      <c r="DK858" s="335"/>
      <c r="DL858" s="335"/>
      <c r="DM858" s="335"/>
      <c r="DN858" s="335"/>
      <c r="DO858" s="335"/>
      <c r="DP858" s="335"/>
      <c r="DQ858" s="335"/>
      <c r="DR858" s="335"/>
      <c r="DS858" s="335"/>
      <c r="DT858" s="335"/>
      <c r="DU858" s="335"/>
      <c r="DV858" s="335"/>
      <c r="DW858" s="335"/>
      <c r="DX858" s="335"/>
      <c r="DY858" s="335"/>
      <c r="DZ858" s="335"/>
      <c r="EA858" s="335"/>
      <c r="EB858" s="335"/>
      <c r="EC858" s="335"/>
      <c r="ED858" s="335"/>
      <c r="EE858" s="335"/>
      <c r="EF858" s="335"/>
      <c r="EG858" s="335"/>
      <c r="EH858" s="335"/>
      <c r="EI858" s="335"/>
      <c r="EJ858" s="335"/>
      <c r="EK858" s="335"/>
      <c r="EL858" s="335"/>
      <c r="EM858" s="335"/>
    </row>
    <row r="859" spans="72:143">
      <c r="BT859" s="187"/>
      <c r="BU859" s="187" t="s">
        <v>93</v>
      </c>
      <c r="BV859" s="196">
        <v>120045</v>
      </c>
      <c r="BW859" s="197" t="e">
        <f t="shared" si="155"/>
        <v>#REF!</v>
      </c>
      <c r="BX859" s="198" t="e">
        <f>IF(AND(State_LOB_Code=18,LEFT(BW859,4)&lt;"2009"),81,State_LOB_Code)&amp;"|384"</f>
        <v>#REF!</v>
      </c>
      <c r="BY859" s="174"/>
      <c r="BZ859" s="175"/>
      <c r="CD859" s="163"/>
      <c r="CE859" s="363"/>
      <c r="CF859" s="335"/>
      <c r="CG859" s="335"/>
      <c r="CH859" s="335"/>
      <c r="CI859" s="335"/>
      <c r="CJ859" s="335"/>
      <c r="CK859" s="335"/>
      <c r="CL859" s="335"/>
      <c r="CM859" s="335"/>
      <c r="CN859" s="335"/>
      <c r="CO859" s="335"/>
      <c r="CP859" s="335"/>
      <c r="CQ859" s="335"/>
      <c r="CR859" s="335"/>
      <c r="CS859" s="335"/>
      <c r="CT859" s="335"/>
      <c r="CU859" s="335"/>
      <c r="CV859" s="335"/>
      <c r="CW859" s="335"/>
      <c r="CX859" s="335"/>
      <c r="CY859" s="335"/>
      <c r="CZ859" s="335"/>
      <c r="DA859" s="335"/>
      <c r="DB859" s="335"/>
      <c r="DC859" s="335"/>
      <c r="DD859" s="335"/>
      <c r="DE859" s="335"/>
      <c r="DF859" s="335"/>
      <c r="DG859" s="335"/>
      <c r="DH859" s="335"/>
      <c r="DI859" s="335"/>
      <c r="DJ859" s="335"/>
      <c r="DK859" s="335"/>
      <c r="DL859" s="335"/>
      <c r="DM859" s="335"/>
      <c r="DN859" s="335"/>
      <c r="DO859" s="335"/>
      <c r="DP859" s="335"/>
      <c r="DQ859" s="335"/>
      <c r="DR859" s="335"/>
      <c r="DS859" s="335"/>
      <c r="DT859" s="335"/>
      <c r="DU859" s="335"/>
      <c r="DV859" s="335"/>
      <c r="DW859" s="335"/>
      <c r="DX859" s="335"/>
      <c r="DY859" s="335"/>
      <c r="DZ859" s="335"/>
      <c r="EA859" s="335"/>
      <c r="EB859" s="335"/>
      <c r="EC859" s="335"/>
      <c r="ED859" s="335"/>
      <c r="EE859" s="335"/>
      <c r="EF859" s="335"/>
      <c r="EG859" s="335"/>
      <c r="EH859" s="335"/>
      <c r="EI859" s="335"/>
      <c r="EJ859" s="335"/>
      <c r="EK859" s="335"/>
      <c r="EL859" s="335"/>
      <c r="EM859" s="335"/>
    </row>
    <row r="860" spans="72:143">
      <c r="BT860" s="187"/>
      <c r="BU860" s="187" t="s">
        <v>94</v>
      </c>
      <c r="BV860" s="196">
        <v>120045</v>
      </c>
      <c r="BW860" s="197" t="e">
        <f t="shared" si="155"/>
        <v>#REF!</v>
      </c>
      <c r="BX860" s="198" t="e">
        <f>IF(AND(State_LOB_Code=18,LEFT(BW860,4)&lt;"2009"),81,State_LOB_Code)&amp;"|385"</f>
        <v>#REF!</v>
      </c>
      <c r="BY860" s="174"/>
      <c r="BZ860" s="175"/>
      <c r="CD860" s="163"/>
      <c r="CE860" s="363"/>
      <c r="CF860" s="335"/>
      <c r="CG860" s="335"/>
      <c r="CH860" s="335"/>
      <c r="CI860" s="335"/>
      <c r="CJ860" s="335"/>
      <c r="CK860" s="335"/>
      <c r="CL860" s="335"/>
      <c r="CM860" s="335"/>
      <c r="CN860" s="335"/>
      <c r="CO860" s="335"/>
      <c r="CP860" s="335"/>
      <c r="CQ860" s="335"/>
      <c r="CR860" s="335"/>
      <c r="CS860" s="335"/>
      <c r="CT860" s="335"/>
      <c r="CU860" s="335"/>
      <c r="CV860" s="335"/>
      <c r="CW860" s="335"/>
      <c r="CX860" s="335"/>
      <c r="CY860" s="335"/>
      <c r="CZ860" s="335"/>
      <c r="DA860" s="335"/>
      <c r="DB860" s="335"/>
      <c r="DC860" s="335"/>
      <c r="DD860" s="335"/>
      <c r="DE860" s="335"/>
      <c r="DF860" s="335"/>
      <c r="DG860" s="335"/>
      <c r="DH860" s="335"/>
      <c r="DI860" s="335"/>
      <c r="DJ860" s="335"/>
      <c r="DK860" s="335"/>
      <c r="DL860" s="335"/>
      <c r="DM860" s="335"/>
      <c r="DN860" s="335"/>
      <c r="DO860" s="335"/>
      <c r="DP860" s="335"/>
      <c r="DQ860" s="335"/>
      <c r="DR860" s="335"/>
      <c r="DS860" s="335"/>
      <c r="DT860" s="335"/>
      <c r="DU860" s="335"/>
      <c r="DV860" s="335"/>
      <c r="DW860" s="335"/>
      <c r="DX860" s="335"/>
      <c r="DY860" s="335"/>
      <c r="DZ860" s="335"/>
      <c r="EA860" s="335"/>
      <c r="EB860" s="335"/>
      <c r="EC860" s="335"/>
      <c r="ED860" s="335"/>
      <c r="EE860" s="335"/>
      <c r="EF860" s="335"/>
      <c r="EG860" s="335"/>
      <c r="EH860" s="335"/>
      <c r="EI860" s="335"/>
      <c r="EJ860" s="335"/>
      <c r="EK860" s="335"/>
      <c r="EL860" s="335"/>
      <c r="EM860" s="335"/>
    </row>
    <row r="861" spans="72:143">
      <c r="BT861" s="187"/>
      <c r="BU861" s="187" t="s">
        <v>95</v>
      </c>
      <c r="BV861" s="196">
        <v>120045</v>
      </c>
      <c r="BW861" s="197" t="e">
        <f t="shared" si="155"/>
        <v>#REF!</v>
      </c>
      <c r="BX861" s="198" t="e">
        <f>IF(AND(State_LOB_Code=18,LEFT(BW861,4)&lt;"2009"),81,State_LOB_Code)&amp;"|386"</f>
        <v>#REF!</v>
      </c>
      <c r="BY861" s="174"/>
      <c r="BZ861" s="175"/>
      <c r="CD861" s="163"/>
      <c r="CE861" s="363"/>
      <c r="CF861" s="335"/>
      <c r="CG861" s="335"/>
      <c r="CH861" s="335"/>
      <c r="CI861" s="335"/>
      <c r="CJ861" s="335"/>
      <c r="CK861" s="335"/>
      <c r="CL861" s="335"/>
      <c r="CM861" s="335"/>
      <c r="CN861" s="335"/>
      <c r="CO861" s="335"/>
      <c r="CP861" s="335"/>
      <c r="CQ861" s="335"/>
      <c r="CR861" s="335"/>
      <c r="CS861" s="335"/>
      <c r="CT861" s="335"/>
      <c r="CU861" s="335"/>
      <c r="CV861" s="335"/>
      <c r="CW861" s="335"/>
      <c r="CX861" s="335"/>
      <c r="CY861" s="335"/>
      <c r="CZ861" s="335"/>
      <c r="DA861" s="335"/>
      <c r="DB861" s="335"/>
      <c r="DC861" s="335"/>
      <c r="DD861" s="335"/>
      <c r="DE861" s="335"/>
      <c r="DF861" s="335"/>
      <c r="DG861" s="335"/>
      <c r="DH861" s="335"/>
      <c r="DI861" s="335"/>
      <c r="DJ861" s="335"/>
      <c r="DK861" s="335"/>
      <c r="DL861" s="335"/>
      <c r="DM861" s="335"/>
      <c r="DN861" s="335"/>
      <c r="DO861" s="335"/>
      <c r="DP861" s="335"/>
      <c r="DQ861" s="335"/>
      <c r="DR861" s="335"/>
      <c r="DS861" s="335"/>
      <c r="DT861" s="335"/>
      <c r="DU861" s="335"/>
      <c r="DV861" s="335"/>
      <c r="DW861" s="335"/>
      <c r="DX861" s="335"/>
      <c r="DY861" s="335"/>
      <c r="DZ861" s="335"/>
      <c r="EA861" s="335"/>
      <c r="EB861" s="335"/>
      <c r="EC861" s="335"/>
      <c r="ED861" s="335"/>
      <c r="EE861" s="335"/>
      <c r="EF861" s="335"/>
      <c r="EG861" s="335"/>
      <c r="EH861" s="335"/>
      <c r="EI861" s="335"/>
      <c r="EJ861" s="335"/>
      <c r="EK861" s="335"/>
      <c r="EL861" s="335"/>
      <c r="EM861" s="335"/>
    </row>
    <row r="862" spans="72:143">
      <c r="BT862" s="187"/>
      <c r="BU862" s="187" t="s">
        <v>96</v>
      </c>
      <c r="BV862" s="196">
        <v>120045</v>
      </c>
      <c r="BW862" s="197" t="e">
        <f t="shared" si="155"/>
        <v>#REF!</v>
      </c>
      <c r="BX862" s="198" t="e">
        <f>IF(AND(State_LOB_Code=18,LEFT(BW862,4)&lt;"2009"),81,State_LOB_Code)&amp;"|387"</f>
        <v>#REF!</v>
      </c>
      <c r="BY862" s="174"/>
      <c r="BZ862" s="175"/>
      <c r="CD862" s="163"/>
      <c r="CE862" s="363"/>
      <c r="CF862" s="335"/>
      <c r="CG862" s="335"/>
      <c r="CH862" s="335"/>
      <c r="CI862" s="335"/>
      <c r="CJ862" s="335"/>
      <c r="CK862" s="335"/>
      <c r="CL862" s="335"/>
      <c r="CM862" s="335"/>
      <c r="CN862" s="335"/>
      <c r="CO862" s="335"/>
      <c r="CP862" s="335"/>
      <c r="CQ862" s="335"/>
      <c r="CR862" s="335"/>
      <c r="CS862" s="335"/>
      <c r="CT862" s="335"/>
      <c r="CU862" s="335"/>
      <c r="CV862" s="335"/>
      <c r="CW862" s="335"/>
      <c r="CX862" s="335"/>
      <c r="CY862" s="335"/>
      <c r="CZ862" s="335"/>
      <c r="DA862" s="335"/>
      <c r="DB862" s="335"/>
      <c r="DC862" s="335"/>
      <c r="DD862" s="335"/>
      <c r="DE862" s="335"/>
      <c r="DF862" s="335"/>
      <c r="DG862" s="335"/>
      <c r="DH862" s="335"/>
      <c r="DI862" s="335"/>
      <c r="DJ862" s="335"/>
      <c r="DK862" s="335"/>
      <c r="DL862" s="335"/>
      <c r="DM862" s="335"/>
      <c r="DN862" s="335"/>
      <c r="DO862" s="335"/>
      <c r="DP862" s="335"/>
      <c r="DQ862" s="335"/>
      <c r="DR862" s="335"/>
      <c r="DS862" s="335"/>
      <c r="DT862" s="335"/>
      <c r="DU862" s="335"/>
      <c r="DV862" s="335"/>
      <c r="DW862" s="335"/>
      <c r="DX862" s="335"/>
      <c r="DY862" s="335"/>
      <c r="DZ862" s="335"/>
      <c r="EA862" s="335"/>
      <c r="EB862" s="335"/>
      <c r="EC862" s="335"/>
      <c r="ED862" s="335"/>
      <c r="EE862" s="335"/>
      <c r="EF862" s="335"/>
      <c r="EG862" s="335"/>
      <c r="EH862" s="335"/>
      <c r="EI862" s="335"/>
      <c r="EJ862" s="335"/>
      <c r="EK862" s="335"/>
      <c r="EL862" s="335"/>
      <c r="EM862" s="335"/>
    </row>
    <row r="863" spans="72:143">
      <c r="BT863" s="187"/>
      <c r="BU863" s="187" t="s">
        <v>97</v>
      </c>
      <c r="BV863" s="196">
        <v>120045</v>
      </c>
      <c r="BW863" s="197" t="e">
        <f t="shared" si="155"/>
        <v>#REF!</v>
      </c>
      <c r="BX863" s="198" t="e">
        <f>IF(AND(State_LOB_Code=18,LEFT(BW863,4)&lt;"2009"),81,State_LOB_Code)&amp;"|388"</f>
        <v>#REF!</v>
      </c>
      <c r="BY863" s="174"/>
      <c r="BZ863" s="175"/>
      <c r="CD863" s="163"/>
      <c r="CE863" s="363"/>
      <c r="CF863" s="335"/>
      <c r="CG863" s="335"/>
      <c r="CH863" s="335"/>
      <c r="CI863" s="335"/>
      <c r="CJ863" s="335"/>
      <c r="CK863" s="335"/>
      <c r="CL863" s="335"/>
      <c r="CM863" s="335"/>
      <c r="CN863" s="335"/>
      <c r="CO863" s="335"/>
      <c r="CP863" s="335"/>
      <c r="CQ863" s="335"/>
      <c r="CR863" s="335"/>
      <c r="CS863" s="335"/>
      <c r="CT863" s="335"/>
      <c r="CU863" s="335"/>
      <c r="CV863" s="335"/>
      <c r="CW863" s="335"/>
      <c r="CX863" s="335"/>
      <c r="CY863" s="335"/>
      <c r="CZ863" s="335"/>
      <c r="DA863" s="335"/>
      <c r="DB863" s="335"/>
      <c r="DC863" s="335"/>
      <c r="DD863" s="335"/>
      <c r="DE863" s="335"/>
      <c r="DF863" s="335"/>
      <c r="DG863" s="335"/>
      <c r="DH863" s="335"/>
      <c r="DI863" s="335"/>
      <c r="DJ863" s="335"/>
      <c r="DK863" s="335"/>
      <c r="DL863" s="335"/>
      <c r="DM863" s="335"/>
      <c r="DN863" s="335"/>
      <c r="DO863" s="335"/>
      <c r="DP863" s="335"/>
      <c r="DQ863" s="335"/>
      <c r="DR863" s="335"/>
      <c r="DS863" s="335"/>
      <c r="DT863" s="335"/>
      <c r="DU863" s="335"/>
      <c r="DV863" s="335"/>
      <c r="DW863" s="335"/>
      <c r="DX863" s="335"/>
      <c r="DY863" s="335"/>
      <c r="DZ863" s="335"/>
      <c r="EA863" s="335"/>
      <c r="EB863" s="335"/>
      <c r="EC863" s="335"/>
      <c r="ED863" s="335"/>
      <c r="EE863" s="335"/>
      <c r="EF863" s="335"/>
      <c r="EG863" s="335"/>
      <c r="EH863" s="335"/>
      <c r="EI863" s="335"/>
      <c r="EJ863" s="335"/>
      <c r="EK863" s="335"/>
      <c r="EL863" s="335"/>
      <c r="EM863" s="335"/>
    </row>
    <row r="864" spans="72:143">
      <c r="BT864" s="187"/>
      <c r="BU864" s="189" t="s">
        <v>137</v>
      </c>
      <c r="BV864" s="199">
        <v>120045</v>
      </c>
      <c r="BW864" s="200" t="e">
        <f t="shared" si="155"/>
        <v>#REF!</v>
      </c>
      <c r="BX864" s="201" t="e">
        <f>IF(AND(State_LOB_Code=18,LEFT(BW864,4)&lt;"2009"),81,State_LOB_Code)&amp;"|600"</f>
        <v>#REF!</v>
      </c>
      <c r="BY864" s="176"/>
      <c r="BZ864" s="177"/>
      <c r="CD864" s="163"/>
      <c r="CE864" s="363"/>
      <c r="CF864" s="335"/>
      <c r="CG864" s="335"/>
      <c r="CH864" s="335"/>
      <c r="CI864" s="335"/>
      <c r="CJ864" s="335"/>
      <c r="CK864" s="335"/>
      <c r="CL864" s="335"/>
      <c r="CM864" s="335"/>
      <c r="CN864" s="335"/>
      <c r="CO864" s="335"/>
      <c r="CP864" s="335"/>
      <c r="CQ864" s="335"/>
      <c r="CR864" s="335"/>
      <c r="CS864" s="335"/>
      <c r="CT864" s="335"/>
      <c r="CU864" s="335"/>
      <c r="CV864" s="335"/>
      <c r="CW864" s="335"/>
      <c r="CX864" s="335"/>
      <c r="CY864" s="335"/>
      <c r="CZ864" s="335"/>
      <c r="DA864" s="335"/>
      <c r="DB864" s="335"/>
      <c r="DC864" s="335"/>
      <c r="DD864" s="335"/>
      <c r="DE864" s="335"/>
      <c r="DF864" s="335"/>
      <c r="DG864" s="335"/>
      <c r="DH864" s="335"/>
      <c r="DI864" s="335"/>
      <c r="DJ864" s="335"/>
      <c r="DK864" s="335"/>
      <c r="DL864" s="335"/>
      <c r="DM864" s="335"/>
      <c r="DN864" s="335"/>
      <c r="DO864" s="335"/>
      <c r="DP864" s="335"/>
      <c r="DQ864" s="335"/>
      <c r="DR864" s="335"/>
      <c r="DS864" s="335"/>
      <c r="DT864" s="335"/>
      <c r="DU864" s="335"/>
      <c r="DV864" s="335"/>
      <c r="DW864" s="335"/>
      <c r="DX864" s="335"/>
      <c r="DY864" s="335"/>
      <c r="DZ864" s="335"/>
      <c r="EA864" s="335"/>
      <c r="EB864" s="335"/>
      <c r="EC864" s="335"/>
      <c r="ED864" s="335"/>
      <c r="EE864" s="335"/>
      <c r="EF864" s="335"/>
      <c r="EG864" s="335"/>
      <c r="EH864" s="335"/>
      <c r="EI864" s="335"/>
      <c r="EJ864" s="335"/>
      <c r="EK864" s="335"/>
      <c r="EL864" s="335"/>
      <c r="EM864" s="335"/>
    </row>
    <row r="865" spans="72:143">
      <c r="BT865" s="187"/>
      <c r="BU865" s="187" t="s">
        <v>98</v>
      </c>
      <c r="BV865" s="196">
        <v>120045</v>
      </c>
      <c r="BW865" s="197" t="e">
        <f t="shared" si="155"/>
        <v>#REF!</v>
      </c>
      <c r="BX865" s="198" t="e">
        <f>IF(AND(State_LOB_Code=18,LEFT(BW865,4)&lt;"2009"),81,State_LOB_Code)&amp;"|336"</f>
        <v>#REF!</v>
      </c>
      <c r="BY865" s="174"/>
      <c r="BZ865" s="175"/>
      <c r="CD865" s="163"/>
      <c r="CE865" s="363"/>
      <c r="CF865" s="335"/>
      <c r="CG865" s="335"/>
      <c r="CH865" s="335"/>
      <c r="CI865" s="335"/>
      <c r="CJ865" s="335"/>
      <c r="CK865" s="335"/>
      <c r="CL865" s="335"/>
      <c r="CM865" s="335"/>
      <c r="CN865" s="335"/>
      <c r="CO865" s="335"/>
      <c r="CP865" s="335"/>
      <c r="CQ865" s="335"/>
      <c r="CR865" s="335"/>
      <c r="CS865" s="335"/>
      <c r="CT865" s="335"/>
      <c r="CU865" s="335"/>
      <c r="CV865" s="335"/>
      <c r="CW865" s="335"/>
      <c r="CX865" s="335"/>
      <c r="CY865" s="335"/>
      <c r="CZ865" s="335"/>
      <c r="DA865" s="335"/>
      <c r="DB865" s="335"/>
      <c r="DC865" s="335"/>
      <c r="DD865" s="335"/>
      <c r="DE865" s="335"/>
      <c r="DF865" s="335"/>
      <c r="DG865" s="335"/>
      <c r="DH865" s="335"/>
      <c r="DI865" s="335"/>
      <c r="DJ865" s="335"/>
      <c r="DK865" s="335"/>
      <c r="DL865" s="335"/>
      <c r="DM865" s="335"/>
      <c r="DN865" s="335"/>
      <c r="DO865" s="335"/>
      <c r="DP865" s="335"/>
      <c r="DQ865" s="335"/>
      <c r="DR865" s="335"/>
      <c r="DS865" s="335"/>
      <c r="DT865" s="335"/>
      <c r="DU865" s="335"/>
      <c r="DV865" s="335"/>
      <c r="DW865" s="335"/>
      <c r="DX865" s="335"/>
      <c r="DY865" s="335"/>
      <c r="DZ865" s="335"/>
      <c r="EA865" s="335"/>
      <c r="EB865" s="335"/>
      <c r="EC865" s="335"/>
      <c r="ED865" s="335"/>
      <c r="EE865" s="335"/>
      <c r="EF865" s="335"/>
      <c r="EG865" s="335"/>
      <c r="EH865" s="335"/>
      <c r="EI865" s="335"/>
      <c r="EJ865" s="335"/>
      <c r="EK865" s="335"/>
      <c r="EL865" s="335"/>
      <c r="EM865" s="335"/>
    </row>
    <row r="866" spans="72:143">
      <c r="BT866" s="187"/>
      <c r="BU866" s="187" t="s">
        <v>99</v>
      </c>
      <c r="BV866" s="196">
        <v>120045</v>
      </c>
      <c r="BW866" s="197" t="e">
        <f t="shared" si="155"/>
        <v>#REF!</v>
      </c>
      <c r="BX866" s="198" t="e">
        <f>IF(AND(State_LOB_Code=18,LEFT(BW866,4)&lt;"2009"),81,State_LOB_Code)&amp;"|345"</f>
        <v>#REF!</v>
      </c>
      <c r="BY866" s="174"/>
      <c r="BZ866" s="175"/>
      <c r="CD866" s="163"/>
      <c r="CE866" s="363"/>
      <c r="CF866" s="335"/>
      <c r="CG866" s="335"/>
      <c r="CH866" s="335"/>
      <c r="CI866" s="335"/>
      <c r="CJ866" s="335"/>
      <c r="CK866" s="335"/>
      <c r="CL866" s="335"/>
      <c r="CM866" s="335"/>
      <c r="CN866" s="335"/>
      <c r="CO866" s="335"/>
      <c r="CP866" s="335"/>
      <c r="CQ866" s="335"/>
      <c r="CR866" s="335"/>
      <c r="CS866" s="335"/>
      <c r="CT866" s="335"/>
      <c r="CU866" s="335"/>
      <c r="CV866" s="335"/>
      <c r="CW866" s="335"/>
      <c r="CX866" s="335"/>
      <c r="CY866" s="335"/>
      <c r="CZ866" s="335"/>
      <c r="DA866" s="335"/>
      <c r="DB866" s="335"/>
      <c r="DC866" s="335"/>
      <c r="DD866" s="335"/>
      <c r="DE866" s="335"/>
      <c r="DF866" s="335"/>
      <c r="DG866" s="335"/>
      <c r="DH866" s="335"/>
      <c r="DI866" s="335"/>
      <c r="DJ866" s="335"/>
      <c r="DK866" s="335"/>
      <c r="DL866" s="335"/>
      <c r="DM866" s="335"/>
      <c r="DN866" s="335"/>
      <c r="DO866" s="335"/>
      <c r="DP866" s="335"/>
      <c r="DQ866" s="335"/>
      <c r="DR866" s="335"/>
      <c r="DS866" s="335"/>
      <c r="DT866" s="335"/>
      <c r="DU866" s="335"/>
      <c r="DV866" s="335"/>
      <c r="DW866" s="335"/>
      <c r="DX866" s="335"/>
      <c r="DY866" s="335"/>
      <c r="DZ866" s="335"/>
      <c r="EA866" s="335"/>
      <c r="EB866" s="335"/>
      <c r="EC866" s="335"/>
      <c r="ED866" s="335"/>
      <c r="EE866" s="335"/>
      <c r="EF866" s="335"/>
      <c r="EG866" s="335"/>
      <c r="EH866" s="335"/>
      <c r="EI866" s="335"/>
      <c r="EJ866" s="335"/>
      <c r="EK866" s="335"/>
      <c r="EL866" s="335"/>
      <c r="EM866" s="335"/>
    </row>
    <row r="867" spans="72:143">
      <c r="BT867" s="187"/>
      <c r="BU867" s="187" t="s">
        <v>100</v>
      </c>
      <c r="BV867" s="196">
        <v>120045</v>
      </c>
      <c r="BW867" s="197" t="e">
        <f t="shared" si="155"/>
        <v>#REF!</v>
      </c>
      <c r="BX867" s="198" t="e">
        <f>IF(AND(State_LOB_Code=18,LEFT(BW867,4)&lt;"2009"),81,State_LOB_Code)&amp;"|360"</f>
        <v>#REF!</v>
      </c>
      <c r="BY867" s="174"/>
      <c r="BZ867" s="175"/>
      <c r="CD867" s="163"/>
      <c r="CE867" s="363"/>
      <c r="CF867" s="335"/>
      <c r="CG867" s="335"/>
      <c r="CH867" s="335"/>
      <c r="CI867" s="335"/>
      <c r="CJ867" s="335"/>
      <c r="CK867" s="335"/>
      <c r="CL867" s="335"/>
      <c r="CM867" s="335"/>
      <c r="CN867" s="335"/>
      <c r="CO867" s="335"/>
      <c r="CP867" s="335"/>
      <c r="CQ867" s="335"/>
      <c r="CR867" s="335"/>
      <c r="CS867" s="335"/>
      <c r="CT867" s="335"/>
      <c r="CU867" s="335"/>
      <c r="CV867" s="335"/>
      <c r="CW867" s="335"/>
      <c r="CX867" s="335"/>
      <c r="CY867" s="335"/>
      <c r="CZ867" s="335"/>
      <c r="DA867" s="335"/>
      <c r="DB867" s="335"/>
      <c r="DC867" s="335"/>
      <c r="DD867" s="335"/>
      <c r="DE867" s="335"/>
      <c r="DF867" s="335"/>
      <c r="DG867" s="335"/>
      <c r="DH867" s="335"/>
      <c r="DI867" s="335"/>
      <c r="DJ867" s="335"/>
      <c r="DK867" s="335"/>
      <c r="DL867" s="335"/>
      <c r="DM867" s="335"/>
      <c r="DN867" s="335"/>
      <c r="DO867" s="335"/>
      <c r="DP867" s="335"/>
      <c r="DQ867" s="335"/>
      <c r="DR867" s="335"/>
      <c r="DS867" s="335"/>
      <c r="DT867" s="335"/>
      <c r="DU867" s="335"/>
      <c r="DV867" s="335"/>
      <c r="DW867" s="335"/>
      <c r="DX867" s="335"/>
      <c r="DY867" s="335"/>
      <c r="DZ867" s="335"/>
      <c r="EA867" s="335"/>
      <c r="EB867" s="335"/>
      <c r="EC867" s="335"/>
      <c r="ED867" s="335"/>
      <c r="EE867" s="335"/>
      <c r="EF867" s="335"/>
      <c r="EG867" s="335"/>
      <c r="EH867" s="335"/>
      <c r="EI867" s="335"/>
      <c r="EJ867" s="335"/>
      <c r="EK867" s="335"/>
      <c r="EL867" s="335"/>
      <c r="EM867" s="335"/>
    </row>
    <row r="868" spans="72:143">
      <c r="BT868" s="187"/>
      <c r="BU868" s="187" t="s">
        <v>101</v>
      </c>
      <c r="BV868" s="196">
        <v>120045</v>
      </c>
      <c r="BW868" s="197" t="e">
        <f t="shared" si="155"/>
        <v>#REF!</v>
      </c>
      <c r="BX868" s="198" t="e">
        <f>IF(AND(State_LOB_Code=18,LEFT(BW868,4)&lt;"2009"),81,State_LOB_Code)&amp;"|375"</f>
        <v>#REF!</v>
      </c>
      <c r="BY868" s="174"/>
      <c r="BZ868" s="175"/>
      <c r="CD868" s="163"/>
      <c r="CE868" s="363"/>
      <c r="CF868" s="335"/>
      <c r="CG868" s="335"/>
      <c r="CH868" s="335"/>
      <c r="CI868" s="335"/>
      <c r="CJ868" s="335"/>
      <c r="CK868" s="335"/>
      <c r="CL868" s="335"/>
      <c r="CM868" s="335"/>
      <c r="CN868" s="335"/>
      <c r="CO868" s="335"/>
      <c r="CP868" s="335"/>
      <c r="CQ868" s="335"/>
      <c r="CR868" s="335"/>
      <c r="CS868" s="335"/>
      <c r="CT868" s="335"/>
      <c r="CU868" s="335"/>
      <c r="CV868" s="335"/>
      <c r="CW868" s="335"/>
      <c r="CX868" s="335"/>
      <c r="CY868" s="335"/>
      <c r="CZ868" s="335"/>
      <c r="DA868" s="335"/>
      <c r="DB868" s="335"/>
      <c r="DC868" s="335"/>
      <c r="DD868" s="335"/>
      <c r="DE868" s="335"/>
      <c r="DF868" s="335"/>
      <c r="DG868" s="335"/>
      <c r="DH868" s="335"/>
      <c r="DI868" s="335"/>
      <c r="DJ868" s="335"/>
      <c r="DK868" s="335"/>
      <c r="DL868" s="335"/>
      <c r="DM868" s="335"/>
      <c r="DN868" s="335"/>
      <c r="DO868" s="335"/>
      <c r="DP868" s="335"/>
      <c r="DQ868" s="335"/>
      <c r="DR868" s="335"/>
      <c r="DS868" s="335"/>
      <c r="DT868" s="335"/>
      <c r="DU868" s="335"/>
      <c r="DV868" s="335"/>
      <c r="DW868" s="335"/>
      <c r="DX868" s="335"/>
      <c r="DY868" s="335"/>
      <c r="DZ868" s="335"/>
      <c r="EA868" s="335"/>
      <c r="EB868" s="335"/>
      <c r="EC868" s="335"/>
      <c r="ED868" s="335"/>
      <c r="EE868" s="335"/>
      <c r="EF868" s="335"/>
      <c r="EG868" s="335"/>
      <c r="EH868" s="335"/>
      <c r="EI868" s="335"/>
      <c r="EJ868" s="335"/>
      <c r="EK868" s="335"/>
      <c r="EL868" s="335"/>
      <c r="EM868" s="335"/>
    </row>
    <row r="869" spans="72:143">
      <c r="BT869" s="187"/>
      <c r="BU869" s="187" t="s">
        <v>102</v>
      </c>
      <c r="BV869" s="196">
        <v>120045</v>
      </c>
      <c r="BW869" s="197" t="e">
        <f t="shared" si="155"/>
        <v>#REF!</v>
      </c>
      <c r="BX869" s="198" t="e">
        <f>IF(AND(State_LOB_Code=18,LEFT(BW869,4)&lt;"2009"),81,State_LOB_Code)&amp;"|383"</f>
        <v>#REF!</v>
      </c>
      <c r="BY869" s="174"/>
      <c r="BZ869" s="175"/>
      <c r="CD869" s="163"/>
      <c r="CE869" s="363"/>
      <c r="CF869" s="335"/>
      <c r="CG869" s="335"/>
      <c r="CH869" s="335"/>
      <c r="CI869" s="335"/>
      <c r="CJ869" s="335"/>
      <c r="CK869" s="335"/>
      <c r="CL869" s="335"/>
      <c r="CM869" s="335"/>
      <c r="CN869" s="335"/>
      <c r="CO869" s="335"/>
      <c r="CP869" s="335"/>
      <c r="CQ869" s="335"/>
      <c r="CR869" s="335"/>
      <c r="CS869" s="335"/>
      <c r="CT869" s="335"/>
      <c r="CU869" s="335"/>
      <c r="CV869" s="335"/>
      <c r="CW869" s="335"/>
      <c r="CX869" s="335"/>
      <c r="CY869" s="335"/>
      <c r="CZ869" s="335"/>
      <c r="DA869" s="335"/>
      <c r="DB869" s="335"/>
      <c r="DC869" s="335"/>
      <c r="DD869" s="335"/>
      <c r="DE869" s="335"/>
      <c r="DF869" s="335"/>
      <c r="DG869" s="335"/>
      <c r="DH869" s="335"/>
      <c r="DI869" s="335"/>
      <c r="DJ869" s="335"/>
      <c r="DK869" s="335"/>
      <c r="DL869" s="335"/>
      <c r="DM869" s="335"/>
      <c r="DN869" s="335"/>
      <c r="DO869" s="335"/>
      <c r="DP869" s="335"/>
      <c r="DQ869" s="335"/>
      <c r="DR869" s="335"/>
      <c r="DS869" s="335"/>
      <c r="DT869" s="335"/>
      <c r="DU869" s="335"/>
      <c r="DV869" s="335"/>
      <c r="DW869" s="335"/>
      <c r="DX869" s="335"/>
      <c r="DY869" s="335"/>
      <c r="DZ869" s="335"/>
      <c r="EA869" s="335"/>
      <c r="EB869" s="335"/>
      <c r="EC869" s="335"/>
      <c r="ED869" s="335"/>
      <c r="EE869" s="335"/>
      <c r="EF869" s="335"/>
      <c r="EG869" s="335"/>
      <c r="EH869" s="335"/>
      <c r="EI869" s="335"/>
      <c r="EJ869" s="335"/>
      <c r="EK869" s="335"/>
      <c r="EL869" s="335"/>
      <c r="EM869" s="335"/>
    </row>
    <row r="870" spans="72:143">
      <c r="BT870" s="187"/>
      <c r="BU870" s="187" t="s">
        <v>103</v>
      </c>
      <c r="BV870" s="196">
        <v>120045</v>
      </c>
      <c r="BW870" s="197" t="e">
        <f t="shared" si="155"/>
        <v>#REF!</v>
      </c>
      <c r="BX870" s="198" t="e">
        <f>IF(AND(State_LOB_Code=18,LEFT(BW870,4)&lt;"2009"),81,State_LOB_Code)&amp;"|332"</f>
        <v>#REF!</v>
      </c>
      <c r="BY870" s="174"/>
      <c r="BZ870" s="175"/>
      <c r="CD870" s="163"/>
      <c r="CE870" s="363"/>
      <c r="CF870" s="335"/>
      <c r="CG870" s="335"/>
      <c r="CH870" s="335"/>
      <c r="CI870" s="335"/>
      <c r="CJ870" s="335"/>
      <c r="CK870" s="335"/>
      <c r="CL870" s="335"/>
      <c r="CM870" s="335"/>
      <c r="CN870" s="335"/>
      <c r="CO870" s="335"/>
      <c r="CP870" s="335"/>
      <c r="CQ870" s="335"/>
      <c r="CR870" s="335"/>
      <c r="CS870" s="335"/>
      <c r="CT870" s="335"/>
      <c r="CU870" s="335"/>
      <c r="CV870" s="335"/>
      <c r="CW870" s="335"/>
      <c r="CX870" s="335"/>
      <c r="CY870" s="335"/>
      <c r="CZ870" s="335"/>
      <c r="DA870" s="335"/>
      <c r="DB870" s="335"/>
      <c r="DC870" s="335"/>
      <c r="DD870" s="335"/>
      <c r="DE870" s="335"/>
      <c r="DF870" s="335"/>
      <c r="DG870" s="335"/>
      <c r="DH870" s="335"/>
      <c r="DI870" s="335"/>
      <c r="DJ870" s="335"/>
      <c r="DK870" s="335"/>
      <c r="DL870" s="335"/>
      <c r="DM870" s="335"/>
      <c r="DN870" s="335"/>
      <c r="DO870" s="335"/>
      <c r="DP870" s="335"/>
      <c r="DQ870" s="335"/>
      <c r="DR870" s="335"/>
      <c r="DS870" s="335"/>
      <c r="DT870" s="335"/>
      <c r="DU870" s="335"/>
      <c r="DV870" s="335"/>
      <c r="DW870" s="335"/>
      <c r="DX870" s="335"/>
      <c r="DY870" s="335"/>
      <c r="DZ870" s="335"/>
      <c r="EA870" s="335"/>
      <c r="EB870" s="335"/>
      <c r="EC870" s="335"/>
      <c r="ED870" s="335"/>
      <c r="EE870" s="335"/>
      <c r="EF870" s="335"/>
      <c r="EG870" s="335"/>
      <c r="EH870" s="335"/>
      <c r="EI870" s="335"/>
      <c r="EJ870" s="335"/>
      <c r="EK870" s="335"/>
      <c r="EL870" s="335"/>
      <c r="EM870" s="335"/>
    </row>
    <row r="871" spans="72:143">
      <c r="BT871" s="187"/>
      <c r="BU871" s="187" t="s">
        <v>104</v>
      </c>
      <c r="BV871" s="196">
        <v>120045</v>
      </c>
      <c r="BW871" s="197" t="e">
        <f t="shared" si="155"/>
        <v>#REF!</v>
      </c>
      <c r="BX871" s="198" t="e">
        <f>IF(AND(State_LOB_Code=18,LEFT(BW871,4)&lt;"2009"),81,State_LOB_Code)&amp;"|330"</f>
        <v>#REF!</v>
      </c>
      <c r="BY871" s="174"/>
      <c r="BZ871" s="175"/>
      <c r="CD871" s="163"/>
      <c r="CE871" s="363"/>
      <c r="CF871" s="335"/>
      <c r="CG871" s="335"/>
      <c r="CH871" s="335"/>
      <c r="CI871" s="335"/>
      <c r="CJ871" s="335"/>
      <c r="CK871" s="335"/>
      <c r="CL871" s="335"/>
      <c r="CM871" s="335"/>
      <c r="CN871" s="335"/>
      <c r="CO871" s="335"/>
      <c r="CP871" s="335"/>
      <c r="CQ871" s="335"/>
      <c r="CR871" s="335"/>
      <c r="CS871" s="335"/>
      <c r="CT871" s="335"/>
      <c r="CU871" s="335"/>
      <c r="CV871" s="335"/>
      <c r="CW871" s="335"/>
      <c r="CX871" s="335"/>
      <c r="CY871" s="335"/>
      <c r="CZ871" s="335"/>
      <c r="DA871" s="335"/>
      <c r="DB871" s="335"/>
      <c r="DC871" s="335"/>
      <c r="DD871" s="335"/>
      <c r="DE871" s="335"/>
      <c r="DF871" s="335"/>
      <c r="DG871" s="335"/>
      <c r="DH871" s="335"/>
      <c r="DI871" s="335"/>
      <c r="DJ871" s="335"/>
      <c r="DK871" s="335"/>
      <c r="DL871" s="335"/>
      <c r="DM871" s="335"/>
      <c r="DN871" s="335"/>
      <c r="DO871" s="335"/>
      <c r="DP871" s="335"/>
      <c r="DQ871" s="335"/>
      <c r="DR871" s="335"/>
      <c r="DS871" s="335"/>
      <c r="DT871" s="335"/>
      <c r="DU871" s="335"/>
      <c r="DV871" s="335"/>
      <c r="DW871" s="335"/>
      <c r="DX871" s="335"/>
      <c r="DY871" s="335"/>
      <c r="DZ871" s="335"/>
      <c r="EA871" s="335"/>
      <c r="EB871" s="335"/>
      <c r="EC871" s="335"/>
      <c r="ED871" s="335"/>
      <c r="EE871" s="335"/>
      <c r="EF871" s="335"/>
      <c r="EG871" s="335"/>
      <c r="EH871" s="335"/>
      <c r="EI871" s="335"/>
      <c r="EJ871" s="335"/>
      <c r="EK871" s="335"/>
      <c r="EL871" s="335"/>
      <c r="EM871" s="335"/>
    </row>
    <row r="872" spans="72:143">
      <c r="BT872" s="187"/>
      <c r="BU872" s="190" t="s">
        <v>46</v>
      </c>
      <c r="BV872" s="202">
        <v>120068</v>
      </c>
      <c r="BW872" s="203" t="e">
        <f t="shared" si="155"/>
        <v>#REF!</v>
      </c>
      <c r="BX872" s="204" t="e">
        <f>IF(AND(State_LOB_Code=18,LEFT(BW872,4)&lt;"2009"),81,State_LOB_Code)</f>
        <v>#REF!</v>
      </c>
      <c r="BY872" s="191"/>
      <c r="BZ872" s="192"/>
      <c r="CD872" s="163"/>
      <c r="CE872" s="363"/>
      <c r="CF872" s="335"/>
      <c r="CG872" s="335"/>
      <c r="CH872" s="335"/>
      <c r="CI872" s="335"/>
      <c r="CJ872" s="335"/>
      <c r="CK872" s="335"/>
      <c r="CL872" s="335"/>
      <c r="CM872" s="335"/>
      <c r="CN872" s="335"/>
      <c r="CO872" s="335"/>
      <c r="CP872" s="335"/>
      <c r="CQ872" s="335"/>
      <c r="CR872" s="335"/>
      <c r="CS872" s="335"/>
      <c r="CT872" s="335"/>
      <c r="CU872" s="335"/>
      <c r="CV872" s="335"/>
      <c r="CW872" s="335"/>
      <c r="CX872" s="335"/>
      <c r="CY872" s="335"/>
      <c r="CZ872" s="335"/>
      <c r="DA872" s="335"/>
      <c r="DB872" s="335"/>
      <c r="DC872" s="335"/>
      <c r="DD872" s="335"/>
      <c r="DE872" s="335"/>
      <c r="DF872" s="335"/>
      <c r="DG872" s="335"/>
      <c r="DH872" s="335"/>
      <c r="DI872" s="335"/>
      <c r="DJ872" s="335"/>
      <c r="DK872" s="335"/>
      <c r="DL872" s="335"/>
      <c r="DM872" s="335"/>
      <c r="DN872" s="335"/>
      <c r="DO872" s="335"/>
      <c r="DP872" s="335"/>
      <c r="DQ872" s="335"/>
      <c r="DR872" s="335"/>
      <c r="DS872" s="335"/>
      <c r="DT872" s="335"/>
      <c r="DU872" s="335"/>
      <c r="DV872" s="335"/>
      <c r="DW872" s="335"/>
      <c r="DX872" s="335"/>
      <c r="DY872" s="335"/>
      <c r="DZ872" s="335"/>
      <c r="EA872" s="335"/>
      <c r="EB872" s="335"/>
      <c r="EC872" s="335"/>
      <c r="ED872" s="335"/>
      <c r="EE872" s="335"/>
      <c r="EF872" s="335"/>
      <c r="EG872" s="335"/>
      <c r="EH872" s="335"/>
      <c r="EI872" s="335"/>
      <c r="EJ872" s="335"/>
      <c r="EK872" s="335"/>
      <c r="EL872" s="335"/>
      <c r="EM872" s="335"/>
    </row>
    <row r="873" spans="72:143">
      <c r="BT873" s="187"/>
      <c r="BU873" s="187"/>
      <c r="BV873" s="188"/>
      <c r="BW873" s="188"/>
      <c r="BX873" s="188"/>
      <c r="BY873" s="178"/>
      <c r="BZ873" s="179"/>
      <c r="CD873" s="163"/>
      <c r="CE873" s="363"/>
      <c r="CF873" s="335"/>
      <c r="CG873" s="335"/>
      <c r="CH873" s="335"/>
      <c r="CI873" s="335"/>
      <c r="CJ873" s="335"/>
      <c r="CK873" s="335"/>
      <c r="CL873" s="335"/>
      <c r="CM873" s="335"/>
      <c r="CN873" s="335"/>
      <c r="CO873" s="335"/>
      <c r="CP873" s="335"/>
      <c r="CQ873" s="335"/>
      <c r="CR873" s="335"/>
      <c r="CS873" s="335"/>
      <c r="CT873" s="335"/>
      <c r="CU873" s="335"/>
      <c r="CV873" s="335"/>
      <c r="CW873" s="335"/>
      <c r="CX873" s="335"/>
      <c r="CY873" s="335"/>
      <c r="CZ873" s="335"/>
      <c r="DA873" s="335"/>
      <c r="DB873" s="335"/>
      <c r="DC873" s="335"/>
      <c r="DD873" s="335"/>
      <c r="DE873" s="335"/>
      <c r="DF873" s="335"/>
      <c r="DG873" s="335"/>
      <c r="DH873" s="335"/>
      <c r="DI873" s="335"/>
      <c r="DJ873" s="335"/>
      <c r="DK873" s="335"/>
      <c r="DL873" s="335"/>
      <c r="DM873" s="335"/>
      <c r="DN873" s="335"/>
      <c r="DO873" s="335"/>
      <c r="DP873" s="335"/>
      <c r="DQ873" s="335"/>
      <c r="DR873" s="335"/>
      <c r="DS873" s="335"/>
      <c r="DT873" s="335"/>
      <c r="DU873" s="335"/>
      <c r="DV873" s="335"/>
      <c r="DW873" s="335"/>
      <c r="DX873" s="335"/>
      <c r="DY873" s="335"/>
      <c r="DZ873" s="335"/>
      <c r="EA873" s="335"/>
      <c r="EB873" s="335"/>
      <c r="EC873" s="335"/>
      <c r="ED873" s="335"/>
      <c r="EE873" s="335"/>
      <c r="EF873" s="335"/>
      <c r="EG873" s="335"/>
      <c r="EH873" s="335"/>
      <c r="EI873" s="335"/>
      <c r="EJ873" s="335"/>
      <c r="EK873" s="335"/>
      <c r="EL873" s="335"/>
      <c r="EM873" s="335"/>
    </row>
    <row r="874" spans="72:143">
      <c r="BT874" s="187"/>
      <c r="BU874" s="184" t="s">
        <v>47</v>
      </c>
      <c r="BV874" s="193">
        <v>120045</v>
      </c>
      <c r="BW874" s="194" t="e">
        <f t="shared" ref="BW874:BW905" si="156">LEFT(BW813,4)-1&amp;"Y"</f>
        <v>#REF!</v>
      </c>
      <c r="BX874" s="195" t="e">
        <f>IF(AND(State_LOB_Code=18,LEFT(BW874,4)&lt;"2009"),81,State_LOB_Code)&amp;"|333"</f>
        <v>#REF!</v>
      </c>
      <c r="BY874" s="185"/>
      <c r="BZ874" s="186"/>
      <c r="CD874" s="163"/>
      <c r="CE874" s="363"/>
      <c r="CF874" s="335"/>
      <c r="CG874" s="335"/>
      <c r="CH874" s="335"/>
      <c r="CI874" s="335"/>
      <c r="CJ874" s="335"/>
      <c r="CK874" s="335"/>
      <c r="CL874" s="335"/>
      <c r="CM874" s="335"/>
      <c r="CN874" s="335"/>
      <c r="CO874" s="335"/>
      <c r="CP874" s="335"/>
      <c r="CQ874" s="335"/>
      <c r="CR874" s="335"/>
      <c r="CS874" s="335"/>
      <c r="CT874" s="335"/>
      <c r="CU874" s="335"/>
      <c r="CV874" s="335"/>
      <c r="CW874" s="335"/>
      <c r="CX874" s="335"/>
      <c r="CY874" s="335"/>
      <c r="CZ874" s="335"/>
      <c r="DA874" s="335"/>
      <c r="DB874" s="335"/>
      <c r="DC874" s="335"/>
      <c r="DD874" s="335"/>
      <c r="DE874" s="335"/>
      <c r="DF874" s="335"/>
      <c r="DG874" s="335"/>
      <c r="DH874" s="335"/>
      <c r="DI874" s="335"/>
      <c r="DJ874" s="335"/>
      <c r="DK874" s="335"/>
      <c r="DL874" s="335"/>
      <c r="DM874" s="335"/>
      <c r="DN874" s="335"/>
      <c r="DO874" s="335"/>
      <c r="DP874" s="335"/>
      <c r="DQ874" s="335"/>
      <c r="DR874" s="335"/>
      <c r="DS874" s="335"/>
      <c r="DT874" s="335"/>
      <c r="DU874" s="335"/>
      <c r="DV874" s="335"/>
      <c r="DW874" s="335"/>
      <c r="DX874" s="335"/>
      <c r="DY874" s="335"/>
      <c r="DZ874" s="335"/>
      <c r="EA874" s="335"/>
      <c r="EB874" s="335"/>
      <c r="EC874" s="335"/>
      <c r="ED874" s="335"/>
      <c r="EE874" s="335"/>
      <c r="EF874" s="335"/>
      <c r="EG874" s="335"/>
      <c r="EH874" s="335"/>
      <c r="EI874" s="335"/>
      <c r="EJ874" s="335"/>
      <c r="EK874" s="335"/>
      <c r="EL874" s="335"/>
      <c r="EM874" s="335"/>
    </row>
    <row r="875" spans="72:143">
      <c r="BT875" s="187"/>
      <c r="BU875" s="187" t="s">
        <v>48</v>
      </c>
      <c r="BV875" s="196">
        <v>120045</v>
      </c>
      <c r="BW875" s="197" t="e">
        <f t="shared" si="156"/>
        <v>#REF!</v>
      </c>
      <c r="BX875" s="198" t="e">
        <f>IF(AND(State_LOB_Code=18,LEFT(BW875,4)&lt;"2009"),81,State_LOB_Code)&amp;"|334"</f>
        <v>#REF!</v>
      </c>
      <c r="BY875" s="174"/>
      <c r="BZ875" s="175"/>
      <c r="CD875" s="163"/>
      <c r="CE875" s="363"/>
      <c r="CF875" s="335"/>
      <c r="CG875" s="335"/>
      <c r="CH875" s="335"/>
      <c r="CI875" s="335"/>
      <c r="CJ875" s="335"/>
      <c r="CK875" s="335"/>
      <c r="CL875" s="335"/>
      <c r="CM875" s="335"/>
      <c r="CN875" s="335"/>
      <c r="CO875" s="335"/>
      <c r="CP875" s="335"/>
      <c r="CQ875" s="335"/>
      <c r="CR875" s="335"/>
      <c r="CS875" s="335"/>
      <c r="CT875" s="335"/>
      <c r="CU875" s="335"/>
      <c r="CV875" s="335"/>
      <c r="CW875" s="335"/>
      <c r="CX875" s="335"/>
      <c r="CY875" s="335"/>
      <c r="CZ875" s="335"/>
      <c r="DA875" s="335"/>
      <c r="DB875" s="335"/>
      <c r="DC875" s="335"/>
      <c r="DD875" s="335"/>
      <c r="DE875" s="335"/>
      <c r="DF875" s="335"/>
      <c r="DG875" s="335"/>
      <c r="DH875" s="335"/>
      <c r="DI875" s="335"/>
      <c r="DJ875" s="335"/>
      <c r="DK875" s="335"/>
      <c r="DL875" s="335"/>
      <c r="DM875" s="335"/>
      <c r="DN875" s="335"/>
      <c r="DO875" s="335"/>
      <c r="DP875" s="335"/>
      <c r="DQ875" s="335"/>
      <c r="DR875" s="335"/>
      <c r="DS875" s="335"/>
      <c r="DT875" s="335"/>
      <c r="DU875" s="335"/>
      <c r="DV875" s="335"/>
      <c r="DW875" s="335"/>
      <c r="DX875" s="335"/>
      <c r="DY875" s="335"/>
      <c r="DZ875" s="335"/>
      <c r="EA875" s="335"/>
      <c r="EB875" s="335"/>
      <c r="EC875" s="335"/>
      <c r="ED875" s="335"/>
      <c r="EE875" s="335"/>
      <c r="EF875" s="335"/>
      <c r="EG875" s="335"/>
      <c r="EH875" s="335"/>
      <c r="EI875" s="335"/>
      <c r="EJ875" s="335"/>
      <c r="EK875" s="335"/>
      <c r="EL875" s="335"/>
      <c r="EM875" s="335"/>
    </row>
    <row r="876" spans="72:143">
      <c r="BT876" s="187"/>
      <c r="BU876" s="187" t="s">
        <v>49</v>
      </c>
      <c r="BV876" s="196">
        <v>120045</v>
      </c>
      <c r="BW876" s="197" t="e">
        <f t="shared" si="156"/>
        <v>#REF!</v>
      </c>
      <c r="BX876" s="198" t="e">
        <f>IF(AND(State_LOB_Code=18,LEFT(BW876,4)&lt;"2009"),81,State_LOB_Code)&amp;"|335"</f>
        <v>#REF!</v>
      </c>
      <c r="BY876" s="174"/>
      <c r="BZ876" s="175"/>
      <c r="CD876" s="163"/>
      <c r="CE876" s="363"/>
      <c r="CF876" s="335"/>
      <c r="CG876" s="335"/>
      <c r="CH876" s="335"/>
      <c r="CI876" s="335"/>
      <c r="CJ876" s="335"/>
      <c r="CK876" s="335"/>
      <c r="CL876" s="335"/>
      <c r="CM876" s="335"/>
      <c r="CN876" s="335"/>
      <c r="CO876" s="335"/>
      <c r="CP876" s="335"/>
      <c r="CQ876" s="335"/>
      <c r="CR876" s="335"/>
      <c r="CS876" s="335"/>
      <c r="CT876" s="335"/>
      <c r="CU876" s="335"/>
      <c r="CV876" s="335"/>
      <c r="CW876" s="335"/>
      <c r="CX876" s="335"/>
      <c r="CY876" s="335"/>
      <c r="CZ876" s="335"/>
      <c r="DA876" s="335"/>
      <c r="DB876" s="335"/>
      <c r="DC876" s="335"/>
      <c r="DD876" s="335"/>
      <c r="DE876" s="335"/>
      <c r="DF876" s="335"/>
      <c r="DG876" s="335"/>
      <c r="DH876" s="335"/>
      <c r="DI876" s="335"/>
      <c r="DJ876" s="335"/>
      <c r="DK876" s="335"/>
      <c r="DL876" s="335"/>
      <c r="DM876" s="335"/>
      <c r="DN876" s="335"/>
      <c r="DO876" s="335"/>
      <c r="DP876" s="335"/>
      <c r="DQ876" s="335"/>
      <c r="DR876" s="335"/>
      <c r="DS876" s="335"/>
      <c r="DT876" s="335"/>
      <c r="DU876" s="335"/>
      <c r="DV876" s="335"/>
      <c r="DW876" s="335"/>
      <c r="DX876" s="335"/>
      <c r="DY876" s="335"/>
      <c r="DZ876" s="335"/>
      <c r="EA876" s="335"/>
      <c r="EB876" s="335"/>
      <c r="EC876" s="335"/>
      <c r="ED876" s="335"/>
      <c r="EE876" s="335"/>
      <c r="EF876" s="335"/>
      <c r="EG876" s="335"/>
      <c r="EH876" s="335"/>
      <c r="EI876" s="335"/>
      <c r="EJ876" s="335"/>
      <c r="EK876" s="335"/>
      <c r="EL876" s="335"/>
      <c r="EM876" s="335"/>
    </row>
    <row r="877" spans="72:143">
      <c r="BT877" s="187"/>
      <c r="BU877" s="187" t="s">
        <v>50</v>
      </c>
      <c r="BV877" s="196">
        <v>120045</v>
      </c>
      <c r="BW877" s="197" t="e">
        <f t="shared" si="156"/>
        <v>#REF!</v>
      </c>
      <c r="BX877" s="198" t="e">
        <f>IF(AND(State_LOB_Code=18,LEFT(BW877,4)&lt;"2009"),81,State_LOB_Code)&amp;"|337"</f>
        <v>#REF!</v>
      </c>
      <c r="BY877" s="174"/>
      <c r="BZ877" s="175"/>
      <c r="CD877" s="163"/>
      <c r="CE877" s="363"/>
      <c r="CF877" s="335"/>
      <c r="CG877" s="335"/>
      <c r="CH877" s="335"/>
      <c r="CI877" s="335"/>
      <c r="CJ877" s="335"/>
      <c r="CK877" s="335"/>
      <c r="CL877" s="335"/>
      <c r="CM877" s="335"/>
      <c r="CN877" s="335"/>
      <c r="CO877" s="335"/>
      <c r="CP877" s="335"/>
      <c r="CQ877" s="335"/>
      <c r="CR877" s="335"/>
      <c r="CS877" s="335"/>
      <c r="CT877" s="335"/>
      <c r="CU877" s="335"/>
      <c r="CV877" s="335"/>
      <c r="CW877" s="335"/>
      <c r="CX877" s="335"/>
      <c r="CY877" s="335"/>
      <c r="CZ877" s="335"/>
      <c r="DA877" s="335"/>
      <c r="DB877" s="335"/>
      <c r="DC877" s="335"/>
      <c r="DD877" s="335"/>
      <c r="DE877" s="335"/>
      <c r="DF877" s="335"/>
      <c r="DG877" s="335"/>
      <c r="DH877" s="335"/>
      <c r="DI877" s="335"/>
      <c r="DJ877" s="335"/>
      <c r="DK877" s="335"/>
      <c r="DL877" s="335"/>
      <c r="DM877" s="335"/>
      <c r="DN877" s="335"/>
      <c r="DO877" s="335"/>
      <c r="DP877" s="335"/>
      <c r="DQ877" s="335"/>
      <c r="DR877" s="335"/>
      <c r="DS877" s="335"/>
      <c r="DT877" s="335"/>
      <c r="DU877" s="335"/>
      <c r="DV877" s="335"/>
      <c r="DW877" s="335"/>
      <c r="DX877" s="335"/>
      <c r="DY877" s="335"/>
      <c r="DZ877" s="335"/>
      <c r="EA877" s="335"/>
      <c r="EB877" s="335"/>
      <c r="EC877" s="335"/>
      <c r="ED877" s="335"/>
      <c r="EE877" s="335"/>
      <c r="EF877" s="335"/>
      <c r="EG877" s="335"/>
      <c r="EH877" s="335"/>
      <c r="EI877" s="335"/>
      <c r="EJ877" s="335"/>
      <c r="EK877" s="335"/>
      <c r="EL877" s="335"/>
      <c r="EM877" s="335"/>
    </row>
    <row r="878" spans="72:143">
      <c r="BT878" s="187"/>
      <c r="BU878" s="187" t="s">
        <v>51</v>
      </c>
      <c r="BV878" s="196">
        <v>120045</v>
      </c>
      <c r="BW878" s="197" t="e">
        <f t="shared" si="156"/>
        <v>#REF!</v>
      </c>
      <c r="BX878" s="198" t="e">
        <f>IF(AND(State_LOB_Code=18,LEFT(BW878,4)&lt;"2009"),81,State_LOB_Code)&amp;"|338"</f>
        <v>#REF!</v>
      </c>
      <c r="BY878" s="174"/>
      <c r="BZ878" s="175"/>
      <c r="CD878" s="163"/>
      <c r="CE878" s="363"/>
      <c r="CF878" s="335"/>
      <c r="CG878" s="335"/>
      <c r="CH878" s="335"/>
      <c r="CI878" s="335"/>
      <c r="CJ878" s="335"/>
      <c r="CK878" s="335"/>
      <c r="CL878" s="335"/>
      <c r="CM878" s="335"/>
      <c r="CN878" s="335"/>
      <c r="CO878" s="335"/>
      <c r="CP878" s="335"/>
      <c r="CQ878" s="335"/>
      <c r="CR878" s="335"/>
      <c r="CS878" s="335"/>
      <c r="CT878" s="335"/>
      <c r="CU878" s="335"/>
      <c r="CV878" s="335"/>
      <c r="CW878" s="335"/>
      <c r="CX878" s="335"/>
      <c r="CY878" s="335"/>
      <c r="CZ878" s="335"/>
      <c r="DA878" s="335"/>
      <c r="DB878" s="335"/>
      <c r="DC878" s="335"/>
      <c r="DD878" s="335"/>
      <c r="DE878" s="335"/>
      <c r="DF878" s="335"/>
      <c r="DG878" s="335"/>
      <c r="DH878" s="335"/>
      <c r="DI878" s="335"/>
      <c r="DJ878" s="335"/>
      <c r="DK878" s="335"/>
      <c r="DL878" s="335"/>
      <c r="DM878" s="335"/>
      <c r="DN878" s="335"/>
      <c r="DO878" s="335"/>
      <c r="DP878" s="335"/>
      <c r="DQ878" s="335"/>
      <c r="DR878" s="335"/>
      <c r="DS878" s="335"/>
      <c r="DT878" s="335"/>
      <c r="DU878" s="335"/>
      <c r="DV878" s="335"/>
      <c r="DW878" s="335"/>
      <c r="DX878" s="335"/>
      <c r="DY878" s="335"/>
      <c r="DZ878" s="335"/>
      <c r="EA878" s="335"/>
      <c r="EB878" s="335"/>
      <c r="EC878" s="335"/>
      <c r="ED878" s="335"/>
      <c r="EE878" s="335"/>
      <c r="EF878" s="335"/>
      <c r="EG878" s="335"/>
      <c r="EH878" s="335"/>
      <c r="EI878" s="335"/>
      <c r="EJ878" s="335"/>
      <c r="EK878" s="335"/>
      <c r="EL878" s="335"/>
      <c r="EM878" s="335"/>
    </row>
    <row r="879" spans="72:143">
      <c r="BT879" s="187"/>
      <c r="BU879" s="187" t="s">
        <v>52</v>
      </c>
      <c r="BV879" s="196">
        <v>120045</v>
      </c>
      <c r="BW879" s="197" t="e">
        <f t="shared" si="156"/>
        <v>#REF!</v>
      </c>
      <c r="BX879" s="198" t="e">
        <f>IF(AND(State_LOB_Code=18,LEFT(BW879,4)&lt;"2009"),81,State_LOB_Code)&amp;"|339"</f>
        <v>#REF!</v>
      </c>
      <c r="BY879" s="174"/>
      <c r="BZ879" s="175"/>
      <c r="CD879" s="163"/>
      <c r="CE879" s="363"/>
      <c r="CF879" s="335"/>
      <c r="CG879" s="335"/>
      <c r="CH879" s="335"/>
      <c r="CI879" s="335"/>
      <c r="CJ879" s="335"/>
      <c r="CK879" s="335"/>
      <c r="CL879" s="335"/>
      <c r="CM879" s="335"/>
      <c r="CN879" s="335"/>
      <c r="CO879" s="335"/>
      <c r="CP879" s="335"/>
      <c r="CQ879" s="335"/>
      <c r="CR879" s="335"/>
      <c r="CS879" s="335"/>
      <c r="CT879" s="335"/>
      <c r="CU879" s="335"/>
      <c r="CV879" s="335"/>
      <c r="CW879" s="335"/>
      <c r="CX879" s="335"/>
      <c r="CY879" s="335"/>
      <c r="CZ879" s="335"/>
      <c r="DA879" s="335"/>
      <c r="DB879" s="335"/>
      <c r="DC879" s="335"/>
      <c r="DD879" s="335"/>
      <c r="DE879" s="335"/>
      <c r="DF879" s="335"/>
      <c r="DG879" s="335"/>
      <c r="DH879" s="335"/>
      <c r="DI879" s="335"/>
      <c r="DJ879" s="335"/>
      <c r="DK879" s="335"/>
      <c r="DL879" s="335"/>
      <c r="DM879" s="335"/>
      <c r="DN879" s="335"/>
      <c r="DO879" s="335"/>
      <c r="DP879" s="335"/>
      <c r="DQ879" s="335"/>
      <c r="DR879" s="335"/>
      <c r="DS879" s="335"/>
      <c r="DT879" s="335"/>
      <c r="DU879" s="335"/>
      <c r="DV879" s="335"/>
      <c r="DW879" s="335"/>
      <c r="DX879" s="335"/>
      <c r="DY879" s="335"/>
      <c r="DZ879" s="335"/>
      <c r="EA879" s="335"/>
      <c r="EB879" s="335"/>
      <c r="EC879" s="335"/>
      <c r="ED879" s="335"/>
      <c r="EE879" s="335"/>
      <c r="EF879" s="335"/>
      <c r="EG879" s="335"/>
      <c r="EH879" s="335"/>
      <c r="EI879" s="335"/>
      <c r="EJ879" s="335"/>
      <c r="EK879" s="335"/>
      <c r="EL879" s="335"/>
      <c r="EM879" s="335"/>
    </row>
    <row r="880" spans="72:143">
      <c r="BT880" s="187"/>
      <c r="BU880" s="187" t="s">
        <v>53</v>
      </c>
      <c r="BV880" s="196">
        <v>120045</v>
      </c>
      <c r="BW880" s="197" t="e">
        <f t="shared" si="156"/>
        <v>#REF!</v>
      </c>
      <c r="BX880" s="198" t="e">
        <f>IF(AND(State_LOB_Code=18,LEFT(BW880,4)&lt;"2009"),81,State_LOB_Code)&amp;"|340"</f>
        <v>#REF!</v>
      </c>
      <c r="BY880" s="174"/>
      <c r="BZ880" s="175"/>
      <c r="CD880" s="163"/>
      <c r="CE880" s="363"/>
      <c r="CF880" s="335"/>
      <c r="CG880" s="335"/>
      <c r="CH880" s="335"/>
      <c r="CI880" s="335"/>
      <c r="CJ880" s="335"/>
      <c r="CK880" s="335"/>
      <c r="CL880" s="335"/>
      <c r="CM880" s="335"/>
      <c r="CN880" s="335"/>
      <c r="CO880" s="335"/>
      <c r="CP880" s="335"/>
      <c r="CQ880" s="335"/>
      <c r="CR880" s="335"/>
      <c r="CS880" s="335"/>
      <c r="CT880" s="335"/>
      <c r="CU880" s="335"/>
      <c r="CV880" s="335"/>
      <c r="CW880" s="335"/>
      <c r="CX880" s="335"/>
      <c r="CY880" s="335"/>
      <c r="CZ880" s="335"/>
      <c r="DA880" s="335"/>
      <c r="DB880" s="335"/>
      <c r="DC880" s="335"/>
      <c r="DD880" s="335"/>
      <c r="DE880" s="335"/>
      <c r="DF880" s="335"/>
      <c r="DG880" s="335"/>
      <c r="DH880" s="335"/>
      <c r="DI880" s="335"/>
      <c r="DJ880" s="335"/>
      <c r="DK880" s="335"/>
      <c r="DL880" s="335"/>
      <c r="DM880" s="335"/>
      <c r="DN880" s="335"/>
      <c r="DO880" s="335"/>
      <c r="DP880" s="335"/>
      <c r="DQ880" s="335"/>
      <c r="DR880" s="335"/>
      <c r="DS880" s="335"/>
      <c r="DT880" s="335"/>
      <c r="DU880" s="335"/>
      <c r="DV880" s="335"/>
      <c r="DW880" s="335"/>
      <c r="DX880" s="335"/>
      <c r="DY880" s="335"/>
      <c r="DZ880" s="335"/>
      <c r="EA880" s="335"/>
      <c r="EB880" s="335"/>
      <c r="EC880" s="335"/>
      <c r="ED880" s="335"/>
      <c r="EE880" s="335"/>
      <c r="EF880" s="335"/>
      <c r="EG880" s="335"/>
      <c r="EH880" s="335"/>
      <c r="EI880" s="335"/>
      <c r="EJ880" s="335"/>
      <c r="EK880" s="335"/>
      <c r="EL880" s="335"/>
      <c r="EM880" s="335"/>
    </row>
    <row r="881" spans="72:143">
      <c r="BT881" s="187"/>
      <c r="BU881" s="187" t="s">
        <v>54</v>
      </c>
      <c r="BV881" s="196">
        <v>120045</v>
      </c>
      <c r="BW881" s="197" t="e">
        <f t="shared" si="156"/>
        <v>#REF!</v>
      </c>
      <c r="BX881" s="198" t="e">
        <f>IF(AND(State_LOB_Code=18,LEFT(BW881,4)&lt;"2009"),81,State_LOB_Code)&amp;"|341"</f>
        <v>#REF!</v>
      </c>
      <c r="BY881" s="174"/>
      <c r="BZ881" s="175"/>
      <c r="CD881" s="163"/>
      <c r="CE881" s="363"/>
      <c r="CF881" s="335"/>
      <c r="CG881" s="335"/>
      <c r="CH881" s="335"/>
      <c r="CI881" s="335"/>
      <c r="CJ881" s="335"/>
      <c r="CK881" s="335"/>
      <c r="CL881" s="335"/>
      <c r="CM881" s="335"/>
      <c r="CN881" s="335"/>
      <c r="CO881" s="335"/>
      <c r="CP881" s="335"/>
      <c r="CQ881" s="335"/>
      <c r="CR881" s="335"/>
      <c r="CS881" s="335"/>
      <c r="CT881" s="335"/>
      <c r="CU881" s="335"/>
      <c r="CV881" s="335"/>
      <c r="CW881" s="335"/>
      <c r="CX881" s="335"/>
      <c r="CY881" s="335"/>
      <c r="CZ881" s="335"/>
      <c r="DA881" s="335"/>
      <c r="DB881" s="335"/>
      <c r="DC881" s="335"/>
      <c r="DD881" s="335"/>
      <c r="DE881" s="335"/>
      <c r="DF881" s="335"/>
      <c r="DG881" s="335"/>
      <c r="DH881" s="335"/>
      <c r="DI881" s="335"/>
      <c r="DJ881" s="335"/>
      <c r="DK881" s="335"/>
      <c r="DL881" s="335"/>
      <c r="DM881" s="335"/>
      <c r="DN881" s="335"/>
      <c r="DO881" s="335"/>
      <c r="DP881" s="335"/>
      <c r="DQ881" s="335"/>
      <c r="DR881" s="335"/>
      <c r="DS881" s="335"/>
      <c r="DT881" s="335"/>
      <c r="DU881" s="335"/>
      <c r="DV881" s="335"/>
      <c r="DW881" s="335"/>
      <c r="DX881" s="335"/>
      <c r="DY881" s="335"/>
      <c r="DZ881" s="335"/>
      <c r="EA881" s="335"/>
      <c r="EB881" s="335"/>
      <c r="EC881" s="335"/>
      <c r="ED881" s="335"/>
      <c r="EE881" s="335"/>
      <c r="EF881" s="335"/>
      <c r="EG881" s="335"/>
      <c r="EH881" s="335"/>
      <c r="EI881" s="335"/>
      <c r="EJ881" s="335"/>
      <c r="EK881" s="335"/>
      <c r="EL881" s="335"/>
      <c r="EM881" s="335"/>
    </row>
    <row r="882" spans="72:143">
      <c r="BT882" s="187"/>
      <c r="BU882" s="187" t="s">
        <v>55</v>
      </c>
      <c r="BV882" s="196">
        <v>120045</v>
      </c>
      <c r="BW882" s="197" t="e">
        <f t="shared" si="156"/>
        <v>#REF!</v>
      </c>
      <c r="BX882" s="198" t="e">
        <f>IF(AND(State_LOB_Code=18,LEFT(BW882,4)&lt;"2009"),81,State_LOB_Code)&amp;"|342"</f>
        <v>#REF!</v>
      </c>
      <c r="BY882" s="174"/>
      <c r="BZ882" s="175"/>
      <c r="CD882" s="163"/>
      <c r="CE882" s="363"/>
      <c r="CF882" s="335"/>
      <c r="CG882" s="335"/>
      <c r="CH882" s="335"/>
      <c r="CI882" s="335"/>
      <c r="CJ882" s="335"/>
      <c r="CK882" s="335"/>
      <c r="CL882" s="335"/>
      <c r="CM882" s="335"/>
      <c r="CN882" s="335"/>
      <c r="CO882" s="335"/>
      <c r="CP882" s="335"/>
      <c r="CQ882" s="335"/>
      <c r="CR882" s="335"/>
      <c r="CS882" s="335"/>
      <c r="CT882" s="335"/>
      <c r="CU882" s="335"/>
      <c r="CV882" s="335"/>
      <c r="CW882" s="335"/>
      <c r="CX882" s="335"/>
      <c r="CY882" s="335"/>
      <c r="CZ882" s="335"/>
      <c r="DA882" s="335"/>
      <c r="DB882" s="335"/>
      <c r="DC882" s="335"/>
      <c r="DD882" s="335"/>
      <c r="DE882" s="335"/>
      <c r="DF882" s="335"/>
      <c r="DG882" s="335"/>
      <c r="DH882" s="335"/>
      <c r="DI882" s="335"/>
      <c r="DJ882" s="335"/>
      <c r="DK882" s="335"/>
      <c r="DL882" s="335"/>
      <c r="DM882" s="335"/>
      <c r="DN882" s="335"/>
      <c r="DO882" s="335"/>
      <c r="DP882" s="335"/>
      <c r="DQ882" s="335"/>
      <c r="DR882" s="335"/>
      <c r="DS882" s="335"/>
      <c r="DT882" s="335"/>
      <c r="DU882" s="335"/>
      <c r="DV882" s="335"/>
      <c r="DW882" s="335"/>
      <c r="DX882" s="335"/>
      <c r="DY882" s="335"/>
      <c r="DZ882" s="335"/>
      <c r="EA882" s="335"/>
      <c r="EB882" s="335"/>
      <c r="EC882" s="335"/>
      <c r="ED882" s="335"/>
      <c r="EE882" s="335"/>
      <c r="EF882" s="335"/>
      <c r="EG882" s="335"/>
      <c r="EH882" s="335"/>
      <c r="EI882" s="335"/>
      <c r="EJ882" s="335"/>
      <c r="EK882" s="335"/>
      <c r="EL882" s="335"/>
      <c r="EM882" s="335"/>
    </row>
    <row r="883" spans="72:143">
      <c r="BT883" s="187"/>
      <c r="BU883" s="187" t="s">
        <v>56</v>
      </c>
      <c r="BV883" s="196">
        <v>120045</v>
      </c>
      <c r="BW883" s="197" t="e">
        <f t="shared" si="156"/>
        <v>#REF!</v>
      </c>
      <c r="BX883" s="198" t="e">
        <f>IF(AND(State_LOB_Code=18,LEFT(BW883,4)&lt;"2009"),81,State_LOB_Code)&amp;"|343"</f>
        <v>#REF!</v>
      </c>
      <c r="BY883" s="174"/>
      <c r="BZ883" s="175"/>
      <c r="CD883" s="163"/>
      <c r="CE883" s="363"/>
      <c r="CF883" s="335"/>
      <c r="CG883" s="335"/>
      <c r="CH883" s="335"/>
      <c r="CI883" s="335"/>
      <c r="CJ883" s="335"/>
      <c r="CK883" s="335"/>
      <c r="CL883" s="335"/>
      <c r="CM883" s="335"/>
      <c r="CN883" s="335"/>
      <c r="CO883" s="335"/>
      <c r="CP883" s="335"/>
      <c r="CQ883" s="335"/>
      <c r="CR883" s="335"/>
      <c r="CS883" s="335"/>
      <c r="CT883" s="335"/>
      <c r="CU883" s="335"/>
      <c r="CV883" s="335"/>
      <c r="CW883" s="335"/>
      <c r="CX883" s="335"/>
      <c r="CY883" s="335"/>
      <c r="CZ883" s="335"/>
      <c r="DA883" s="335"/>
      <c r="DB883" s="335"/>
      <c r="DC883" s="335"/>
      <c r="DD883" s="335"/>
      <c r="DE883" s="335"/>
      <c r="DF883" s="335"/>
      <c r="DG883" s="335"/>
      <c r="DH883" s="335"/>
      <c r="DI883" s="335"/>
      <c r="DJ883" s="335"/>
      <c r="DK883" s="335"/>
      <c r="DL883" s="335"/>
      <c r="DM883" s="335"/>
      <c r="DN883" s="335"/>
      <c r="DO883" s="335"/>
      <c r="DP883" s="335"/>
      <c r="DQ883" s="335"/>
      <c r="DR883" s="335"/>
      <c r="DS883" s="335"/>
      <c r="DT883" s="335"/>
      <c r="DU883" s="335"/>
      <c r="DV883" s="335"/>
      <c r="DW883" s="335"/>
      <c r="DX883" s="335"/>
      <c r="DY883" s="335"/>
      <c r="DZ883" s="335"/>
      <c r="EA883" s="335"/>
      <c r="EB883" s="335"/>
      <c r="EC883" s="335"/>
      <c r="ED883" s="335"/>
      <c r="EE883" s="335"/>
      <c r="EF883" s="335"/>
      <c r="EG883" s="335"/>
      <c r="EH883" s="335"/>
      <c r="EI883" s="335"/>
      <c r="EJ883" s="335"/>
      <c r="EK883" s="335"/>
      <c r="EL883" s="335"/>
      <c r="EM883" s="335"/>
    </row>
    <row r="884" spans="72:143">
      <c r="BT884" s="187"/>
      <c r="BU884" s="187" t="s">
        <v>57</v>
      </c>
      <c r="BV884" s="196">
        <v>120045</v>
      </c>
      <c r="BW884" s="197" t="e">
        <f t="shared" si="156"/>
        <v>#REF!</v>
      </c>
      <c r="BX884" s="198" t="e">
        <f>IF(AND(State_LOB_Code=18,LEFT(BW884,4)&lt;"2009"),81,State_LOB_Code)&amp;"|344"</f>
        <v>#REF!</v>
      </c>
      <c r="BY884" s="174"/>
      <c r="BZ884" s="175"/>
      <c r="CD884" s="163"/>
      <c r="CE884" s="363"/>
      <c r="CF884" s="335"/>
      <c r="CG884" s="335"/>
      <c r="CH884" s="335"/>
      <c r="CI884" s="335"/>
      <c r="CJ884" s="335"/>
      <c r="CK884" s="335"/>
      <c r="CL884" s="335"/>
      <c r="CM884" s="335"/>
      <c r="CN884" s="335"/>
      <c r="CO884" s="335"/>
      <c r="CP884" s="335"/>
      <c r="CQ884" s="335"/>
      <c r="CR884" s="335"/>
      <c r="CS884" s="335"/>
      <c r="CT884" s="335"/>
      <c r="CU884" s="335"/>
      <c r="CV884" s="335"/>
      <c r="CW884" s="335"/>
      <c r="CX884" s="335"/>
      <c r="CY884" s="335"/>
      <c r="CZ884" s="335"/>
      <c r="DA884" s="335"/>
      <c r="DB884" s="335"/>
      <c r="DC884" s="335"/>
      <c r="DD884" s="335"/>
      <c r="DE884" s="335"/>
      <c r="DF884" s="335"/>
      <c r="DG884" s="335"/>
      <c r="DH884" s="335"/>
      <c r="DI884" s="335"/>
      <c r="DJ884" s="335"/>
      <c r="DK884" s="335"/>
      <c r="DL884" s="335"/>
      <c r="DM884" s="335"/>
      <c r="DN884" s="335"/>
      <c r="DO884" s="335"/>
      <c r="DP884" s="335"/>
      <c r="DQ884" s="335"/>
      <c r="DR884" s="335"/>
      <c r="DS884" s="335"/>
      <c r="DT884" s="335"/>
      <c r="DU884" s="335"/>
      <c r="DV884" s="335"/>
      <c r="DW884" s="335"/>
      <c r="DX884" s="335"/>
      <c r="DY884" s="335"/>
      <c r="DZ884" s="335"/>
      <c r="EA884" s="335"/>
      <c r="EB884" s="335"/>
      <c r="EC884" s="335"/>
      <c r="ED884" s="335"/>
      <c r="EE884" s="335"/>
      <c r="EF884" s="335"/>
      <c r="EG884" s="335"/>
      <c r="EH884" s="335"/>
      <c r="EI884" s="335"/>
      <c r="EJ884" s="335"/>
      <c r="EK884" s="335"/>
      <c r="EL884" s="335"/>
      <c r="EM884" s="335"/>
    </row>
    <row r="885" spans="72:143">
      <c r="BT885" s="187"/>
      <c r="BU885" s="187" t="s">
        <v>58</v>
      </c>
      <c r="BV885" s="196">
        <v>120045</v>
      </c>
      <c r="BW885" s="197" t="e">
        <f t="shared" si="156"/>
        <v>#REF!</v>
      </c>
      <c r="BX885" s="198" t="e">
        <f>IF(AND(State_LOB_Code=18,LEFT(BW885,4)&lt;"2009"),81,State_LOB_Code)&amp;"|346"</f>
        <v>#REF!</v>
      </c>
      <c r="BY885" s="174"/>
      <c r="BZ885" s="175"/>
      <c r="CD885" s="163"/>
      <c r="CE885" s="363"/>
      <c r="CF885" s="335"/>
      <c r="CG885" s="335"/>
      <c r="CH885" s="335"/>
      <c r="CI885" s="335"/>
      <c r="CJ885" s="335"/>
      <c r="CK885" s="335"/>
      <c r="CL885" s="335"/>
      <c r="CM885" s="335"/>
      <c r="CN885" s="335"/>
      <c r="CO885" s="335"/>
      <c r="CP885" s="335"/>
      <c r="CQ885" s="335"/>
      <c r="CR885" s="335"/>
      <c r="CS885" s="335"/>
      <c r="CT885" s="335"/>
      <c r="CU885" s="335"/>
      <c r="CV885" s="335"/>
      <c r="CW885" s="335"/>
      <c r="CX885" s="335"/>
      <c r="CY885" s="335"/>
      <c r="CZ885" s="335"/>
      <c r="DA885" s="335"/>
      <c r="DB885" s="335"/>
      <c r="DC885" s="335"/>
      <c r="DD885" s="335"/>
      <c r="DE885" s="335"/>
      <c r="DF885" s="335"/>
      <c r="DG885" s="335"/>
      <c r="DH885" s="335"/>
      <c r="DI885" s="335"/>
      <c r="DJ885" s="335"/>
      <c r="DK885" s="335"/>
      <c r="DL885" s="335"/>
      <c r="DM885" s="335"/>
      <c r="DN885" s="335"/>
      <c r="DO885" s="335"/>
      <c r="DP885" s="335"/>
      <c r="DQ885" s="335"/>
      <c r="DR885" s="335"/>
      <c r="DS885" s="335"/>
      <c r="DT885" s="335"/>
      <c r="DU885" s="335"/>
      <c r="DV885" s="335"/>
      <c r="DW885" s="335"/>
      <c r="DX885" s="335"/>
      <c r="DY885" s="335"/>
      <c r="DZ885" s="335"/>
      <c r="EA885" s="335"/>
      <c r="EB885" s="335"/>
      <c r="EC885" s="335"/>
      <c r="ED885" s="335"/>
      <c r="EE885" s="335"/>
      <c r="EF885" s="335"/>
      <c r="EG885" s="335"/>
      <c r="EH885" s="335"/>
      <c r="EI885" s="335"/>
      <c r="EJ885" s="335"/>
      <c r="EK885" s="335"/>
      <c r="EL885" s="335"/>
      <c r="EM885" s="335"/>
    </row>
    <row r="886" spans="72:143">
      <c r="BT886" s="187"/>
      <c r="BU886" s="187" t="s">
        <v>59</v>
      </c>
      <c r="BV886" s="196">
        <v>120045</v>
      </c>
      <c r="BW886" s="197" t="e">
        <f t="shared" si="156"/>
        <v>#REF!</v>
      </c>
      <c r="BX886" s="198" t="e">
        <f>IF(AND(State_LOB_Code=18,LEFT(BW886,4)&lt;"2009"),81,State_LOB_Code)&amp;"|347"</f>
        <v>#REF!</v>
      </c>
      <c r="BY886" s="174"/>
      <c r="BZ886" s="175"/>
      <c r="CD886" s="163"/>
      <c r="CE886" s="363"/>
      <c r="CF886" s="335"/>
      <c r="CG886" s="335"/>
      <c r="CH886" s="335"/>
      <c r="CI886" s="335"/>
      <c r="CJ886" s="335"/>
      <c r="CK886" s="335"/>
      <c r="CL886" s="335"/>
      <c r="CM886" s="335"/>
      <c r="CN886" s="335"/>
      <c r="CO886" s="335"/>
      <c r="CP886" s="335"/>
      <c r="CQ886" s="335"/>
      <c r="CR886" s="335"/>
      <c r="CS886" s="335"/>
      <c r="CT886" s="335"/>
      <c r="CU886" s="335"/>
      <c r="CV886" s="335"/>
      <c r="CW886" s="335"/>
      <c r="CX886" s="335"/>
      <c r="CY886" s="335"/>
      <c r="CZ886" s="335"/>
      <c r="DA886" s="335"/>
      <c r="DB886" s="335"/>
      <c r="DC886" s="335"/>
      <c r="DD886" s="335"/>
      <c r="DE886" s="335"/>
      <c r="DF886" s="335"/>
      <c r="DG886" s="335"/>
      <c r="DH886" s="335"/>
      <c r="DI886" s="335"/>
      <c r="DJ886" s="335"/>
      <c r="DK886" s="335"/>
      <c r="DL886" s="335"/>
      <c r="DM886" s="335"/>
      <c r="DN886" s="335"/>
      <c r="DO886" s="335"/>
      <c r="DP886" s="335"/>
      <c r="DQ886" s="335"/>
      <c r="DR886" s="335"/>
      <c r="DS886" s="335"/>
      <c r="DT886" s="335"/>
      <c r="DU886" s="335"/>
      <c r="DV886" s="335"/>
      <c r="DW886" s="335"/>
      <c r="DX886" s="335"/>
      <c r="DY886" s="335"/>
      <c r="DZ886" s="335"/>
      <c r="EA886" s="335"/>
      <c r="EB886" s="335"/>
      <c r="EC886" s="335"/>
      <c r="ED886" s="335"/>
      <c r="EE886" s="335"/>
      <c r="EF886" s="335"/>
      <c r="EG886" s="335"/>
      <c r="EH886" s="335"/>
      <c r="EI886" s="335"/>
      <c r="EJ886" s="335"/>
      <c r="EK886" s="335"/>
      <c r="EL886" s="335"/>
      <c r="EM886" s="335"/>
    </row>
    <row r="887" spans="72:143">
      <c r="BT887" s="187"/>
      <c r="BU887" s="187" t="s">
        <v>60</v>
      </c>
      <c r="BV887" s="196">
        <v>120045</v>
      </c>
      <c r="BW887" s="197" t="e">
        <f t="shared" si="156"/>
        <v>#REF!</v>
      </c>
      <c r="BX887" s="198" t="e">
        <f>IF(AND(State_LOB_Code=18,LEFT(BW887,4)&lt;"2009"),81,State_LOB_Code)&amp;"|348"</f>
        <v>#REF!</v>
      </c>
      <c r="BY887" s="174"/>
      <c r="BZ887" s="175"/>
      <c r="CD887" s="163"/>
      <c r="CE887" s="363"/>
      <c r="CF887" s="335"/>
      <c r="CG887" s="335"/>
      <c r="CH887" s="335"/>
      <c r="CI887" s="335"/>
      <c r="CJ887" s="335"/>
      <c r="CK887" s="335"/>
      <c r="CL887" s="335"/>
      <c r="CM887" s="335"/>
      <c r="CN887" s="335"/>
      <c r="CO887" s="335"/>
      <c r="CP887" s="335"/>
      <c r="CQ887" s="335"/>
      <c r="CR887" s="335"/>
      <c r="CS887" s="335"/>
      <c r="CT887" s="335"/>
      <c r="CU887" s="335"/>
      <c r="CV887" s="335"/>
      <c r="CW887" s="335"/>
      <c r="CX887" s="335"/>
      <c r="CY887" s="335"/>
      <c r="CZ887" s="335"/>
      <c r="DA887" s="335"/>
      <c r="DB887" s="335"/>
      <c r="DC887" s="335"/>
      <c r="DD887" s="335"/>
      <c r="DE887" s="335"/>
      <c r="DF887" s="335"/>
      <c r="DG887" s="335"/>
      <c r="DH887" s="335"/>
      <c r="DI887" s="335"/>
      <c r="DJ887" s="335"/>
      <c r="DK887" s="335"/>
      <c r="DL887" s="335"/>
      <c r="DM887" s="335"/>
      <c r="DN887" s="335"/>
      <c r="DO887" s="335"/>
      <c r="DP887" s="335"/>
      <c r="DQ887" s="335"/>
      <c r="DR887" s="335"/>
      <c r="DS887" s="335"/>
      <c r="DT887" s="335"/>
      <c r="DU887" s="335"/>
      <c r="DV887" s="335"/>
      <c r="DW887" s="335"/>
      <c r="DX887" s="335"/>
      <c r="DY887" s="335"/>
      <c r="DZ887" s="335"/>
      <c r="EA887" s="335"/>
      <c r="EB887" s="335"/>
      <c r="EC887" s="335"/>
      <c r="ED887" s="335"/>
      <c r="EE887" s="335"/>
      <c r="EF887" s="335"/>
      <c r="EG887" s="335"/>
      <c r="EH887" s="335"/>
      <c r="EI887" s="335"/>
      <c r="EJ887" s="335"/>
      <c r="EK887" s="335"/>
      <c r="EL887" s="335"/>
      <c r="EM887" s="335"/>
    </row>
    <row r="888" spans="72:143">
      <c r="BT888" s="187"/>
      <c r="BU888" s="187" t="s">
        <v>61</v>
      </c>
      <c r="BV888" s="196">
        <v>120045</v>
      </c>
      <c r="BW888" s="197" t="e">
        <f t="shared" si="156"/>
        <v>#REF!</v>
      </c>
      <c r="BX888" s="198" t="e">
        <f>IF(AND(State_LOB_Code=18,LEFT(BW888,4)&lt;"2009"),81,State_LOB_Code)&amp;"|349"</f>
        <v>#REF!</v>
      </c>
      <c r="BY888" s="174"/>
      <c r="BZ888" s="175"/>
      <c r="CD888" s="163"/>
      <c r="CE888" s="363"/>
      <c r="CF888" s="335"/>
      <c r="CG888" s="335"/>
      <c r="CH888" s="335"/>
      <c r="CI888" s="335"/>
      <c r="CJ888" s="335"/>
      <c r="CK888" s="335"/>
      <c r="CL888" s="335"/>
      <c r="CM888" s="335"/>
      <c r="CN888" s="335"/>
      <c r="CO888" s="335"/>
      <c r="CP888" s="335"/>
      <c r="CQ888" s="335"/>
      <c r="CR888" s="335"/>
      <c r="CS888" s="335"/>
      <c r="CT888" s="335"/>
      <c r="CU888" s="335"/>
      <c r="CV888" s="335"/>
      <c r="CW888" s="335"/>
      <c r="CX888" s="335"/>
      <c r="CY888" s="335"/>
      <c r="CZ888" s="335"/>
      <c r="DA888" s="335"/>
      <c r="DB888" s="335"/>
      <c r="DC888" s="335"/>
      <c r="DD888" s="335"/>
      <c r="DE888" s="335"/>
      <c r="DF888" s="335"/>
      <c r="DG888" s="335"/>
      <c r="DH888" s="335"/>
      <c r="DI888" s="335"/>
      <c r="DJ888" s="335"/>
      <c r="DK888" s="335"/>
      <c r="DL888" s="335"/>
      <c r="DM888" s="335"/>
      <c r="DN888" s="335"/>
      <c r="DO888" s="335"/>
      <c r="DP888" s="335"/>
      <c r="DQ888" s="335"/>
      <c r="DR888" s="335"/>
      <c r="DS888" s="335"/>
      <c r="DT888" s="335"/>
      <c r="DU888" s="335"/>
      <c r="DV888" s="335"/>
      <c r="DW888" s="335"/>
      <c r="DX888" s="335"/>
      <c r="DY888" s="335"/>
      <c r="DZ888" s="335"/>
      <c r="EA888" s="335"/>
      <c r="EB888" s="335"/>
      <c r="EC888" s="335"/>
      <c r="ED888" s="335"/>
      <c r="EE888" s="335"/>
      <c r="EF888" s="335"/>
      <c r="EG888" s="335"/>
      <c r="EH888" s="335"/>
      <c r="EI888" s="335"/>
      <c r="EJ888" s="335"/>
      <c r="EK888" s="335"/>
      <c r="EL888" s="335"/>
      <c r="EM888" s="335"/>
    </row>
    <row r="889" spans="72:143">
      <c r="BT889" s="187"/>
      <c r="BU889" s="187" t="s">
        <v>62</v>
      </c>
      <c r="BV889" s="196">
        <v>120045</v>
      </c>
      <c r="BW889" s="197" t="e">
        <f t="shared" si="156"/>
        <v>#REF!</v>
      </c>
      <c r="BX889" s="198" t="e">
        <f>IF(AND(State_LOB_Code=18,LEFT(BW889,4)&lt;"2009"),81,State_LOB_Code)&amp;"|350"</f>
        <v>#REF!</v>
      </c>
      <c r="BY889" s="174"/>
      <c r="BZ889" s="175"/>
      <c r="CD889" s="163"/>
      <c r="CE889" s="363"/>
      <c r="CF889" s="335"/>
      <c r="CG889" s="335"/>
      <c r="CH889" s="335"/>
      <c r="CI889" s="335"/>
      <c r="CJ889" s="335"/>
      <c r="CK889" s="335"/>
      <c r="CL889" s="335"/>
      <c r="CM889" s="335"/>
      <c r="CN889" s="335"/>
      <c r="CO889" s="335"/>
      <c r="CP889" s="335"/>
      <c r="CQ889" s="335"/>
      <c r="CR889" s="335"/>
      <c r="CS889" s="335"/>
      <c r="CT889" s="335"/>
      <c r="CU889" s="335"/>
      <c r="CV889" s="335"/>
      <c r="CW889" s="335"/>
      <c r="CX889" s="335"/>
      <c r="CY889" s="335"/>
      <c r="CZ889" s="335"/>
      <c r="DA889" s="335"/>
      <c r="DB889" s="335"/>
      <c r="DC889" s="335"/>
      <c r="DD889" s="335"/>
      <c r="DE889" s="335"/>
      <c r="DF889" s="335"/>
      <c r="DG889" s="335"/>
      <c r="DH889" s="335"/>
      <c r="DI889" s="335"/>
      <c r="DJ889" s="335"/>
      <c r="DK889" s="335"/>
      <c r="DL889" s="335"/>
      <c r="DM889" s="335"/>
      <c r="DN889" s="335"/>
      <c r="DO889" s="335"/>
      <c r="DP889" s="335"/>
      <c r="DQ889" s="335"/>
      <c r="DR889" s="335"/>
      <c r="DS889" s="335"/>
      <c r="DT889" s="335"/>
      <c r="DU889" s="335"/>
      <c r="DV889" s="335"/>
      <c r="DW889" s="335"/>
      <c r="DX889" s="335"/>
      <c r="DY889" s="335"/>
      <c r="DZ889" s="335"/>
      <c r="EA889" s="335"/>
      <c r="EB889" s="335"/>
      <c r="EC889" s="335"/>
      <c r="ED889" s="335"/>
      <c r="EE889" s="335"/>
      <c r="EF889" s="335"/>
      <c r="EG889" s="335"/>
      <c r="EH889" s="335"/>
      <c r="EI889" s="335"/>
      <c r="EJ889" s="335"/>
      <c r="EK889" s="335"/>
      <c r="EL889" s="335"/>
      <c r="EM889" s="335"/>
    </row>
    <row r="890" spans="72:143">
      <c r="BT890" s="187"/>
      <c r="BU890" s="187" t="s">
        <v>63</v>
      </c>
      <c r="BV890" s="196">
        <v>120045</v>
      </c>
      <c r="BW890" s="197" t="e">
        <f t="shared" si="156"/>
        <v>#REF!</v>
      </c>
      <c r="BX890" s="198" t="e">
        <f>IF(AND(State_LOB_Code=18,LEFT(BW890,4)&lt;"2009"),81,State_LOB_Code)&amp;"|351"</f>
        <v>#REF!</v>
      </c>
      <c r="BY890" s="174"/>
      <c r="BZ890" s="175"/>
      <c r="CD890" s="163"/>
      <c r="CE890" s="363"/>
      <c r="CF890" s="335"/>
      <c r="CG890" s="335"/>
      <c r="CH890" s="335"/>
      <c r="CI890" s="335"/>
      <c r="CJ890" s="335"/>
      <c r="CK890" s="335"/>
      <c r="CL890" s="335"/>
      <c r="CM890" s="335"/>
      <c r="CN890" s="335"/>
      <c r="CO890" s="335"/>
      <c r="CP890" s="335"/>
      <c r="CQ890" s="335"/>
      <c r="CR890" s="335"/>
      <c r="CS890" s="335"/>
      <c r="CT890" s="335"/>
      <c r="CU890" s="335"/>
      <c r="CV890" s="335"/>
      <c r="CW890" s="335"/>
      <c r="CX890" s="335"/>
      <c r="CY890" s="335"/>
      <c r="CZ890" s="335"/>
      <c r="DA890" s="335"/>
      <c r="DB890" s="335"/>
      <c r="DC890" s="335"/>
      <c r="DD890" s="335"/>
      <c r="DE890" s="335"/>
      <c r="DF890" s="335"/>
      <c r="DG890" s="335"/>
      <c r="DH890" s="335"/>
      <c r="DI890" s="335"/>
      <c r="DJ890" s="335"/>
      <c r="DK890" s="335"/>
      <c r="DL890" s="335"/>
      <c r="DM890" s="335"/>
      <c r="DN890" s="335"/>
      <c r="DO890" s="335"/>
      <c r="DP890" s="335"/>
      <c r="DQ890" s="335"/>
      <c r="DR890" s="335"/>
      <c r="DS890" s="335"/>
      <c r="DT890" s="335"/>
      <c r="DU890" s="335"/>
      <c r="DV890" s="335"/>
      <c r="DW890" s="335"/>
      <c r="DX890" s="335"/>
      <c r="DY890" s="335"/>
      <c r="DZ890" s="335"/>
      <c r="EA890" s="335"/>
      <c r="EB890" s="335"/>
      <c r="EC890" s="335"/>
      <c r="ED890" s="335"/>
      <c r="EE890" s="335"/>
      <c r="EF890" s="335"/>
      <c r="EG890" s="335"/>
      <c r="EH890" s="335"/>
      <c r="EI890" s="335"/>
      <c r="EJ890" s="335"/>
      <c r="EK890" s="335"/>
      <c r="EL890" s="335"/>
      <c r="EM890" s="335"/>
    </row>
    <row r="891" spans="72:143">
      <c r="BT891" s="187"/>
      <c r="BU891" s="187" t="s">
        <v>64</v>
      </c>
      <c r="BV891" s="196">
        <v>120045</v>
      </c>
      <c r="BW891" s="197" t="e">
        <f t="shared" si="156"/>
        <v>#REF!</v>
      </c>
      <c r="BX891" s="198" t="e">
        <f>IF(AND(State_LOB_Code=18,LEFT(BW891,4)&lt;"2009"),81,State_LOB_Code)&amp;"|352"</f>
        <v>#REF!</v>
      </c>
      <c r="BY891" s="174"/>
      <c r="BZ891" s="175"/>
      <c r="CD891" s="163"/>
      <c r="CE891" s="363"/>
      <c r="CF891" s="335"/>
      <c r="CG891" s="335"/>
      <c r="CH891" s="335"/>
      <c r="CI891" s="335"/>
      <c r="CJ891" s="335"/>
      <c r="CK891" s="335"/>
      <c r="CL891" s="335"/>
      <c r="CM891" s="335"/>
      <c r="CN891" s="335"/>
      <c r="CO891" s="335"/>
      <c r="CP891" s="335"/>
      <c r="CQ891" s="335"/>
      <c r="CR891" s="335"/>
      <c r="CS891" s="335"/>
      <c r="CT891" s="335"/>
      <c r="CU891" s="335"/>
      <c r="CV891" s="335"/>
      <c r="CW891" s="335"/>
      <c r="CX891" s="335"/>
      <c r="CY891" s="335"/>
      <c r="CZ891" s="335"/>
      <c r="DA891" s="335"/>
      <c r="DB891" s="335"/>
      <c r="DC891" s="335"/>
      <c r="DD891" s="335"/>
      <c r="DE891" s="335"/>
      <c r="DF891" s="335"/>
      <c r="DG891" s="335"/>
      <c r="DH891" s="335"/>
      <c r="DI891" s="335"/>
      <c r="DJ891" s="335"/>
      <c r="DK891" s="335"/>
      <c r="DL891" s="335"/>
      <c r="DM891" s="335"/>
      <c r="DN891" s="335"/>
      <c r="DO891" s="335"/>
      <c r="DP891" s="335"/>
      <c r="DQ891" s="335"/>
      <c r="DR891" s="335"/>
      <c r="DS891" s="335"/>
      <c r="DT891" s="335"/>
      <c r="DU891" s="335"/>
      <c r="DV891" s="335"/>
      <c r="DW891" s="335"/>
      <c r="DX891" s="335"/>
      <c r="DY891" s="335"/>
      <c r="DZ891" s="335"/>
      <c r="EA891" s="335"/>
      <c r="EB891" s="335"/>
      <c r="EC891" s="335"/>
      <c r="ED891" s="335"/>
      <c r="EE891" s="335"/>
      <c r="EF891" s="335"/>
      <c r="EG891" s="335"/>
      <c r="EH891" s="335"/>
      <c r="EI891" s="335"/>
      <c r="EJ891" s="335"/>
      <c r="EK891" s="335"/>
      <c r="EL891" s="335"/>
      <c r="EM891" s="335"/>
    </row>
    <row r="892" spans="72:143">
      <c r="BT892" s="187"/>
      <c r="BU892" s="187" t="s">
        <v>65</v>
      </c>
      <c r="BV892" s="196">
        <v>120045</v>
      </c>
      <c r="BW892" s="197" t="e">
        <f t="shared" si="156"/>
        <v>#REF!</v>
      </c>
      <c r="BX892" s="198" t="e">
        <f>IF(AND(State_LOB_Code=18,LEFT(BW892,4)&lt;"2009"),81,State_LOB_Code)&amp;"|353"</f>
        <v>#REF!</v>
      </c>
      <c r="BY892" s="174"/>
      <c r="BZ892" s="175"/>
      <c r="CD892" s="163"/>
      <c r="CE892" s="363"/>
      <c r="CF892" s="335"/>
      <c r="CG892" s="335"/>
      <c r="CH892" s="335"/>
      <c r="CI892" s="335"/>
      <c r="CJ892" s="335"/>
      <c r="CK892" s="335"/>
      <c r="CL892" s="335"/>
      <c r="CM892" s="335"/>
      <c r="CN892" s="335"/>
      <c r="CO892" s="335"/>
      <c r="CP892" s="335"/>
      <c r="CQ892" s="335"/>
      <c r="CR892" s="335"/>
      <c r="CS892" s="335"/>
      <c r="CT892" s="335"/>
      <c r="CU892" s="335"/>
      <c r="CV892" s="335"/>
      <c r="CW892" s="335"/>
      <c r="CX892" s="335"/>
      <c r="CY892" s="335"/>
      <c r="CZ892" s="335"/>
      <c r="DA892" s="335"/>
      <c r="DB892" s="335"/>
      <c r="DC892" s="335"/>
      <c r="DD892" s="335"/>
      <c r="DE892" s="335"/>
      <c r="DF892" s="335"/>
      <c r="DG892" s="335"/>
      <c r="DH892" s="335"/>
      <c r="DI892" s="335"/>
      <c r="DJ892" s="335"/>
      <c r="DK892" s="335"/>
      <c r="DL892" s="335"/>
      <c r="DM892" s="335"/>
      <c r="DN892" s="335"/>
      <c r="DO892" s="335"/>
      <c r="DP892" s="335"/>
      <c r="DQ892" s="335"/>
      <c r="DR892" s="335"/>
      <c r="DS892" s="335"/>
      <c r="DT892" s="335"/>
      <c r="DU892" s="335"/>
      <c r="DV892" s="335"/>
      <c r="DW892" s="335"/>
      <c r="DX892" s="335"/>
      <c r="DY892" s="335"/>
      <c r="DZ892" s="335"/>
      <c r="EA892" s="335"/>
      <c r="EB892" s="335"/>
      <c r="EC892" s="335"/>
      <c r="ED892" s="335"/>
      <c r="EE892" s="335"/>
      <c r="EF892" s="335"/>
      <c r="EG892" s="335"/>
      <c r="EH892" s="335"/>
      <c r="EI892" s="335"/>
      <c r="EJ892" s="335"/>
      <c r="EK892" s="335"/>
      <c r="EL892" s="335"/>
      <c r="EM892" s="335"/>
    </row>
    <row r="893" spans="72:143">
      <c r="BT893" s="187"/>
      <c r="BU893" s="187" t="s">
        <v>66</v>
      </c>
      <c r="BV893" s="196">
        <v>120045</v>
      </c>
      <c r="BW893" s="197" t="e">
        <f t="shared" si="156"/>
        <v>#REF!</v>
      </c>
      <c r="BX893" s="198" t="e">
        <f>IF(AND(State_LOB_Code=18,LEFT(BW893,4)&lt;"2009"),81,State_LOB_Code)&amp;"|354"</f>
        <v>#REF!</v>
      </c>
      <c r="BY893" s="174"/>
      <c r="BZ893" s="175"/>
      <c r="CD893" s="163"/>
      <c r="CE893" s="363"/>
      <c r="CF893" s="335"/>
      <c r="CG893" s="335"/>
      <c r="CH893" s="335"/>
      <c r="CI893" s="335"/>
      <c r="CJ893" s="335"/>
      <c r="CK893" s="335"/>
      <c r="CL893" s="335"/>
      <c r="CM893" s="335"/>
      <c r="CN893" s="335"/>
      <c r="CO893" s="335"/>
      <c r="CP893" s="335"/>
      <c r="CQ893" s="335"/>
      <c r="CR893" s="335"/>
      <c r="CS893" s="335"/>
      <c r="CT893" s="335"/>
      <c r="CU893" s="335"/>
      <c r="CV893" s="335"/>
      <c r="CW893" s="335"/>
      <c r="CX893" s="335"/>
      <c r="CY893" s="335"/>
      <c r="CZ893" s="335"/>
      <c r="DA893" s="335"/>
      <c r="DB893" s="335"/>
      <c r="DC893" s="335"/>
      <c r="DD893" s="335"/>
      <c r="DE893" s="335"/>
      <c r="DF893" s="335"/>
      <c r="DG893" s="335"/>
      <c r="DH893" s="335"/>
      <c r="DI893" s="335"/>
      <c r="DJ893" s="335"/>
      <c r="DK893" s="335"/>
      <c r="DL893" s="335"/>
      <c r="DM893" s="335"/>
      <c r="DN893" s="335"/>
      <c r="DO893" s="335"/>
      <c r="DP893" s="335"/>
      <c r="DQ893" s="335"/>
      <c r="DR893" s="335"/>
      <c r="DS893" s="335"/>
      <c r="DT893" s="335"/>
      <c r="DU893" s="335"/>
      <c r="DV893" s="335"/>
      <c r="DW893" s="335"/>
      <c r="DX893" s="335"/>
      <c r="DY893" s="335"/>
      <c r="DZ893" s="335"/>
      <c r="EA893" s="335"/>
      <c r="EB893" s="335"/>
      <c r="EC893" s="335"/>
      <c r="ED893" s="335"/>
      <c r="EE893" s="335"/>
      <c r="EF893" s="335"/>
      <c r="EG893" s="335"/>
      <c r="EH893" s="335"/>
      <c r="EI893" s="335"/>
      <c r="EJ893" s="335"/>
      <c r="EK893" s="335"/>
      <c r="EL893" s="335"/>
      <c r="EM893" s="335"/>
    </row>
    <row r="894" spans="72:143">
      <c r="BT894" s="187"/>
      <c r="BU894" s="187" t="s">
        <v>67</v>
      </c>
      <c r="BV894" s="196">
        <v>120045</v>
      </c>
      <c r="BW894" s="197" t="e">
        <f t="shared" si="156"/>
        <v>#REF!</v>
      </c>
      <c r="BX894" s="198" t="e">
        <f>IF(AND(State_LOB_Code=18,LEFT(BW894,4)&lt;"2009"),81,State_LOB_Code)&amp;"|355"</f>
        <v>#REF!</v>
      </c>
      <c r="BY894" s="174"/>
      <c r="BZ894" s="175"/>
      <c r="CD894" s="163"/>
      <c r="CE894" s="363"/>
      <c r="CF894" s="335"/>
      <c r="CG894" s="335"/>
      <c r="CH894" s="335"/>
      <c r="CI894" s="335"/>
      <c r="CJ894" s="335"/>
      <c r="CK894" s="335"/>
      <c r="CL894" s="335"/>
      <c r="CM894" s="335"/>
      <c r="CN894" s="335"/>
      <c r="CO894" s="335"/>
      <c r="CP894" s="335"/>
      <c r="CQ894" s="335"/>
      <c r="CR894" s="335"/>
      <c r="CS894" s="335"/>
      <c r="CT894" s="335"/>
      <c r="CU894" s="335"/>
      <c r="CV894" s="335"/>
      <c r="CW894" s="335"/>
      <c r="CX894" s="335"/>
      <c r="CY894" s="335"/>
      <c r="CZ894" s="335"/>
      <c r="DA894" s="335"/>
      <c r="DB894" s="335"/>
      <c r="DC894" s="335"/>
      <c r="DD894" s="335"/>
      <c r="DE894" s="335"/>
      <c r="DF894" s="335"/>
      <c r="DG894" s="335"/>
      <c r="DH894" s="335"/>
      <c r="DI894" s="335"/>
      <c r="DJ894" s="335"/>
      <c r="DK894" s="335"/>
      <c r="DL894" s="335"/>
      <c r="DM894" s="335"/>
      <c r="DN894" s="335"/>
      <c r="DO894" s="335"/>
      <c r="DP894" s="335"/>
      <c r="DQ894" s="335"/>
      <c r="DR894" s="335"/>
      <c r="DS894" s="335"/>
      <c r="DT894" s="335"/>
      <c r="DU894" s="335"/>
      <c r="DV894" s="335"/>
      <c r="DW894" s="335"/>
      <c r="DX894" s="335"/>
      <c r="DY894" s="335"/>
      <c r="DZ894" s="335"/>
      <c r="EA894" s="335"/>
      <c r="EB894" s="335"/>
      <c r="EC894" s="335"/>
      <c r="ED894" s="335"/>
      <c r="EE894" s="335"/>
      <c r="EF894" s="335"/>
      <c r="EG894" s="335"/>
      <c r="EH894" s="335"/>
      <c r="EI894" s="335"/>
      <c r="EJ894" s="335"/>
      <c r="EK894" s="335"/>
      <c r="EL894" s="335"/>
      <c r="EM894" s="335"/>
    </row>
    <row r="895" spans="72:143">
      <c r="BT895" s="187"/>
      <c r="BU895" s="187" t="s">
        <v>68</v>
      </c>
      <c r="BV895" s="196">
        <v>120045</v>
      </c>
      <c r="BW895" s="197" t="e">
        <f t="shared" si="156"/>
        <v>#REF!</v>
      </c>
      <c r="BX895" s="198" t="e">
        <f>IF(AND(State_LOB_Code=18,LEFT(BW895,4)&lt;"2009"),81,State_LOB_Code)&amp;"|356"</f>
        <v>#REF!</v>
      </c>
      <c r="BY895" s="174"/>
      <c r="BZ895" s="175"/>
      <c r="CD895" s="163"/>
      <c r="CE895" s="363"/>
      <c r="CF895" s="335"/>
      <c r="CG895" s="335"/>
      <c r="CH895" s="335"/>
      <c r="CI895" s="335"/>
      <c r="CJ895" s="335"/>
      <c r="CK895" s="335"/>
      <c r="CL895" s="335"/>
      <c r="CM895" s="335"/>
      <c r="CN895" s="335"/>
      <c r="CO895" s="335"/>
      <c r="CP895" s="335"/>
      <c r="CQ895" s="335"/>
      <c r="CR895" s="335"/>
      <c r="CS895" s="335"/>
      <c r="CT895" s="335"/>
      <c r="CU895" s="335"/>
      <c r="CV895" s="335"/>
      <c r="CW895" s="335"/>
      <c r="CX895" s="335"/>
      <c r="CY895" s="335"/>
      <c r="CZ895" s="335"/>
      <c r="DA895" s="335"/>
      <c r="DB895" s="335"/>
      <c r="DC895" s="335"/>
      <c r="DD895" s="335"/>
      <c r="DE895" s="335"/>
      <c r="DF895" s="335"/>
      <c r="DG895" s="335"/>
      <c r="DH895" s="335"/>
      <c r="DI895" s="335"/>
      <c r="DJ895" s="335"/>
      <c r="DK895" s="335"/>
      <c r="DL895" s="335"/>
      <c r="DM895" s="335"/>
      <c r="DN895" s="335"/>
      <c r="DO895" s="335"/>
      <c r="DP895" s="335"/>
      <c r="DQ895" s="335"/>
      <c r="DR895" s="335"/>
      <c r="DS895" s="335"/>
      <c r="DT895" s="335"/>
      <c r="DU895" s="335"/>
      <c r="DV895" s="335"/>
      <c r="DW895" s="335"/>
      <c r="DX895" s="335"/>
      <c r="DY895" s="335"/>
      <c r="DZ895" s="335"/>
      <c r="EA895" s="335"/>
      <c r="EB895" s="335"/>
      <c r="EC895" s="335"/>
      <c r="ED895" s="335"/>
      <c r="EE895" s="335"/>
      <c r="EF895" s="335"/>
      <c r="EG895" s="335"/>
      <c r="EH895" s="335"/>
      <c r="EI895" s="335"/>
      <c r="EJ895" s="335"/>
      <c r="EK895" s="335"/>
      <c r="EL895" s="335"/>
      <c r="EM895" s="335"/>
    </row>
    <row r="896" spans="72:143">
      <c r="BT896" s="187"/>
      <c r="BU896" s="187" t="s">
        <v>69</v>
      </c>
      <c r="BV896" s="196">
        <v>120045</v>
      </c>
      <c r="BW896" s="197" t="e">
        <f t="shared" si="156"/>
        <v>#REF!</v>
      </c>
      <c r="BX896" s="198" t="e">
        <f>IF(AND(State_LOB_Code=18,LEFT(BW896,4)&lt;"2009"),81,State_LOB_Code)&amp;"|357"</f>
        <v>#REF!</v>
      </c>
      <c r="BY896" s="174"/>
      <c r="BZ896" s="175"/>
      <c r="CD896" s="163"/>
      <c r="CE896" s="363"/>
      <c r="CF896" s="335"/>
      <c r="CG896" s="335"/>
      <c r="CH896" s="335"/>
      <c r="CI896" s="335"/>
      <c r="CJ896" s="335"/>
      <c r="CK896" s="335"/>
      <c r="CL896" s="335"/>
      <c r="CM896" s="335"/>
      <c r="CN896" s="335"/>
      <c r="CO896" s="335"/>
      <c r="CP896" s="335"/>
      <c r="CQ896" s="335"/>
      <c r="CR896" s="335"/>
      <c r="CS896" s="335"/>
      <c r="CT896" s="335"/>
      <c r="CU896" s="335"/>
      <c r="CV896" s="335"/>
      <c r="CW896" s="335"/>
      <c r="CX896" s="335"/>
      <c r="CY896" s="335"/>
      <c r="CZ896" s="335"/>
      <c r="DA896" s="335"/>
      <c r="DB896" s="335"/>
      <c r="DC896" s="335"/>
      <c r="DD896" s="335"/>
      <c r="DE896" s="335"/>
      <c r="DF896" s="335"/>
      <c r="DG896" s="335"/>
      <c r="DH896" s="335"/>
      <c r="DI896" s="335"/>
      <c r="DJ896" s="335"/>
      <c r="DK896" s="335"/>
      <c r="DL896" s="335"/>
      <c r="DM896" s="335"/>
      <c r="DN896" s="335"/>
      <c r="DO896" s="335"/>
      <c r="DP896" s="335"/>
      <c r="DQ896" s="335"/>
      <c r="DR896" s="335"/>
      <c r="DS896" s="335"/>
      <c r="DT896" s="335"/>
      <c r="DU896" s="335"/>
      <c r="DV896" s="335"/>
      <c r="DW896" s="335"/>
      <c r="DX896" s="335"/>
      <c r="DY896" s="335"/>
      <c r="DZ896" s="335"/>
      <c r="EA896" s="335"/>
      <c r="EB896" s="335"/>
      <c r="EC896" s="335"/>
      <c r="ED896" s="335"/>
      <c r="EE896" s="335"/>
      <c r="EF896" s="335"/>
      <c r="EG896" s="335"/>
      <c r="EH896" s="335"/>
      <c r="EI896" s="335"/>
      <c r="EJ896" s="335"/>
      <c r="EK896" s="335"/>
      <c r="EL896" s="335"/>
      <c r="EM896" s="335"/>
    </row>
    <row r="897" spans="72:143">
      <c r="BT897" s="187"/>
      <c r="BU897" s="187" t="s">
        <v>70</v>
      </c>
      <c r="BV897" s="196">
        <v>120045</v>
      </c>
      <c r="BW897" s="197" t="e">
        <f t="shared" si="156"/>
        <v>#REF!</v>
      </c>
      <c r="BX897" s="198" t="e">
        <f>IF(AND(State_LOB_Code=18,LEFT(BW897,4)&lt;"2009"),81,State_LOB_Code)&amp;"|358"</f>
        <v>#REF!</v>
      </c>
      <c r="BY897" s="174"/>
      <c r="BZ897" s="175"/>
      <c r="CD897" s="163"/>
      <c r="CE897" s="363"/>
      <c r="CF897" s="335"/>
      <c r="CG897" s="335"/>
      <c r="CH897" s="335"/>
      <c r="CI897" s="335"/>
      <c r="CJ897" s="335"/>
      <c r="CK897" s="335"/>
      <c r="CL897" s="335"/>
      <c r="CM897" s="335"/>
      <c r="CN897" s="335"/>
      <c r="CO897" s="335"/>
      <c r="CP897" s="335"/>
      <c r="CQ897" s="335"/>
      <c r="CR897" s="335"/>
      <c r="CS897" s="335"/>
      <c r="CT897" s="335"/>
      <c r="CU897" s="335"/>
      <c r="CV897" s="335"/>
      <c r="CW897" s="335"/>
      <c r="CX897" s="335"/>
      <c r="CY897" s="335"/>
      <c r="CZ897" s="335"/>
      <c r="DA897" s="335"/>
      <c r="DB897" s="335"/>
      <c r="DC897" s="335"/>
      <c r="DD897" s="335"/>
      <c r="DE897" s="335"/>
      <c r="DF897" s="335"/>
      <c r="DG897" s="335"/>
      <c r="DH897" s="335"/>
      <c r="DI897" s="335"/>
      <c r="DJ897" s="335"/>
      <c r="DK897" s="335"/>
      <c r="DL897" s="335"/>
      <c r="DM897" s="335"/>
      <c r="DN897" s="335"/>
      <c r="DO897" s="335"/>
      <c r="DP897" s="335"/>
      <c r="DQ897" s="335"/>
      <c r="DR897" s="335"/>
      <c r="DS897" s="335"/>
      <c r="DT897" s="335"/>
      <c r="DU897" s="335"/>
      <c r="DV897" s="335"/>
      <c r="DW897" s="335"/>
      <c r="DX897" s="335"/>
      <c r="DY897" s="335"/>
      <c r="DZ897" s="335"/>
      <c r="EA897" s="335"/>
      <c r="EB897" s="335"/>
      <c r="EC897" s="335"/>
      <c r="ED897" s="335"/>
      <c r="EE897" s="335"/>
      <c r="EF897" s="335"/>
      <c r="EG897" s="335"/>
      <c r="EH897" s="335"/>
      <c r="EI897" s="335"/>
      <c r="EJ897" s="335"/>
      <c r="EK897" s="335"/>
      <c r="EL897" s="335"/>
      <c r="EM897" s="335"/>
    </row>
    <row r="898" spans="72:143">
      <c r="BT898" s="187"/>
      <c r="BU898" s="187" t="s">
        <v>71</v>
      </c>
      <c r="BV898" s="196">
        <v>120045</v>
      </c>
      <c r="BW898" s="197" t="e">
        <f t="shared" si="156"/>
        <v>#REF!</v>
      </c>
      <c r="BX898" s="198" t="e">
        <f>IF(AND(State_LOB_Code=18,LEFT(BW898,4)&lt;"2009"),81,State_LOB_Code)&amp;"|359"</f>
        <v>#REF!</v>
      </c>
      <c r="BY898" s="174"/>
      <c r="BZ898" s="175"/>
      <c r="CD898" s="163"/>
      <c r="CE898" s="363"/>
      <c r="CF898" s="335"/>
      <c r="CG898" s="335"/>
      <c r="CH898" s="335"/>
      <c r="CI898" s="335"/>
      <c r="CJ898" s="335"/>
      <c r="CK898" s="335"/>
      <c r="CL898" s="335"/>
      <c r="CM898" s="335"/>
      <c r="CN898" s="335"/>
      <c r="CO898" s="335"/>
      <c r="CP898" s="335"/>
      <c r="CQ898" s="335"/>
      <c r="CR898" s="335"/>
      <c r="CS898" s="335"/>
      <c r="CT898" s="335"/>
      <c r="CU898" s="335"/>
      <c r="CV898" s="335"/>
      <c r="CW898" s="335"/>
      <c r="CX898" s="335"/>
      <c r="CY898" s="335"/>
      <c r="CZ898" s="335"/>
      <c r="DA898" s="335"/>
      <c r="DB898" s="335"/>
      <c r="DC898" s="335"/>
      <c r="DD898" s="335"/>
      <c r="DE898" s="335"/>
      <c r="DF898" s="335"/>
      <c r="DG898" s="335"/>
      <c r="DH898" s="335"/>
      <c r="DI898" s="335"/>
      <c r="DJ898" s="335"/>
      <c r="DK898" s="335"/>
      <c r="DL898" s="335"/>
      <c r="DM898" s="335"/>
      <c r="DN898" s="335"/>
      <c r="DO898" s="335"/>
      <c r="DP898" s="335"/>
      <c r="DQ898" s="335"/>
      <c r="DR898" s="335"/>
      <c r="DS898" s="335"/>
      <c r="DT898" s="335"/>
      <c r="DU898" s="335"/>
      <c r="DV898" s="335"/>
      <c r="DW898" s="335"/>
      <c r="DX898" s="335"/>
      <c r="DY898" s="335"/>
      <c r="DZ898" s="335"/>
      <c r="EA898" s="335"/>
      <c r="EB898" s="335"/>
      <c r="EC898" s="335"/>
      <c r="ED898" s="335"/>
      <c r="EE898" s="335"/>
      <c r="EF898" s="335"/>
      <c r="EG898" s="335"/>
      <c r="EH898" s="335"/>
      <c r="EI898" s="335"/>
      <c r="EJ898" s="335"/>
      <c r="EK898" s="335"/>
      <c r="EL898" s="335"/>
      <c r="EM898" s="335"/>
    </row>
    <row r="899" spans="72:143">
      <c r="BT899" s="187"/>
      <c r="BU899" s="187" t="s">
        <v>72</v>
      </c>
      <c r="BV899" s="196">
        <v>120045</v>
      </c>
      <c r="BW899" s="197" t="e">
        <f t="shared" si="156"/>
        <v>#REF!</v>
      </c>
      <c r="BX899" s="198" t="e">
        <f>IF(AND(State_LOB_Code=18,LEFT(BW899,4)&lt;"2009"),81,State_LOB_Code)&amp;"|361"</f>
        <v>#REF!</v>
      </c>
      <c r="BY899" s="174"/>
      <c r="BZ899" s="175"/>
      <c r="CD899" s="163"/>
      <c r="CE899" s="363"/>
      <c r="CF899" s="335"/>
      <c r="CG899" s="335"/>
      <c r="CH899" s="335"/>
      <c r="CI899" s="335"/>
      <c r="CJ899" s="335"/>
      <c r="CK899" s="335"/>
      <c r="CL899" s="335"/>
      <c r="CM899" s="335"/>
      <c r="CN899" s="335"/>
      <c r="CO899" s="335"/>
      <c r="CP899" s="335"/>
      <c r="CQ899" s="335"/>
      <c r="CR899" s="335"/>
      <c r="CS899" s="335"/>
      <c r="CT899" s="335"/>
      <c r="CU899" s="335"/>
      <c r="CV899" s="335"/>
      <c r="CW899" s="335"/>
      <c r="CX899" s="335"/>
      <c r="CY899" s="335"/>
      <c r="CZ899" s="335"/>
      <c r="DA899" s="335"/>
      <c r="DB899" s="335"/>
      <c r="DC899" s="335"/>
      <c r="DD899" s="335"/>
      <c r="DE899" s="335"/>
      <c r="DF899" s="335"/>
      <c r="DG899" s="335"/>
      <c r="DH899" s="335"/>
      <c r="DI899" s="335"/>
      <c r="DJ899" s="335"/>
      <c r="DK899" s="335"/>
      <c r="DL899" s="335"/>
      <c r="DM899" s="335"/>
      <c r="DN899" s="335"/>
      <c r="DO899" s="335"/>
      <c r="DP899" s="335"/>
      <c r="DQ899" s="335"/>
      <c r="DR899" s="335"/>
      <c r="DS899" s="335"/>
      <c r="DT899" s="335"/>
      <c r="DU899" s="335"/>
      <c r="DV899" s="335"/>
      <c r="DW899" s="335"/>
      <c r="DX899" s="335"/>
      <c r="DY899" s="335"/>
      <c r="DZ899" s="335"/>
      <c r="EA899" s="335"/>
      <c r="EB899" s="335"/>
      <c r="EC899" s="335"/>
      <c r="ED899" s="335"/>
      <c r="EE899" s="335"/>
      <c r="EF899" s="335"/>
      <c r="EG899" s="335"/>
      <c r="EH899" s="335"/>
      <c r="EI899" s="335"/>
      <c r="EJ899" s="335"/>
      <c r="EK899" s="335"/>
      <c r="EL899" s="335"/>
      <c r="EM899" s="335"/>
    </row>
    <row r="900" spans="72:143">
      <c r="BT900" s="187"/>
      <c r="BU900" s="187" t="s">
        <v>73</v>
      </c>
      <c r="BV900" s="196">
        <v>120045</v>
      </c>
      <c r="BW900" s="197" t="e">
        <f t="shared" si="156"/>
        <v>#REF!</v>
      </c>
      <c r="BX900" s="198" t="e">
        <f>IF(AND(State_LOB_Code=18,LEFT(BW900,4)&lt;"2009"),81,State_LOB_Code)&amp;"|362"</f>
        <v>#REF!</v>
      </c>
      <c r="BY900" s="174"/>
      <c r="BZ900" s="175"/>
      <c r="CD900" s="163"/>
      <c r="CE900" s="363"/>
      <c r="CF900" s="335"/>
      <c r="CG900" s="335"/>
      <c r="CH900" s="335"/>
      <c r="CI900" s="335"/>
      <c r="CJ900" s="335"/>
      <c r="CK900" s="335"/>
      <c r="CL900" s="335"/>
      <c r="CM900" s="335"/>
      <c r="CN900" s="335"/>
      <c r="CO900" s="335"/>
      <c r="CP900" s="335"/>
      <c r="CQ900" s="335"/>
      <c r="CR900" s="335"/>
      <c r="CS900" s="335"/>
      <c r="CT900" s="335"/>
      <c r="CU900" s="335"/>
      <c r="CV900" s="335"/>
      <c r="CW900" s="335"/>
      <c r="CX900" s="335"/>
      <c r="CY900" s="335"/>
      <c r="CZ900" s="335"/>
      <c r="DA900" s="335"/>
      <c r="DB900" s="335"/>
      <c r="DC900" s="335"/>
      <c r="DD900" s="335"/>
      <c r="DE900" s="335"/>
      <c r="DF900" s="335"/>
      <c r="DG900" s="335"/>
      <c r="DH900" s="335"/>
      <c r="DI900" s="335"/>
      <c r="DJ900" s="335"/>
      <c r="DK900" s="335"/>
      <c r="DL900" s="335"/>
      <c r="DM900" s="335"/>
      <c r="DN900" s="335"/>
      <c r="DO900" s="335"/>
      <c r="DP900" s="335"/>
      <c r="DQ900" s="335"/>
      <c r="DR900" s="335"/>
      <c r="DS900" s="335"/>
      <c r="DT900" s="335"/>
      <c r="DU900" s="335"/>
      <c r="DV900" s="335"/>
      <c r="DW900" s="335"/>
      <c r="DX900" s="335"/>
      <c r="DY900" s="335"/>
      <c r="DZ900" s="335"/>
      <c r="EA900" s="335"/>
      <c r="EB900" s="335"/>
      <c r="EC900" s="335"/>
      <c r="ED900" s="335"/>
      <c r="EE900" s="335"/>
      <c r="EF900" s="335"/>
      <c r="EG900" s="335"/>
      <c r="EH900" s="335"/>
      <c r="EI900" s="335"/>
      <c r="EJ900" s="335"/>
      <c r="EK900" s="335"/>
      <c r="EL900" s="335"/>
      <c r="EM900" s="335"/>
    </row>
    <row r="901" spans="72:143">
      <c r="BT901" s="187"/>
      <c r="BU901" s="187" t="s">
        <v>74</v>
      </c>
      <c r="BV901" s="196">
        <v>120045</v>
      </c>
      <c r="BW901" s="197" t="e">
        <f t="shared" si="156"/>
        <v>#REF!</v>
      </c>
      <c r="BX901" s="198" t="e">
        <f>IF(AND(State_LOB_Code=18,LEFT(BW901,4)&lt;"2009"),81,State_LOB_Code)&amp;"|363"</f>
        <v>#REF!</v>
      </c>
      <c r="BY901" s="174"/>
      <c r="BZ901" s="175"/>
      <c r="CD901" s="163"/>
      <c r="CE901" s="363"/>
      <c r="CF901" s="335"/>
      <c r="CG901" s="335"/>
      <c r="CH901" s="335"/>
      <c r="CI901" s="335"/>
      <c r="CJ901" s="335"/>
      <c r="CK901" s="335"/>
      <c r="CL901" s="335"/>
      <c r="CM901" s="335"/>
      <c r="CN901" s="335"/>
      <c r="CO901" s="335"/>
      <c r="CP901" s="335"/>
      <c r="CQ901" s="335"/>
      <c r="CR901" s="335"/>
      <c r="CS901" s="335"/>
      <c r="CT901" s="335"/>
      <c r="CU901" s="335"/>
      <c r="CV901" s="335"/>
      <c r="CW901" s="335"/>
      <c r="CX901" s="335"/>
      <c r="CY901" s="335"/>
      <c r="CZ901" s="335"/>
      <c r="DA901" s="335"/>
      <c r="DB901" s="335"/>
      <c r="DC901" s="335"/>
      <c r="DD901" s="335"/>
      <c r="DE901" s="335"/>
      <c r="DF901" s="335"/>
      <c r="DG901" s="335"/>
      <c r="DH901" s="335"/>
      <c r="DI901" s="335"/>
      <c r="DJ901" s="335"/>
      <c r="DK901" s="335"/>
      <c r="DL901" s="335"/>
      <c r="DM901" s="335"/>
      <c r="DN901" s="335"/>
      <c r="DO901" s="335"/>
      <c r="DP901" s="335"/>
      <c r="DQ901" s="335"/>
      <c r="DR901" s="335"/>
      <c r="DS901" s="335"/>
      <c r="DT901" s="335"/>
      <c r="DU901" s="335"/>
      <c r="DV901" s="335"/>
      <c r="DW901" s="335"/>
      <c r="DX901" s="335"/>
      <c r="DY901" s="335"/>
      <c r="DZ901" s="335"/>
      <c r="EA901" s="335"/>
      <c r="EB901" s="335"/>
      <c r="EC901" s="335"/>
      <c r="ED901" s="335"/>
      <c r="EE901" s="335"/>
      <c r="EF901" s="335"/>
      <c r="EG901" s="335"/>
      <c r="EH901" s="335"/>
      <c r="EI901" s="335"/>
      <c r="EJ901" s="335"/>
      <c r="EK901" s="335"/>
      <c r="EL901" s="335"/>
      <c r="EM901" s="335"/>
    </row>
    <row r="902" spans="72:143">
      <c r="BT902" s="187"/>
      <c r="BU902" s="187" t="s">
        <v>75</v>
      </c>
      <c r="BV902" s="196">
        <v>120045</v>
      </c>
      <c r="BW902" s="197" t="e">
        <f t="shared" si="156"/>
        <v>#REF!</v>
      </c>
      <c r="BX902" s="198" t="e">
        <f>IF(AND(State_LOB_Code=18,LEFT(BW902,4)&lt;"2009"),81,State_LOB_Code)&amp;"|364"</f>
        <v>#REF!</v>
      </c>
      <c r="BY902" s="174"/>
      <c r="BZ902" s="175"/>
      <c r="CD902" s="163"/>
      <c r="CE902" s="363"/>
      <c r="CF902" s="335"/>
      <c r="CG902" s="335"/>
      <c r="CH902" s="335"/>
      <c r="CI902" s="335"/>
      <c r="CJ902" s="335"/>
      <c r="CK902" s="335"/>
      <c r="CL902" s="335"/>
      <c r="CM902" s="335"/>
      <c r="CN902" s="335"/>
      <c r="CO902" s="335"/>
      <c r="CP902" s="335"/>
      <c r="CQ902" s="335"/>
      <c r="CR902" s="335"/>
      <c r="CS902" s="335"/>
      <c r="CT902" s="335"/>
      <c r="CU902" s="335"/>
      <c r="CV902" s="335"/>
      <c r="CW902" s="335"/>
      <c r="CX902" s="335"/>
      <c r="CY902" s="335"/>
      <c r="CZ902" s="335"/>
      <c r="DA902" s="335"/>
      <c r="DB902" s="335"/>
      <c r="DC902" s="335"/>
      <c r="DD902" s="335"/>
      <c r="DE902" s="335"/>
      <c r="DF902" s="335"/>
      <c r="DG902" s="335"/>
      <c r="DH902" s="335"/>
      <c r="DI902" s="335"/>
      <c r="DJ902" s="335"/>
      <c r="DK902" s="335"/>
      <c r="DL902" s="335"/>
      <c r="DM902" s="335"/>
      <c r="DN902" s="335"/>
      <c r="DO902" s="335"/>
      <c r="DP902" s="335"/>
      <c r="DQ902" s="335"/>
      <c r="DR902" s="335"/>
      <c r="DS902" s="335"/>
      <c r="DT902" s="335"/>
      <c r="DU902" s="335"/>
      <c r="DV902" s="335"/>
      <c r="DW902" s="335"/>
      <c r="DX902" s="335"/>
      <c r="DY902" s="335"/>
      <c r="DZ902" s="335"/>
      <c r="EA902" s="335"/>
      <c r="EB902" s="335"/>
      <c r="EC902" s="335"/>
      <c r="ED902" s="335"/>
      <c r="EE902" s="335"/>
      <c r="EF902" s="335"/>
      <c r="EG902" s="335"/>
      <c r="EH902" s="335"/>
      <c r="EI902" s="335"/>
      <c r="EJ902" s="335"/>
      <c r="EK902" s="335"/>
      <c r="EL902" s="335"/>
      <c r="EM902" s="335"/>
    </row>
    <row r="903" spans="72:143">
      <c r="BT903" s="187"/>
      <c r="BU903" s="187" t="s">
        <v>76</v>
      </c>
      <c r="BV903" s="196">
        <v>120045</v>
      </c>
      <c r="BW903" s="197" t="e">
        <f t="shared" si="156"/>
        <v>#REF!</v>
      </c>
      <c r="BX903" s="198" t="e">
        <f>IF(AND(State_LOB_Code=18,LEFT(BW903,4)&lt;"2009"),81,State_LOB_Code)&amp;"|365"</f>
        <v>#REF!</v>
      </c>
      <c r="BY903" s="174"/>
      <c r="BZ903" s="175"/>
      <c r="CD903" s="163"/>
      <c r="CE903" s="363"/>
      <c r="CF903" s="335"/>
      <c r="CG903" s="335"/>
      <c r="CH903" s="335"/>
      <c r="CI903" s="335"/>
      <c r="CJ903" s="335"/>
      <c r="CK903" s="335"/>
      <c r="CL903" s="335"/>
      <c r="CM903" s="335"/>
      <c r="CN903" s="335"/>
      <c r="CO903" s="335"/>
      <c r="CP903" s="335"/>
      <c r="CQ903" s="335"/>
      <c r="CR903" s="335"/>
      <c r="CS903" s="335"/>
      <c r="CT903" s="335"/>
      <c r="CU903" s="335"/>
      <c r="CV903" s="335"/>
      <c r="CW903" s="335"/>
      <c r="CX903" s="335"/>
      <c r="CY903" s="335"/>
      <c r="CZ903" s="335"/>
      <c r="DA903" s="335"/>
      <c r="DB903" s="335"/>
      <c r="DC903" s="335"/>
      <c r="DD903" s="335"/>
      <c r="DE903" s="335"/>
      <c r="DF903" s="335"/>
      <c r="DG903" s="335"/>
      <c r="DH903" s="335"/>
      <c r="DI903" s="335"/>
      <c r="DJ903" s="335"/>
      <c r="DK903" s="335"/>
      <c r="DL903" s="335"/>
      <c r="DM903" s="335"/>
      <c r="DN903" s="335"/>
      <c r="DO903" s="335"/>
      <c r="DP903" s="335"/>
      <c r="DQ903" s="335"/>
      <c r="DR903" s="335"/>
      <c r="DS903" s="335"/>
      <c r="DT903" s="335"/>
      <c r="DU903" s="335"/>
      <c r="DV903" s="335"/>
      <c r="DW903" s="335"/>
      <c r="DX903" s="335"/>
      <c r="DY903" s="335"/>
      <c r="DZ903" s="335"/>
      <c r="EA903" s="335"/>
      <c r="EB903" s="335"/>
      <c r="EC903" s="335"/>
      <c r="ED903" s="335"/>
      <c r="EE903" s="335"/>
      <c r="EF903" s="335"/>
      <c r="EG903" s="335"/>
      <c r="EH903" s="335"/>
      <c r="EI903" s="335"/>
      <c r="EJ903" s="335"/>
      <c r="EK903" s="335"/>
      <c r="EL903" s="335"/>
      <c r="EM903" s="335"/>
    </row>
    <row r="904" spans="72:143">
      <c r="BT904" s="187"/>
      <c r="BU904" s="187" t="s">
        <v>77</v>
      </c>
      <c r="BV904" s="196">
        <v>120045</v>
      </c>
      <c r="BW904" s="197" t="e">
        <f t="shared" si="156"/>
        <v>#REF!</v>
      </c>
      <c r="BX904" s="198" t="e">
        <f>IF(AND(State_LOB_Code=18,LEFT(BW904,4)&lt;"2009"),81,State_LOB_Code)&amp;"|366"</f>
        <v>#REF!</v>
      </c>
      <c r="BY904" s="174"/>
      <c r="BZ904" s="175"/>
      <c r="CD904" s="163"/>
      <c r="CE904" s="363"/>
      <c r="CF904" s="335"/>
      <c r="CG904" s="335"/>
      <c r="CH904" s="335"/>
      <c r="CI904" s="335"/>
      <c r="CJ904" s="335"/>
      <c r="CK904" s="335"/>
      <c r="CL904" s="335"/>
      <c r="CM904" s="335"/>
      <c r="CN904" s="335"/>
      <c r="CO904" s="335"/>
      <c r="CP904" s="335"/>
      <c r="CQ904" s="335"/>
      <c r="CR904" s="335"/>
      <c r="CS904" s="335"/>
      <c r="CT904" s="335"/>
      <c r="CU904" s="335"/>
      <c r="CV904" s="335"/>
      <c r="CW904" s="335"/>
      <c r="CX904" s="335"/>
      <c r="CY904" s="335"/>
      <c r="CZ904" s="335"/>
      <c r="DA904" s="335"/>
      <c r="DB904" s="335"/>
      <c r="DC904" s="335"/>
      <c r="DD904" s="335"/>
      <c r="DE904" s="335"/>
      <c r="DF904" s="335"/>
      <c r="DG904" s="335"/>
      <c r="DH904" s="335"/>
      <c r="DI904" s="335"/>
      <c r="DJ904" s="335"/>
      <c r="DK904" s="335"/>
      <c r="DL904" s="335"/>
      <c r="DM904" s="335"/>
      <c r="DN904" s="335"/>
      <c r="DO904" s="335"/>
      <c r="DP904" s="335"/>
      <c r="DQ904" s="335"/>
      <c r="DR904" s="335"/>
      <c r="DS904" s="335"/>
      <c r="DT904" s="335"/>
      <c r="DU904" s="335"/>
      <c r="DV904" s="335"/>
      <c r="DW904" s="335"/>
      <c r="DX904" s="335"/>
      <c r="DY904" s="335"/>
      <c r="DZ904" s="335"/>
      <c r="EA904" s="335"/>
      <c r="EB904" s="335"/>
      <c r="EC904" s="335"/>
      <c r="ED904" s="335"/>
      <c r="EE904" s="335"/>
      <c r="EF904" s="335"/>
      <c r="EG904" s="335"/>
      <c r="EH904" s="335"/>
      <c r="EI904" s="335"/>
      <c r="EJ904" s="335"/>
      <c r="EK904" s="335"/>
      <c r="EL904" s="335"/>
      <c r="EM904" s="335"/>
    </row>
    <row r="905" spans="72:143">
      <c r="BT905" s="187"/>
      <c r="BU905" s="187" t="s">
        <v>78</v>
      </c>
      <c r="BV905" s="196">
        <v>120045</v>
      </c>
      <c r="BW905" s="197" t="e">
        <f t="shared" si="156"/>
        <v>#REF!</v>
      </c>
      <c r="BX905" s="198" t="e">
        <f>IF(AND(State_LOB_Code=18,LEFT(BW905,4)&lt;"2009"),81,State_LOB_Code)&amp;"|367"</f>
        <v>#REF!</v>
      </c>
      <c r="BY905" s="174"/>
      <c r="BZ905" s="175"/>
      <c r="CD905" s="163"/>
      <c r="CE905" s="363"/>
      <c r="CF905" s="335"/>
      <c r="CG905" s="335"/>
      <c r="CH905" s="335"/>
      <c r="CI905" s="335"/>
      <c r="CJ905" s="335"/>
      <c r="CK905" s="335"/>
      <c r="CL905" s="335"/>
      <c r="CM905" s="335"/>
      <c r="CN905" s="335"/>
      <c r="CO905" s="335"/>
      <c r="CP905" s="335"/>
      <c r="CQ905" s="335"/>
      <c r="CR905" s="335"/>
      <c r="CS905" s="335"/>
      <c r="CT905" s="335"/>
      <c r="CU905" s="335"/>
      <c r="CV905" s="335"/>
      <c r="CW905" s="335"/>
      <c r="CX905" s="335"/>
      <c r="CY905" s="335"/>
      <c r="CZ905" s="335"/>
      <c r="DA905" s="335"/>
      <c r="DB905" s="335"/>
      <c r="DC905" s="335"/>
      <c r="DD905" s="335"/>
      <c r="DE905" s="335"/>
      <c r="DF905" s="335"/>
      <c r="DG905" s="335"/>
      <c r="DH905" s="335"/>
      <c r="DI905" s="335"/>
      <c r="DJ905" s="335"/>
      <c r="DK905" s="335"/>
      <c r="DL905" s="335"/>
      <c r="DM905" s="335"/>
      <c r="DN905" s="335"/>
      <c r="DO905" s="335"/>
      <c r="DP905" s="335"/>
      <c r="DQ905" s="335"/>
      <c r="DR905" s="335"/>
      <c r="DS905" s="335"/>
      <c r="DT905" s="335"/>
      <c r="DU905" s="335"/>
      <c r="DV905" s="335"/>
      <c r="DW905" s="335"/>
      <c r="DX905" s="335"/>
      <c r="DY905" s="335"/>
      <c r="DZ905" s="335"/>
      <c r="EA905" s="335"/>
      <c r="EB905" s="335"/>
      <c r="EC905" s="335"/>
      <c r="ED905" s="335"/>
      <c r="EE905" s="335"/>
      <c r="EF905" s="335"/>
      <c r="EG905" s="335"/>
      <c r="EH905" s="335"/>
      <c r="EI905" s="335"/>
      <c r="EJ905" s="335"/>
      <c r="EK905" s="335"/>
      <c r="EL905" s="335"/>
      <c r="EM905" s="335"/>
    </row>
    <row r="906" spans="72:143">
      <c r="BT906" s="187"/>
      <c r="BU906" s="187" t="s">
        <v>79</v>
      </c>
      <c r="BV906" s="196">
        <v>120045</v>
      </c>
      <c r="BW906" s="197" t="e">
        <f t="shared" ref="BW906:BW933" si="157">LEFT(BW845,4)-1&amp;"Y"</f>
        <v>#REF!</v>
      </c>
      <c r="BX906" s="198" t="e">
        <f>IF(AND(State_LOB_Code=18,LEFT(BW906,4)&lt;"2009"),81,State_LOB_Code)&amp;"|368"</f>
        <v>#REF!</v>
      </c>
      <c r="BY906" s="174"/>
      <c r="BZ906" s="175"/>
      <c r="CD906" s="163"/>
      <c r="CE906" s="363"/>
      <c r="CF906" s="335"/>
      <c r="CG906" s="335"/>
      <c r="CH906" s="335"/>
      <c r="CI906" s="335"/>
      <c r="CJ906" s="335"/>
      <c r="CK906" s="335"/>
      <c r="CL906" s="335"/>
      <c r="CM906" s="335"/>
      <c r="CN906" s="335"/>
      <c r="CO906" s="335"/>
      <c r="CP906" s="335"/>
      <c r="CQ906" s="335"/>
      <c r="CR906" s="335"/>
      <c r="CS906" s="335"/>
      <c r="CT906" s="335"/>
      <c r="CU906" s="335"/>
      <c r="CV906" s="335"/>
      <c r="CW906" s="335"/>
      <c r="CX906" s="335"/>
      <c r="CY906" s="335"/>
      <c r="CZ906" s="335"/>
      <c r="DA906" s="335"/>
      <c r="DB906" s="335"/>
      <c r="DC906" s="335"/>
      <c r="DD906" s="335"/>
      <c r="DE906" s="335"/>
      <c r="DF906" s="335"/>
      <c r="DG906" s="335"/>
      <c r="DH906" s="335"/>
      <c r="DI906" s="335"/>
      <c r="DJ906" s="335"/>
      <c r="DK906" s="335"/>
      <c r="DL906" s="335"/>
      <c r="DM906" s="335"/>
      <c r="DN906" s="335"/>
      <c r="DO906" s="335"/>
      <c r="DP906" s="335"/>
      <c r="DQ906" s="335"/>
      <c r="DR906" s="335"/>
      <c r="DS906" s="335"/>
      <c r="DT906" s="335"/>
      <c r="DU906" s="335"/>
      <c r="DV906" s="335"/>
      <c r="DW906" s="335"/>
      <c r="DX906" s="335"/>
      <c r="DY906" s="335"/>
      <c r="DZ906" s="335"/>
      <c r="EA906" s="335"/>
      <c r="EB906" s="335"/>
      <c r="EC906" s="335"/>
      <c r="ED906" s="335"/>
      <c r="EE906" s="335"/>
      <c r="EF906" s="335"/>
      <c r="EG906" s="335"/>
      <c r="EH906" s="335"/>
      <c r="EI906" s="335"/>
      <c r="EJ906" s="335"/>
      <c r="EK906" s="335"/>
      <c r="EL906" s="335"/>
      <c r="EM906" s="335"/>
    </row>
    <row r="907" spans="72:143">
      <c r="BT907" s="187"/>
      <c r="BU907" s="187" t="s">
        <v>80</v>
      </c>
      <c r="BV907" s="196">
        <v>120045</v>
      </c>
      <c r="BW907" s="197" t="e">
        <f t="shared" si="157"/>
        <v>#REF!</v>
      </c>
      <c r="BX907" s="198" t="e">
        <f>IF(AND(State_LOB_Code=18,LEFT(BW907,4)&lt;"2009"),81,State_LOB_Code)&amp;"|369"</f>
        <v>#REF!</v>
      </c>
      <c r="BY907" s="174"/>
      <c r="BZ907" s="175"/>
      <c r="CD907" s="163"/>
      <c r="CE907" s="363"/>
      <c r="CF907" s="335"/>
      <c r="CG907" s="335"/>
      <c r="CH907" s="335"/>
      <c r="CI907" s="335"/>
      <c r="CJ907" s="335"/>
      <c r="CK907" s="335"/>
      <c r="CL907" s="335"/>
      <c r="CM907" s="335"/>
      <c r="CN907" s="335"/>
      <c r="CO907" s="335"/>
      <c r="CP907" s="335"/>
      <c r="CQ907" s="335"/>
      <c r="CR907" s="335"/>
      <c r="CS907" s="335"/>
      <c r="CT907" s="335"/>
      <c r="CU907" s="335"/>
      <c r="CV907" s="335"/>
      <c r="CW907" s="335"/>
      <c r="CX907" s="335"/>
      <c r="CY907" s="335"/>
      <c r="CZ907" s="335"/>
      <c r="DA907" s="335"/>
      <c r="DB907" s="335"/>
      <c r="DC907" s="335"/>
      <c r="DD907" s="335"/>
      <c r="DE907" s="335"/>
      <c r="DF907" s="335"/>
      <c r="DG907" s="335"/>
      <c r="DH907" s="335"/>
      <c r="DI907" s="335"/>
      <c r="DJ907" s="335"/>
      <c r="DK907" s="335"/>
      <c r="DL907" s="335"/>
      <c r="DM907" s="335"/>
      <c r="DN907" s="335"/>
      <c r="DO907" s="335"/>
      <c r="DP907" s="335"/>
      <c r="DQ907" s="335"/>
      <c r="DR907" s="335"/>
      <c r="DS907" s="335"/>
      <c r="DT907" s="335"/>
      <c r="DU907" s="335"/>
      <c r="DV907" s="335"/>
      <c r="DW907" s="335"/>
      <c r="DX907" s="335"/>
      <c r="DY907" s="335"/>
      <c r="DZ907" s="335"/>
      <c r="EA907" s="335"/>
      <c r="EB907" s="335"/>
      <c r="EC907" s="335"/>
      <c r="ED907" s="335"/>
      <c r="EE907" s="335"/>
      <c r="EF907" s="335"/>
      <c r="EG907" s="335"/>
      <c r="EH907" s="335"/>
      <c r="EI907" s="335"/>
      <c r="EJ907" s="335"/>
      <c r="EK907" s="335"/>
      <c r="EL907" s="335"/>
      <c r="EM907" s="335"/>
    </row>
    <row r="908" spans="72:143">
      <c r="BT908" s="187"/>
      <c r="BU908" s="187" t="s">
        <v>81</v>
      </c>
      <c r="BV908" s="196">
        <v>120045</v>
      </c>
      <c r="BW908" s="197" t="e">
        <f t="shared" si="157"/>
        <v>#REF!</v>
      </c>
      <c r="BX908" s="198" t="e">
        <f>IF(AND(State_LOB_Code=18,LEFT(BW908,4)&lt;"2009"),81,State_LOB_Code)&amp;"|370"</f>
        <v>#REF!</v>
      </c>
      <c r="BY908" s="174"/>
      <c r="BZ908" s="175"/>
      <c r="CD908" s="163"/>
      <c r="CE908" s="363"/>
      <c r="CF908" s="335"/>
      <c r="CG908" s="335"/>
      <c r="CH908" s="335"/>
      <c r="CI908" s="335"/>
      <c r="CJ908" s="335"/>
      <c r="CK908" s="335"/>
      <c r="CL908" s="335"/>
      <c r="CM908" s="335"/>
      <c r="CN908" s="335"/>
      <c r="CO908" s="335"/>
      <c r="CP908" s="335"/>
      <c r="CQ908" s="335"/>
      <c r="CR908" s="335"/>
      <c r="CS908" s="335"/>
      <c r="CT908" s="335"/>
      <c r="CU908" s="335"/>
      <c r="CV908" s="335"/>
      <c r="CW908" s="335"/>
      <c r="CX908" s="335"/>
      <c r="CY908" s="335"/>
      <c r="CZ908" s="335"/>
      <c r="DA908" s="335"/>
      <c r="DB908" s="335"/>
      <c r="DC908" s="335"/>
      <c r="DD908" s="335"/>
      <c r="DE908" s="335"/>
      <c r="DF908" s="335"/>
      <c r="DG908" s="335"/>
      <c r="DH908" s="335"/>
      <c r="DI908" s="335"/>
      <c r="DJ908" s="335"/>
      <c r="DK908" s="335"/>
      <c r="DL908" s="335"/>
      <c r="DM908" s="335"/>
      <c r="DN908" s="335"/>
      <c r="DO908" s="335"/>
      <c r="DP908" s="335"/>
      <c r="DQ908" s="335"/>
      <c r="DR908" s="335"/>
      <c r="DS908" s="335"/>
      <c r="DT908" s="335"/>
      <c r="DU908" s="335"/>
      <c r="DV908" s="335"/>
      <c r="DW908" s="335"/>
      <c r="DX908" s="335"/>
      <c r="DY908" s="335"/>
      <c r="DZ908" s="335"/>
      <c r="EA908" s="335"/>
      <c r="EB908" s="335"/>
      <c r="EC908" s="335"/>
      <c r="ED908" s="335"/>
      <c r="EE908" s="335"/>
      <c r="EF908" s="335"/>
      <c r="EG908" s="335"/>
      <c r="EH908" s="335"/>
      <c r="EI908" s="335"/>
      <c r="EJ908" s="335"/>
      <c r="EK908" s="335"/>
      <c r="EL908" s="335"/>
      <c r="EM908" s="335"/>
    </row>
    <row r="909" spans="72:143">
      <c r="BT909" s="187"/>
      <c r="BU909" s="187" t="s">
        <v>82</v>
      </c>
      <c r="BV909" s="196">
        <v>120045</v>
      </c>
      <c r="BW909" s="197" t="e">
        <f t="shared" si="157"/>
        <v>#REF!</v>
      </c>
      <c r="BX909" s="198" t="e">
        <f>IF(AND(State_LOB_Code=18,LEFT(BW909,4)&lt;"2009"),81,State_LOB_Code)&amp;"|371"</f>
        <v>#REF!</v>
      </c>
      <c r="BY909" s="174"/>
      <c r="BZ909" s="175"/>
      <c r="CD909" s="163"/>
      <c r="CE909" s="363"/>
      <c r="CF909" s="335"/>
      <c r="CG909" s="335"/>
      <c r="CH909" s="335"/>
      <c r="CI909" s="335"/>
      <c r="CJ909" s="335"/>
      <c r="CK909" s="335"/>
      <c r="CL909" s="335"/>
      <c r="CM909" s="335"/>
      <c r="CN909" s="335"/>
      <c r="CO909" s="335"/>
      <c r="CP909" s="335"/>
      <c r="CQ909" s="335"/>
      <c r="CR909" s="335"/>
      <c r="CS909" s="335"/>
      <c r="CT909" s="335"/>
      <c r="CU909" s="335"/>
      <c r="CV909" s="335"/>
      <c r="CW909" s="335"/>
      <c r="CX909" s="335"/>
      <c r="CY909" s="335"/>
      <c r="CZ909" s="335"/>
      <c r="DA909" s="335"/>
      <c r="DB909" s="335"/>
      <c r="DC909" s="335"/>
      <c r="DD909" s="335"/>
      <c r="DE909" s="335"/>
      <c r="DF909" s="335"/>
      <c r="DG909" s="335"/>
      <c r="DH909" s="335"/>
      <c r="DI909" s="335"/>
      <c r="DJ909" s="335"/>
      <c r="DK909" s="335"/>
      <c r="DL909" s="335"/>
      <c r="DM909" s="335"/>
      <c r="DN909" s="335"/>
      <c r="DO909" s="335"/>
      <c r="DP909" s="335"/>
      <c r="DQ909" s="335"/>
      <c r="DR909" s="335"/>
      <c r="DS909" s="335"/>
      <c r="DT909" s="335"/>
      <c r="DU909" s="335"/>
      <c r="DV909" s="335"/>
      <c r="DW909" s="335"/>
      <c r="DX909" s="335"/>
      <c r="DY909" s="335"/>
      <c r="DZ909" s="335"/>
      <c r="EA909" s="335"/>
      <c r="EB909" s="335"/>
      <c r="EC909" s="335"/>
      <c r="ED909" s="335"/>
      <c r="EE909" s="335"/>
      <c r="EF909" s="335"/>
      <c r="EG909" s="335"/>
      <c r="EH909" s="335"/>
      <c r="EI909" s="335"/>
      <c r="EJ909" s="335"/>
      <c r="EK909" s="335"/>
      <c r="EL909" s="335"/>
      <c r="EM909" s="335"/>
    </row>
    <row r="910" spans="72:143">
      <c r="BT910" s="187"/>
      <c r="BU910" s="187" t="s">
        <v>83</v>
      </c>
      <c r="BV910" s="196">
        <v>120045</v>
      </c>
      <c r="BW910" s="197" t="e">
        <f t="shared" si="157"/>
        <v>#REF!</v>
      </c>
      <c r="BX910" s="198" t="e">
        <f>IF(AND(State_LOB_Code=18,LEFT(BW910,4)&lt;"2009"),81,State_LOB_Code)&amp;"|372"</f>
        <v>#REF!</v>
      </c>
      <c r="BY910" s="174"/>
      <c r="BZ910" s="175"/>
      <c r="CD910" s="163"/>
      <c r="CE910" s="363"/>
      <c r="CF910" s="335"/>
      <c r="CG910" s="335"/>
      <c r="CH910" s="335"/>
      <c r="CI910" s="335"/>
      <c r="CJ910" s="335"/>
      <c r="CK910" s="335"/>
      <c r="CL910" s="335"/>
      <c r="CM910" s="335"/>
      <c r="CN910" s="335"/>
      <c r="CO910" s="335"/>
      <c r="CP910" s="335"/>
      <c r="CQ910" s="335"/>
      <c r="CR910" s="335"/>
      <c r="CS910" s="335"/>
      <c r="CT910" s="335"/>
      <c r="CU910" s="335"/>
      <c r="CV910" s="335"/>
      <c r="CW910" s="335"/>
      <c r="CX910" s="335"/>
      <c r="CY910" s="335"/>
      <c r="CZ910" s="335"/>
      <c r="DA910" s="335"/>
      <c r="DB910" s="335"/>
      <c r="DC910" s="335"/>
      <c r="DD910" s="335"/>
      <c r="DE910" s="335"/>
      <c r="DF910" s="335"/>
      <c r="DG910" s="335"/>
      <c r="DH910" s="335"/>
      <c r="DI910" s="335"/>
      <c r="DJ910" s="335"/>
      <c r="DK910" s="335"/>
      <c r="DL910" s="335"/>
      <c r="DM910" s="335"/>
      <c r="DN910" s="335"/>
      <c r="DO910" s="335"/>
      <c r="DP910" s="335"/>
      <c r="DQ910" s="335"/>
      <c r="DR910" s="335"/>
      <c r="DS910" s="335"/>
      <c r="DT910" s="335"/>
      <c r="DU910" s="335"/>
      <c r="DV910" s="335"/>
      <c r="DW910" s="335"/>
      <c r="DX910" s="335"/>
      <c r="DY910" s="335"/>
      <c r="DZ910" s="335"/>
      <c r="EA910" s="335"/>
      <c r="EB910" s="335"/>
      <c r="EC910" s="335"/>
      <c r="ED910" s="335"/>
      <c r="EE910" s="335"/>
      <c r="EF910" s="335"/>
      <c r="EG910" s="335"/>
      <c r="EH910" s="335"/>
      <c r="EI910" s="335"/>
      <c r="EJ910" s="335"/>
      <c r="EK910" s="335"/>
      <c r="EL910" s="335"/>
      <c r="EM910" s="335"/>
    </row>
    <row r="911" spans="72:143">
      <c r="BT911" s="187"/>
      <c r="BU911" s="187" t="s">
        <v>84</v>
      </c>
      <c r="BV911" s="196">
        <v>120045</v>
      </c>
      <c r="BW911" s="197" t="e">
        <f t="shared" si="157"/>
        <v>#REF!</v>
      </c>
      <c r="BX911" s="198" t="e">
        <f>IF(AND(State_LOB_Code=18,LEFT(BW911,4)&lt;"2009"),81,State_LOB_Code)&amp;"|373"</f>
        <v>#REF!</v>
      </c>
      <c r="BY911" s="174"/>
      <c r="BZ911" s="175"/>
      <c r="CD911" s="163"/>
      <c r="CE911" s="363"/>
      <c r="CF911" s="335"/>
      <c r="CG911" s="335"/>
      <c r="CH911" s="335"/>
      <c r="CI911" s="335"/>
      <c r="CJ911" s="335"/>
      <c r="CK911" s="335"/>
      <c r="CL911" s="335"/>
      <c r="CM911" s="335"/>
      <c r="CN911" s="335"/>
      <c r="CO911" s="335"/>
      <c r="CP911" s="335"/>
      <c r="CQ911" s="335"/>
      <c r="CR911" s="335"/>
      <c r="CS911" s="335"/>
      <c r="CT911" s="335"/>
      <c r="CU911" s="335"/>
      <c r="CV911" s="335"/>
      <c r="CW911" s="335"/>
      <c r="CX911" s="335"/>
      <c r="CY911" s="335"/>
      <c r="CZ911" s="335"/>
      <c r="DA911" s="335"/>
      <c r="DB911" s="335"/>
      <c r="DC911" s="335"/>
      <c r="DD911" s="335"/>
      <c r="DE911" s="335"/>
      <c r="DF911" s="335"/>
      <c r="DG911" s="335"/>
      <c r="DH911" s="335"/>
      <c r="DI911" s="335"/>
      <c r="DJ911" s="335"/>
      <c r="DK911" s="335"/>
      <c r="DL911" s="335"/>
      <c r="DM911" s="335"/>
      <c r="DN911" s="335"/>
      <c r="DO911" s="335"/>
      <c r="DP911" s="335"/>
      <c r="DQ911" s="335"/>
      <c r="DR911" s="335"/>
      <c r="DS911" s="335"/>
      <c r="DT911" s="335"/>
      <c r="DU911" s="335"/>
      <c r="DV911" s="335"/>
      <c r="DW911" s="335"/>
      <c r="DX911" s="335"/>
      <c r="DY911" s="335"/>
      <c r="DZ911" s="335"/>
      <c r="EA911" s="335"/>
      <c r="EB911" s="335"/>
      <c r="EC911" s="335"/>
      <c r="ED911" s="335"/>
      <c r="EE911" s="335"/>
      <c r="EF911" s="335"/>
      <c r="EG911" s="335"/>
      <c r="EH911" s="335"/>
      <c r="EI911" s="335"/>
      <c r="EJ911" s="335"/>
      <c r="EK911" s="335"/>
      <c r="EL911" s="335"/>
      <c r="EM911" s="335"/>
    </row>
    <row r="912" spans="72:143">
      <c r="BT912" s="187"/>
      <c r="BU912" s="187" t="s">
        <v>85</v>
      </c>
      <c r="BV912" s="196">
        <v>120045</v>
      </c>
      <c r="BW912" s="197" t="e">
        <f t="shared" si="157"/>
        <v>#REF!</v>
      </c>
      <c r="BX912" s="198" t="e">
        <f>IF(AND(State_LOB_Code=18,LEFT(BW912,4)&lt;"2009"),81,State_LOB_Code)&amp;"|374"</f>
        <v>#REF!</v>
      </c>
      <c r="BY912" s="174"/>
      <c r="BZ912" s="175"/>
      <c r="CD912" s="163"/>
      <c r="CE912" s="363"/>
      <c r="CF912" s="335"/>
      <c r="CG912" s="335"/>
      <c r="CH912" s="335"/>
      <c r="CI912" s="335"/>
      <c r="CJ912" s="335"/>
      <c r="CK912" s="335"/>
      <c r="CL912" s="335"/>
      <c r="CM912" s="335"/>
      <c r="CN912" s="335"/>
      <c r="CO912" s="335"/>
      <c r="CP912" s="335"/>
      <c r="CQ912" s="335"/>
      <c r="CR912" s="335"/>
      <c r="CS912" s="335"/>
      <c r="CT912" s="335"/>
      <c r="CU912" s="335"/>
      <c r="CV912" s="335"/>
      <c r="CW912" s="335"/>
      <c r="CX912" s="335"/>
      <c r="CY912" s="335"/>
      <c r="CZ912" s="335"/>
      <c r="DA912" s="335"/>
      <c r="DB912" s="335"/>
      <c r="DC912" s="335"/>
      <c r="DD912" s="335"/>
      <c r="DE912" s="335"/>
      <c r="DF912" s="335"/>
      <c r="DG912" s="335"/>
      <c r="DH912" s="335"/>
      <c r="DI912" s="335"/>
      <c r="DJ912" s="335"/>
      <c r="DK912" s="335"/>
      <c r="DL912" s="335"/>
      <c r="DM912" s="335"/>
      <c r="DN912" s="335"/>
      <c r="DO912" s="335"/>
      <c r="DP912" s="335"/>
      <c r="DQ912" s="335"/>
      <c r="DR912" s="335"/>
      <c r="DS912" s="335"/>
      <c r="DT912" s="335"/>
      <c r="DU912" s="335"/>
      <c r="DV912" s="335"/>
      <c r="DW912" s="335"/>
      <c r="DX912" s="335"/>
      <c r="DY912" s="335"/>
      <c r="DZ912" s="335"/>
      <c r="EA912" s="335"/>
      <c r="EB912" s="335"/>
      <c r="EC912" s="335"/>
      <c r="ED912" s="335"/>
      <c r="EE912" s="335"/>
      <c r="EF912" s="335"/>
      <c r="EG912" s="335"/>
      <c r="EH912" s="335"/>
      <c r="EI912" s="335"/>
      <c r="EJ912" s="335"/>
      <c r="EK912" s="335"/>
      <c r="EL912" s="335"/>
      <c r="EM912" s="335"/>
    </row>
    <row r="913" spans="72:143">
      <c r="BT913" s="187"/>
      <c r="BU913" s="187" t="s">
        <v>86</v>
      </c>
      <c r="BV913" s="196">
        <v>120045</v>
      </c>
      <c r="BW913" s="197" t="e">
        <f t="shared" si="157"/>
        <v>#REF!</v>
      </c>
      <c r="BX913" s="198" t="e">
        <f>IF(AND(State_LOB_Code=18,LEFT(BW913,4)&lt;"2009"),81,State_LOB_Code)&amp;"|376"</f>
        <v>#REF!</v>
      </c>
      <c r="BY913" s="174"/>
      <c r="BZ913" s="175"/>
      <c r="CD913" s="163"/>
      <c r="CE913" s="363"/>
      <c r="CF913" s="335"/>
      <c r="CG913" s="335"/>
      <c r="CH913" s="335"/>
      <c r="CI913" s="335"/>
      <c r="CJ913" s="335"/>
      <c r="CK913" s="335"/>
      <c r="CL913" s="335"/>
      <c r="CM913" s="335"/>
      <c r="CN913" s="335"/>
      <c r="CO913" s="335"/>
      <c r="CP913" s="335"/>
      <c r="CQ913" s="335"/>
      <c r="CR913" s="335"/>
      <c r="CS913" s="335"/>
      <c r="CT913" s="335"/>
      <c r="CU913" s="335"/>
      <c r="CV913" s="335"/>
      <c r="CW913" s="335"/>
      <c r="CX913" s="335"/>
      <c r="CY913" s="335"/>
      <c r="CZ913" s="335"/>
      <c r="DA913" s="335"/>
      <c r="DB913" s="335"/>
      <c r="DC913" s="335"/>
      <c r="DD913" s="335"/>
      <c r="DE913" s="335"/>
      <c r="DF913" s="335"/>
      <c r="DG913" s="335"/>
      <c r="DH913" s="335"/>
      <c r="DI913" s="335"/>
      <c r="DJ913" s="335"/>
      <c r="DK913" s="335"/>
      <c r="DL913" s="335"/>
      <c r="DM913" s="335"/>
      <c r="DN913" s="335"/>
      <c r="DO913" s="335"/>
      <c r="DP913" s="335"/>
      <c r="DQ913" s="335"/>
      <c r="DR913" s="335"/>
      <c r="DS913" s="335"/>
      <c r="DT913" s="335"/>
      <c r="DU913" s="335"/>
      <c r="DV913" s="335"/>
      <c r="DW913" s="335"/>
      <c r="DX913" s="335"/>
      <c r="DY913" s="335"/>
      <c r="DZ913" s="335"/>
      <c r="EA913" s="335"/>
      <c r="EB913" s="335"/>
      <c r="EC913" s="335"/>
      <c r="ED913" s="335"/>
      <c r="EE913" s="335"/>
      <c r="EF913" s="335"/>
      <c r="EG913" s="335"/>
      <c r="EH913" s="335"/>
      <c r="EI913" s="335"/>
      <c r="EJ913" s="335"/>
      <c r="EK913" s="335"/>
      <c r="EL913" s="335"/>
      <c r="EM913" s="335"/>
    </row>
    <row r="914" spans="72:143">
      <c r="BT914" s="187"/>
      <c r="BU914" s="187" t="s">
        <v>87</v>
      </c>
      <c r="BV914" s="196">
        <v>120045</v>
      </c>
      <c r="BW914" s="197" t="e">
        <f t="shared" si="157"/>
        <v>#REF!</v>
      </c>
      <c r="BX914" s="198" t="e">
        <f>IF(AND(State_LOB_Code=18,LEFT(BW914,4)&lt;"2009"),81,State_LOB_Code)&amp;"|377"</f>
        <v>#REF!</v>
      </c>
      <c r="BY914" s="174"/>
      <c r="BZ914" s="175"/>
      <c r="CD914" s="163"/>
      <c r="CE914" s="363"/>
      <c r="CF914" s="335"/>
      <c r="CG914" s="335"/>
      <c r="CH914" s="335"/>
      <c r="CI914" s="335"/>
      <c r="CJ914" s="335"/>
      <c r="CK914" s="335"/>
      <c r="CL914" s="335"/>
      <c r="CM914" s="335"/>
      <c r="CN914" s="335"/>
      <c r="CO914" s="335"/>
      <c r="CP914" s="335"/>
      <c r="CQ914" s="335"/>
      <c r="CR914" s="335"/>
      <c r="CS914" s="335"/>
      <c r="CT914" s="335"/>
      <c r="CU914" s="335"/>
      <c r="CV914" s="335"/>
      <c r="CW914" s="335"/>
      <c r="CX914" s="335"/>
      <c r="CY914" s="335"/>
      <c r="CZ914" s="335"/>
      <c r="DA914" s="335"/>
      <c r="DB914" s="335"/>
      <c r="DC914" s="335"/>
      <c r="DD914" s="335"/>
      <c r="DE914" s="335"/>
      <c r="DF914" s="335"/>
      <c r="DG914" s="335"/>
      <c r="DH914" s="335"/>
      <c r="DI914" s="335"/>
      <c r="DJ914" s="335"/>
      <c r="DK914" s="335"/>
      <c r="DL914" s="335"/>
      <c r="DM914" s="335"/>
      <c r="DN914" s="335"/>
      <c r="DO914" s="335"/>
      <c r="DP914" s="335"/>
      <c r="DQ914" s="335"/>
      <c r="DR914" s="335"/>
      <c r="DS914" s="335"/>
      <c r="DT914" s="335"/>
      <c r="DU914" s="335"/>
      <c r="DV914" s="335"/>
      <c r="DW914" s="335"/>
      <c r="DX914" s="335"/>
      <c r="DY914" s="335"/>
      <c r="DZ914" s="335"/>
      <c r="EA914" s="335"/>
      <c r="EB914" s="335"/>
      <c r="EC914" s="335"/>
      <c r="ED914" s="335"/>
      <c r="EE914" s="335"/>
      <c r="EF914" s="335"/>
      <c r="EG914" s="335"/>
      <c r="EH914" s="335"/>
      <c r="EI914" s="335"/>
      <c r="EJ914" s="335"/>
      <c r="EK914" s="335"/>
      <c r="EL914" s="335"/>
      <c r="EM914" s="335"/>
    </row>
    <row r="915" spans="72:143">
      <c r="BT915" s="187"/>
      <c r="BU915" s="187" t="s">
        <v>88</v>
      </c>
      <c r="BV915" s="196">
        <v>120045</v>
      </c>
      <c r="BW915" s="197" t="e">
        <f t="shared" si="157"/>
        <v>#REF!</v>
      </c>
      <c r="BX915" s="198" t="e">
        <f>IF(AND(State_LOB_Code=18,LEFT(BW915,4)&lt;"2009"),81,State_LOB_Code)&amp;"|378"</f>
        <v>#REF!</v>
      </c>
      <c r="BY915" s="174"/>
      <c r="BZ915" s="175"/>
      <c r="CD915" s="163"/>
      <c r="CE915" s="363"/>
      <c r="CF915" s="335"/>
      <c r="CG915" s="335"/>
      <c r="CH915" s="335"/>
      <c r="CI915" s="335"/>
      <c r="CJ915" s="335"/>
      <c r="CK915" s="335"/>
      <c r="CL915" s="335"/>
      <c r="CM915" s="335"/>
      <c r="CN915" s="335"/>
      <c r="CO915" s="335"/>
      <c r="CP915" s="335"/>
      <c r="CQ915" s="335"/>
      <c r="CR915" s="335"/>
      <c r="CS915" s="335"/>
      <c r="CT915" s="335"/>
      <c r="CU915" s="335"/>
      <c r="CV915" s="335"/>
      <c r="CW915" s="335"/>
      <c r="CX915" s="335"/>
      <c r="CY915" s="335"/>
      <c r="CZ915" s="335"/>
      <c r="DA915" s="335"/>
      <c r="DB915" s="335"/>
      <c r="DC915" s="335"/>
      <c r="DD915" s="335"/>
      <c r="DE915" s="335"/>
      <c r="DF915" s="335"/>
      <c r="DG915" s="335"/>
      <c r="DH915" s="335"/>
      <c r="DI915" s="335"/>
      <c r="DJ915" s="335"/>
      <c r="DK915" s="335"/>
      <c r="DL915" s="335"/>
      <c r="DM915" s="335"/>
      <c r="DN915" s="335"/>
      <c r="DO915" s="335"/>
      <c r="DP915" s="335"/>
      <c r="DQ915" s="335"/>
      <c r="DR915" s="335"/>
      <c r="DS915" s="335"/>
      <c r="DT915" s="335"/>
      <c r="DU915" s="335"/>
      <c r="DV915" s="335"/>
      <c r="DW915" s="335"/>
      <c r="DX915" s="335"/>
      <c r="DY915" s="335"/>
      <c r="DZ915" s="335"/>
      <c r="EA915" s="335"/>
      <c r="EB915" s="335"/>
      <c r="EC915" s="335"/>
      <c r="ED915" s="335"/>
      <c r="EE915" s="335"/>
      <c r="EF915" s="335"/>
      <c r="EG915" s="335"/>
      <c r="EH915" s="335"/>
      <c r="EI915" s="335"/>
      <c r="EJ915" s="335"/>
      <c r="EK915" s="335"/>
      <c r="EL915" s="335"/>
      <c r="EM915" s="335"/>
    </row>
    <row r="916" spans="72:143">
      <c r="BT916" s="187"/>
      <c r="BU916" s="187" t="s">
        <v>89</v>
      </c>
      <c r="BV916" s="196">
        <v>120045</v>
      </c>
      <c r="BW916" s="197" t="e">
        <f t="shared" si="157"/>
        <v>#REF!</v>
      </c>
      <c r="BX916" s="198" t="e">
        <f>IF(AND(State_LOB_Code=18,LEFT(BW916,4)&lt;"2009"),81,State_LOB_Code)&amp;"|379"</f>
        <v>#REF!</v>
      </c>
      <c r="BY916" s="174"/>
      <c r="BZ916" s="175"/>
      <c r="CD916" s="163"/>
      <c r="CE916" s="363"/>
      <c r="CF916" s="335"/>
      <c r="CG916" s="335"/>
      <c r="CH916" s="335"/>
      <c r="CI916" s="335"/>
      <c r="CJ916" s="335"/>
      <c r="CK916" s="335"/>
      <c r="CL916" s="335"/>
      <c r="CM916" s="335"/>
      <c r="CN916" s="335"/>
      <c r="CO916" s="335"/>
      <c r="CP916" s="335"/>
      <c r="CQ916" s="335"/>
      <c r="CR916" s="335"/>
      <c r="CS916" s="335"/>
      <c r="CT916" s="335"/>
      <c r="CU916" s="335"/>
      <c r="CV916" s="335"/>
      <c r="CW916" s="335"/>
      <c r="CX916" s="335"/>
      <c r="CY916" s="335"/>
      <c r="CZ916" s="335"/>
      <c r="DA916" s="335"/>
      <c r="DB916" s="335"/>
      <c r="DC916" s="335"/>
      <c r="DD916" s="335"/>
      <c r="DE916" s="335"/>
      <c r="DF916" s="335"/>
      <c r="DG916" s="335"/>
      <c r="DH916" s="335"/>
      <c r="DI916" s="335"/>
      <c r="DJ916" s="335"/>
      <c r="DK916" s="335"/>
      <c r="DL916" s="335"/>
      <c r="DM916" s="335"/>
      <c r="DN916" s="335"/>
      <c r="DO916" s="335"/>
      <c r="DP916" s="335"/>
      <c r="DQ916" s="335"/>
      <c r="DR916" s="335"/>
      <c r="DS916" s="335"/>
      <c r="DT916" s="335"/>
      <c r="DU916" s="335"/>
      <c r="DV916" s="335"/>
      <c r="DW916" s="335"/>
      <c r="DX916" s="335"/>
      <c r="DY916" s="335"/>
      <c r="DZ916" s="335"/>
      <c r="EA916" s="335"/>
      <c r="EB916" s="335"/>
      <c r="EC916" s="335"/>
      <c r="ED916" s="335"/>
      <c r="EE916" s="335"/>
      <c r="EF916" s="335"/>
      <c r="EG916" s="335"/>
      <c r="EH916" s="335"/>
      <c r="EI916" s="335"/>
      <c r="EJ916" s="335"/>
      <c r="EK916" s="335"/>
      <c r="EL916" s="335"/>
      <c r="EM916" s="335"/>
    </row>
    <row r="917" spans="72:143">
      <c r="BT917" s="187"/>
      <c r="BU917" s="187" t="s">
        <v>90</v>
      </c>
      <c r="BV917" s="196">
        <v>120045</v>
      </c>
      <c r="BW917" s="197" t="e">
        <f t="shared" si="157"/>
        <v>#REF!</v>
      </c>
      <c r="BX917" s="198" t="e">
        <f>IF(AND(State_LOB_Code=18,LEFT(BW917,4)&lt;"2009"),81,State_LOB_Code)&amp;"|380"</f>
        <v>#REF!</v>
      </c>
      <c r="BY917" s="174"/>
      <c r="BZ917" s="175"/>
      <c r="CD917" s="163"/>
      <c r="CE917" s="363"/>
      <c r="CF917" s="335"/>
      <c r="CG917" s="335"/>
      <c r="CH917" s="335"/>
      <c r="CI917" s="335"/>
      <c r="CJ917" s="335"/>
      <c r="CK917" s="335"/>
      <c r="CL917" s="335"/>
      <c r="CM917" s="335"/>
      <c r="CN917" s="335"/>
      <c r="CO917" s="335"/>
      <c r="CP917" s="335"/>
      <c r="CQ917" s="335"/>
      <c r="CR917" s="335"/>
      <c r="CS917" s="335"/>
      <c r="CT917" s="335"/>
      <c r="CU917" s="335"/>
      <c r="CV917" s="335"/>
      <c r="CW917" s="335"/>
      <c r="CX917" s="335"/>
      <c r="CY917" s="335"/>
      <c r="CZ917" s="335"/>
      <c r="DA917" s="335"/>
      <c r="DB917" s="335"/>
      <c r="DC917" s="335"/>
      <c r="DD917" s="335"/>
      <c r="DE917" s="335"/>
      <c r="DF917" s="335"/>
      <c r="DG917" s="335"/>
      <c r="DH917" s="335"/>
      <c r="DI917" s="335"/>
      <c r="DJ917" s="335"/>
      <c r="DK917" s="335"/>
      <c r="DL917" s="335"/>
      <c r="DM917" s="335"/>
      <c r="DN917" s="335"/>
      <c r="DO917" s="335"/>
      <c r="DP917" s="335"/>
      <c r="DQ917" s="335"/>
      <c r="DR917" s="335"/>
      <c r="DS917" s="335"/>
      <c r="DT917" s="335"/>
      <c r="DU917" s="335"/>
      <c r="DV917" s="335"/>
      <c r="DW917" s="335"/>
      <c r="DX917" s="335"/>
      <c r="DY917" s="335"/>
      <c r="DZ917" s="335"/>
      <c r="EA917" s="335"/>
      <c r="EB917" s="335"/>
      <c r="EC917" s="335"/>
      <c r="ED917" s="335"/>
      <c r="EE917" s="335"/>
      <c r="EF917" s="335"/>
      <c r="EG917" s="335"/>
      <c r="EH917" s="335"/>
      <c r="EI917" s="335"/>
      <c r="EJ917" s="335"/>
      <c r="EK917" s="335"/>
      <c r="EL917" s="335"/>
      <c r="EM917" s="335"/>
    </row>
    <row r="918" spans="72:143">
      <c r="BT918" s="187"/>
      <c r="BU918" s="187" t="s">
        <v>91</v>
      </c>
      <c r="BV918" s="196">
        <v>120045</v>
      </c>
      <c r="BW918" s="197" t="e">
        <f t="shared" si="157"/>
        <v>#REF!</v>
      </c>
      <c r="BX918" s="198" t="e">
        <f>IF(AND(State_LOB_Code=18,LEFT(BW918,4)&lt;"2009"),81,State_LOB_Code)&amp;"|381"</f>
        <v>#REF!</v>
      </c>
      <c r="BY918" s="174"/>
      <c r="BZ918" s="175"/>
      <c r="CD918" s="163"/>
      <c r="CE918" s="363"/>
      <c r="CF918" s="335"/>
      <c r="CG918" s="335"/>
      <c r="CH918" s="335"/>
      <c r="CI918" s="335"/>
      <c r="CJ918" s="335"/>
      <c r="CK918" s="335"/>
      <c r="CL918" s="335"/>
      <c r="CM918" s="335"/>
      <c r="CN918" s="335"/>
      <c r="CO918" s="335"/>
      <c r="CP918" s="335"/>
      <c r="CQ918" s="335"/>
      <c r="CR918" s="335"/>
      <c r="CS918" s="335"/>
      <c r="CT918" s="335"/>
      <c r="CU918" s="335"/>
      <c r="CV918" s="335"/>
      <c r="CW918" s="335"/>
      <c r="CX918" s="335"/>
      <c r="CY918" s="335"/>
      <c r="CZ918" s="335"/>
      <c r="DA918" s="335"/>
      <c r="DB918" s="335"/>
      <c r="DC918" s="335"/>
      <c r="DD918" s="335"/>
      <c r="DE918" s="335"/>
      <c r="DF918" s="335"/>
      <c r="DG918" s="335"/>
      <c r="DH918" s="335"/>
      <c r="DI918" s="335"/>
      <c r="DJ918" s="335"/>
      <c r="DK918" s="335"/>
      <c r="DL918" s="335"/>
      <c r="DM918" s="335"/>
      <c r="DN918" s="335"/>
      <c r="DO918" s="335"/>
      <c r="DP918" s="335"/>
      <c r="DQ918" s="335"/>
      <c r="DR918" s="335"/>
      <c r="DS918" s="335"/>
      <c r="DT918" s="335"/>
      <c r="DU918" s="335"/>
      <c r="DV918" s="335"/>
      <c r="DW918" s="335"/>
      <c r="DX918" s="335"/>
      <c r="DY918" s="335"/>
      <c r="DZ918" s="335"/>
      <c r="EA918" s="335"/>
      <c r="EB918" s="335"/>
      <c r="EC918" s="335"/>
      <c r="ED918" s="335"/>
      <c r="EE918" s="335"/>
      <c r="EF918" s="335"/>
      <c r="EG918" s="335"/>
      <c r="EH918" s="335"/>
      <c r="EI918" s="335"/>
      <c r="EJ918" s="335"/>
      <c r="EK918" s="335"/>
      <c r="EL918" s="335"/>
      <c r="EM918" s="335"/>
    </row>
    <row r="919" spans="72:143">
      <c r="BT919" s="187"/>
      <c r="BU919" s="187" t="s">
        <v>92</v>
      </c>
      <c r="BV919" s="196">
        <v>120045</v>
      </c>
      <c r="BW919" s="197" t="e">
        <f t="shared" si="157"/>
        <v>#REF!</v>
      </c>
      <c r="BX919" s="198" t="e">
        <f>IF(AND(State_LOB_Code=18,LEFT(BW919,4)&lt;"2009"),81,State_LOB_Code)&amp;"|382"</f>
        <v>#REF!</v>
      </c>
      <c r="BY919" s="174"/>
      <c r="BZ919" s="175"/>
      <c r="CD919" s="163"/>
      <c r="CE919" s="363"/>
      <c r="CF919" s="335"/>
      <c r="CG919" s="335"/>
      <c r="CH919" s="335"/>
      <c r="CI919" s="335"/>
      <c r="CJ919" s="335"/>
      <c r="CK919" s="335"/>
      <c r="CL919" s="335"/>
      <c r="CM919" s="335"/>
      <c r="CN919" s="335"/>
      <c r="CO919" s="335"/>
      <c r="CP919" s="335"/>
      <c r="CQ919" s="335"/>
      <c r="CR919" s="335"/>
      <c r="CS919" s="335"/>
      <c r="CT919" s="335"/>
      <c r="CU919" s="335"/>
      <c r="CV919" s="335"/>
      <c r="CW919" s="335"/>
      <c r="CX919" s="335"/>
      <c r="CY919" s="335"/>
      <c r="CZ919" s="335"/>
      <c r="DA919" s="335"/>
      <c r="DB919" s="335"/>
      <c r="DC919" s="335"/>
      <c r="DD919" s="335"/>
      <c r="DE919" s="335"/>
      <c r="DF919" s="335"/>
      <c r="DG919" s="335"/>
      <c r="DH919" s="335"/>
      <c r="DI919" s="335"/>
      <c r="DJ919" s="335"/>
      <c r="DK919" s="335"/>
      <c r="DL919" s="335"/>
      <c r="DM919" s="335"/>
      <c r="DN919" s="335"/>
      <c r="DO919" s="335"/>
      <c r="DP919" s="335"/>
      <c r="DQ919" s="335"/>
      <c r="DR919" s="335"/>
      <c r="DS919" s="335"/>
      <c r="DT919" s="335"/>
      <c r="DU919" s="335"/>
      <c r="DV919" s="335"/>
      <c r="DW919" s="335"/>
      <c r="DX919" s="335"/>
      <c r="DY919" s="335"/>
      <c r="DZ919" s="335"/>
      <c r="EA919" s="335"/>
      <c r="EB919" s="335"/>
      <c r="EC919" s="335"/>
      <c r="ED919" s="335"/>
      <c r="EE919" s="335"/>
      <c r="EF919" s="335"/>
      <c r="EG919" s="335"/>
      <c r="EH919" s="335"/>
      <c r="EI919" s="335"/>
      <c r="EJ919" s="335"/>
      <c r="EK919" s="335"/>
      <c r="EL919" s="335"/>
      <c r="EM919" s="335"/>
    </row>
    <row r="920" spans="72:143">
      <c r="BT920" s="187"/>
      <c r="BU920" s="187" t="s">
        <v>93</v>
      </c>
      <c r="BV920" s="196">
        <v>120045</v>
      </c>
      <c r="BW920" s="197" t="e">
        <f t="shared" si="157"/>
        <v>#REF!</v>
      </c>
      <c r="BX920" s="198" t="e">
        <f>IF(AND(State_LOB_Code=18,LEFT(BW920,4)&lt;"2009"),81,State_LOB_Code)&amp;"|384"</f>
        <v>#REF!</v>
      </c>
      <c r="BY920" s="174"/>
      <c r="BZ920" s="175"/>
      <c r="CD920" s="163"/>
      <c r="CE920" s="363"/>
      <c r="CF920" s="335"/>
      <c r="CG920" s="335"/>
      <c r="CH920" s="335"/>
      <c r="CI920" s="335"/>
      <c r="CJ920" s="335"/>
      <c r="CK920" s="335"/>
      <c r="CL920" s="335"/>
      <c r="CM920" s="335"/>
      <c r="CN920" s="335"/>
      <c r="CO920" s="335"/>
      <c r="CP920" s="335"/>
      <c r="CQ920" s="335"/>
      <c r="CR920" s="335"/>
      <c r="CS920" s="335"/>
      <c r="CT920" s="335"/>
      <c r="CU920" s="335"/>
      <c r="CV920" s="335"/>
      <c r="CW920" s="335"/>
      <c r="CX920" s="335"/>
      <c r="CY920" s="335"/>
      <c r="CZ920" s="335"/>
      <c r="DA920" s="335"/>
      <c r="DB920" s="335"/>
      <c r="DC920" s="335"/>
      <c r="DD920" s="335"/>
      <c r="DE920" s="335"/>
      <c r="DF920" s="335"/>
      <c r="DG920" s="335"/>
      <c r="DH920" s="335"/>
      <c r="DI920" s="335"/>
      <c r="DJ920" s="335"/>
      <c r="DK920" s="335"/>
      <c r="DL920" s="335"/>
      <c r="DM920" s="335"/>
      <c r="DN920" s="335"/>
      <c r="DO920" s="335"/>
      <c r="DP920" s="335"/>
      <c r="DQ920" s="335"/>
      <c r="DR920" s="335"/>
      <c r="DS920" s="335"/>
      <c r="DT920" s="335"/>
      <c r="DU920" s="335"/>
      <c r="DV920" s="335"/>
      <c r="DW920" s="335"/>
      <c r="DX920" s="335"/>
      <c r="DY920" s="335"/>
      <c r="DZ920" s="335"/>
      <c r="EA920" s="335"/>
      <c r="EB920" s="335"/>
      <c r="EC920" s="335"/>
      <c r="ED920" s="335"/>
      <c r="EE920" s="335"/>
      <c r="EF920" s="335"/>
      <c r="EG920" s="335"/>
      <c r="EH920" s="335"/>
      <c r="EI920" s="335"/>
      <c r="EJ920" s="335"/>
      <c r="EK920" s="335"/>
      <c r="EL920" s="335"/>
      <c r="EM920" s="335"/>
    </row>
    <row r="921" spans="72:143">
      <c r="BT921" s="187"/>
      <c r="BU921" s="187" t="s">
        <v>94</v>
      </c>
      <c r="BV921" s="196">
        <v>120045</v>
      </c>
      <c r="BW921" s="197" t="e">
        <f t="shared" si="157"/>
        <v>#REF!</v>
      </c>
      <c r="BX921" s="198" t="e">
        <f>IF(AND(State_LOB_Code=18,LEFT(BW921,4)&lt;"2009"),81,State_LOB_Code)&amp;"|385"</f>
        <v>#REF!</v>
      </c>
      <c r="BY921" s="174"/>
      <c r="BZ921" s="175"/>
      <c r="CD921" s="163"/>
      <c r="CE921" s="363"/>
      <c r="CF921" s="335"/>
      <c r="CG921" s="335"/>
      <c r="CH921" s="335"/>
      <c r="CI921" s="335"/>
      <c r="CJ921" s="335"/>
      <c r="CK921" s="335"/>
      <c r="CL921" s="335"/>
      <c r="CM921" s="335"/>
      <c r="CN921" s="335"/>
      <c r="CO921" s="335"/>
      <c r="CP921" s="335"/>
      <c r="CQ921" s="335"/>
      <c r="CR921" s="335"/>
      <c r="CS921" s="335"/>
      <c r="CT921" s="335"/>
      <c r="CU921" s="335"/>
      <c r="CV921" s="335"/>
      <c r="CW921" s="335"/>
      <c r="CX921" s="335"/>
      <c r="CY921" s="335"/>
      <c r="CZ921" s="335"/>
      <c r="DA921" s="335"/>
      <c r="DB921" s="335"/>
      <c r="DC921" s="335"/>
      <c r="DD921" s="335"/>
      <c r="DE921" s="335"/>
      <c r="DF921" s="335"/>
      <c r="DG921" s="335"/>
      <c r="DH921" s="335"/>
      <c r="DI921" s="335"/>
      <c r="DJ921" s="335"/>
      <c r="DK921" s="335"/>
      <c r="DL921" s="335"/>
      <c r="DM921" s="335"/>
      <c r="DN921" s="335"/>
      <c r="DO921" s="335"/>
      <c r="DP921" s="335"/>
      <c r="DQ921" s="335"/>
      <c r="DR921" s="335"/>
      <c r="DS921" s="335"/>
      <c r="DT921" s="335"/>
      <c r="DU921" s="335"/>
      <c r="DV921" s="335"/>
      <c r="DW921" s="335"/>
      <c r="DX921" s="335"/>
      <c r="DY921" s="335"/>
      <c r="DZ921" s="335"/>
      <c r="EA921" s="335"/>
      <c r="EB921" s="335"/>
      <c r="EC921" s="335"/>
      <c r="ED921" s="335"/>
      <c r="EE921" s="335"/>
      <c r="EF921" s="335"/>
      <c r="EG921" s="335"/>
      <c r="EH921" s="335"/>
      <c r="EI921" s="335"/>
      <c r="EJ921" s="335"/>
      <c r="EK921" s="335"/>
      <c r="EL921" s="335"/>
      <c r="EM921" s="335"/>
    </row>
    <row r="922" spans="72:143">
      <c r="BT922" s="187"/>
      <c r="BU922" s="187" t="s">
        <v>95</v>
      </c>
      <c r="BV922" s="196">
        <v>120045</v>
      </c>
      <c r="BW922" s="197" t="e">
        <f t="shared" si="157"/>
        <v>#REF!</v>
      </c>
      <c r="BX922" s="198" t="e">
        <f>IF(AND(State_LOB_Code=18,LEFT(BW922,4)&lt;"2009"),81,State_LOB_Code)&amp;"|386"</f>
        <v>#REF!</v>
      </c>
      <c r="BY922" s="174"/>
      <c r="BZ922" s="175"/>
      <c r="CD922" s="163"/>
      <c r="CE922" s="363"/>
      <c r="CF922" s="335"/>
      <c r="CG922" s="335"/>
      <c r="CH922" s="335"/>
      <c r="CI922" s="335"/>
      <c r="CJ922" s="335"/>
      <c r="CK922" s="335"/>
      <c r="CL922" s="335"/>
      <c r="CM922" s="335"/>
      <c r="CN922" s="335"/>
      <c r="CO922" s="335"/>
      <c r="CP922" s="335"/>
      <c r="CQ922" s="335"/>
      <c r="CR922" s="335"/>
      <c r="CS922" s="335"/>
      <c r="CT922" s="335"/>
      <c r="CU922" s="335"/>
      <c r="CV922" s="335"/>
      <c r="CW922" s="335"/>
      <c r="CX922" s="335"/>
      <c r="CY922" s="335"/>
      <c r="CZ922" s="335"/>
      <c r="DA922" s="335"/>
      <c r="DB922" s="335"/>
      <c r="DC922" s="335"/>
      <c r="DD922" s="335"/>
      <c r="DE922" s="335"/>
      <c r="DF922" s="335"/>
      <c r="DG922" s="335"/>
      <c r="DH922" s="335"/>
      <c r="DI922" s="335"/>
      <c r="DJ922" s="335"/>
      <c r="DK922" s="335"/>
      <c r="DL922" s="335"/>
      <c r="DM922" s="335"/>
      <c r="DN922" s="335"/>
      <c r="DO922" s="335"/>
      <c r="DP922" s="335"/>
      <c r="DQ922" s="335"/>
      <c r="DR922" s="335"/>
      <c r="DS922" s="335"/>
      <c r="DT922" s="335"/>
      <c r="DU922" s="335"/>
      <c r="DV922" s="335"/>
      <c r="DW922" s="335"/>
      <c r="DX922" s="335"/>
      <c r="DY922" s="335"/>
      <c r="DZ922" s="335"/>
      <c r="EA922" s="335"/>
      <c r="EB922" s="335"/>
      <c r="EC922" s="335"/>
      <c r="ED922" s="335"/>
      <c r="EE922" s="335"/>
      <c r="EF922" s="335"/>
      <c r="EG922" s="335"/>
      <c r="EH922" s="335"/>
      <c r="EI922" s="335"/>
      <c r="EJ922" s="335"/>
      <c r="EK922" s="335"/>
      <c r="EL922" s="335"/>
      <c r="EM922" s="335"/>
    </row>
    <row r="923" spans="72:143">
      <c r="BT923" s="187"/>
      <c r="BU923" s="187" t="s">
        <v>96</v>
      </c>
      <c r="BV923" s="196">
        <v>120045</v>
      </c>
      <c r="BW923" s="197" t="e">
        <f t="shared" si="157"/>
        <v>#REF!</v>
      </c>
      <c r="BX923" s="198" t="e">
        <f>IF(AND(State_LOB_Code=18,LEFT(BW923,4)&lt;"2009"),81,State_LOB_Code)&amp;"|387"</f>
        <v>#REF!</v>
      </c>
      <c r="BY923" s="174"/>
      <c r="BZ923" s="175"/>
      <c r="CD923" s="163"/>
      <c r="CE923" s="363"/>
      <c r="CF923" s="335"/>
      <c r="CG923" s="335"/>
      <c r="CH923" s="335"/>
      <c r="CI923" s="335"/>
      <c r="CJ923" s="335"/>
      <c r="CK923" s="335"/>
      <c r="CL923" s="335"/>
      <c r="CM923" s="335"/>
      <c r="CN923" s="335"/>
      <c r="CO923" s="335"/>
      <c r="CP923" s="335"/>
      <c r="CQ923" s="335"/>
      <c r="CR923" s="335"/>
      <c r="CS923" s="335"/>
      <c r="CT923" s="335"/>
      <c r="CU923" s="335"/>
      <c r="CV923" s="335"/>
      <c r="CW923" s="335"/>
      <c r="CX923" s="335"/>
      <c r="CY923" s="335"/>
      <c r="CZ923" s="335"/>
      <c r="DA923" s="335"/>
      <c r="DB923" s="335"/>
      <c r="DC923" s="335"/>
      <c r="DD923" s="335"/>
      <c r="DE923" s="335"/>
      <c r="DF923" s="335"/>
      <c r="DG923" s="335"/>
      <c r="DH923" s="335"/>
      <c r="DI923" s="335"/>
      <c r="DJ923" s="335"/>
      <c r="DK923" s="335"/>
      <c r="DL923" s="335"/>
      <c r="DM923" s="335"/>
      <c r="DN923" s="335"/>
      <c r="DO923" s="335"/>
      <c r="DP923" s="335"/>
      <c r="DQ923" s="335"/>
      <c r="DR923" s="335"/>
      <c r="DS923" s="335"/>
      <c r="DT923" s="335"/>
      <c r="DU923" s="335"/>
      <c r="DV923" s="335"/>
      <c r="DW923" s="335"/>
      <c r="DX923" s="335"/>
      <c r="DY923" s="335"/>
      <c r="DZ923" s="335"/>
      <c r="EA923" s="335"/>
      <c r="EB923" s="335"/>
      <c r="EC923" s="335"/>
      <c r="ED923" s="335"/>
      <c r="EE923" s="335"/>
      <c r="EF923" s="335"/>
      <c r="EG923" s="335"/>
      <c r="EH923" s="335"/>
      <c r="EI923" s="335"/>
      <c r="EJ923" s="335"/>
      <c r="EK923" s="335"/>
      <c r="EL923" s="335"/>
      <c r="EM923" s="335"/>
    </row>
    <row r="924" spans="72:143">
      <c r="BT924" s="187"/>
      <c r="BU924" s="187" t="s">
        <v>97</v>
      </c>
      <c r="BV924" s="196">
        <v>120045</v>
      </c>
      <c r="BW924" s="197" t="e">
        <f t="shared" si="157"/>
        <v>#REF!</v>
      </c>
      <c r="BX924" s="198" t="e">
        <f>IF(AND(State_LOB_Code=18,LEFT(BW924,4)&lt;"2009"),81,State_LOB_Code)&amp;"|388"</f>
        <v>#REF!</v>
      </c>
      <c r="BY924" s="174"/>
      <c r="BZ924" s="175"/>
      <c r="CD924" s="163"/>
      <c r="CE924" s="363"/>
      <c r="CF924" s="335"/>
      <c r="CG924" s="335"/>
      <c r="CH924" s="335"/>
      <c r="CI924" s="335"/>
      <c r="CJ924" s="335"/>
      <c r="CK924" s="335"/>
      <c r="CL924" s="335"/>
      <c r="CM924" s="335"/>
      <c r="CN924" s="335"/>
      <c r="CO924" s="335"/>
      <c r="CP924" s="335"/>
      <c r="CQ924" s="335"/>
      <c r="CR924" s="335"/>
      <c r="CS924" s="335"/>
      <c r="CT924" s="335"/>
      <c r="CU924" s="335"/>
      <c r="CV924" s="335"/>
      <c r="CW924" s="335"/>
      <c r="CX924" s="335"/>
      <c r="CY924" s="335"/>
      <c r="CZ924" s="335"/>
      <c r="DA924" s="335"/>
      <c r="DB924" s="335"/>
      <c r="DC924" s="335"/>
      <c r="DD924" s="335"/>
      <c r="DE924" s="335"/>
      <c r="DF924" s="335"/>
      <c r="DG924" s="335"/>
      <c r="DH924" s="335"/>
      <c r="DI924" s="335"/>
      <c r="DJ924" s="335"/>
      <c r="DK924" s="335"/>
      <c r="DL924" s="335"/>
      <c r="DM924" s="335"/>
      <c r="DN924" s="335"/>
      <c r="DO924" s="335"/>
      <c r="DP924" s="335"/>
      <c r="DQ924" s="335"/>
      <c r="DR924" s="335"/>
      <c r="DS924" s="335"/>
      <c r="DT924" s="335"/>
      <c r="DU924" s="335"/>
      <c r="DV924" s="335"/>
      <c r="DW924" s="335"/>
      <c r="DX924" s="335"/>
      <c r="DY924" s="335"/>
      <c r="DZ924" s="335"/>
      <c r="EA924" s="335"/>
      <c r="EB924" s="335"/>
      <c r="EC924" s="335"/>
      <c r="ED924" s="335"/>
      <c r="EE924" s="335"/>
      <c r="EF924" s="335"/>
      <c r="EG924" s="335"/>
      <c r="EH924" s="335"/>
      <c r="EI924" s="335"/>
      <c r="EJ924" s="335"/>
      <c r="EK924" s="335"/>
      <c r="EL924" s="335"/>
      <c r="EM924" s="335"/>
    </row>
    <row r="925" spans="72:143">
      <c r="BT925" s="187"/>
      <c r="BU925" s="189" t="s">
        <v>137</v>
      </c>
      <c r="BV925" s="199">
        <v>120045</v>
      </c>
      <c r="BW925" s="200" t="e">
        <f t="shared" si="157"/>
        <v>#REF!</v>
      </c>
      <c r="BX925" s="201" t="e">
        <f>IF(AND(State_LOB_Code=18,LEFT(BW925,4)&lt;"2009"),81,State_LOB_Code)&amp;"|600"</f>
        <v>#REF!</v>
      </c>
      <c r="BY925" s="176"/>
      <c r="BZ925" s="177"/>
      <c r="CD925" s="163"/>
      <c r="CE925" s="363"/>
      <c r="CF925" s="335"/>
      <c r="CG925" s="335"/>
      <c r="CH925" s="335"/>
      <c r="CI925" s="335"/>
      <c r="CJ925" s="335"/>
      <c r="CK925" s="335"/>
      <c r="CL925" s="335"/>
      <c r="CM925" s="335"/>
      <c r="CN925" s="335"/>
      <c r="CO925" s="335"/>
      <c r="CP925" s="335"/>
      <c r="CQ925" s="335"/>
      <c r="CR925" s="335"/>
      <c r="CS925" s="335"/>
      <c r="CT925" s="335"/>
      <c r="CU925" s="335"/>
      <c r="CV925" s="335"/>
      <c r="CW925" s="335"/>
      <c r="CX925" s="335"/>
      <c r="CY925" s="335"/>
      <c r="CZ925" s="335"/>
      <c r="DA925" s="335"/>
      <c r="DB925" s="335"/>
      <c r="DC925" s="335"/>
      <c r="DD925" s="335"/>
      <c r="DE925" s="335"/>
      <c r="DF925" s="335"/>
      <c r="DG925" s="335"/>
      <c r="DH925" s="335"/>
      <c r="DI925" s="335"/>
      <c r="DJ925" s="335"/>
      <c r="DK925" s="335"/>
      <c r="DL925" s="335"/>
      <c r="DM925" s="335"/>
      <c r="DN925" s="335"/>
      <c r="DO925" s="335"/>
      <c r="DP925" s="335"/>
      <c r="DQ925" s="335"/>
      <c r="DR925" s="335"/>
      <c r="DS925" s="335"/>
      <c r="DT925" s="335"/>
      <c r="DU925" s="335"/>
      <c r="DV925" s="335"/>
      <c r="DW925" s="335"/>
      <c r="DX925" s="335"/>
      <c r="DY925" s="335"/>
      <c r="DZ925" s="335"/>
      <c r="EA925" s="335"/>
      <c r="EB925" s="335"/>
      <c r="EC925" s="335"/>
      <c r="ED925" s="335"/>
      <c r="EE925" s="335"/>
      <c r="EF925" s="335"/>
      <c r="EG925" s="335"/>
      <c r="EH925" s="335"/>
      <c r="EI925" s="335"/>
      <c r="EJ925" s="335"/>
      <c r="EK925" s="335"/>
      <c r="EL925" s="335"/>
      <c r="EM925" s="335"/>
    </row>
    <row r="926" spans="72:143">
      <c r="BT926" s="187"/>
      <c r="BU926" s="187" t="s">
        <v>98</v>
      </c>
      <c r="BV926" s="196">
        <v>120045</v>
      </c>
      <c r="BW926" s="197" t="e">
        <f t="shared" si="157"/>
        <v>#REF!</v>
      </c>
      <c r="BX926" s="198" t="e">
        <f>IF(AND(State_LOB_Code=18,LEFT(BW926,4)&lt;"2009"),81,State_LOB_Code)&amp;"|336"</f>
        <v>#REF!</v>
      </c>
      <c r="BY926" s="174"/>
      <c r="BZ926" s="175"/>
      <c r="CD926" s="163"/>
      <c r="CE926" s="363"/>
      <c r="CF926" s="335"/>
      <c r="CG926" s="335"/>
      <c r="CH926" s="335"/>
      <c r="CI926" s="335"/>
      <c r="CJ926" s="335"/>
      <c r="CK926" s="335"/>
      <c r="CL926" s="335"/>
      <c r="CM926" s="335"/>
      <c r="CN926" s="335"/>
      <c r="CO926" s="335"/>
      <c r="CP926" s="335"/>
      <c r="CQ926" s="335"/>
      <c r="CR926" s="335"/>
      <c r="CS926" s="335"/>
      <c r="CT926" s="335"/>
      <c r="CU926" s="335"/>
      <c r="CV926" s="335"/>
      <c r="CW926" s="335"/>
      <c r="CX926" s="335"/>
      <c r="CY926" s="335"/>
      <c r="CZ926" s="335"/>
      <c r="DA926" s="335"/>
      <c r="DB926" s="335"/>
      <c r="DC926" s="335"/>
      <c r="DD926" s="335"/>
      <c r="DE926" s="335"/>
      <c r="DF926" s="335"/>
      <c r="DG926" s="335"/>
      <c r="DH926" s="335"/>
      <c r="DI926" s="335"/>
      <c r="DJ926" s="335"/>
      <c r="DK926" s="335"/>
      <c r="DL926" s="335"/>
      <c r="DM926" s="335"/>
      <c r="DN926" s="335"/>
      <c r="DO926" s="335"/>
      <c r="DP926" s="335"/>
      <c r="DQ926" s="335"/>
      <c r="DR926" s="335"/>
      <c r="DS926" s="335"/>
      <c r="DT926" s="335"/>
      <c r="DU926" s="335"/>
      <c r="DV926" s="335"/>
      <c r="DW926" s="335"/>
      <c r="DX926" s="335"/>
      <c r="DY926" s="335"/>
      <c r="DZ926" s="335"/>
      <c r="EA926" s="335"/>
      <c r="EB926" s="335"/>
      <c r="EC926" s="335"/>
      <c r="ED926" s="335"/>
      <c r="EE926" s="335"/>
      <c r="EF926" s="335"/>
      <c r="EG926" s="335"/>
      <c r="EH926" s="335"/>
      <c r="EI926" s="335"/>
      <c r="EJ926" s="335"/>
      <c r="EK926" s="335"/>
      <c r="EL926" s="335"/>
      <c r="EM926" s="335"/>
    </row>
    <row r="927" spans="72:143">
      <c r="BT927" s="187"/>
      <c r="BU927" s="187" t="s">
        <v>99</v>
      </c>
      <c r="BV927" s="196">
        <v>120045</v>
      </c>
      <c r="BW927" s="197" t="e">
        <f t="shared" si="157"/>
        <v>#REF!</v>
      </c>
      <c r="BX927" s="198" t="e">
        <f>IF(AND(State_LOB_Code=18,LEFT(BW927,4)&lt;"2009"),81,State_LOB_Code)&amp;"|345"</f>
        <v>#REF!</v>
      </c>
      <c r="BY927" s="174"/>
      <c r="BZ927" s="175"/>
      <c r="CD927" s="163"/>
      <c r="CE927" s="363"/>
      <c r="CF927" s="335"/>
      <c r="CG927" s="335"/>
      <c r="CH927" s="335"/>
      <c r="CI927" s="335"/>
      <c r="CJ927" s="335"/>
      <c r="CK927" s="335"/>
      <c r="CL927" s="335"/>
      <c r="CM927" s="335"/>
      <c r="CN927" s="335"/>
      <c r="CO927" s="335"/>
      <c r="CP927" s="335"/>
      <c r="CQ927" s="335"/>
      <c r="CR927" s="335"/>
      <c r="CS927" s="335"/>
      <c r="CT927" s="335"/>
      <c r="CU927" s="335"/>
      <c r="CV927" s="335"/>
      <c r="CW927" s="335"/>
      <c r="CX927" s="335"/>
      <c r="CY927" s="335"/>
      <c r="CZ927" s="335"/>
      <c r="DA927" s="335"/>
      <c r="DB927" s="335"/>
      <c r="DC927" s="335"/>
      <c r="DD927" s="335"/>
      <c r="DE927" s="335"/>
      <c r="DF927" s="335"/>
      <c r="DG927" s="335"/>
      <c r="DH927" s="335"/>
      <c r="DI927" s="335"/>
      <c r="DJ927" s="335"/>
      <c r="DK927" s="335"/>
      <c r="DL927" s="335"/>
      <c r="DM927" s="335"/>
      <c r="DN927" s="335"/>
      <c r="DO927" s="335"/>
      <c r="DP927" s="335"/>
      <c r="DQ927" s="335"/>
      <c r="DR927" s="335"/>
      <c r="DS927" s="335"/>
      <c r="DT927" s="335"/>
      <c r="DU927" s="335"/>
      <c r="DV927" s="335"/>
      <c r="DW927" s="335"/>
      <c r="DX927" s="335"/>
      <c r="DY927" s="335"/>
      <c r="DZ927" s="335"/>
      <c r="EA927" s="335"/>
      <c r="EB927" s="335"/>
      <c r="EC927" s="335"/>
      <c r="ED927" s="335"/>
      <c r="EE927" s="335"/>
      <c r="EF927" s="335"/>
      <c r="EG927" s="335"/>
      <c r="EH927" s="335"/>
      <c r="EI927" s="335"/>
      <c r="EJ927" s="335"/>
      <c r="EK927" s="335"/>
      <c r="EL927" s="335"/>
      <c r="EM927" s="335"/>
    </row>
    <row r="928" spans="72:143">
      <c r="BT928" s="187"/>
      <c r="BU928" s="187" t="s">
        <v>100</v>
      </c>
      <c r="BV928" s="196">
        <v>120045</v>
      </c>
      <c r="BW928" s="197" t="e">
        <f t="shared" si="157"/>
        <v>#REF!</v>
      </c>
      <c r="BX928" s="198" t="e">
        <f>IF(AND(State_LOB_Code=18,LEFT(BW928,4)&lt;"2009"),81,State_LOB_Code)&amp;"|360"</f>
        <v>#REF!</v>
      </c>
      <c r="BY928" s="174"/>
      <c r="BZ928" s="175"/>
      <c r="CD928" s="163"/>
      <c r="CE928" s="363"/>
      <c r="CF928" s="335"/>
      <c r="CG928" s="335"/>
      <c r="CH928" s="335"/>
      <c r="CI928" s="335"/>
      <c r="CJ928" s="335"/>
      <c r="CK928" s="335"/>
      <c r="CL928" s="335"/>
      <c r="CM928" s="335"/>
      <c r="CN928" s="335"/>
      <c r="CO928" s="335"/>
      <c r="CP928" s="335"/>
      <c r="CQ928" s="335"/>
      <c r="CR928" s="335"/>
      <c r="CS928" s="335"/>
      <c r="CT928" s="335"/>
      <c r="CU928" s="335"/>
      <c r="CV928" s="335"/>
      <c r="CW928" s="335"/>
      <c r="CX928" s="335"/>
      <c r="CY928" s="335"/>
      <c r="CZ928" s="335"/>
      <c r="DA928" s="335"/>
      <c r="DB928" s="335"/>
      <c r="DC928" s="335"/>
      <c r="DD928" s="335"/>
      <c r="DE928" s="335"/>
      <c r="DF928" s="335"/>
      <c r="DG928" s="335"/>
      <c r="DH928" s="335"/>
      <c r="DI928" s="335"/>
      <c r="DJ928" s="335"/>
      <c r="DK928" s="335"/>
      <c r="DL928" s="335"/>
      <c r="DM928" s="335"/>
      <c r="DN928" s="335"/>
      <c r="DO928" s="335"/>
      <c r="DP928" s="335"/>
      <c r="DQ928" s="335"/>
      <c r="DR928" s="335"/>
      <c r="DS928" s="335"/>
      <c r="DT928" s="335"/>
      <c r="DU928" s="335"/>
      <c r="DV928" s="335"/>
      <c r="DW928" s="335"/>
      <c r="DX928" s="335"/>
      <c r="DY928" s="335"/>
      <c r="DZ928" s="335"/>
      <c r="EA928" s="335"/>
      <c r="EB928" s="335"/>
      <c r="EC928" s="335"/>
      <c r="ED928" s="335"/>
      <c r="EE928" s="335"/>
      <c r="EF928" s="335"/>
      <c r="EG928" s="335"/>
      <c r="EH928" s="335"/>
      <c r="EI928" s="335"/>
      <c r="EJ928" s="335"/>
      <c r="EK928" s="335"/>
      <c r="EL928" s="335"/>
      <c r="EM928" s="335"/>
    </row>
    <row r="929" spans="72:143">
      <c r="BT929" s="187"/>
      <c r="BU929" s="187" t="s">
        <v>101</v>
      </c>
      <c r="BV929" s="196">
        <v>120045</v>
      </c>
      <c r="BW929" s="197" t="e">
        <f t="shared" si="157"/>
        <v>#REF!</v>
      </c>
      <c r="BX929" s="198" t="e">
        <f>IF(AND(State_LOB_Code=18,LEFT(BW929,4)&lt;"2009"),81,State_LOB_Code)&amp;"|375"</f>
        <v>#REF!</v>
      </c>
      <c r="BY929" s="174"/>
      <c r="BZ929" s="175"/>
      <c r="CD929" s="163"/>
      <c r="CE929" s="363"/>
      <c r="CF929" s="335"/>
      <c r="CG929" s="335"/>
      <c r="CH929" s="335"/>
      <c r="CI929" s="335"/>
      <c r="CJ929" s="335"/>
      <c r="CK929" s="335"/>
      <c r="CL929" s="335"/>
      <c r="CM929" s="335"/>
      <c r="CN929" s="335"/>
      <c r="CO929" s="335"/>
      <c r="CP929" s="335"/>
      <c r="CQ929" s="335"/>
      <c r="CR929" s="335"/>
      <c r="CS929" s="335"/>
      <c r="CT929" s="335"/>
      <c r="CU929" s="335"/>
      <c r="CV929" s="335"/>
      <c r="CW929" s="335"/>
      <c r="CX929" s="335"/>
      <c r="CY929" s="335"/>
      <c r="CZ929" s="335"/>
      <c r="DA929" s="335"/>
      <c r="DB929" s="335"/>
      <c r="DC929" s="335"/>
      <c r="DD929" s="335"/>
      <c r="DE929" s="335"/>
      <c r="DF929" s="335"/>
      <c r="DG929" s="335"/>
      <c r="DH929" s="335"/>
      <c r="DI929" s="335"/>
      <c r="DJ929" s="335"/>
      <c r="DK929" s="335"/>
      <c r="DL929" s="335"/>
      <c r="DM929" s="335"/>
      <c r="DN929" s="335"/>
      <c r="DO929" s="335"/>
      <c r="DP929" s="335"/>
      <c r="DQ929" s="335"/>
      <c r="DR929" s="335"/>
      <c r="DS929" s="335"/>
      <c r="DT929" s="335"/>
      <c r="DU929" s="335"/>
      <c r="DV929" s="335"/>
      <c r="DW929" s="335"/>
      <c r="DX929" s="335"/>
      <c r="DY929" s="335"/>
      <c r="DZ929" s="335"/>
      <c r="EA929" s="335"/>
      <c r="EB929" s="335"/>
      <c r="EC929" s="335"/>
      <c r="ED929" s="335"/>
      <c r="EE929" s="335"/>
      <c r="EF929" s="335"/>
      <c r="EG929" s="335"/>
      <c r="EH929" s="335"/>
      <c r="EI929" s="335"/>
      <c r="EJ929" s="335"/>
      <c r="EK929" s="335"/>
      <c r="EL929" s="335"/>
      <c r="EM929" s="335"/>
    </row>
    <row r="930" spans="72:143">
      <c r="BT930" s="187"/>
      <c r="BU930" s="187" t="s">
        <v>102</v>
      </c>
      <c r="BV930" s="196">
        <v>120045</v>
      </c>
      <c r="BW930" s="197" t="e">
        <f t="shared" si="157"/>
        <v>#REF!</v>
      </c>
      <c r="BX930" s="198" t="e">
        <f>IF(AND(State_LOB_Code=18,LEFT(BW930,4)&lt;"2009"),81,State_LOB_Code)&amp;"|383"</f>
        <v>#REF!</v>
      </c>
      <c r="BY930" s="174"/>
      <c r="BZ930" s="175"/>
      <c r="CD930" s="163"/>
      <c r="CE930" s="363"/>
      <c r="CF930" s="335"/>
      <c r="CG930" s="335"/>
      <c r="CH930" s="335"/>
      <c r="CI930" s="335"/>
      <c r="CJ930" s="335"/>
      <c r="CK930" s="335"/>
      <c r="CL930" s="335"/>
      <c r="CM930" s="335"/>
      <c r="CN930" s="335"/>
      <c r="CO930" s="335"/>
      <c r="CP930" s="335"/>
      <c r="CQ930" s="335"/>
      <c r="CR930" s="335"/>
      <c r="CS930" s="335"/>
      <c r="CT930" s="335"/>
      <c r="CU930" s="335"/>
      <c r="CV930" s="335"/>
      <c r="CW930" s="335"/>
      <c r="CX930" s="335"/>
      <c r="CY930" s="335"/>
      <c r="CZ930" s="335"/>
      <c r="DA930" s="335"/>
      <c r="DB930" s="335"/>
      <c r="DC930" s="335"/>
      <c r="DD930" s="335"/>
      <c r="DE930" s="335"/>
      <c r="DF930" s="335"/>
      <c r="DG930" s="335"/>
      <c r="DH930" s="335"/>
      <c r="DI930" s="335"/>
      <c r="DJ930" s="335"/>
      <c r="DK930" s="335"/>
      <c r="DL930" s="335"/>
      <c r="DM930" s="335"/>
      <c r="DN930" s="335"/>
      <c r="DO930" s="335"/>
      <c r="DP930" s="335"/>
      <c r="DQ930" s="335"/>
      <c r="DR930" s="335"/>
      <c r="DS930" s="335"/>
      <c r="DT930" s="335"/>
      <c r="DU930" s="335"/>
      <c r="DV930" s="335"/>
      <c r="DW930" s="335"/>
      <c r="DX930" s="335"/>
      <c r="DY930" s="335"/>
      <c r="DZ930" s="335"/>
      <c r="EA930" s="335"/>
      <c r="EB930" s="335"/>
      <c r="EC930" s="335"/>
      <c r="ED930" s="335"/>
      <c r="EE930" s="335"/>
      <c r="EF930" s="335"/>
      <c r="EG930" s="335"/>
      <c r="EH930" s="335"/>
      <c r="EI930" s="335"/>
      <c r="EJ930" s="335"/>
      <c r="EK930" s="335"/>
      <c r="EL930" s="335"/>
      <c r="EM930" s="335"/>
    </row>
    <row r="931" spans="72:143">
      <c r="BT931" s="187"/>
      <c r="BU931" s="187" t="s">
        <v>103</v>
      </c>
      <c r="BV931" s="196">
        <v>120045</v>
      </c>
      <c r="BW931" s="197" t="e">
        <f t="shared" si="157"/>
        <v>#REF!</v>
      </c>
      <c r="BX931" s="198" t="e">
        <f>IF(AND(State_LOB_Code=18,LEFT(BW931,4)&lt;"2009"),81,State_LOB_Code)&amp;"|332"</f>
        <v>#REF!</v>
      </c>
      <c r="BY931" s="174"/>
      <c r="BZ931" s="175"/>
      <c r="CD931" s="163"/>
      <c r="CE931" s="363"/>
      <c r="CF931" s="335"/>
      <c r="CG931" s="335"/>
      <c r="CH931" s="335"/>
      <c r="CI931" s="335"/>
      <c r="CJ931" s="335"/>
      <c r="CK931" s="335"/>
      <c r="CL931" s="335"/>
      <c r="CM931" s="335"/>
      <c r="CN931" s="335"/>
      <c r="CO931" s="335"/>
      <c r="CP931" s="335"/>
      <c r="CQ931" s="335"/>
      <c r="CR931" s="335"/>
      <c r="CS931" s="335"/>
      <c r="CT931" s="335"/>
      <c r="CU931" s="335"/>
      <c r="CV931" s="335"/>
      <c r="CW931" s="335"/>
      <c r="CX931" s="335"/>
      <c r="CY931" s="335"/>
      <c r="CZ931" s="335"/>
      <c r="DA931" s="335"/>
      <c r="DB931" s="335"/>
      <c r="DC931" s="335"/>
      <c r="DD931" s="335"/>
      <c r="DE931" s="335"/>
      <c r="DF931" s="335"/>
      <c r="DG931" s="335"/>
      <c r="DH931" s="335"/>
      <c r="DI931" s="335"/>
      <c r="DJ931" s="335"/>
      <c r="DK931" s="335"/>
      <c r="DL931" s="335"/>
      <c r="DM931" s="335"/>
      <c r="DN931" s="335"/>
      <c r="DO931" s="335"/>
      <c r="DP931" s="335"/>
      <c r="DQ931" s="335"/>
      <c r="DR931" s="335"/>
      <c r="DS931" s="335"/>
      <c r="DT931" s="335"/>
      <c r="DU931" s="335"/>
      <c r="DV931" s="335"/>
      <c r="DW931" s="335"/>
      <c r="DX931" s="335"/>
      <c r="DY931" s="335"/>
      <c r="DZ931" s="335"/>
      <c r="EA931" s="335"/>
      <c r="EB931" s="335"/>
      <c r="EC931" s="335"/>
      <c r="ED931" s="335"/>
      <c r="EE931" s="335"/>
      <c r="EF931" s="335"/>
      <c r="EG931" s="335"/>
      <c r="EH931" s="335"/>
      <c r="EI931" s="335"/>
      <c r="EJ931" s="335"/>
      <c r="EK931" s="335"/>
      <c r="EL931" s="335"/>
      <c r="EM931" s="335"/>
    </row>
    <row r="932" spans="72:143">
      <c r="BT932" s="187"/>
      <c r="BU932" s="187" t="s">
        <v>104</v>
      </c>
      <c r="BV932" s="196">
        <v>120045</v>
      </c>
      <c r="BW932" s="197" t="e">
        <f t="shared" si="157"/>
        <v>#REF!</v>
      </c>
      <c r="BX932" s="198" t="e">
        <f>IF(AND(State_LOB_Code=18,LEFT(BW932,4)&lt;"2009"),81,State_LOB_Code)&amp;"|330"</f>
        <v>#REF!</v>
      </c>
      <c r="BY932" s="174"/>
      <c r="BZ932" s="175"/>
      <c r="CD932" s="163"/>
      <c r="CE932" s="363"/>
      <c r="CF932" s="335"/>
      <c r="CG932" s="335"/>
      <c r="CH932" s="335"/>
      <c r="CI932" s="335"/>
      <c r="CJ932" s="335"/>
      <c r="CK932" s="335"/>
      <c r="CL932" s="335"/>
      <c r="CM932" s="335"/>
      <c r="CN932" s="335"/>
      <c r="CO932" s="335"/>
      <c r="CP932" s="335"/>
      <c r="CQ932" s="335"/>
      <c r="CR932" s="335"/>
      <c r="CS932" s="335"/>
      <c r="CT932" s="335"/>
      <c r="CU932" s="335"/>
      <c r="CV932" s="335"/>
      <c r="CW932" s="335"/>
      <c r="CX932" s="335"/>
      <c r="CY932" s="335"/>
      <c r="CZ932" s="335"/>
      <c r="DA932" s="335"/>
      <c r="DB932" s="335"/>
      <c r="DC932" s="335"/>
      <c r="DD932" s="335"/>
      <c r="DE932" s="335"/>
      <c r="DF932" s="335"/>
      <c r="DG932" s="335"/>
      <c r="DH932" s="335"/>
      <c r="DI932" s="335"/>
      <c r="DJ932" s="335"/>
      <c r="DK932" s="335"/>
      <c r="DL932" s="335"/>
      <c r="DM932" s="335"/>
      <c r="DN932" s="335"/>
      <c r="DO932" s="335"/>
      <c r="DP932" s="335"/>
      <c r="DQ932" s="335"/>
      <c r="DR932" s="335"/>
      <c r="DS932" s="335"/>
      <c r="DT932" s="335"/>
      <c r="DU932" s="335"/>
      <c r="DV932" s="335"/>
      <c r="DW932" s="335"/>
      <c r="DX932" s="335"/>
      <c r="DY932" s="335"/>
      <c r="DZ932" s="335"/>
      <c r="EA932" s="335"/>
      <c r="EB932" s="335"/>
      <c r="EC932" s="335"/>
      <c r="ED932" s="335"/>
      <c r="EE932" s="335"/>
      <c r="EF932" s="335"/>
      <c r="EG932" s="335"/>
      <c r="EH932" s="335"/>
      <c r="EI932" s="335"/>
      <c r="EJ932" s="335"/>
      <c r="EK932" s="335"/>
      <c r="EL932" s="335"/>
      <c r="EM932" s="335"/>
    </row>
    <row r="933" spans="72:143">
      <c r="BT933" s="180" t="s">
        <v>34</v>
      </c>
      <c r="BU933" s="190" t="s">
        <v>46</v>
      </c>
      <c r="BV933" s="202">
        <v>120068</v>
      </c>
      <c r="BW933" s="203" t="e">
        <f t="shared" si="157"/>
        <v>#REF!</v>
      </c>
      <c r="BX933" s="204" t="e">
        <f>IF(AND(State_LOB_Code=18,LEFT(BW933,4)&lt;"2009"),81,State_LOB_Code)</f>
        <v>#REF!</v>
      </c>
      <c r="BY933" s="191"/>
      <c r="BZ933" s="192"/>
      <c r="CD933" s="163"/>
      <c r="CE933" s="363"/>
      <c r="CF933" s="335"/>
      <c r="CG933" s="335"/>
      <c r="CH933" s="335"/>
      <c r="CI933" s="335"/>
      <c r="CJ933" s="335"/>
      <c r="CK933" s="335"/>
      <c r="CL933" s="335"/>
      <c r="CM933" s="335"/>
      <c r="CN933" s="335"/>
      <c r="CO933" s="335"/>
      <c r="CP933" s="335"/>
      <c r="CQ933" s="335"/>
      <c r="CR933" s="335"/>
      <c r="CS933" s="335"/>
      <c r="CT933" s="335"/>
      <c r="CU933" s="335"/>
      <c r="CV933" s="335"/>
      <c r="CW933" s="335"/>
      <c r="CX933" s="335"/>
      <c r="CY933" s="335"/>
      <c r="CZ933" s="335"/>
      <c r="DA933" s="335"/>
      <c r="DB933" s="335"/>
      <c r="DC933" s="335"/>
      <c r="DD933" s="335"/>
      <c r="DE933" s="335"/>
      <c r="DF933" s="335"/>
      <c r="DG933" s="335"/>
      <c r="DH933" s="335"/>
      <c r="DI933" s="335"/>
      <c r="DJ933" s="335"/>
      <c r="DK933" s="335"/>
      <c r="DL933" s="335"/>
      <c r="DM933" s="335"/>
      <c r="DN933" s="335"/>
      <c r="DO933" s="335"/>
      <c r="DP933" s="335"/>
      <c r="DQ933" s="335"/>
      <c r="DR933" s="335"/>
      <c r="DS933" s="335"/>
      <c r="DT933" s="335"/>
      <c r="DU933" s="335"/>
      <c r="DV933" s="335"/>
      <c r="DW933" s="335"/>
      <c r="DX933" s="335"/>
      <c r="DY933" s="335"/>
      <c r="DZ933" s="335"/>
      <c r="EA933" s="335"/>
      <c r="EB933" s="335"/>
      <c r="EC933" s="335"/>
      <c r="ED933" s="335"/>
      <c r="EE933" s="335"/>
      <c r="EF933" s="335"/>
      <c r="EG933" s="335"/>
      <c r="EH933" s="335"/>
      <c r="EI933" s="335"/>
      <c r="EJ933" s="335"/>
      <c r="EK933" s="335"/>
      <c r="EL933" s="335"/>
      <c r="EM933" s="335"/>
    </row>
    <row r="934" spans="72:143">
      <c r="BT934" s="221"/>
      <c r="BU934" s="184"/>
      <c r="BV934" s="211"/>
      <c r="BW934" s="208"/>
      <c r="BX934" s="212"/>
      <c r="BY934" s="210"/>
      <c r="BZ934" s="209"/>
      <c r="CD934" s="163"/>
      <c r="CE934" s="363"/>
      <c r="CF934" s="335"/>
      <c r="CG934" s="335"/>
      <c r="CH934" s="335"/>
      <c r="CI934" s="335"/>
      <c r="CJ934" s="335"/>
      <c r="CK934" s="335"/>
      <c r="CL934" s="335"/>
      <c r="CM934" s="335"/>
      <c r="CN934" s="335"/>
      <c r="CO934" s="335"/>
      <c r="CP934" s="335"/>
      <c r="CQ934" s="335"/>
      <c r="CR934" s="335"/>
      <c r="CS934" s="335"/>
      <c r="CT934" s="335"/>
      <c r="CU934" s="335"/>
      <c r="CV934" s="335"/>
      <c r="CW934" s="335"/>
      <c r="CX934" s="335"/>
      <c r="CY934" s="335"/>
      <c r="CZ934" s="335"/>
      <c r="DA934" s="335"/>
      <c r="DB934" s="335"/>
      <c r="DC934" s="335"/>
      <c r="DD934" s="335"/>
      <c r="DE934" s="335"/>
      <c r="DF934" s="335"/>
      <c r="DG934" s="335"/>
      <c r="DH934" s="335"/>
      <c r="DI934" s="335"/>
      <c r="DJ934" s="335"/>
      <c r="DK934" s="335"/>
      <c r="DL934" s="335"/>
      <c r="DM934" s="335"/>
      <c r="DN934" s="335"/>
      <c r="DO934" s="335"/>
      <c r="DP934" s="335"/>
      <c r="DQ934" s="335"/>
      <c r="DR934" s="335"/>
      <c r="DS934" s="335"/>
      <c r="DT934" s="335"/>
      <c r="DU934" s="335"/>
      <c r="DV934" s="335"/>
      <c r="DW934" s="335"/>
      <c r="DX934" s="335"/>
      <c r="DY934" s="335"/>
      <c r="DZ934" s="335"/>
      <c r="EA934" s="335"/>
      <c r="EB934" s="335"/>
      <c r="EC934" s="335"/>
      <c r="ED934" s="335"/>
      <c r="EE934" s="335"/>
      <c r="EF934" s="335"/>
      <c r="EG934" s="335"/>
      <c r="EH934" s="335"/>
      <c r="EI934" s="335"/>
      <c r="EJ934" s="335"/>
      <c r="EK934" s="335"/>
      <c r="EL934" s="335"/>
      <c r="EM934" s="335"/>
    </row>
    <row r="935" spans="72:143">
      <c r="BT935" s="180" t="s">
        <v>25</v>
      </c>
      <c r="BU935" s="180"/>
      <c r="BV935" s="181"/>
      <c r="BW935" s="182"/>
      <c r="BX935" s="182"/>
      <c r="BY935" s="183"/>
      <c r="BZ935" s="229"/>
      <c r="CD935" s="163"/>
      <c r="CE935" s="363"/>
      <c r="CF935" s="335"/>
      <c r="CG935" s="335"/>
      <c r="CH935" s="335"/>
      <c r="CI935" s="335"/>
      <c r="CJ935" s="335"/>
      <c r="CK935" s="335"/>
      <c r="CL935" s="335"/>
      <c r="CM935" s="335"/>
      <c r="CN935" s="335"/>
      <c r="CO935" s="335"/>
      <c r="CP935" s="335"/>
      <c r="CQ935" s="335"/>
      <c r="CR935" s="335"/>
      <c r="CS935" s="335"/>
      <c r="CT935" s="335"/>
      <c r="CU935" s="335"/>
      <c r="CV935" s="335"/>
      <c r="CW935" s="335"/>
      <c r="CX935" s="335"/>
      <c r="CY935" s="335"/>
      <c r="CZ935" s="335"/>
      <c r="DA935" s="335"/>
      <c r="DB935" s="335"/>
      <c r="DC935" s="335"/>
      <c r="DD935" s="335"/>
      <c r="DE935" s="335"/>
      <c r="DF935" s="335"/>
      <c r="DG935" s="335"/>
      <c r="DH935" s="335"/>
      <c r="DI935" s="335"/>
      <c r="DJ935" s="335"/>
      <c r="DK935" s="335"/>
      <c r="DL935" s="335"/>
      <c r="DM935" s="335"/>
      <c r="DN935" s="335"/>
      <c r="DO935" s="335"/>
      <c r="DP935" s="335"/>
      <c r="DQ935" s="335"/>
      <c r="DR935" s="335"/>
      <c r="DS935" s="335"/>
      <c r="DT935" s="335"/>
      <c r="DU935" s="335"/>
      <c r="DV935" s="335"/>
      <c r="DW935" s="335"/>
      <c r="DX935" s="335"/>
      <c r="DY935" s="335"/>
      <c r="DZ935" s="335"/>
      <c r="EA935" s="335"/>
      <c r="EB935" s="335"/>
      <c r="EC935" s="335"/>
      <c r="ED935" s="335"/>
      <c r="EE935" s="335"/>
      <c r="EF935" s="335"/>
      <c r="EG935" s="335"/>
      <c r="EH935" s="335"/>
      <c r="EI935" s="335"/>
      <c r="EJ935" s="335"/>
      <c r="EK935" s="335"/>
      <c r="EL935" s="335"/>
      <c r="EM935" s="335"/>
    </row>
    <row r="936" spans="72:143">
      <c r="BT936" s="187"/>
      <c r="BU936" s="184" t="s">
        <v>47</v>
      </c>
      <c r="BV936" s="193">
        <v>120035</v>
      </c>
      <c r="BW936" s="194" t="e">
        <f t="shared" ref="BW936:BW967" si="158">Period_Y</f>
        <v>#REF!</v>
      </c>
      <c r="BX936" s="195" t="e">
        <f>IF(AND(State_LOB_Code=18,LEFT(BW936,4)&lt;"2009"),81,State_LOB_Code)&amp;"|333"</f>
        <v>#REF!</v>
      </c>
      <c r="BY936" s="213"/>
      <c r="BZ936" s="214"/>
      <c r="CD936" s="163"/>
      <c r="CE936" s="363"/>
      <c r="CF936" s="335"/>
      <c r="CG936" s="335"/>
      <c r="CH936" s="335"/>
      <c r="CI936" s="335"/>
      <c r="CJ936" s="335"/>
      <c r="CK936" s="335"/>
      <c r="CL936" s="335"/>
      <c r="CM936" s="335"/>
      <c r="CN936" s="335"/>
      <c r="CO936" s="335"/>
      <c r="CP936" s="335"/>
      <c r="CQ936" s="335"/>
      <c r="CR936" s="335"/>
      <c r="CS936" s="335"/>
      <c r="CT936" s="335"/>
      <c r="CU936" s="335"/>
      <c r="CV936" s="335"/>
      <c r="CW936" s="335"/>
      <c r="CX936" s="335"/>
      <c r="CY936" s="335"/>
      <c r="CZ936" s="335"/>
      <c r="DA936" s="335"/>
      <c r="DB936" s="335"/>
      <c r="DC936" s="335"/>
      <c r="DD936" s="335"/>
      <c r="DE936" s="335"/>
      <c r="DF936" s="335"/>
      <c r="DG936" s="335"/>
      <c r="DH936" s="335"/>
      <c r="DI936" s="335"/>
      <c r="DJ936" s="335"/>
      <c r="DK936" s="335"/>
      <c r="DL936" s="335"/>
      <c r="DM936" s="335"/>
      <c r="DN936" s="335"/>
      <c r="DO936" s="335"/>
      <c r="DP936" s="335"/>
      <c r="DQ936" s="335"/>
      <c r="DR936" s="335"/>
      <c r="DS936" s="335"/>
      <c r="DT936" s="335"/>
      <c r="DU936" s="335"/>
      <c r="DV936" s="335"/>
      <c r="DW936" s="335"/>
      <c r="DX936" s="335"/>
      <c r="DY936" s="335"/>
      <c r="DZ936" s="335"/>
      <c r="EA936" s="335"/>
      <c r="EB936" s="335"/>
      <c r="EC936" s="335"/>
      <c r="ED936" s="335"/>
      <c r="EE936" s="335"/>
      <c r="EF936" s="335"/>
      <c r="EG936" s="335"/>
      <c r="EH936" s="335"/>
      <c r="EI936" s="335"/>
      <c r="EJ936" s="335"/>
      <c r="EK936" s="335"/>
      <c r="EL936" s="335"/>
      <c r="EM936" s="335"/>
    </row>
    <row r="937" spans="72:143">
      <c r="BT937" s="187"/>
      <c r="BU937" s="187" t="s">
        <v>48</v>
      </c>
      <c r="BV937" s="196">
        <v>120035</v>
      </c>
      <c r="BW937" s="197" t="e">
        <f t="shared" si="158"/>
        <v>#REF!</v>
      </c>
      <c r="BX937" s="198" t="e">
        <f>IF(AND(State_LOB_Code=18,LEFT(BW937,4)&lt;"2009"),81,State_LOB_Code)&amp;"|334"</f>
        <v>#REF!</v>
      </c>
      <c r="BY937" s="215"/>
      <c r="BZ937" s="216"/>
      <c r="CD937" s="163"/>
      <c r="CE937" s="363"/>
      <c r="CF937" s="335"/>
      <c r="CG937" s="335"/>
      <c r="CH937" s="335"/>
      <c r="CI937" s="335"/>
      <c r="CJ937" s="335"/>
      <c r="CK937" s="335"/>
      <c r="CL937" s="335"/>
      <c r="CM937" s="335"/>
      <c r="CN937" s="335"/>
      <c r="CO937" s="335"/>
      <c r="CP937" s="335"/>
      <c r="CQ937" s="335"/>
      <c r="CR937" s="335"/>
      <c r="CS937" s="335"/>
      <c r="CT937" s="335"/>
      <c r="CU937" s="335"/>
      <c r="CV937" s="335"/>
      <c r="CW937" s="335"/>
      <c r="CX937" s="335"/>
      <c r="CY937" s="335"/>
      <c r="CZ937" s="335"/>
      <c r="DA937" s="335"/>
      <c r="DB937" s="335"/>
      <c r="DC937" s="335"/>
      <c r="DD937" s="335"/>
      <c r="DE937" s="335"/>
      <c r="DF937" s="335"/>
      <c r="DG937" s="335"/>
      <c r="DH937" s="335"/>
      <c r="DI937" s="335"/>
      <c r="DJ937" s="335"/>
      <c r="DK937" s="335"/>
      <c r="DL937" s="335"/>
      <c r="DM937" s="335"/>
      <c r="DN937" s="335"/>
      <c r="DO937" s="335"/>
      <c r="DP937" s="335"/>
      <c r="DQ937" s="335"/>
      <c r="DR937" s="335"/>
      <c r="DS937" s="335"/>
      <c r="DT937" s="335"/>
      <c r="DU937" s="335"/>
      <c r="DV937" s="335"/>
      <c r="DW937" s="335"/>
      <c r="DX937" s="335"/>
      <c r="DY937" s="335"/>
      <c r="DZ937" s="335"/>
      <c r="EA937" s="335"/>
      <c r="EB937" s="335"/>
      <c r="EC937" s="335"/>
      <c r="ED937" s="335"/>
      <c r="EE937" s="335"/>
      <c r="EF937" s="335"/>
      <c r="EG937" s="335"/>
      <c r="EH937" s="335"/>
      <c r="EI937" s="335"/>
      <c r="EJ937" s="335"/>
      <c r="EK937" s="335"/>
      <c r="EL937" s="335"/>
      <c r="EM937" s="335"/>
    </row>
    <row r="938" spans="72:143">
      <c r="BT938" s="187"/>
      <c r="BU938" s="187" t="s">
        <v>49</v>
      </c>
      <c r="BV938" s="196">
        <v>120035</v>
      </c>
      <c r="BW938" s="197" t="e">
        <f t="shared" si="158"/>
        <v>#REF!</v>
      </c>
      <c r="BX938" s="198" t="e">
        <f>IF(AND(State_LOB_Code=18,LEFT(BW938,4)&lt;"2009"),81,State_LOB_Code)&amp;"|335"</f>
        <v>#REF!</v>
      </c>
      <c r="BY938" s="215"/>
      <c r="BZ938" s="216"/>
      <c r="CD938" s="163"/>
      <c r="CE938" s="363"/>
      <c r="CF938" s="335"/>
      <c r="CG938" s="335"/>
      <c r="CH938" s="335"/>
      <c r="CI938" s="335"/>
      <c r="CJ938" s="335"/>
      <c r="CK938" s="335"/>
      <c r="CL938" s="335"/>
      <c r="CM938" s="335"/>
      <c r="CN938" s="335"/>
      <c r="CO938" s="335"/>
      <c r="CP938" s="335"/>
      <c r="CQ938" s="335"/>
      <c r="CR938" s="335"/>
      <c r="CS938" s="335"/>
      <c r="CT938" s="335"/>
      <c r="CU938" s="335"/>
      <c r="CV938" s="335"/>
      <c r="CW938" s="335"/>
      <c r="CX938" s="335"/>
      <c r="CY938" s="335"/>
      <c r="CZ938" s="335"/>
      <c r="DA938" s="335"/>
      <c r="DB938" s="335"/>
      <c r="DC938" s="335"/>
      <c r="DD938" s="335"/>
      <c r="DE938" s="335"/>
      <c r="DF938" s="335"/>
      <c r="DG938" s="335"/>
      <c r="DH938" s="335"/>
      <c r="DI938" s="335"/>
      <c r="DJ938" s="335"/>
      <c r="DK938" s="335"/>
      <c r="DL938" s="335"/>
      <c r="DM938" s="335"/>
      <c r="DN938" s="335"/>
      <c r="DO938" s="335"/>
      <c r="DP938" s="335"/>
      <c r="DQ938" s="335"/>
      <c r="DR938" s="335"/>
      <c r="DS938" s="335"/>
      <c r="DT938" s="335"/>
      <c r="DU938" s="335"/>
      <c r="DV938" s="335"/>
      <c r="DW938" s="335"/>
      <c r="DX938" s="335"/>
      <c r="DY938" s="335"/>
      <c r="DZ938" s="335"/>
      <c r="EA938" s="335"/>
      <c r="EB938" s="335"/>
      <c r="EC938" s="335"/>
      <c r="ED938" s="335"/>
      <c r="EE938" s="335"/>
      <c r="EF938" s="335"/>
      <c r="EG938" s="335"/>
      <c r="EH938" s="335"/>
      <c r="EI938" s="335"/>
      <c r="EJ938" s="335"/>
      <c r="EK938" s="335"/>
      <c r="EL938" s="335"/>
      <c r="EM938" s="335"/>
    </row>
    <row r="939" spans="72:143">
      <c r="BT939" s="187"/>
      <c r="BU939" s="187" t="s">
        <v>50</v>
      </c>
      <c r="BV939" s="196">
        <v>120035</v>
      </c>
      <c r="BW939" s="197" t="e">
        <f t="shared" si="158"/>
        <v>#REF!</v>
      </c>
      <c r="BX939" s="198" t="e">
        <f>IF(AND(State_LOB_Code=18,LEFT(BW939,4)&lt;"2009"),81,State_LOB_Code)&amp;"|337"</f>
        <v>#REF!</v>
      </c>
      <c r="BY939" s="215"/>
      <c r="BZ939" s="216"/>
      <c r="CD939" s="163"/>
      <c r="CE939" s="363"/>
      <c r="CF939" s="335"/>
      <c r="CG939" s="335"/>
      <c r="CH939" s="335"/>
      <c r="CI939" s="335"/>
      <c r="CJ939" s="335"/>
      <c r="CK939" s="335"/>
      <c r="CL939" s="335"/>
      <c r="CM939" s="335"/>
      <c r="CN939" s="335"/>
      <c r="CO939" s="335"/>
      <c r="CP939" s="335"/>
      <c r="CQ939" s="335"/>
      <c r="CR939" s="335"/>
      <c r="CS939" s="335"/>
      <c r="CT939" s="335"/>
      <c r="CU939" s="335"/>
      <c r="CV939" s="335"/>
      <c r="CW939" s="335"/>
      <c r="CX939" s="335"/>
      <c r="CY939" s="335"/>
      <c r="CZ939" s="335"/>
      <c r="DA939" s="335"/>
      <c r="DB939" s="335"/>
      <c r="DC939" s="335"/>
      <c r="DD939" s="335"/>
      <c r="DE939" s="335"/>
      <c r="DF939" s="335"/>
      <c r="DG939" s="335"/>
      <c r="DH939" s="335"/>
      <c r="DI939" s="335"/>
      <c r="DJ939" s="335"/>
      <c r="DK939" s="335"/>
      <c r="DL939" s="335"/>
      <c r="DM939" s="335"/>
      <c r="DN939" s="335"/>
      <c r="DO939" s="335"/>
      <c r="DP939" s="335"/>
      <c r="DQ939" s="335"/>
      <c r="DR939" s="335"/>
      <c r="DS939" s="335"/>
      <c r="DT939" s="335"/>
      <c r="DU939" s="335"/>
      <c r="DV939" s="335"/>
      <c r="DW939" s="335"/>
      <c r="DX939" s="335"/>
      <c r="DY939" s="335"/>
      <c r="DZ939" s="335"/>
      <c r="EA939" s="335"/>
      <c r="EB939" s="335"/>
      <c r="EC939" s="335"/>
      <c r="ED939" s="335"/>
      <c r="EE939" s="335"/>
      <c r="EF939" s="335"/>
      <c r="EG939" s="335"/>
      <c r="EH939" s="335"/>
      <c r="EI939" s="335"/>
      <c r="EJ939" s="335"/>
      <c r="EK939" s="335"/>
      <c r="EL939" s="335"/>
      <c r="EM939" s="335"/>
    </row>
    <row r="940" spans="72:143">
      <c r="BT940" s="187"/>
      <c r="BU940" s="187" t="s">
        <v>51</v>
      </c>
      <c r="BV940" s="196">
        <v>120035</v>
      </c>
      <c r="BW940" s="197" t="e">
        <f t="shared" si="158"/>
        <v>#REF!</v>
      </c>
      <c r="BX940" s="198" t="e">
        <f>IF(AND(State_LOB_Code=18,LEFT(BW940,4)&lt;"2009"),81,State_LOB_Code)&amp;"|338"</f>
        <v>#REF!</v>
      </c>
      <c r="BY940" s="215"/>
      <c r="BZ940" s="216"/>
      <c r="CD940" s="163"/>
      <c r="CE940" s="363"/>
      <c r="CF940" s="335"/>
      <c r="CG940" s="335"/>
      <c r="CH940" s="335"/>
      <c r="CI940" s="335"/>
      <c r="CJ940" s="335"/>
      <c r="CK940" s="335"/>
      <c r="CL940" s="335"/>
      <c r="CM940" s="335"/>
      <c r="CN940" s="335"/>
      <c r="CO940" s="335"/>
      <c r="CP940" s="335"/>
      <c r="CQ940" s="335"/>
      <c r="CR940" s="335"/>
      <c r="CS940" s="335"/>
      <c r="CT940" s="335"/>
      <c r="CU940" s="335"/>
      <c r="CV940" s="335"/>
      <c r="CW940" s="335"/>
      <c r="CX940" s="335"/>
      <c r="CY940" s="335"/>
      <c r="CZ940" s="335"/>
      <c r="DA940" s="335"/>
      <c r="DB940" s="335"/>
      <c r="DC940" s="335"/>
      <c r="DD940" s="335"/>
      <c r="DE940" s="335"/>
      <c r="DF940" s="335"/>
      <c r="DG940" s="335"/>
      <c r="DH940" s="335"/>
      <c r="DI940" s="335"/>
      <c r="DJ940" s="335"/>
      <c r="DK940" s="335"/>
      <c r="DL940" s="335"/>
      <c r="DM940" s="335"/>
      <c r="DN940" s="335"/>
      <c r="DO940" s="335"/>
      <c r="DP940" s="335"/>
      <c r="DQ940" s="335"/>
      <c r="DR940" s="335"/>
      <c r="DS940" s="335"/>
      <c r="DT940" s="335"/>
      <c r="DU940" s="335"/>
      <c r="DV940" s="335"/>
      <c r="DW940" s="335"/>
      <c r="DX940" s="335"/>
      <c r="DY940" s="335"/>
      <c r="DZ940" s="335"/>
      <c r="EA940" s="335"/>
      <c r="EB940" s="335"/>
      <c r="EC940" s="335"/>
      <c r="ED940" s="335"/>
      <c r="EE940" s="335"/>
      <c r="EF940" s="335"/>
      <c r="EG940" s="335"/>
      <c r="EH940" s="335"/>
      <c r="EI940" s="335"/>
      <c r="EJ940" s="335"/>
      <c r="EK940" s="335"/>
      <c r="EL940" s="335"/>
      <c r="EM940" s="335"/>
    </row>
    <row r="941" spans="72:143">
      <c r="BT941" s="187"/>
      <c r="BU941" s="187" t="s">
        <v>52</v>
      </c>
      <c r="BV941" s="196">
        <v>120035</v>
      </c>
      <c r="BW941" s="197" t="e">
        <f t="shared" si="158"/>
        <v>#REF!</v>
      </c>
      <c r="BX941" s="198" t="e">
        <f>IF(AND(State_LOB_Code=18,LEFT(BW941,4)&lt;"2009"),81,State_LOB_Code)&amp;"|339"</f>
        <v>#REF!</v>
      </c>
      <c r="BY941" s="215"/>
      <c r="BZ941" s="216"/>
      <c r="CD941" s="163"/>
      <c r="CE941" s="363"/>
      <c r="CF941" s="335"/>
      <c r="CG941" s="335"/>
      <c r="CH941" s="335"/>
      <c r="CI941" s="335"/>
      <c r="CJ941" s="335"/>
      <c r="CK941" s="335"/>
      <c r="CL941" s="335"/>
      <c r="CM941" s="335"/>
      <c r="CN941" s="335"/>
      <c r="CO941" s="335"/>
      <c r="CP941" s="335"/>
      <c r="CQ941" s="335"/>
      <c r="CR941" s="335"/>
      <c r="CS941" s="335"/>
      <c r="CT941" s="335"/>
      <c r="CU941" s="335"/>
      <c r="CV941" s="335"/>
      <c r="CW941" s="335"/>
      <c r="CX941" s="335"/>
      <c r="CY941" s="335"/>
      <c r="CZ941" s="335"/>
      <c r="DA941" s="335"/>
      <c r="DB941" s="335"/>
      <c r="DC941" s="335"/>
      <c r="DD941" s="335"/>
      <c r="DE941" s="335"/>
      <c r="DF941" s="335"/>
      <c r="DG941" s="335"/>
      <c r="DH941" s="335"/>
      <c r="DI941" s="335"/>
      <c r="DJ941" s="335"/>
      <c r="DK941" s="335"/>
      <c r="DL941" s="335"/>
      <c r="DM941" s="335"/>
      <c r="DN941" s="335"/>
      <c r="DO941" s="335"/>
      <c r="DP941" s="335"/>
      <c r="DQ941" s="335"/>
      <c r="DR941" s="335"/>
      <c r="DS941" s="335"/>
      <c r="DT941" s="335"/>
      <c r="DU941" s="335"/>
      <c r="DV941" s="335"/>
      <c r="DW941" s="335"/>
      <c r="DX941" s="335"/>
      <c r="DY941" s="335"/>
      <c r="DZ941" s="335"/>
      <c r="EA941" s="335"/>
      <c r="EB941" s="335"/>
      <c r="EC941" s="335"/>
      <c r="ED941" s="335"/>
      <c r="EE941" s="335"/>
      <c r="EF941" s="335"/>
      <c r="EG941" s="335"/>
      <c r="EH941" s="335"/>
      <c r="EI941" s="335"/>
      <c r="EJ941" s="335"/>
      <c r="EK941" s="335"/>
      <c r="EL941" s="335"/>
      <c r="EM941" s="335"/>
    </row>
    <row r="942" spans="72:143">
      <c r="BT942" s="187"/>
      <c r="BU942" s="187" t="s">
        <v>53</v>
      </c>
      <c r="BV942" s="196">
        <v>120035</v>
      </c>
      <c r="BW942" s="197" t="e">
        <f t="shared" si="158"/>
        <v>#REF!</v>
      </c>
      <c r="BX942" s="198" t="e">
        <f>IF(AND(State_LOB_Code=18,LEFT(BW942,4)&lt;"2009"),81,State_LOB_Code)&amp;"|340"</f>
        <v>#REF!</v>
      </c>
      <c r="BY942" s="215"/>
      <c r="BZ942" s="216"/>
      <c r="CD942" s="163"/>
      <c r="CE942" s="363"/>
      <c r="CF942" s="335"/>
      <c r="CG942" s="335"/>
      <c r="CH942" s="335"/>
      <c r="CI942" s="335"/>
      <c r="CJ942" s="335"/>
      <c r="CK942" s="335"/>
      <c r="CL942" s="335"/>
      <c r="CM942" s="335"/>
      <c r="CN942" s="335"/>
      <c r="CO942" s="335"/>
      <c r="CP942" s="335"/>
      <c r="CQ942" s="335"/>
      <c r="CR942" s="335"/>
      <c r="CS942" s="335"/>
      <c r="CT942" s="335"/>
      <c r="CU942" s="335"/>
      <c r="CV942" s="335"/>
      <c r="CW942" s="335"/>
      <c r="CX942" s="335"/>
      <c r="CY942" s="335"/>
      <c r="CZ942" s="335"/>
      <c r="DA942" s="335"/>
      <c r="DB942" s="335"/>
      <c r="DC942" s="335"/>
      <c r="DD942" s="335"/>
      <c r="DE942" s="335"/>
      <c r="DF942" s="335"/>
      <c r="DG942" s="335"/>
      <c r="DH942" s="335"/>
      <c r="DI942" s="335"/>
      <c r="DJ942" s="335"/>
      <c r="DK942" s="335"/>
      <c r="DL942" s="335"/>
      <c r="DM942" s="335"/>
      <c r="DN942" s="335"/>
      <c r="DO942" s="335"/>
      <c r="DP942" s="335"/>
      <c r="DQ942" s="335"/>
      <c r="DR942" s="335"/>
      <c r="DS942" s="335"/>
      <c r="DT942" s="335"/>
      <c r="DU942" s="335"/>
      <c r="DV942" s="335"/>
      <c r="DW942" s="335"/>
      <c r="DX942" s="335"/>
      <c r="DY942" s="335"/>
      <c r="DZ942" s="335"/>
      <c r="EA942" s="335"/>
      <c r="EB942" s="335"/>
      <c r="EC942" s="335"/>
      <c r="ED942" s="335"/>
      <c r="EE942" s="335"/>
      <c r="EF942" s="335"/>
      <c r="EG942" s="335"/>
      <c r="EH942" s="335"/>
      <c r="EI942" s="335"/>
      <c r="EJ942" s="335"/>
      <c r="EK942" s="335"/>
      <c r="EL942" s="335"/>
      <c r="EM942" s="335"/>
    </row>
    <row r="943" spans="72:143">
      <c r="BT943" s="187"/>
      <c r="BU943" s="187" t="s">
        <v>54</v>
      </c>
      <c r="BV943" s="196">
        <v>120035</v>
      </c>
      <c r="BW943" s="197" t="e">
        <f t="shared" si="158"/>
        <v>#REF!</v>
      </c>
      <c r="BX943" s="198" t="e">
        <f>IF(AND(State_LOB_Code=18,LEFT(BW943,4)&lt;"2009"),81,State_LOB_Code)&amp;"|341"</f>
        <v>#REF!</v>
      </c>
      <c r="BY943" s="215"/>
      <c r="BZ943" s="216"/>
      <c r="CD943" s="163"/>
      <c r="CE943" s="363"/>
      <c r="CF943" s="335"/>
      <c r="CG943" s="335"/>
      <c r="CH943" s="335"/>
      <c r="CI943" s="335"/>
      <c r="CJ943" s="335"/>
      <c r="CK943" s="335"/>
      <c r="CL943" s="335"/>
      <c r="CM943" s="335"/>
      <c r="CN943" s="335"/>
      <c r="CO943" s="335"/>
      <c r="CP943" s="335"/>
      <c r="CQ943" s="335"/>
      <c r="CR943" s="335"/>
      <c r="CS943" s="335"/>
      <c r="CT943" s="335"/>
      <c r="CU943" s="335"/>
      <c r="CV943" s="335"/>
      <c r="CW943" s="335"/>
      <c r="CX943" s="335"/>
      <c r="CY943" s="335"/>
      <c r="CZ943" s="335"/>
      <c r="DA943" s="335"/>
      <c r="DB943" s="335"/>
      <c r="DC943" s="335"/>
      <c r="DD943" s="335"/>
      <c r="DE943" s="335"/>
      <c r="DF943" s="335"/>
      <c r="DG943" s="335"/>
      <c r="DH943" s="335"/>
      <c r="DI943" s="335"/>
      <c r="DJ943" s="335"/>
      <c r="DK943" s="335"/>
      <c r="DL943" s="335"/>
      <c r="DM943" s="335"/>
      <c r="DN943" s="335"/>
      <c r="DO943" s="335"/>
      <c r="DP943" s="335"/>
      <c r="DQ943" s="335"/>
      <c r="DR943" s="335"/>
      <c r="DS943" s="335"/>
      <c r="DT943" s="335"/>
      <c r="DU943" s="335"/>
      <c r="DV943" s="335"/>
      <c r="DW943" s="335"/>
      <c r="DX943" s="335"/>
      <c r="DY943" s="335"/>
      <c r="DZ943" s="335"/>
      <c r="EA943" s="335"/>
      <c r="EB943" s="335"/>
      <c r="EC943" s="335"/>
      <c r="ED943" s="335"/>
      <c r="EE943" s="335"/>
      <c r="EF943" s="335"/>
      <c r="EG943" s="335"/>
      <c r="EH943" s="335"/>
      <c r="EI943" s="335"/>
      <c r="EJ943" s="335"/>
      <c r="EK943" s="335"/>
      <c r="EL943" s="335"/>
      <c r="EM943" s="335"/>
    </row>
    <row r="944" spans="72:143">
      <c r="BT944" s="187"/>
      <c r="BU944" s="187" t="s">
        <v>55</v>
      </c>
      <c r="BV944" s="196">
        <v>120035</v>
      </c>
      <c r="BW944" s="197" t="e">
        <f t="shared" si="158"/>
        <v>#REF!</v>
      </c>
      <c r="BX944" s="198" t="e">
        <f>IF(AND(State_LOB_Code=18,LEFT(BW944,4)&lt;"2009"),81,State_LOB_Code)&amp;"|342"</f>
        <v>#REF!</v>
      </c>
      <c r="BY944" s="215"/>
      <c r="BZ944" s="216"/>
      <c r="CD944" s="163"/>
      <c r="CE944" s="363"/>
      <c r="CF944" s="335"/>
      <c r="CG944" s="335"/>
      <c r="CH944" s="335"/>
      <c r="CI944" s="335"/>
      <c r="CJ944" s="335"/>
      <c r="CK944" s="335"/>
      <c r="CL944" s="335"/>
      <c r="CM944" s="335"/>
      <c r="CN944" s="335"/>
      <c r="CO944" s="335"/>
      <c r="CP944" s="335"/>
      <c r="CQ944" s="335"/>
      <c r="CR944" s="335"/>
      <c r="CS944" s="335"/>
      <c r="CT944" s="335"/>
      <c r="CU944" s="335"/>
      <c r="CV944" s="335"/>
      <c r="CW944" s="335"/>
      <c r="CX944" s="335"/>
      <c r="CY944" s="335"/>
      <c r="CZ944" s="335"/>
      <c r="DA944" s="335"/>
      <c r="DB944" s="335"/>
      <c r="DC944" s="335"/>
      <c r="DD944" s="335"/>
      <c r="DE944" s="335"/>
      <c r="DF944" s="335"/>
      <c r="DG944" s="335"/>
      <c r="DH944" s="335"/>
      <c r="DI944" s="335"/>
      <c r="DJ944" s="335"/>
      <c r="DK944" s="335"/>
      <c r="DL944" s="335"/>
      <c r="DM944" s="335"/>
      <c r="DN944" s="335"/>
      <c r="DO944" s="335"/>
      <c r="DP944" s="335"/>
      <c r="DQ944" s="335"/>
      <c r="DR944" s="335"/>
      <c r="DS944" s="335"/>
      <c r="DT944" s="335"/>
      <c r="DU944" s="335"/>
      <c r="DV944" s="335"/>
      <c r="DW944" s="335"/>
      <c r="DX944" s="335"/>
      <c r="DY944" s="335"/>
      <c r="DZ944" s="335"/>
      <c r="EA944" s="335"/>
      <c r="EB944" s="335"/>
      <c r="EC944" s="335"/>
      <c r="ED944" s="335"/>
      <c r="EE944" s="335"/>
      <c r="EF944" s="335"/>
      <c r="EG944" s="335"/>
      <c r="EH944" s="335"/>
      <c r="EI944" s="335"/>
      <c r="EJ944" s="335"/>
      <c r="EK944" s="335"/>
      <c r="EL944" s="335"/>
      <c r="EM944" s="335"/>
    </row>
    <row r="945" spans="72:143">
      <c r="BT945" s="187"/>
      <c r="BU945" s="187" t="s">
        <v>56</v>
      </c>
      <c r="BV945" s="196">
        <v>120035</v>
      </c>
      <c r="BW945" s="197" t="e">
        <f t="shared" si="158"/>
        <v>#REF!</v>
      </c>
      <c r="BX945" s="198" t="e">
        <f>IF(AND(State_LOB_Code=18,LEFT(BW945,4)&lt;"2009"),81,State_LOB_Code)&amp;"|343"</f>
        <v>#REF!</v>
      </c>
      <c r="BY945" s="215"/>
      <c r="BZ945" s="216"/>
      <c r="CD945" s="163"/>
      <c r="CE945" s="363"/>
      <c r="CF945" s="335"/>
      <c r="CG945" s="335"/>
      <c r="CH945" s="335"/>
      <c r="CI945" s="335"/>
      <c r="CJ945" s="335"/>
      <c r="CK945" s="335"/>
      <c r="CL945" s="335"/>
      <c r="CM945" s="335"/>
      <c r="CN945" s="335"/>
      <c r="CO945" s="335"/>
      <c r="CP945" s="335"/>
      <c r="CQ945" s="335"/>
      <c r="CR945" s="335"/>
      <c r="CS945" s="335"/>
      <c r="CT945" s="335"/>
      <c r="CU945" s="335"/>
      <c r="CV945" s="335"/>
      <c r="CW945" s="335"/>
      <c r="CX945" s="335"/>
      <c r="CY945" s="335"/>
      <c r="CZ945" s="335"/>
      <c r="DA945" s="335"/>
      <c r="DB945" s="335"/>
      <c r="DC945" s="335"/>
      <c r="DD945" s="335"/>
      <c r="DE945" s="335"/>
      <c r="DF945" s="335"/>
      <c r="DG945" s="335"/>
      <c r="DH945" s="335"/>
      <c r="DI945" s="335"/>
      <c r="DJ945" s="335"/>
      <c r="DK945" s="335"/>
      <c r="DL945" s="335"/>
      <c r="DM945" s="335"/>
      <c r="DN945" s="335"/>
      <c r="DO945" s="335"/>
      <c r="DP945" s="335"/>
      <c r="DQ945" s="335"/>
      <c r="DR945" s="335"/>
      <c r="DS945" s="335"/>
      <c r="DT945" s="335"/>
      <c r="DU945" s="335"/>
      <c r="DV945" s="335"/>
      <c r="DW945" s="335"/>
      <c r="DX945" s="335"/>
      <c r="DY945" s="335"/>
      <c r="DZ945" s="335"/>
      <c r="EA945" s="335"/>
      <c r="EB945" s="335"/>
      <c r="EC945" s="335"/>
      <c r="ED945" s="335"/>
      <c r="EE945" s="335"/>
      <c r="EF945" s="335"/>
      <c r="EG945" s="335"/>
      <c r="EH945" s="335"/>
      <c r="EI945" s="335"/>
      <c r="EJ945" s="335"/>
      <c r="EK945" s="335"/>
      <c r="EL945" s="335"/>
      <c r="EM945" s="335"/>
    </row>
    <row r="946" spans="72:143">
      <c r="BT946" s="187"/>
      <c r="BU946" s="187" t="s">
        <v>57</v>
      </c>
      <c r="BV946" s="196">
        <v>120035</v>
      </c>
      <c r="BW946" s="197" t="e">
        <f t="shared" si="158"/>
        <v>#REF!</v>
      </c>
      <c r="BX946" s="198" t="e">
        <f>IF(AND(State_LOB_Code=18,LEFT(BW946,4)&lt;"2009"),81,State_LOB_Code)&amp;"|344"</f>
        <v>#REF!</v>
      </c>
      <c r="BY946" s="215"/>
      <c r="BZ946" s="216"/>
      <c r="CD946" s="163"/>
      <c r="CE946" s="363"/>
      <c r="CF946" s="335"/>
      <c r="CG946" s="335"/>
      <c r="CH946" s="335"/>
      <c r="CI946" s="335"/>
      <c r="CJ946" s="335"/>
      <c r="CK946" s="335"/>
      <c r="CL946" s="335"/>
      <c r="CM946" s="335"/>
      <c r="CN946" s="335"/>
      <c r="CO946" s="335"/>
      <c r="CP946" s="335"/>
      <c r="CQ946" s="335"/>
      <c r="CR946" s="335"/>
      <c r="CS946" s="335"/>
      <c r="CT946" s="335"/>
      <c r="CU946" s="335"/>
      <c r="CV946" s="335"/>
      <c r="CW946" s="335"/>
      <c r="CX946" s="335"/>
      <c r="CY946" s="335"/>
      <c r="CZ946" s="335"/>
      <c r="DA946" s="335"/>
      <c r="DB946" s="335"/>
      <c r="DC946" s="335"/>
      <c r="DD946" s="335"/>
      <c r="DE946" s="335"/>
      <c r="DF946" s="335"/>
      <c r="DG946" s="335"/>
      <c r="DH946" s="335"/>
      <c r="DI946" s="335"/>
      <c r="DJ946" s="335"/>
      <c r="DK946" s="335"/>
      <c r="DL946" s="335"/>
      <c r="DM946" s="335"/>
      <c r="DN946" s="335"/>
      <c r="DO946" s="335"/>
      <c r="DP946" s="335"/>
      <c r="DQ946" s="335"/>
      <c r="DR946" s="335"/>
      <c r="DS946" s="335"/>
      <c r="DT946" s="335"/>
      <c r="DU946" s="335"/>
      <c r="DV946" s="335"/>
      <c r="DW946" s="335"/>
      <c r="DX946" s="335"/>
      <c r="DY946" s="335"/>
      <c r="DZ946" s="335"/>
      <c r="EA946" s="335"/>
      <c r="EB946" s="335"/>
      <c r="EC946" s="335"/>
      <c r="ED946" s="335"/>
      <c r="EE946" s="335"/>
      <c r="EF946" s="335"/>
      <c r="EG946" s="335"/>
      <c r="EH946" s="335"/>
      <c r="EI946" s="335"/>
      <c r="EJ946" s="335"/>
      <c r="EK946" s="335"/>
      <c r="EL946" s="335"/>
      <c r="EM946" s="335"/>
    </row>
    <row r="947" spans="72:143">
      <c r="BT947" s="187"/>
      <c r="BU947" s="187" t="s">
        <v>58</v>
      </c>
      <c r="BV947" s="196">
        <v>120035</v>
      </c>
      <c r="BW947" s="197" t="e">
        <f t="shared" si="158"/>
        <v>#REF!</v>
      </c>
      <c r="BX947" s="198" t="e">
        <f>IF(AND(State_LOB_Code=18,LEFT(BW947,4)&lt;"2009"),81,State_LOB_Code)&amp;"|346"</f>
        <v>#REF!</v>
      </c>
      <c r="BY947" s="215"/>
      <c r="BZ947" s="216"/>
      <c r="CD947" s="163"/>
      <c r="CE947" s="363"/>
      <c r="CF947" s="335"/>
      <c r="CG947" s="335"/>
      <c r="CH947" s="335"/>
      <c r="CI947" s="335"/>
      <c r="CJ947" s="335"/>
      <c r="CK947" s="335"/>
      <c r="CL947" s="335"/>
      <c r="CM947" s="335"/>
      <c r="CN947" s="335"/>
      <c r="CO947" s="335"/>
      <c r="CP947" s="335"/>
      <c r="CQ947" s="335"/>
      <c r="CR947" s="335"/>
      <c r="CS947" s="335"/>
      <c r="CT947" s="335"/>
      <c r="CU947" s="335"/>
      <c r="CV947" s="335"/>
      <c r="CW947" s="335"/>
      <c r="CX947" s="335"/>
      <c r="CY947" s="335"/>
      <c r="CZ947" s="335"/>
      <c r="DA947" s="335"/>
      <c r="DB947" s="335"/>
      <c r="DC947" s="335"/>
      <c r="DD947" s="335"/>
      <c r="DE947" s="335"/>
      <c r="DF947" s="335"/>
      <c r="DG947" s="335"/>
      <c r="DH947" s="335"/>
      <c r="DI947" s="335"/>
      <c r="DJ947" s="335"/>
      <c r="DK947" s="335"/>
      <c r="DL947" s="335"/>
      <c r="DM947" s="335"/>
      <c r="DN947" s="335"/>
      <c r="DO947" s="335"/>
      <c r="DP947" s="335"/>
      <c r="DQ947" s="335"/>
      <c r="DR947" s="335"/>
      <c r="DS947" s="335"/>
      <c r="DT947" s="335"/>
      <c r="DU947" s="335"/>
      <c r="DV947" s="335"/>
      <c r="DW947" s="335"/>
      <c r="DX947" s="335"/>
      <c r="DY947" s="335"/>
      <c r="DZ947" s="335"/>
      <c r="EA947" s="335"/>
      <c r="EB947" s="335"/>
      <c r="EC947" s="335"/>
      <c r="ED947" s="335"/>
      <c r="EE947" s="335"/>
      <c r="EF947" s="335"/>
      <c r="EG947" s="335"/>
      <c r="EH947" s="335"/>
      <c r="EI947" s="335"/>
      <c r="EJ947" s="335"/>
      <c r="EK947" s="335"/>
      <c r="EL947" s="335"/>
      <c r="EM947" s="335"/>
    </row>
    <row r="948" spans="72:143">
      <c r="BT948" s="187"/>
      <c r="BU948" s="187" t="s">
        <v>59</v>
      </c>
      <c r="BV948" s="196">
        <v>120035</v>
      </c>
      <c r="BW948" s="197" t="e">
        <f t="shared" si="158"/>
        <v>#REF!</v>
      </c>
      <c r="BX948" s="198" t="e">
        <f>IF(AND(State_LOB_Code=18,LEFT(BW948,4)&lt;"2009"),81,State_LOB_Code)&amp;"|347"</f>
        <v>#REF!</v>
      </c>
      <c r="BY948" s="215"/>
      <c r="BZ948" s="216"/>
      <c r="CD948" s="163"/>
      <c r="CE948" s="363"/>
      <c r="CF948" s="335"/>
      <c r="CG948" s="335"/>
      <c r="CH948" s="335"/>
      <c r="CI948" s="335"/>
      <c r="CJ948" s="335"/>
      <c r="CK948" s="335"/>
      <c r="CL948" s="335"/>
      <c r="CM948" s="335"/>
      <c r="CN948" s="335"/>
      <c r="CO948" s="335"/>
      <c r="CP948" s="335"/>
      <c r="CQ948" s="335"/>
      <c r="CR948" s="335"/>
      <c r="CS948" s="335"/>
      <c r="CT948" s="335"/>
      <c r="CU948" s="335"/>
      <c r="CV948" s="335"/>
      <c r="CW948" s="335"/>
      <c r="CX948" s="335"/>
      <c r="CY948" s="335"/>
      <c r="CZ948" s="335"/>
      <c r="DA948" s="335"/>
      <c r="DB948" s="335"/>
      <c r="DC948" s="335"/>
      <c r="DD948" s="335"/>
      <c r="DE948" s="335"/>
      <c r="DF948" s="335"/>
      <c r="DG948" s="335"/>
      <c r="DH948" s="335"/>
      <c r="DI948" s="335"/>
      <c r="DJ948" s="335"/>
      <c r="DK948" s="335"/>
      <c r="DL948" s="335"/>
      <c r="DM948" s="335"/>
      <c r="DN948" s="335"/>
      <c r="DO948" s="335"/>
      <c r="DP948" s="335"/>
      <c r="DQ948" s="335"/>
      <c r="DR948" s="335"/>
      <c r="DS948" s="335"/>
      <c r="DT948" s="335"/>
      <c r="DU948" s="335"/>
      <c r="DV948" s="335"/>
      <c r="DW948" s="335"/>
      <c r="DX948" s="335"/>
      <c r="DY948" s="335"/>
      <c r="DZ948" s="335"/>
      <c r="EA948" s="335"/>
      <c r="EB948" s="335"/>
      <c r="EC948" s="335"/>
      <c r="ED948" s="335"/>
      <c r="EE948" s="335"/>
      <c r="EF948" s="335"/>
      <c r="EG948" s="335"/>
      <c r="EH948" s="335"/>
      <c r="EI948" s="335"/>
      <c r="EJ948" s="335"/>
      <c r="EK948" s="335"/>
      <c r="EL948" s="335"/>
      <c r="EM948" s="335"/>
    </row>
    <row r="949" spans="72:143">
      <c r="BT949" s="187"/>
      <c r="BU949" s="187" t="s">
        <v>60</v>
      </c>
      <c r="BV949" s="196">
        <v>120035</v>
      </c>
      <c r="BW949" s="197" t="e">
        <f t="shared" si="158"/>
        <v>#REF!</v>
      </c>
      <c r="BX949" s="198" t="e">
        <f>IF(AND(State_LOB_Code=18,LEFT(BW949,4)&lt;"2009"),81,State_LOB_Code)&amp;"|348"</f>
        <v>#REF!</v>
      </c>
      <c r="BY949" s="215"/>
      <c r="BZ949" s="216"/>
      <c r="CD949" s="163"/>
      <c r="CE949" s="363"/>
      <c r="CF949" s="335"/>
      <c r="CG949" s="335"/>
      <c r="CH949" s="335"/>
      <c r="CI949" s="335"/>
      <c r="CJ949" s="335"/>
      <c r="CK949" s="335"/>
      <c r="CL949" s="335"/>
      <c r="CM949" s="335"/>
      <c r="CN949" s="335"/>
      <c r="CO949" s="335"/>
      <c r="CP949" s="335"/>
      <c r="CQ949" s="335"/>
      <c r="CR949" s="335"/>
      <c r="CS949" s="335"/>
      <c r="CT949" s="335"/>
      <c r="CU949" s="335"/>
      <c r="CV949" s="335"/>
      <c r="CW949" s="335"/>
      <c r="CX949" s="335"/>
      <c r="CY949" s="335"/>
      <c r="CZ949" s="335"/>
      <c r="DA949" s="335"/>
      <c r="DB949" s="335"/>
      <c r="DC949" s="335"/>
      <c r="DD949" s="335"/>
      <c r="DE949" s="335"/>
      <c r="DF949" s="335"/>
      <c r="DG949" s="335"/>
      <c r="DH949" s="335"/>
      <c r="DI949" s="335"/>
      <c r="DJ949" s="335"/>
      <c r="DK949" s="335"/>
      <c r="DL949" s="335"/>
      <c r="DM949" s="335"/>
      <c r="DN949" s="335"/>
      <c r="DO949" s="335"/>
      <c r="DP949" s="335"/>
      <c r="DQ949" s="335"/>
      <c r="DR949" s="335"/>
      <c r="DS949" s="335"/>
      <c r="DT949" s="335"/>
      <c r="DU949" s="335"/>
      <c r="DV949" s="335"/>
      <c r="DW949" s="335"/>
      <c r="DX949" s="335"/>
      <c r="DY949" s="335"/>
      <c r="DZ949" s="335"/>
      <c r="EA949" s="335"/>
      <c r="EB949" s="335"/>
      <c r="EC949" s="335"/>
      <c r="ED949" s="335"/>
      <c r="EE949" s="335"/>
      <c r="EF949" s="335"/>
      <c r="EG949" s="335"/>
      <c r="EH949" s="335"/>
      <c r="EI949" s="335"/>
      <c r="EJ949" s="335"/>
      <c r="EK949" s="335"/>
      <c r="EL949" s="335"/>
      <c r="EM949" s="335"/>
    </row>
    <row r="950" spans="72:143">
      <c r="BT950" s="187"/>
      <c r="BU950" s="187" t="s">
        <v>61</v>
      </c>
      <c r="BV950" s="196">
        <v>120035</v>
      </c>
      <c r="BW950" s="197" t="e">
        <f t="shared" si="158"/>
        <v>#REF!</v>
      </c>
      <c r="BX950" s="198" t="e">
        <f>IF(AND(State_LOB_Code=18,LEFT(BW950,4)&lt;"2009"),81,State_LOB_Code)&amp;"|349"</f>
        <v>#REF!</v>
      </c>
      <c r="BY950" s="215"/>
      <c r="BZ950" s="216"/>
      <c r="CD950" s="163"/>
      <c r="CE950" s="363"/>
      <c r="CF950" s="335"/>
      <c r="CG950" s="335"/>
      <c r="CH950" s="335"/>
      <c r="CI950" s="335"/>
      <c r="CJ950" s="335"/>
      <c r="CK950" s="335"/>
      <c r="CL950" s="335"/>
      <c r="CM950" s="335"/>
      <c r="CN950" s="335"/>
      <c r="CO950" s="335"/>
      <c r="CP950" s="335"/>
      <c r="CQ950" s="335"/>
      <c r="CR950" s="335"/>
      <c r="CS950" s="335"/>
      <c r="CT950" s="335"/>
      <c r="CU950" s="335"/>
      <c r="CV950" s="335"/>
      <c r="CW950" s="335"/>
      <c r="CX950" s="335"/>
      <c r="CY950" s="335"/>
      <c r="CZ950" s="335"/>
      <c r="DA950" s="335"/>
      <c r="DB950" s="335"/>
      <c r="DC950" s="335"/>
      <c r="DD950" s="335"/>
      <c r="DE950" s="335"/>
      <c r="DF950" s="335"/>
      <c r="DG950" s="335"/>
      <c r="DH950" s="335"/>
      <c r="DI950" s="335"/>
      <c r="DJ950" s="335"/>
      <c r="DK950" s="335"/>
      <c r="DL950" s="335"/>
      <c r="DM950" s="335"/>
      <c r="DN950" s="335"/>
      <c r="DO950" s="335"/>
      <c r="DP950" s="335"/>
      <c r="DQ950" s="335"/>
      <c r="DR950" s="335"/>
      <c r="DS950" s="335"/>
      <c r="DT950" s="335"/>
      <c r="DU950" s="335"/>
      <c r="DV950" s="335"/>
      <c r="DW950" s="335"/>
      <c r="DX950" s="335"/>
      <c r="DY950" s="335"/>
      <c r="DZ950" s="335"/>
      <c r="EA950" s="335"/>
      <c r="EB950" s="335"/>
      <c r="EC950" s="335"/>
      <c r="ED950" s="335"/>
      <c r="EE950" s="335"/>
      <c r="EF950" s="335"/>
      <c r="EG950" s="335"/>
      <c r="EH950" s="335"/>
      <c r="EI950" s="335"/>
      <c r="EJ950" s="335"/>
      <c r="EK950" s="335"/>
      <c r="EL950" s="335"/>
      <c r="EM950" s="335"/>
    </row>
    <row r="951" spans="72:143">
      <c r="BT951" s="187"/>
      <c r="BU951" s="187" t="s">
        <v>62</v>
      </c>
      <c r="BV951" s="196">
        <v>120035</v>
      </c>
      <c r="BW951" s="197" t="e">
        <f t="shared" si="158"/>
        <v>#REF!</v>
      </c>
      <c r="BX951" s="198" t="e">
        <f>IF(AND(State_LOB_Code=18,LEFT(BW951,4)&lt;"2009"),81,State_LOB_Code)&amp;"|350"</f>
        <v>#REF!</v>
      </c>
      <c r="BY951" s="215"/>
      <c r="BZ951" s="216"/>
      <c r="CD951" s="163"/>
      <c r="CE951" s="363"/>
      <c r="CF951" s="335"/>
      <c r="CG951" s="335"/>
      <c r="CH951" s="335"/>
      <c r="CI951" s="335"/>
      <c r="CJ951" s="335"/>
      <c r="CK951" s="335"/>
      <c r="CL951" s="335"/>
      <c r="CM951" s="335"/>
      <c r="CN951" s="335"/>
      <c r="CO951" s="335"/>
      <c r="CP951" s="335"/>
      <c r="CQ951" s="335"/>
      <c r="CR951" s="335"/>
      <c r="CS951" s="335"/>
      <c r="CT951" s="335"/>
      <c r="CU951" s="335"/>
      <c r="CV951" s="335"/>
      <c r="CW951" s="335"/>
      <c r="CX951" s="335"/>
      <c r="CY951" s="335"/>
      <c r="CZ951" s="335"/>
      <c r="DA951" s="335"/>
      <c r="DB951" s="335"/>
      <c r="DC951" s="335"/>
      <c r="DD951" s="335"/>
      <c r="DE951" s="335"/>
      <c r="DF951" s="335"/>
      <c r="DG951" s="335"/>
      <c r="DH951" s="335"/>
      <c r="DI951" s="335"/>
      <c r="DJ951" s="335"/>
      <c r="DK951" s="335"/>
      <c r="DL951" s="335"/>
      <c r="DM951" s="335"/>
      <c r="DN951" s="335"/>
      <c r="DO951" s="335"/>
      <c r="DP951" s="335"/>
      <c r="DQ951" s="335"/>
      <c r="DR951" s="335"/>
      <c r="DS951" s="335"/>
      <c r="DT951" s="335"/>
      <c r="DU951" s="335"/>
      <c r="DV951" s="335"/>
      <c r="DW951" s="335"/>
      <c r="DX951" s="335"/>
      <c r="DY951" s="335"/>
      <c r="DZ951" s="335"/>
      <c r="EA951" s="335"/>
      <c r="EB951" s="335"/>
      <c r="EC951" s="335"/>
      <c r="ED951" s="335"/>
      <c r="EE951" s="335"/>
      <c r="EF951" s="335"/>
      <c r="EG951" s="335"/>
      <c r="EH951" s="335"/>
      <c r="EI951" s="335"/>
      <c r="EJ951" s="335"/>
      <c r="EK951" s="335"/>
      <c r="EL951" s="335"/>
      <c r="EM951" s="335"/>
    </row>
    <row r="952" spans="72:143">
      <c r="BT952" s="187"/>
      <c r="BU952" s="187" t="s">
        <v>63</v>
      </c>
      <c r="BV952" s="196">
        <v>120035</v>
      </c>
      <c r="BW952" s="197" t="e">
        <f t="shared" si="158"/>
        <v>#REF!</v>
      </c>
      <c r="BX952" s="198" t="e">
        <f>IF(AND(State_LOB_Code=18,LEFT(BW952,4)&lt;"2009"),81,State_LOB_Code)&amp;"|351"</f>
        <v>#REF!</v>
      </c>
      <c r="BY952" s="215"/>
      <c r="BZ952" s="216"/>
      <c r="CD952" s="163"/>
      <c r="CE952" s="363"/>
      <c r="CF952" s="335"/>
      <c r="CG952" s="335"/>
      <c r="CH952" s="335"/>
      <c r="CI952" s="335"/>
      <c r="CJ952" s="335"/>
      <c r="CK952" s="335"/>
      <c r="CL952" s="335"/>
      <c r="CM952" s="335"/>
      <c r="CN952" s="335"/>
      <c r="CO952" s="335"/>
      <c r="CP952" s="335"/>
      <c r="CQ952" s="335"/>
      <c r="CR952" s="335"/>
      <c r="CS952" s="335"/>
      <c r="CT952" s="335"/>
      <c r="CU952" s="335"/>
      <c r="CV952" s="335"/>
      <c r="CW952" s="335"/>
      <c r="CX952" s="335"/>
      <c r="CY952" s="335"/>
      <c r="CZ952" s="335"/>
      <c r="DA952" s="335"/>
      <c r="DB952" s="335"/>
      <c r="DC952" s="335"/>
      <c r="DD952" s="335"/>
      <c r="DE952" s="335"/>
      <c r="DF952" s="335"/>
      <c r="DG952" s="335"/>
      <c r="DH952" s="335"/>
      <c r="DI952" s="335"/>
      <c r="DJ952" s="335"/>
      <c r="DK952" s="335"/>
      <c r="DL952" s="335"/>
      <c r="DM952" s="335"/>
      <c r="DN952" s="335"/>
      <c r="DO952" s="335"/>
      <c r="DP952" s="335"/>
      <c r="DQ952" s="335"/>
      <c r="DR952" s="335"/>
      <c r="DS952" s="335"/>
      <c r="DT952" s="335"/>
      <c r="DU952" s="335"/>
      <c r="DV952" s="335"/>
      <c r="DW952" s="335"/>
      <c r="DX952" s="335"/>
      <c r="DY952" s="335"/>
      <c r="DZ952" s="335"/>
      <c r="EA952" s="335"/>
      <c r="EB952" s="335"/>
      <c r="EC952" s="335"/>
      <c r="ED952" s="335"/>
      <c r="EE952" s="335"/>
      <c r="EF952" s="335"/>
      <c r="EG952" s="335"/>
      <c r="EH952" s="335"/>
      <c r="EI952" s="335"/>
      <c r="EJ952" s="335"/>
      <c r="EK952" s="335"/>
      <c r="EL952" s="335"/>
      <c r="EM952" s="335"/>
    </row>
    <row r="953" spans="72:143">
      <c r="BT953" s="187"/>
      <c r="BU953" s="187" t="s">
        <v>64</v>
      </c>
      <c r="BV953" s="196">
        <v>120035</v>
      </c>
      <c r="BW953" s="197" t="e">
        <f t="shared" si="158"/>
        <v>#REF!</v>
      </c>
      <c r="BX953" s="198" t="e">
        <f>IF(AND(State_LOB_Code=18,LEFT(BW953,4)&lt;"2009"),81,State_LOB_Code)&amp;"|352"</f>
        <v>#REF!</v>
      </c>
      <c r="BY953" s="215"/>
      <c r="BZ953" s="216"/>
      <c r="CD953" s="163"/>
      <c r="CE953" s="363"/>
      <c r="CF953" s="335"/>
      <c r="CG953" s="335"/>
      <c r="CH953" s="335"/>
      <c r="CI953" s="335"/>
      <c r="CJ953" s="335"/>
      <c r="CK953" s="335"/>
      <c r="CL953" s="335"/>
      <c r="CM953" s="335"/>
      <c r="CN953" s="335"/>
      <c r="CO953" s="335"/>
      <c r="CP953" s="335"/>
      <c r="CQ953" s="335"/>
      <c r="CR953" s="335"/>
      <c r="CS953" s="335"/>
      <c r="CT953" s="335"/>
      <c r="CU953" s="335"/>
      <c r="CV953" s="335"/>
      <c r="CW953" s="335"/>
      <c r="CX953" s="335"/>
      <c r="CY953" s="335"/>
      <c r="CZ953" s="335"/>
      <c r="DA953" s="335"/>
      <c r="DB953" s="335"/>
      <c r="DC953" s="335"/>
      <c r="DD953" s="335"/>
      <c r="DE953" s="335"/>
      <c r="DF953" s="335"/>
      <c r="DG953" s="335"/>
      <c r="DH953" s="335"/>
      <c r="DI953" s="335"/>
      <c r="DJ953" s="335"/>
      <c r="DK953" s="335"/>
      <c r="DL953" s="335"/>
      <c r="DM953" s="335"/>
      <c r="DN953" s="335"/>
      <c r="DO953" s="335"/>
      <c r="DP953" s="335"/>
      <c r="DQ953" s="335"/>
      <c r="DR953" s="335"/>
      <c r="DS953" s="335"/>
      <c r="DT953" s="335"/>
      <c r="DU953" s="335"/>
      <c r="DV953" s="335"/>
      <c r="DW953" s="335"/>
      <c r="DX953" s="335"/>
      <c r="DY953" s="335"/>
      <c r="DZ953" s="335"/>
      <c r="EA953" s="335"/>
      <c r="EB953" s="335"/>
      <c r="EC953" s="335"/>
      <c r="ED953" s="335"/>
      <c r="EE953" s="335"/>
      <c r="EF953" s="335"/>
      <c r="EG953" s="335"/>
      <c r="EH953" s="335"/>
      <c r="EI953" s="335"/>
      <c r="EJ953" s="335"/>
      <c r="EK953" s="335"/>
      <c r="EL953" s="335"/>
      <c r="EM953" s="335"/>
    </row>
    <row r="954" spans="72:143">
      <c r="BT954" s="187"/>
      <c r="BU954" s="187" t="s">
        <v>65</v>
      </c>
      <c r="BV954" s="196">
        <v>120035</v>
      </c>
      <c r="BW954" s="197" t="e">
        <f t="shared" si="158"/>
        <v>#REF!</v>
      </c>
      <c r="BX954" s="198" t="e">
        <f>IF(AND(State_LOB_Code=18,LEFT(BW954,4)&lt;"2009"),81,State_LOB_Code)&amp;"|353"</f>
        <v>#REF!</v>
      </c>
      <c r="BY954" s="215"/>
      <c r="BZ954" s="216"/>
      <c r="CD954" s="163"/>
      <c r="CE954" s="363"/>
      <c r="CF954" s="335"/>
      <c r="CG954" s="335"/>
      <c r="CH954" s="335"/>
      <c r="CI954" s="335"/>
      <c r="CJ954" s="335"/>
      <c r="CK954" s="335"/>
      <c r="CL954" s="335"/>
      <c r="CM954" s="335"/>
      <c r="CN954" s="335"/>
      <c r="CO954" s="335"/>
      <c r="CP954" s="335"/>
      <c r="CQ954" s="335"/>
      <c r="CR954" s="335"/>
      <c r="CS954" s="335"/>
      <c r="CT954" s="335"/>
      <c r="CU954" s="335"/>
      <c r="CV954" s="335"/>
      <c r="CW954" s="335"/>
      <c r="CX954" s="335"/>
      <c r="CY954" s="335"/>
      <c r="CZ954" s="335"/>
      <c r="DA954" s="335"/>
      <c r="DB954" s="335"/>
      <c r="DC954" s="335"/>
      <c r="DD954" s="335"/>
      <c r="DE954" s="335"/>
      <c r="DF954" s="335"/>
      <c r="DG954" s="335"/>
      <c r="DH954" s="335"/>
      <c r="DI954" s="335"/>
      <c r="DJ954" s="335"/>
      <c r="DK954" s="335"/>
      <c r="DL954" s="335"/>
      <c r="DM954" s="335"/>
      <c r="DN954" s="335"/>
      <c r="DO954" s="335"/>
      <c r="DP954" s="335"/>
      <c r="DQ954" s="335"/>
      <c r="DR954" s="335"/>
      <c r="DS954" s="335"/>
      <c r="DT954" s="335"/>
      <c r="DU954" s="335"/>
      <c r="DV954" s="335"/>
      <c r="DW954" s="335"/>
      <c r="DX954" s="335"/>
      <c r="DY954" s="335"/>
      <c r="DZ954" s="335"/>
      <c r="EA954" s="335"/>
      <c r="EB954" s="335"/>
      <c r="EC954" s="335"/>
      <c r="ED954" s="335"/>
      <c r="EE954" s="335"/>
      <c r="EF954" s="335"/>
      <c r="EG954" s="335"/>
      <c r="EH954" s="335"/>
      <c r="EI954" s="335"/>
      <c r="EJ954" s="335"/>
      <c r="EK954" s="335"/>
      <c r="EL954" s="335"/>
      <c r="EM954" s="335"/>
    </row>
    <row r="955" spans="72:143">
      <c r="BT955" s="187"/>
      <c r="BU955" s="187" t="s">
        <v>66</v>
      </c>
      <c r="BV955" s="196">
        <v>120035</v>
      </c>
      <c r="BW955" s="197" t="e">
        <f t="shared" si="158"/>
        <v>#REF!</v>
      </c>
      <c r="BX955" s="198" t="e">
        <f>IF(AND(State_LOB_Code=18,LEFT(BW955,4)&lt;"2009"),81,State_LOB_Code)&amp;"|354"</f>
        <v>#REF!</v>
      </c>
      <c r="BY955" s="215"/>
      <c r="BZ955" s="216"/>
      <c r="CD955" s="163"/>
      <c r="CE955" s="363"/>
      <c r="CF955" s="335"/>
      <c r="CG955" s="335"/>
      <c r="CH955" s="335"/>
      <c r="CI955" s="335"/>
      <c r="CJ955" s="335"/>
      <c r="CK955" s="335"/>
      <c r="CL955" s="335"/>
      <c r="CM955" s="335"/>
      <c r="CN955" s="335"/>
      <c r="CO955" s="335"/>
      <c r="CP955" s="335"/>
      <c r="CQ955" s="335"/>
      <c r="CR955" s="335"/>
      <c r="CS955" s="335"/>
      <c r="CT955" s="335"/>
      <c r="CU955" s="335"/>
      <c r="CV955" s="335"/>
      <c r="CW955" s="335"/>
      <c r="CX955" s="335"/>
      <c r="CY955" s="335"/>
      <c r="CZ955" s="335"/>
      <c r="DA955" s="335"/>
      <c r="DB955" s="335"/>
      <c r="DC955" s="335"/>
      <c r="DD955" s="335"/>
      <c r="DE955" s="335"/>
      <c r="DF955" s="335"/>
      <c r="DG955" s="335"/>
      <c r="DH955" s="335"/>
      <c r="DI955" s="335"/>
      <c r="DJ955" s="335"/>
      <c r="DK955" s="335"/>
      <c r="DL955" s="335"/>
      <c r="DM955" s="335"/>
      <c r="DN955" s="335"/>
      <c r="DO955" s="335"/>
      <c r="DP955" s="335"/>
      <c r="DQ955" s="335"/>
      <c r="DR955" s="335"/>
      <c r="DS955" s="335"/>
      <c r="DT955" s="335"/>
      <c r="DU955" s="335"/>
      <c r="DV955" s="335"/>
      <c r="DW955" s="335"/>
      <c r="DX955" s="335"/>
      <c r="DY955" s="335"/>
      <c r="DZ955" s="335"/>
      <c r="EA955" s="335"/>
      <c r="EB955" s="335"/>
      <c r="EC955" s="335"/>
      <c r="ED955" s="335"/>
      <c r="EE955" s="335"/>
      <c r="EF955" s="335"/>
      <c r="EG955" s="335"/>
      <c r="EH955" s="335"/>
      <c r="EI955" s="335"/>
      <c r="EJ955" s="335"/>
      <c r="EK955" s="335"/>
      <c r="EL955" s="335"/>
      <c r="EM955" s="335"/>
    </row>
    <row r="956" spans="72:143">
      <c r="BT956" s="187"/>
      <c r="BU956" s="187" t="s">
        <v>67</v>
      </c>
      <c r="BV956" s="196">
        <v>120035</v>
      </c>
      <c r="BW956" s="197" t="e">
        <f t="shared" si="158"/>
        <v>#REF!</v>
      </c>
      <c r="BX956" s="198" t="e">
        <f>IF(AND(State_LOB_Code=18,LEFT(BW956,4)&lt;"2009"),81,State_LOB_Code)&amp;"|355"</f>
        <v>#REF!</v>
      </c>
      <c r="BY956" s="215"/>
      <c r="BZ956" s="216"/>
      <c r="CD956" s="163"/>
      <c r="CE956" s="363"/>
      <c r="CF956" s="335"/>
      <c r="CG956" s="335"/>
      <c r="CH956" s="335"/>
      <c r="CI956" s="335"/>
      <c r="CJ956" s="335"/>
      <c r="CK956" s="335"/>
      <c r="CL956" s="335"/>
      <c r="CM956" s="335"/>
      <c r="CN956" s="335"/>
      <c r="CO956" s="335"/>
      <c r="CP956" s="335"/>
      <c r="CQ956" s="335"/>
      <c r="CR956" s="335"/>
      <c r="CS956" s="335"/>
      <c r="CT956" s="335"/>
      <c r="CU956" s="335"/>
      <c r="CV956" s="335"/>
      <c r="CW956" s="335"/>
      <c r="CX956" s="335"/>
      <c r="CY956" s="335"/>
      <c r="CZ956" s="335"/>
      <c r="DA956" s="335"/>
      <c r="DB956" s="335"/>
      <c r="DC956" s="335"/>
      <c r="DD956" s="335"/>
      <c r="DE956" s="335"/>
      <c r="DF956" s="335"/>
      <c r="DG956" s="335"/>
      <c r="DH956" s="335"/>
      <c r="DI956" s="335"/>
      <c r="DJ956" s="335"/>
      <c r="DK956" s="335"/>
      <c r="DL956" s="335"/>
      <c r="DM956" s="335"/>
      <c r="DN956" s="335"/>
      <c r="DO956" s="335"/>
      <c r="DP956" s="335"/>
      <c r="DQ956" s="335"/>
      <c r="DR956" s="335"/>
      <c r="DS956" s="335"/>
      <c r="DT956" s="335"/>
      <c r="DU956" s="335"/>
      <c r="DV956" s="335"/>
      <c r="DW956" s="335"/>
      <c r="DX956" s="335"/>
      <c r="DY956" s="335"/>
      <c r="DZ956" s="335"/>
      <c r="EA956" s="335"/>
      <c r="EB956" s="335"/>
      <c r="EC956" s="335"/>
      <c r="ED956" s="335"/>
      <c r="EE956" s="335"/>
      <c r="EF956" s="335"/>
      <c r="EG956" s="335"/>
      <c r="EH956" s="335"/>
      <c r="EI956" s="335"/>
      <c r="EJ956" s="335"/>
      <c r="EK956" s="335"/>
      <c r="EL956" s="335"/>
      <c r="EM956" s="335"/>
    </row>
    <row r="957" spans="72:143">
      <c r="BT957" s="187"/>
      <c r="BU957" s="187" t="s">
        <v>68</v>
      </c>
      <c r="BV957" s="196">
        <v>120035</v>
      </c>
      <c r="BW957" s="197" t="e">
        <f t="shared" si="158"/>
        <v>#REF!</v>
      </c>
      <c r="BX957" s="198" t="e">
        <f>IF(AND(State_LOB_Code=18,LEFT(BW957,4)&lt;"2009"),81,State_LOB_Code)&amp;"|356"</f>
        <v>#REF!</v>
      </c>
      <c r="BY957" s="215"/>
      <c r="BZ957" s="216"/>
      <c r="CD957" s="163"/>
      <c r="CE957" s="363"/>
      <c r="CF957" s="335"/>
      <c r="CG957" s="335"/>
      <c r="CH957" s="335"/>
      <c r="CI957" s="335"/>
      <c r="CJ957" s="335"/>
      <c r="CK957" s="335"/>
      <c r="CL957" s="335"/>
      <c r="CM957" s="335"/>
      <c r="CN957" s="335"/>
      <c r="CO957" s="335"/>
      <c r="CP957" s="335"/>
      <c r="CQ957" s="335"/>
      <c r="CR957" s="335"/>
      <c r="CS957" s="335"/>
      <c r="CT957" s="335"/>
      <c r="CU957" s="335"/>
      <c r="CV957" s="335"/>
      <c r="CW957" s="335"/>
      <c r="CX957" s="335"/>
      <c r="CY957" s="335"/>
      <c r="CZ957" s="335"/>
      <c r="DA957" s="335"/>
      <c r="DB957" s="335"/>
      <c r="DC957" s="335"/>
      <c r="DD957" s="335"/>
      <c r="DE957" s="335"/>
      <c r="DF957" s="335"/>
      <c r="DG957" s="335"/>
      <c r="DH957" s="335"/>
      <c r="DI957" s="335"/>
      <c r="DJ957" s="335"/>
      <c r="DK957" s="335"/>
      <c r="DL957" s="335"/>
      <c r="DM957" s="335"/>
      <c r="DN957" s="335"/>
      <c r="DO957" s="335"/>
      <c r="DP957" s="335"/>
      <c r="DQ957" s="335"/>
      <c r="DR957" s="335"/>
      <c r="DS957" s="335"/>
      <c r="DT957" s="335"/>
      <c r="DU957" s="335"/>
      <c r="DV957" s="335"/>
      <c r="DW957" s="335"/>
      <c r="DX957" s="335"/>
      <c r="DY957" s="335"/>
      <c r="DZ957" s="335"/>
      <c r="EA957" s="335"/>
      <c r="EB957" s="335"/>
      <c r="EC957" s="335"/>
      <c r="ED957" s="335"/>
      <c r="EE957" s="335"/>
      <c r="EF957" s="335"/>
      <c r="EG957" s="335"/>
      <c r="EH957" s="335"/>
      <c r="EI957" s="335"/>
      <c r="EJ957" s="335"/>
      <c r="EK957" s="335"/>
      <c r="EL957" s="335"/>
      <c r="EM957" s="335"/>
    </row>
    <row r="958" spans="72:143">
      <c r="BT958" s="187"/>
      <c r="BU958" s="187" t="s">
        <v>69</v>
      </c>
      <c r="BV958" s="196">
        <v>120035</v>
      </c>
      <c r="BW958" s="197" t="e">
        <f t="shared" si="158"/>
        <v>#REF!</v>
      </c>
      <c r="BX958" s="198" t="e">
        <f>IF(AND(State_LOB_Code=18,LEFT(BW958,4)&lt;"2009"),81,State_LOB_Code)&amp;"|357"</f>
        <v>#REF!</v>
      </c>
      <c r="BY958" s="215"/>
      <c r="BZ958" s="216"/>
      <c r="CD958" s="163"/>
      <c r="CE958" s="363"/>
      <c r="CF958" s="335"/>
      <c r="CG958" s="335"/>
      <c r="CH958" s="335"/>
      <c r="CI958" s="335"/>
      <c r="CJ958" s="335"/>
      <c r="CK958" s="335"/>
      <c r="CL958" s="335"/>
      <c r="CM958" s="335"/>
      <c r="CN958" s="335"/>
      <c r="CO958" s="335"/>
      <c r="CP958" s="335"/>
      <c r="CQ958" s="335"/>
      <c r="CR958" s="335"/>
      <c r="CS958" s="335"/>
      <c r="CT958" s="335"/>
      <c r="CU958" s="335"/>
      <c r="CV958" s="335"/>
      <c r="CW958" s="335"/>
      <c r="CX958" s="335"/>
      <c r="CY958" s="335"/>
      <c r="CZ958" s="335"/>
      <c r="DA958" s="335"/>
      <c r="DB958" s="335"/>
      <c r="DC958" s="335"/>
      <c r="DD958" s="335"/>
      <c r="DE958" s="335"/>
      <c r="DF958" s="335"/>
      <c r="DG958" s="335"/>
      <c r="DH958" s="335"/>
      <c r="DI958" s="335"/>
      <c r="DJ958" s="335"/>
      <c r="DK958" s="335"/>
      <c r="DL958" s="335"/>
      <c r="DM958" s="335"/>
      <c r="DN958" s="335"/>
      <c r="DO958" s="335"/>
      <c r="DP958" s="335"/>
      <c r="DQ958" s="335"/>
      <c r="DR958" s="335"/>
      <c r="DS958" s="335"/>
      <c r="DT958" s="335"/>
      <c r="DU958" s="335"/>
      <c r="DV958" s="335"/>
      <c r="DW958" s="335"/>
      <c r="DX958" s="335"/>
      <c r="DY958" s="335"/>
      <c r="DZ958" s="335"/>
      <c r="EA958" s="335"/>
      <c r="EB958" s="335"/>
      <c r="EC958" s="335"/>
      <c r="ED958" s="335"/>
      <c r="EE958" s="335"/>
      <c r="EF958" s="335"/>
      <c r="EG958" s="335"/>
      <c r="EH958" s="335"/>
      <c r="EI958" s="335"/>
      <c r="EJ958" s="335"/>
      <c r="EK958" s="335"/>
      <c r="EL958" s="335"/>
      <c r="EM958" s="335"/>
    </row>
    <row r="959" spans="72:143">
      <c r="BT959" s="187"/>
      <c r="BU959" s="187" t="s">
        <v>70</v>
      </c>
      <c r="BV959" s="196">
        <v>120035</v>
      </c>
      <c r="BW959" s="197" t="e">
        <f t="shared" si="158"/>
        <v>#REF!</v>
      </c>
      <c r="BX959" s="198" t="e">
        <f>IF(AND(State_LOB_Code=18,LEFT(BW959,4)&lt;"2009"),81,State_LOB_Code)&amp;"|358"</f>
        <v>#REF!</v>
      </c>
      <c r="BY959" s="215"/>
      <c r="BZ959" s="216"/>
      <c r="CD959" s="163"/>
      <c r="CE959" s="363"/>
      <c r="CF959" s="335"/>
      <c r="CG959" s="335"/>
      <c r="CH959" s="335"/>
      <c r="CI959" s="335"/>
      <c r="CJ959" s="335"/>
      <c r="CK959" s="335"/>
      <c r="CL959" s="335"/>
      <c r="CM959" s="335"/>
      <c r="CN959" s="335"/>
      <c r="CO959" s="335"/>
      <c r="CP959" s="335"/>
      <c r="CQ959" s="335"/>
      <c r="CR959" s="335"/>
      <c r="CS959" s="335"/>
      <c r="CT959" s="335"/>
      <c r="CU959" s="335"/>
      <c r="CV959" s="335"/>
      <c r="CW959" s="335"/>
      <c r="CX959" s="335"/>
      <c r="CY959" s="335"/>
      <c r="CZ959" s="335"/>
      <c r="DA959" s="335"/>
      <c r="DB959" s="335"/>
      <c r="DC959" s="335"/>
      <c r="DD959" s="335"/>
      <c r="DE959" s="335"/>
      <c r="DF959" s="335"/>
      <c r="DG959" s="335"/>
      <c r="DH959" s="335"/>
      <c r="DI959" s="335"/>
      <c r="DJ959" s="335"/>
      <c r="DK959" s="335"/>
      <c r="DL959" s="335"/>
      <c r="DM959" s="335"/>
      <c r="DN959" s="335"/>
      <c r="DO959" s="335"/>
      <c r="DP959" s="335"/>
      <c r="DQ959" s="335"/>
      <c r="DR959" s="335"/>
      <c r="DS959" s="335"/>
      <c r="DT959" s="335"/>
      <c r="DU959" s="335"/>
      <c r="DV959" s="335"/>
      <c r="DW959" s="335"/>
      <c r="DX959" s="335"/>
      <c r="DY959" s="335"/>
      <c r="DZ959" s="335"/>
      <c r="EA959" s="335"/>
      <c r="EB959" s="335"/>
      <c r="EC959" s="335"/>
      <c r="ED959" s="335"/>
      <c r="EE959" s="335"/>
      <c r="EF959" s="335"/>
      <c r="EG959" s="335"/>
      <c r="EH959" s="335"/>
      <c r="EI959" s="335"/>
      <c r="EJ959" s="335"/>
      <c r="EK959" s="335"/>
      <c r="EL959" s="335"/>
      <c r="EM959" s="335"/>
    </row>
    <row r="960" spans="72:143">
      <c r="BT960" s="187"/>
      <c r="BU960" s="187" t="s">
        <v>71</v>
      </c>
      <c r="BV960" s="196">
        <v>120035</v>
      </c>
      <c r="BW960" s="197" t="e">
        <f t="shared" si="158"/>
        <v>#REF!</v>
      </c>
      <c r="BX960" s="198" t="e">
        <f>IF(AND(State_LOB_Code=18,LEFT(BW960,4)&lt;"2009"),81,State_LOB_Code)&amp;"|359"</f>
        <v>#REF!</v>
      </c>
      <c r="BY960" s="215"/>
      <c r="BZ960" s="216"/>
      <c r="CD960" s="163"/>
      <c r="CE960" s="363"/>
      <c r="CF960" s="335"/>
      <c r="CG960" s="335"/>
      <c r="CH960" s="335"/>
      <c r="CI960" s="335"/>
      <c r="CJ960" s="335"/>
      <c r="CK960" s="335"/>
      <c r="CL960" s="335"/>
      <c r="CM960" s="335"/>
      <c r="CN960" s="335"/>
      <c r="CO960" s="335"/>
      <c r="CP960" s="335"/>
      <c r="CQ960" s="335"/>
      <c r="CR960" s="335"/>
      <c r="CS960" s="335"/>
      <c r="CT960" s="335"/>
      <c r="CU960" s="335"/>
      <c r="CV960" s="335"/>
      <c r="CW960" s="335"/>
      <c r="CX960" s="335"/>
      <c r="CY960" s="335"/>
      <c r="CZ960" s="335"/>
      <c r="DA960" s="335"/>
      <c r="DB960" s="335"/>
      <c r="DC960" s="335"/>
      <c r="DD960" s="335"/>
      <c r="DE960" s="335"/>
      <c r="DF960" s="335"/>
      <c r="DG960" s="335"/>
      <c r="DH960" s="335"/>
      <c r="DI960" s="335"/>
      <c r="DJ960" s="335"/>
      <c r="DK960" s="335"/>
      <c r="DL960" s="335"/>
      <c r="DM960" s="335"/>
      <c r="DN960" s="335"/>
      <c r="DO960" s="335"/>
      <c r="DP960" s="335"/>
      <c r="DQ960" s="335"/>
      <c r="DR960" s="335"/>
      <c r="DS960" s="335"/>
      <c r="DT960" s="335"/>
      <c r="DU960" s="335"/>
      <c r="DV960" s="335"/>
      <c r="DW960" s="335"/>
      <c r="DX960" s="335"/>
      <c r="DY960" s="335"/>
      <c r="DZ960" s="335"/>
      <c r="EA960" s="335"/>
      <c r="EB960" s="335"/>
      <c r="EC960" s="335"/>
      <c r="ED960" s="335"/>
      <c r="EE960" s="335"/>
      <c r="EF960" s="335"/>
      <c r="EG960" s="335"/>
      <c r="EH960" s="335"/>
      <c r="EI960" s="335"/>
      <c r="EJ960" s="335"/>
      <c r="EK960" s="335"/>
      <c r="EL960" s="335"/>
      <c r="EM960" s="335"/>
    </row>
    <row r="961" spans="72:143">
      <c r="BT961" s="187"/>
      <c r="BU961" s="187" t="s">
        <v>72</v>
      </c>
      <c r="BV961" s="196">
        <v>120035</v>
      </c>
      <c r="BW961" s="197" t="e">
        <f t="shared" si="158"/>
        <v>#REF!</v>
      </c>
      <c r="BX961" s="198" t="e">
        <f>IF(AND(State_LOB_Code=18,LEFT(BW961,4)&lt;"2009"),81,State_LOB_Code)&amp;"|361"</f>
        <v>#REF!</v>
      </c>
      <c r="BY961" s="215"/>
      <c r="BZ961" s="216"/>
      <c r="CD961" s="163"/>
      <c r="CE961" s="363"/>
      <c r="CF961" s="335"/>
      <c r="CG961" s="335"/>
      <c r="CH961" s="335"/>
      <c r="CI961" s="335"/>
      <c r="CJ961" s="335"/>
      <c r="CK961" s="335"/>
      <c r="CL961" s="335"/>
      <c r="CM961" s="335"/>
      <c r="CN961" s="335"/>
      <c r="CO961" s="335"/>
      <c r="CP961" s="335"/>
      <c r="CQ961" s="335"/>
      <c r="CR961" s="335"/>
      <c r="CS961" s="335"/>
      <c r="CT961" s="335"/>
      <c r="CU961" s="335"/>
      <c r="CV961" s="335"/>
      <c r="CW961" s="335"/>
      <c r="CX961" s="335"/>
      <c r="CY961" s="335"/>
      <c r="CZ961" s="335"/>
      <c r="DA961" s="335"/>
      <c r="DB961" s="335"/>
      <c r="DC961" s="335"/>
      <c r="DD961" s="335"/>
      <c r="DE961" s="335"/>
      <c r="DF961" s="335"/>
      <c r="DG961" s="335"/>
      <c r="DH961" s="335"/>
      <c r="DI961" s="335"/>
      <c r="DJ961" s="335"/>
      <c r="DK961" s="335"/>
      <c r="DL961" s="335"/>
      <c r="DM961" s="335"/>
      <c r="DN961" s="335"/>
      <c r="DO961" s="335"/>
      <c r="DP961" s="335"/>
      <c r="DQ961" s="335"/>
      <c r="DR961" s="335"/>
      <c r="DS961" s="335"/>
      <c r="DT961" s="335"/>
      <c r="DU961" s="335"/>
      <c r="DV961" s="335"/>
      <c r="DW961" s="335"/>
      <c r="DX961" s="335"/>
      <c r="DY961" s="335"/>
      <c r="DZ961" s="335"/>
      <c r="EA961" s="335"/>
      <c r="EB961" s="335"/>
      <c r="EC961" s="335"/>
      <c r="ED961" s="335"/>
      <c r="EE961" s="335"/>
      <c r="EF961" s="335"/>
      <c r="EG961" s="335"/>
      <c r="EH961" s="335"/>
      <c r="EI961" s="335"/>
      <c r="EJ961" s="335"/>
      <c r="EK961" s="335"/>
      <c r="EL961" s="335"/>
      <c r="EM961" s="335"/>
    </row>
    <row r="962" spans="72:143">
      <c r="BT962" s="187"/>
      <c r="BU962" s="187" t="s">
        <v>73</v>
      </c>
      <c r="BV962" s="196">
        <v>120035</v>
      </c>
      <c r="BW962" s="197" t="e">
        <f t="shared" si="158"/>
        <v>#REF!</v>
      </c>
      <c r="BX962" s="198" t="e">
        <f>IF(AND(State_LOB_Code=18,LEFT(BW962,4)&lt;"2009"),81,State_LOB_Code)&amp;"|362"</f>
        <v>#REF!</v>
      </c>
      <c r="BY962" s="215"/>
      <c r="BZ962" s="216"/>
      <c r="CD962" s="163"/>
      <c r="CE962" s="363"/>
      <c r="CF962" s="335"/>
      <c r="CG962" s="335"/>
      <c r="CH962" s="335"/>
      <c r="CI962" s="335"/>
      <c r="CJ962" s="335"/>
      <c r="CK962" s="335"/>
      <c r="CL962" s="335"/>
      <c r="CM962" s="335"/>
      <c r="CN962" s="335"/>
      <c r="CO962" s="335"/>
      <c r="CP962" s="335"/>
      <c r="CQ962" s="335"/>
      <c r="CR962" s="335"/>
      <c r="CS962" s="335"/>
      <c r="CT962" s="335"/>
      <c r="CU962" s="335"/>
      <c r="CV962" s="335"/>
      <c r="CW962" s="335"/>
      <c r="CX962" s="335"/>
      <c r="CY962" s="335"/>
      <c r="CZ962" s="335"/>
      <c r="DA962" s="335"/>
      <c r="DB962" s="335"/>
      <c r="DC962" s="335"/>
      <c r="DD962" s="335"/>
      <c r="DE962" s="335"/>
      <c r="DF962" s="335"/>
      <c r="DG962" s="335"/>
      <c r="DH962" s="335"/>
      <c r="DI962" s="335"/>
      <c r="DJ962" s="335"/>
      <c r="DK962" s="335"/>
      <c r="DL962" s="335"/>
      <c r="DM962" s="335"/>
      <c r="DN962" s="335"/>
      <c r="DO962" s="335"/>
      <c r="DP962" s="335"/>
      <c r="DQ962" s="335"/>
      <c r="DR962" s="335"/>
      <c r="DS962" s="335"/>
      <c r="DT962" s="335"/>
      <c r="DU962" s="335"/>
      <c r="DV962" s="335"/>
      <c r="DW962" s="335"/>
      <c r="DX962" s="335"/>
      <c r="DY962" s="335"/>
      <c r="DZ962" s="335"/>
      <c r="EA962" s="335"/>
      <c r="EB962" s="335"/>
      <c r="EC962" s="335"/>
      <c r="ED962" s="335"/>
      <c r="EE962" s="335"/>
      <c r="EF962" s="335"/>
      <c r="EG962" s="335"/>
      <c r="EH962" s="335"/>
      <c r="EI962" s="335"/>
      <c r="EJ962" s="335"/>
      <c r="EK962" s="335"/>
      <c r="EL962" s="335"/>
      <c r="EM962" s="335"/>
    </row>
    <row r="963" spans="72:143">
      <c r="BT963" s="187"/>
      <c r="BU963" s="187" t="s">
        <v>74</v>
      </c>
      <c r="BV963" s="196">
        <v>120035</v>
      </c>
      <c r="BW963" s="197" t="e">
        <f t="shared" si="158"/>
        <v>#REF!</v>
      </c>
      <c r="BX963" s="198" t="e">
        <f>IF(AND(State_LOB_Code=18,LEFT(BW963,4)&lt;"2009"),81,State_LOB_Code)&amp;"|363"</f>
        <v>#REF!</v>
      </c>
      <c r="BY963" s="215"/>
      <c r="BZ963" s="216"/>
      <c r="CD963" s="163"/>
      <c r="CE963" s="363"/>
      <c r="CF963" s="335"/>
      <c r="CG963" s="335"/>
      <c r="CH963" s="335"/>
      <c r="CI963" s="335"/>
      <c r="CJ963" s="335"/>
      <c r="CK963" s="335"/>
      <c r="CL963" s="335"/>
      <c r="CM963" s="335"/>
      <c r="CN963" s="335"/>
      <c r="CO963" s="335"/>
      <c r="CP963" s="335"/>
      <c r="CQ963" s="335"/>
      <c r="CR963" s="335"/>
      <c r="CS963" s="335"/>
      <c r="CT963" s="335"/>
      <c r="CU963" s="335"/>
      <c r="CV963" s="335"/>
      <c r="CW963" s="335"/>
      <c r="CX963" s="335"/>
      <c r="CY963" s="335"/>
      <c r="CZ963" s="335"/>
      <c r="DA963" s="335"/>
      <c r="DB963" s="335"/>
      <c r="DC963" s="335"/>
      <c r="DD963" s="335"/>
      <c r="DE963" s="335"/>
      <c r="DF963" s="335"/>
      <c r="DG963" s="335"/>
      <c r="DH963" s="335"/>
      <c r="DI963" s="335"/>
      <c r="DJ963" s="335"/>
      <c r="DK963" s="335"/>
      <c r="DL963" s="335"/>
      <c r="DM963" s="335"/>
      <c r="DN963" s="335"/>
      <c r="DO963" s="335"/>
      <c r="DP963" s="335"/>
      <c r="DQ963" s="335"/>
      <c r="DR963" s="335"/>
      <c r="DS963" s="335"/>
      <c r="DT963" s="335"/>
      <c r="DU963" s="335"/>
      <c r="DV963" s="335"/>
      <c r="DW963" s="335"/>
      <c r="DX963" s="335"/>
      <c r="DY963" s="335"/>
      <c r="DZ963" s="335"/>
      <c r="EA963" s="335"/>
      <c r="EB963" s="335"/>
      <c r="EC963" s="335"/>
      <c r="ED963" s="335"/>
      <c r="EE963" s="335"/>
      <c r="EF963" s="335"/>
      <c r="EG963" s="335"/>
      <c r="EH963" s="335"/>
      <c r="EI963" s="335"/>
      <c r="EJ963" s="335"/>
      <c r="EK963" s="335"/>
      <c r="EL963" s="335"/>
      <c r="EM963" s="335"/>
    </row>
    <row r="964" spans="72:143">
      <c r="BT964" s="187"/>
      <c r="BU964" s="187" t="s">
        <v>75</v>
      </c>
      <c r="BV964" s="196">
        <v>120035</v>
      </c>
      <c r="BW964" s="197" t="e">
        <f t="shared" si="158"/>
        <v>#REF!</v>
      </c>
      <c r="BX964" s="198" t="e">
        <f>IF(AND(State_LOB_Code=18,LEFT(BW964,4)&lt;"2009"),81,State_LOB_Code)&amp;"|364"</f>
        <v>#REF!</v>
      </c>
      <c r="BY964" s="215"/>
      <c r="BZ964" s="216"/>
      <c r="CD964" s="163"/>
      <c r="CE964" s="363"/>
      <c r="CF964" s="335"/>
      <c r="CG964" s="335"/>
      <c r="CH964" s="335"/>
      <c r="CI964" s="335"/>
      <c r="CJ964" s="335"/>
      <c r="CK964" s="335"/>
      <c r="CL964" s="335"/>
      <c r="CM964" s="335"/>
      <c r="CN964" s="335"/>
      <c r="CO964" s="335"/>
      <c r="CP964" s="335"/>
      <c r="CQ964" s="335"/>
      <c r="CR964" s="335"/>
      <c r="CS964" s="335"/>
      <c r="CT964" s="335"/>
      <c r="CU964" s="335"/>
      <c r="CV964" s="335"/>
      <c r="CW964" s="335"/>
      <c r="CX964" s="335"/>
      <c r="CY964" s="335"/>
      <c r="CZ964" s="335"/>
      <c r="DA964" s="335"/>
      <c r="DB964" s="335"/>
      <c r="DC964" s="335"/>
      <c r="DD964" s="335"/>
      <c r="DE964" s="335"/>
      <c r="DF964" s="335"/>
      <c r="DG964" s="335"/>
      <c r="DH964" s="335"/>
      <c r="DI964" s="335"/>
      <c r="DJ964" s="335"/>
      <c r="DK964" s="335"/>
      <c r="DL964" s="335"/>
      <c r="DM964" s="335"/>
      <c r="DN964" s="335"/>
      <c r="DO964" s="335"/>
      <c r="DP964" s="335"/>
      <c r="DQ964" s="335"/>
      <c r="DR964" s="335"/>
      <c r="DS964" s="335"/>
      <c r="DT964" s="335"/>
      <c r="DU964" s="335"/>
      <c r="DV964" s="335"/>
      <c r="DW964" s="335"/>
      <c r="DX964" s="335"/>
      <c r="DY964" s="335"/>
      <c r="DZ964" s="335"/>
      <c r="EA964" s="335"/>
      <c r="EB964" s="335"/>
      <c r="EC964" s="335"/>
      <c r="ED964" s="335"/>
      <c r="EE964" s="335"/>
      <c r="EF964" s="335"/>
      <c r="EG964" s="335"/>
      <c r="EH964" s="335"/>
      <c r="EI964" s="335"/>
      <c r="EJ964" s="335"/>
      <c r="EK964" s="335"/>
      <c r="EL964" s="335"/>
      <c r="EM964" s="335"/>
    </row>
    <row r="965" spans="72:143">
      <c r="BT965" s="187"/>
      <c r="BU965" s="187" t="s">
        <v>76</v>
      </c>
      <c r="BV965" s="196">
        <v>120035</v>
      </c>
      <c r="BW965" s="197" t="e">
        <f t="shared" si="158"/>
        <v>#REF!</v>
      </c>
      <c r="BX965" s="198" t="e">
        <f>IF(AND(State_LOB_Code=18,LEFT(BW965,4)&lt;"2009"),81,State_LOB_Code)&amp;"|365"</f>
        <v>#REF!</v>
      </c>
      <c r="BY965" s="215"/>
      <c r="BZ965" s="216"/>
      <c r="CD965" s="163"/>
      <c r="CE965" s="363"/>
      <c r="CF965" s="335"/>
      <c r="CG965" s="335"/>
      <c r="CH965" s="335"/>
      <c r="CI965" s="335"/>
      <c r="CJ965" s="335"/>
      <c r="CK965" s="335"/>
      <c r="CL965" s="335"/>
      <c r="CM965" s="335"/>
      <c r="CN965" s="335"/>
      <c r="CO965" s="335"/>
      <c r="CP965" s="335"/>
      <c r="CQ965" s="335"/>
      <c r="CR965" s="335"/>
      <c r="CS965" s="335"/>
      <c r="CT965" s="335"/>
      <c r="CU965" s="335"/>
      <c r="CV965" s="335"/>
      <c r="CW965" s="335"/>
      <c r="CX965" s="335"/>
      <c r="CY965" s="335"/>
      <c r="CZ965" s="335"/>
      <c r="DA965" s="335"/>
      <c r="DB965" s="335"/>
      <c r="DC965" s="335"/>
      <c r="DD965" s="335"/>
      <c r="DE965" s="335"/>
      <c r="DF965" s="335"/>
      <c r="DG965" s="335"/>
      <c r="DH965" s="335"/>
      <c r="DI965" s="335"/>
      <c r="DJ965" s="335"/>
      <c r="DK965" s="335"/>
      <c r="DL965" s="335"/>
      <c r="DM965" s="335"/>
      <c r="DN965" s="335"/>
      <c r="DO965" s="335"/>
      <c r="DP965" s="335"/>
      <c r="DQ965" s="335"/>
      <c r="DR965" s="335"/>
      <c r="DS965" s="335"/>
      <c r="DT965" s="335"/>
      <c r="DU965" s="335"/>
      <c r="DV965" s="335"/>
      <c r="DW965" s="335"/>
      <c r="DX965" s="335"/>
      <c r="DY965" s="335"/>
      <c r="DZ965" s="335"/>
      <c r="EA965" s="335"/>
      <c r="EB965" s="335"/>
      <c r="EC965" s="335"/>
      <c r="ED965" s="335"/>
      <c r="EE965" s="335"/>
      <c r="EF965" s="335"/>
      <c r="EG965" s="335"/>
      <c r="EH965" s="335"/>
      <c r="EI965" s="335"/>
      <c r="EJ965" s="335"/>
      <c r="EK965" s="335"/>
      <c r="EL965" s="335"/>
      <c r="EM965" s="335"/>
    </row>
    <row r="966" spans="72:143">
      <c r="BT966" s="187"/>
      <c r="BU966" s="187" t="s">
        <v>77</v>
      </c>
      <c r="BV966" s="196">
        <v>120035</v>
      </c>
      <c r="BW966" s="197" t="e">
        <f t="shared" si="158"/>
        <v>#REF!</v>
      </c>
      <c r="BX966" s="198" t="e">
        <f>IF(AND(State_LOB_Code=18,LEFT(BW966,4)&lt;"2009"),81,State_LOB_Code)&amp;"|366"</f>
        <v>#REF!</v>
      </c>
      <c r="BY966" s="215"/>
      <c r="BZ966" s="216"/>
      <c r="CD966" s="163"/>
      <c r="CE966" s="363"/>
      <c r="CF966" s="335"/>
      <c r="CG966" s="335"/>
      <c r="CH966" s="335"/>
      <c r="CI966" s="335"/>
      <c r="CJ966" s="335"/>
      <c r="CK966" s="335"/>
      <c r="CL966" s="335"/>
      <c r="CM966" s="335"/>
      <c r="CN966" s="335"/>
      <c r="CO966" s="335"/>
      <c r="CP966" s="335"/>
      <c r="CQ966" s="335"/>
      <c r="CR966" s="335"/>
      <c r="CS966" s="335"/>
      <c r="CT966" s="335"/>
      <c r="CU966" s="335"/>
      <c r="CV966" s="335"/>
      <c r="CW966" s="335"/>
      <c r="CX966" s="335"/>
      <c r="CY966" s="335"/>
      <c r="CZ966" s="335"/>
      <c r="DA966" s="335"/>
      <c r="DB966" s="335"/>
      <c r="DC966" s="335"/>
      <c r="DD966" s="335"/>
      <c r="DE966" s="335"/>
      <c r="DF966" s="335"/>
      <c r="DG966" s="335"/>
      <c r="DH966" s="335"/>
      <c r="DI966" s="335"/>
      <c r="DJ966" s="335"/>
      <c r="DK966" s="335"/>
      <c r="DL966" s="335"/>
      <c r="DM966" s="335"/>
      <c r="DN966" s="335"/>
      <c r="DO966" s="335"/>
      <c r="DP966" s="335"/>
      <c r="DQ966" s="335"/>
      <c r="DR966" s="335"/>
      <c r="DS966" s="335"/>
      <c r="DT966" s="335"/>
      <c r="DU966" s="335"/>
      <c r="DV966" s="335"/>
      <c r="DW966" s="335"/>
      <c r="DX966" s="335"/>
      <c r="DY966" s="335"/>
      <c r="DZ966" s="335"/>
      <c r="EA966" s="335"/>
      <c r="EB966" s="335"/>
      <c r="EC966" s="335"/>
      <c r="ED966" s="335"/>
      <c r="EE966" s="335"/>
      <c r="EF966" s="335"/>
      <c r="EG966" s="335"/>
      <c r="EH966" s="335"/>
      <c r="EI966" s="335"/>
      <c r="EJ966" s="335"/>
      <c r="EK966" s="335"/>
      <c r="EL966" s="335"/>
      <c r="EM966" s="335"/>
    </row>
    <row r="967" spans="72:143">
      <c r="BT967" s="187"/>
      <c r="BU967" s="187" t="s">
        <v>78</v>
      </c>
      <c r="BV967" s="196">
        <v>120035</v>
      </c>
      <c r="BW967" s="197" t="e">
        <f t="shared" si="158"/>
        <v>#REF!</v>
      </c>
      <c r="BX967" s="198" t="e">
        <f>IF(AND(State_LOB_Code=18,LEFT(BW967,4)&lt;"2009"),81,State_LOB_Code)&amp;"|367"</f>
        <v>#REF!</v>
      </c>
      <c r="BY967" s="215"/>
      <c r="BZ967" s="216"/>
      <c r="CD967" s="163"/>
      <c r="CE967" s="363"/>
      <c r="CF967" s="335"/>
      <c r="CG967" s="335"/>
      <c r="CH967" s="335"/>
      <c r="CI967" s="335"/>
      <c r="CJ967" s="335"/>
      <c r="CK967" s="335"/>
      <c r="CL967" s="335"/>
      <c r="CM967" s="335"/>
      <c r="CN967" s="335"/>
      <c r="CO967" s="335"/>
      <c r="CP967" s="335"/>
      <c r="CQ967" s="335"/>
      <c r="CR967" s="335"/>
      <c r="CS967" s="335"/>
      <c r="CT967" s="335"/>
      <c r="CU967" s="335"/>
      <c r="CV967" s="335"/>
      <c r="CW967" s="335"/>
      <c r="CX967" s="335"/>
      <c r="CY967" s="335"/>
      <c r="CZ967" s="335"/>
      <c r="DA967" s="335"/>
      <c r="DB967" s="335"/>
      <c r="DC967" s="335"/>
      <c r="DD967" s="335"/>
      <c r="DE967" s="335"/>
      <c r="DF967" s="335"/>
      <c r="DG967" s="335"/>
      <c r="DH967" s="335"/>
      <c r="DI967" s="335"/>
      <c r="DJ967" s="335"/>
      <c r="DK967" s="335"/>
      <c r="DL967" s="335"/>
      <c r="DM967" s="335"/>
      <c r="DN967" s="335"/>
      <c r="DO967" s="335"/>
      <c r="DP967" s="335"/>
      <c r="DQ967" s="335"/>
      <c r="DR967" s="335"/>
      <c r="DS967" s="335"/>
      <c r="DT967" s="335"/>
      <c r="DU967" s="335"/>
      <c r="DV967" s="335"/>
      <c r="DW967" s="335"/>
      <c r="DX967" s="335"/>
      <c r="DY967" s="335"/>
      <c r="DZ967" s="335"/>
      <c r="EA967" s="335"/>
      <c r="EB967" s="335"/>
      <c r="EC967" s="335"/>
      <c r="ED967" s="335"/>
      <c r="EE967" s="335"/>
      <c r="EF967" s="335"/>
      <c r="EG967" s="335"/>
      <c r="EH967" s="335"/>
      <c r="EI967" s="335"/>
      <c r="EJ967" s="335"/>
      <c r="EK967" s="335"/>
      <c r="EL967" s="335"/>
      <c r="EM967" s="335"/>
    </row>
    <row r="968" spans="72:143">
      <c r="BT968" s="187"/>
      <c r="BU968" s="187" t="s">
        <v>79</v>
      </c>
      <c r="BV968" s="196">
        <v>120035</v>
      </c>
      <c r="BW968" s="197" t="e">
        <f t="shared" ref="BW968:BW995" si="159">Period_Y</f>
        <v>#REF!</v>
      </c>
      <c r="BX968" s="198" t="e">
        <f>IF(AND(State_LOB_Code=18,LEFT(BW968,4)&lt;"2009"),81,State_LOB_Code)&amp;"|368"</f>
        <v>#REF!</v>
      </c>
      <c r="BY968" s="215"/>
      <c r="BZ968" s="216"/>
      <c r="CD968" s="163"/>
      <c r="CE968" s="363"/>
      <c r="CF968" s="335"/>
      <c r="CG968" s="335"/>
      <c r="CH968" s="335"/>
      <c r="CI968" s="335"/>
      <c r="CJ968" s="335"/>
      <c r="CK968" s="335"/>
      <c r="CL968" s="335"/>
      <c r="CM968" s="335"/>
      <c r="CN968" s="335"/>
      <c r="CO968" s="335"/>
      <c r="CP968" s="335"/>
      <c r="CQ968" s="335"/>
      <c r="CR968" s="335"/>
      <c r="CS968" s="335"/>
      <c r="CT968" s="335"/>
      <c r="CU968" s="335"/>
      <c r="CV968" s="335"/>
      <c r="CW968" s="335"/>
      <c r="CX968" s="335"/>
      <c r="CY968" s="335"/>
      <c r="CZ968" s="335"/>
      <c r="DA968" s="335"/>
      <c r="DB968" s="335"/>
      <c r="DC968" s="335"/>
      <c r="DD968" s="335"/>
      <c r="DE968" s="335"/>
      <c r="DF968" s="335"/>
      <c r="DG968" s="335"/>
      <c r="DH968" s="335"/>
      <c r="DI968" s="335"/>
      <c r="DJ968" s="335"/>
      <c r="DK968" s="335"/>
      <c r="DL968" s="335"/>
      <c r="DM968" s="335"/>
      <c r="DN968" s="335"/>
      <c r="DO968" s="335"/>
      <c r="DP968" s="335"/>
      <c r="DQ968" s="335"/>
      <c r="DR968" s="335"/>
      <c r="DS968" s="335"/>
      <c r="DT968" s="335"/>
      <c r="DU968" s="335"/>
      <c r="DV968" s="335"/>
      <c r="DW968" s="335"/>
      <c r="DX968" s="335"/>
      <c r="DY968" s="335"/>
      <c r="DZ968" s="335"/>
      <c r="EA968" s="335"/>
      <c r="EB968" s="335"/>
      <c r="EC968" s="335"/>
      <c r="ED968" s="335"/>
      <c r="EE968" s="335"/>
      <c r="EF968" s="335"/>
      <c r="EG968" s="335"/>
      <c r="EH968" s="335"/>
      <c r="EI968" s="335"/>
      <c r="EJ968" s="335"/>
      <c r="EK968" s="335"/>
      <c r="EL968" s="335"/>
      <c r="EM968" s="335"/>
    </row>
    <row r="969" spans="72:143">
      <c r="BT969" s="187"/>
      <c r="BU969" s="187" t="s">
        <v>80</v>
      </c>
      <c r="BV969" s="196">
        <v>120035</v>
      </c>
      <c r="BW969" s="197" t="e">
        <f t="shared" si="159"/>
        <v>#REF!</v>
      </c>
      <c r="BX969" s="198" t="e">
        <f>IF(AND(State_LOB_Code=18,LEFT(BW969,4)&lt;"2009"),81,State_LOB_Code)&amp;"|369"</f>
        <v>#REF!</v>
      </c>
      <c r="BY969" s="215"/>
      <c r="BZ969" s="216"/>
      <c r="CD969" s="163"/>
      <c r="CE969" s="363"/>
      <c r="CF969" s="335"/>
      <c r="CG969" s="335"/>
      <c r="CH969" s="335"/>
      <c r="CI969" s="335"/>
      <c r="CJ969" s="335"/>
      <c r="CK969" s="335"/>
      <c r="CL969" s="335"/>
      <c r="CM969" s="335"/>
      <c r="CN969" s="335"/>
      <c r="CO969" s="335"/>
      <c r="CP969" s="335"/>
      <c r="CQ969" s="335"/>
      <c r="CR969" s="335"/>
      <c r="CS969" s="335"/>
      <c r="CT969" s="335"/>
      <c r="CU969" s="335"/>
      <c r="CV969" s="335"/>
      <c r="CW969" s="335"/>
      <c r="CX969" s="335"/>
      <c r="CY969" s="335"/>
      <c r="CZ969" s="335"/>
      <c r="DA969" s="335"/>
      <c r="DB969" s="335"/>
      <c r="DC969" s="335"/>
      <c r="DD969" s="335"/>
      <c r="DE969" s="335"/>
      <c r="DF969" s="335"/>
      <c r="DG969" s="335"/>
      <c r="DH969" s="335"/>
      <c r="DI969" s="335"/>
      <c r="DJ969" s="335"/>
      <c r="DK969" s="335"/>
      <c r="DL969" s="335"/>
      <c r="DM969" s="335"/>
      <c r="DN969" s="335"/>
      <c r="DO969" s="335"/>
      <c r="DP969" s="335"/>
      <c r="DQ969" s="335"/>
      <c r="DR969" s="335"/>
      <c r="DS969" s="335"/>
      <c r="DT969" s="335"/>
      <c r="DU969" s="335"/>
      <c r="DV969" s="335"/>
      <c r="DW969" s="335"/>
      <c r="DX969" s="335"/>
      <c r="DY969" s="335"/>
      <c r="DZ969" s="335"/>
      <c r="EA969" s="335"/>
      <c r="EB969" s="335"/>
      <c r="EC969" s="335"/>
      <c r="ED969" s="335"/>
      <c r="EE969" s="335"/>
      <c r="EF969" s="335"/>
      <c r="EG969" s="335"/>
      <c r="EH969" s="335"/>
      <c r="EI969" s="335"/>
      <c r="EJ969" s="335"/>
      <c r="EK969" s="335"/>
      <c r="EL969" s="335"/>
      <c r="EM969" s="335"/>
    </row>
    <row r="970" spans="72:143">
      <c r="BT970" s="187"/>
      <c r="BU970" s="187" t="s">
        <v>81</v>
      </c>
      <c r="BV970" s="196">
        <v>120035</v>
      </c>
      <c r="BW970" s="197" t="e">
        <f t="shared" si="159"/>
        <v>#REF!</v>
      </c>
      <c r="BX970" s="198" t="e">
        <f>IF(AND(State_LOB_Code=18,LEFT(BW970,4)&lt;"2009"),81,State_LOB_Code)&amp;"|370"</f>
        <v>#REF!</v>
      </c>
      <c r="BY970" s="215"/>
      <c r="BZ970" s="216"/>
      <c r="CD970" s="163"/>
      <c r="CE970" s="363"/>
      <c r="CF970" s="335"/>
      <c r="CG970" s="335"/>
      <c r="CH970" s="335"/>
      <c r="CI970" s="335"/>
      <c r="CJ970" s="335"/>
      <c r="CK970" s="335"/>
      <c r="CL970" s="335"/>
      <c r="CM970" s="335"/>
      <c r="CN970" s="335"/>
      <c r="CO970" s="335"/>
      <c r="CP970" s="335"/>
      <c r="CQ970" s="335"/>
      <c r="CR970" s="335"/>
      <c r="CS970" s="335"/>
      <c r="CT970" s="335"/>
      <c r="CU970" s="335"/>
      <c r="CV970" s="335"/>
      <c r="CW970" s="335"/>
      <c r="CX970" s="335"/>
      <c r="CY970" s="335"/>
      <c r="CZ970" s="335"/>
      <c r="DA970" s="335"/>
      <c r="DB970" s="335"/>
      <c r="DC970" s="335"/>
      <c r="DD970" s="335"/>
      <c r="DE970" s="335"/>
      <c r="DF970" s="335"/>
      <c r="DG970" s="335"/>
      <c r="DH970" s="335"/>
      <c r="DI970" s="335"/>
      <c r="DJ970" s="335"/>
      <c r="DK970" s="335"/>
      <c r="DL970" s="335"/>
      <c r="DM970" s="335"/>
      <c r="DN970" s="335"/>
      <c r="DO970" s="335"/>
      <c r="DP970" s="335"/>
      <c r="DQ970" s="335"/>
      <c r="DR970" s="335"/>
      <c r="DS970" s="335"/>
      <c r="DT970" s="335"/>
      <c r="DU970" s="335"/>
      <c r="DV970" s="335"/>
      <c r="DW970" s="335"/>
      <c r="DX970" s="335"/>
      <c r="DY970" s="335"/>
      <c r="DZ970" s="335"/>
      <c r="EA970" s="335"/>
      <c r="EB970" s="335"/>
      <c r="EC970" s="335"/>
      <c r="ED970" s="335"/>
      <c r="EE970" s="335"/>
      <c r="EF970" s="335"/>
      <c r="EG970" s="335"/>
      <c r="EH970" s="335"/>
      <c r="EI970" s="335"/>
      <c r="EJ970" s="335"/>
      <c r="EK970" s="335"/>
      <c r="EL970" s="335"/>
      <c r="EM970" s="335"/>
    </row>
    <row r="971" spans="72:143">
      <c r="BT971" s="187"/>
      <c r="BU971" s="187" t="s">
        <v>82</v>
      </c>
      <c r="BV971" s="196">
        <v>120035</v>
      </c>
      <c r="BW971" s="197" t="e">
        <f t="shared" si="159"/>
        <v>#REF!</v>
      </c>
      <c r="BX971" s="198" t="e">
        <f>IF(AND(State_LOB_Code=18,LEFT(BW971,4)&lt;"2009"),81,State_LOB_Code)&amp;"|371"</f>
        <v>#REF!</v>
      </c>
      <c r="BY971" s="215"/>
      <c r="BZ971" s="216"/>
      <c r="CD971" s="163"/>
      <c r="CE971" s="363"/>
      <c r="CF971" s="335"/>
      <c r="CG971" s="335"/>
      <c r="CH971" s="335"/>
      <c r="CI971" s="335"/>
      <c r="CJ971" s="335"/>
      <c r="CK971" s="335"/>
      <c r="CL971" s="335"/>
      <c r="CM971" s="335"/>
      <c r="CN971" s="335"/>
      <c r="CO971" s="335"/>
      <c r="CP971" s="335"/>
      <c r="CQ971" s="335"/>
      <c r="CR971" s="335"/>
      <c r="CS971" s="335"/>
      <c r="CT971" s="335"/>
      <c r="CU971" s="335"/>
      <c r="CV971" s="335"/>
      <c r="CW971" s="335"/>
      <c r="CX971" s="335"/>
      <c r="CY971" s="335"/>
      <c r="CZ971" s="335"/>
      <c r="DA971" s="335"/>
      <c r="DB971" s="335"/>
      <c r="DC971" s="335"/>
      <c r="DD971" s="335"/>
      <c r="DE971" s="335"/>
      <c r="DF971" s="335"/>
      <c r="DG971" s="335"/>
      <c r="DH971" s="335"/>
      <c r="DI971" s="335"/>
      <c r="DJ971" s="335"/>
      <c r="DK971" s="335"/>
      <c r="DL971" s="335"/>
      <c r="DM971" s="335"/>
      <c r="DN971" s="335"/>
      <c r="DO971" s="335"/>
      <c r="DP971" s="335"/>
      <c r="DQ971" s="335"/>
      <c r="DR971" s="335"/>
      <c r="DS971" s="335"/>
      <c r="DT971" s="335"/>
      <c r="DU971" s="335"/>
      <c r="DV971" s="335"/>
      <c r="DW971" s="335"/>
      <c r="DX971" s="335"/>
      <c r="DY971" s="335"/>
      <c r="DZ971" s="335"/>
      <c r="EA971" s="335"/>
      <c r="EB971" s="335"/>
      <c r="EC971" s="335"/>
      <c r="ED971" s="335"/>
      <c r="EE971" s="335"/>
      <c r="EF971" s="335"/>
      <c r="EG971" s="335"/>
      <c r="EH971" s="335"/>
      <c r="EI971" s="335"/>
      <c r="EJ971" s="335"/>
      <c r="EK971" s="335"/>
      <c r="EL971" s="335"/>
      <c r="EM971" s="335"/>
    </row>
    <row r="972" spans="72:143">
      <c r="BT972" s="187"/>
      <c r="BU972" s="187" t="s">
        <v>83</v>
      </c>
      <c r="BV972" s="196">
        <v>120035</v>
      </c>
      <c r="BW972" s="197" t="e">
        <f t="shared" si="159"/>
        <v>#REF!</v>
      </c>
      <c r="BX972" s="198" t="e">
        <f>IF(AND(State_LOB_Code=18,LEFT(BW972,4)&lt;"2009"),81,State_LOB_Code)&amp;"|372"</f>
        <v>#REF!</v>
      </c>
      <c r="BY972" s="215"/>
      <c r="BZ972" s="216"/>
      <c r="CD972" s="163"/>
      <c r="CE972" s="363"/>
      <c r="CF972" s="335"/>
      <c r="CG972" s="335"/>
      <c r="CH972" s="335"/>
      <c r="CI972" s="335"/>
      <c r="CJ972" s="335"/>
      <c r="CK972" s="335"/>
      <c r="CL972" s="335"/>
      <c r="CM972" s="335"/>
      <c r="CN972" s="335"/>
      <c r="CO972" s="335"/>
      <c r="CP972" s="335"/>
      <c r="CQ972" s="335"/>
      <c r="CR972" s="335"/>
      <c r="CS972" s="335"/>
      <c r="CT972" s="335"/>
      <c r="CU972" s="335"/>
      <c r="CV972" s="335"/>
      <c r="CW972" s="335"/>
      <c r="CX972" s="335"/>
      <c r="CY972" s="335"/>
      <c r="CZ972" s="335"/>
      <c r="DA972" s="335"/>
      <c r="DB972" s="335"/>
      <c r="DC972" s="335"/>
      <c r="DD972" s="335"/>
      <c r="DE972" s="335"/>
      <c r="DF972" s="335"/>
      <c r="DG972" s="335"/>
      <c r="DH972" s="335"/>
      <c r="DI972" s="335"/>
      <c r="DJ972" s="335"/>
      <c r="DK972" s="335"/>
      <c r="DL972" s="335"/>
      <c r="DM972" s="335"/>
      <c r="DN972" s="335"/>
      <c r="DO972" s="335"/>
      <c r="DP972" s="335"/>
      <c r="DQ972" s="335"/>
      <c r="DR972" s="335"/>
      <c r="DS972" s="335"/>
      <c r="DT972" s="335"/>
      <c r="DU972" s="335"/>
      <c r="DV972" s="335"/>
      <c r="DW972" s="335"/>
      <c r="DX972" s="335"/>
      <c r="DY972" s="335"/>
      <c r="DZ972" s="335"/>
      <c r="EA972" s="335"/>
      <c r="EB972" s="335"/>
      <c r="EC972" s="335"/>
      <c r="ED972" s="335"/>
      <c r="EE972" s="335"/>
      <c r="EF972" s="335"/>
      <c r="EG972" s="335"/>
      <c r="EH972" s="335"/>
      <c r="EI972" s="335"/>
      <c r="EJ972" s="335"/>
      <c r="EK972" s="335"/>
      <c r="EL972" s="335"/>
      <c r="EM972" s="335"/>
    </row>
    <row r="973" spans="72:143">
      <c r="BT973" s="187"/>
      <c r="BU973" s="187" t="s">
        <v>84</v>
      </c>
      <c r="BV973" s="196">
        <v>120035</v>
      </c>
      <c r="BW973" s="197" t="e">
        <f t="shared" si="159"/>
        <v>#REF!</v>
      </c>
      <c r="BX973" s="198" t="e">
        <f>IF(AND(State_LOB_Code=18,LEFT(BW973,4)&lt;"2009"),81,State_LOB_Code)&amp;"|373"</f>
        <v>#REF!</v>
      </c>
      <c r="BY973" s="215"/>
      <c r="BZ973" s="216"/>
      <c r="CD973" s="163"/>
      <c r="CE973" s="363"/>
      <c r="CF973" s="335"/>
      <c r="CG973" s="335"/>
      <c r="CH973" s="335"/>
      <c r="CI973" s="335"/>
      <c r="CJ973" s="335"/>
      <c r="CK973" s="335"/>
      <c r="CL973" s="335"/>
      <c r="CM973" s="335"/>
      <c r="CN973" s="335"/>
      <c r="CO973" s="335"/>
      <c r="CP973" s="335"/>
      <c r="CQ973" s="335"/>
      <c r="CR973" s="335"/>
      <c r="CS973" s="335"/>
      <c r="CT973" s="335"/>
      <c r="CU973" s="335"/>
      <c r="CV973" s="335"/>
      <c r="CW973" s="335"/>
      <c r="CX973" s="335"/>
      <c r="CY973" s="335"/>
      <c r="CZ973" s="335"/>
      <c r="DA973" s="335"/>
      <c r="DB973" s="335"/>
      <c r="DC973" s="335"/>
      <c r="DD973" s="335"/>
      <c r="DE973" s="335"/>
      <c r="DF973" s="335"/>
      <c r="DG973" s="335"/>
      <c r="DH973" s="335"/>
      <c r="DI973" s="335"/>
      <c r="DJ973" s="335"/>
      <c r="DK973" s="335"/>
      <c r="DL973" s="335"/>
      <c r="DM973" s="335"/>
      <c r="DN973" s="335"/>
      <c r="DO973" s="335"/>
      <c r="DP973" s="335"/>
      <c r="DQ973" s="335"/>
      <c r="DR973" s="335"/>
      <c r="DS973" s="335"/>
      <c r="DT973" s="335"/>
      <c r="DU973" s="335"/>
      <c r="DV973" s="335"/>
      <c r="DW973" s="335"/>
      <c r="DX973" s="335"/>
      <c r="DY973" s="335"/>
      <c r="DZ973" s="335"/>
      <c r="EA973" s="335"/>
      <c r="EB973" s="335"/>
      <c r="EC973" s="335"/>
      <c r="ED973" s="335"/>
      <c r="EE973" s="335"/>
      <c r="EF973" s="335"/>
      <c r="EG973" s="335"/>
      <c r="EH973" s="335"/>
      <c r="EI973" s="335"/>
      <c r="EJ973" s="335"/>
      <c r="EK973" s="335"/>
      <c r="EL973" s="335"/>
      <c r="EM973" s="335"/>
    </row>
    <row r="974" spans="72:143">
      <c r="BT974" s="187"/>
      <c r="BU974" s="187" t="s">
        <v>85</v>
      </c>
      <c r="BV974" s="196">
        <v>120035</v>
      </c>
      <c r="BW974" s="197" t="e">
        <f t="shared" si="159"/>
        <v>#REF!</v>
      </c>
      <c r="BX974" s="198" t="e">
        <f>IF(AND(State_LOB_Code=18,LEFT(BW974,4)&lt;"2009"),81,State_LOB_Code)&amp;"|374"</f>
        <v>#REF!</v>
      </c>
      <c r="BY974" s="215"/>
      <c r="BZ974" s="216"/>
      <c r="CD974" s="163"/>
      <c r="CE974" s="363"/>
      <c r="CF974" s="335"/>
      <c r="CG974" s="335"/>
      <c r="CH974" s="335"/>
      <c r="CI974" s="335"/>
      <c r="CJ974" s="335"/>
      <c r="CK974" s="335"/>
      <c r="CL974" s="335"/>
      <c r="CM974" s="335"/>
      <c r="CN974" s="335"/>
      <c r="CO974" s="335"/>
      <c r="CP974" s="335"/>
      <c r="CQ974" s="335"/>
      <c r="CR974" s="335"/>
      <c r="CS974" s="335"/>
      <c r="CT974" s="335"/>
      <c r="CU974" s="335"/>
      <c r="CV974" s="335"/>
      <c r="CW974" s="335"/>
      <c r="CX974" s="335"/>
      <c r="CY974" s="335"/>
      <c r="CZ974" s="335"/>
      <c r="DA974" s="335"/>
      <c r="DB974" s="335"/>
      <c r="DC974" s="335"/>
      <c r="DD974" s="335"/>
      <c r="DE974" s="335"/>
      <c r="DF974" s="335"/>
      <c r="DG974" s="335"/>
      <c r="DH974" s="335"/>
      <c r="DI974" s="335"/>
      <c r="DJ974" s="335"/>
      <c r="DK974" s="335"/>
      <c r="DL974" s="335"/>
      <c r="DM974" s="335"/>
      <c r="DN974" s="335"/>
      <c r="DO974" s="335"/>
      <c r="DP974" s="335"/>
      <c r="DQ974" s="335"/>
      <c r="DR974" s="335"/>
      <c r="DS974" s="335"/>
      <c r="DT974" s="335"/>
      <c r="DU974" s="335"/>
      <c r="DV974" s="335"/>
      <c r="DW974" s="335"/>
      <c r="DX974" s="335"/>
      <c r="DY974" s="335"/>
      <c r="DZ974" s="335"/>
      <c r="EA974" s="335"/>
      <c r="EB974" s="335"/>
      <c r="EC974" s="335"/>
      <c r="ED974" s="335"/>
      <c r="EE974" s="335"/>
      <c r="EF974" s="335"/>
      <c r="EG974" s="335"/>
      <c r="EH974" s="335"/>
      <c r="EI974" s="335"/>
      <c r="EJ974" s="335"/>
      <c r="EK974" s="335"/>
      <c r="EL974" s="335"/>
      <c r="EM974" s="335"/>
    </row>
    <row r="975" spans="72:143">
      <c r="BT975" s="187"/>
      <c r="BU975" s="187" t="s">
        <v>86</v>
      </c>
      <c r="BV975" s="196">
        <v>120035</v>
      </c>
      <c r="BW975" s="197" t="e">
        <f t="shared" si="159"/>
        <v>#REF!</v>
      </c>
      <c r="BX975" s="198" t="e">
        <f>IF(AND(State_LOB_Code=18,LEFT(BW975,4)&lt;"2009"),81,State_LOB_Code)&amp;"|376"</f>
        <v>#REF!</v>
      </c>
      <c r="BY975" s="215"/>
      <c r="BZ975" s="216"/>
      <c r="CD975" s="163"/>
      <c r="CE975" s="363"/>
      <c r="CF975" s="335"/>
      <c r="CG975" s="335"/>
      <c r="CH975" s="335"/>
      <c r="CI975" s="335"/>
      <c r="CJ975" s="335"/>
      <c r="CK975" s="335"/>
      <c r="CL975" s="335"/>
      <c r="CM975" s="335"/>
      <c r="CN975" s="335"/>
      <c r="CO975" s="335"/>
      <c r="CP975" s="335"/>
      <c r="CQ975" s="335"/>
      <c r="CR975" s="335"/>
      <c r="CS975" s="335"/>
      <c r="CT975" s="335"/>
      <c r="CU975" s="335"/>
      <c r="CV975" s="335"/>
      <c r="CW975" s="335"/>
      <c r="CX975" s="335"/>
      <c r="CY975" s="335"/>
      <c r="CZ975" s="335"/>
      <c r="DA975" s="335"/>
      <c r="DB975" s="335"/>
      <c r="DC975" s="335"/>
      <c r="DD975" s="335"/>
      <c r="DE975" s="335"/>
      <c r="DF975" s="335"/>
      <c r="DG975" s="335"/>
      <c r="DH975" s="335"/>
      <c r="DI975" s="335"/>
      <c r="DJ975" s="335"/>
      <c r="DK975" s="335"/>
      <c r="DL975" s="335"/>
      <c r="DM975" s="335"/>
      <c r="DN975" s="335"/>
      <c r="DO975" s="335"/>
      <c r="DP975" s="335"/>
      <c r="DQ975" s="335"/>
      <c r="DR975" s="335"/>
      <c r="DS975" s="335"/>
      <c r="DT975" s="335"/>
      <c r="DU975" s="335"/>
      <c r="DV975" s="335"/>
      <c r="DW975" s="335"/>
      <c r="DX975" s="335"/>
      <c r="DY975" s="335"/>
      <c r="DZ975" s="335"/>
      <c r="EA975" s="335"/>
      <c r="EB975" s="335"/>
      <c r="EC975" s="335"/>
      <c r="ED975" s="335"/>
      <c r="EE975" s="335"/>
      <c r="EF975" s="335"/>
      <c r="EG975" s="335"/>
      <c r="EH975" s="335"/>
      <c r="EI975" s="335"/>
      <c r="EJ975" s="335"/>
      <c r="EK975" s="335"/>
      <c r="EL975" s="335"/>
      <c r="EM975" s="335"/>
    </row>
    <row r="976" spans="72:143">
      <c r="BT976" s="187"/>
      <c r="BU976" s="187" t="s">
        <v>87</v>
      </c>
      <c r="BV976" s="196">
        <v>120035</v>
      </c>
      <c r="BW976" s="197" t="e">
        <f t="shared" si="159"/>
        <v>#REF!</v>
      </c>
      <c r="BX976" s="198" t="e">
        <f>IF(AND(State_LOB_Code=18,LEFT(BW976,4)&lt;"2009"),81,State_LOB_Code)&amp;"|377"</f>
        <v>#REF!</v>
      </c>
      <c r="BY976" s="215"/>
      <c r="BZ976" s="216"/>
      <c r="CD976" s="163"/>
      <c r="CE976" s="363"/>
      <c r="CF976" s="335"/>
      <c r="CG976" s="335"/>
      <c r="CH976" s="335"/>
      <c r="CI976" s="335"/>
      <c r="CJ976" s="335"/>
      <c r="CK976" s="335"/>
      <c r="CL976" s="335"/>
      <c r="CM976" s="335"/>
      <c r="CN976" s="335"/>
      <c r="CO976" s="335"/>
      <c r="CP976" s="335"/>
      <c r="CQ976" s="335"/>
      <c r="CR976" s="335"/>
      <c r="CS976" s="335"/>
      <c r="CT976" s="335"/>
      <c r="CU976" s="335"/>
      <c r="CV976" s="335"/>
      <c r="CW976" s="335"/>
      <c r="CX976" s="335"/>
      <c r="CY976" s="335"/>
      <c r="CZ976" s="335"/>
      <c r="DA976" s="335"/>
      <c r="DB976" s="335"/>
      <c r="DC976" s="335"/>
      <c r="DD976" s="335"/>
      <c r="DE976" s="335"/>
      <c r="DF976" s="335"/>
      <c r="DG976" s="335"/>
      <c r="DH976" s="335"/>
      <c r="DI976" s="335"/>
      <c r="DJ976" s="335"/>
      <c r="DK976" s="335"/>
      <c r="DL976" s="335"/>
      <c r="DM976" s="335"/>
      <c r="DN976" s="335"/>
      <c r="DO976" s="335"/>
      <c r="DP976" s="335"/>
      <c r="DQ976" s="335"/>
      <c r="DR976" s="335"/>
      <c r="DS976" s="335"/>
      <c r="DT976" s="335"/>
      <c r="DU976" s="335"/>
      <c r="DV976" s="335"/>
      <c r="DW976" s="335"/>
      <c r="DX976" s="335"/>
      <c r="DY976" s="335"/>
      <c r="DZ976" s="335"/>
      <c r="EA976" s="335"/>
      <c r="EB976" s="335"/>
      <c r="EC976" s="335"/>
      <c r="ED976" s="335"/>
      <c r="EE976" s="335"/>
      <c r="EF976" s="335"/>
      <c r="EG976" s="335"/>
      <c r="EH976" s="335"/>
      <c r="EI976" s="335"/>
      <c r="EJ976" s="335"/>
      <c r="EK976" s="335"/>
      <c r="EL976" s="335"/>
      <c r="EM976" s="335"/>
    </row>
    <row r="977" spans="72:143">
      <c r="BT977" s="187"/>
      <c r="BU977" s="187" t="s">
        <v>88</v>
      </c>
      <c r="BV977" s="196">
        <v>120035</v>
      </c>
      <c r="BW977" s="197" t="e">
        <f t="shared" si="159"/>
        <v>#REF!</v>
      </c>
      <c r="BX977" s="198" t="e">
        <f>IF(AND(State_LOB_Code=18,LEFT(BW977,4)&lt;"2009"),81,State_LOB_Code)&amp;"|378"</f>
        <v>#REF!</v>
      </c>
      <c r="BY977" s="215"/>
      <c r="BZ977" s="216"/>
      <c r="CD977" s="163"/>
      <c r="CE977" s="363"/>
      <c r="CF977" s="335"/>
      <c r="CG977" s="335"/>
      <c r="CH977" s="335"/>
      <c r="CI977" s="335"/>
      <c r="CJ977" s="335"/>
      <c r="CK977" s="335"/>
      <c r="CL977" s="335"/>
      <c r="CM977" s="335"/>
      <c r="CN977" s="335"/>
      <c r="CO977" s="335"/>
      <c r="CP977" s="335"/>
      <c r="CQ977" s="335"/>
      <c r="CR977" s="335"/>
      <c r="CS977" s="335"/>
      <c r="CT977" s="335"/>
      <c r="CU977" s="335"/>
      <c r="CV977" s="335"/>
      <c r="CW977" s="335"/>
      <c r="CX977" s="335"/>
      <c r="CY977" s="335"/>
      <c r="CZ977" s="335"/>
      <c r="DA977" s="335"/>
      <c r="DB977" s="335"/>
      <c r="DC977" s="335"/>
      <c r="DD977" s="335"/>
      <c r="DE977" s="335"/>
      <c r="DF977" s="335"/>
      <c r="DG977" s="335"/>
      <c r="DH977" s="335"/>
      <c r="DI977" s="335"/>
      <c r="DJ977" s="335"/>
      <c r="DK977" s="335"/>
      <c r="DL977" s="335"/>
      <c r="DM977" s="335"/>
      <c r="DN977" s="335"/>
      <c r="DO977" s="335"/>
      <c r="DP977" s="335"/>
      <c r="DQ977" s="335"/>
      <c r="DR977" s="335"/>
      <c r="DS977" s="335"/>
      <c r="DT977" s="335"/>
      <c r="DU977" s="335"/>
      <c r="DV977" s="335"/>
      <c r="DW977" s="335"/>
      <c r="DX977" s="335"/>
      <c r="DY977" s="335"/>
      <c r="DZ977" s="335"/>
      <c r="EA977" s="335"/>
      <c r="EB977" s="335"/>
      <c r="EC977" s="335"/>
      <c r="ED977" s="335"/>
      <c r="EE977" s="335"/>
      <c r="EF977" s="335"/>
      <c r="EG977" s="335"/>
      <c r="EH977" s="335"/>
      <c r="EI977" s="335"/>
      <c r="EJ977" s="335"/>
      <c r="EK977" s="335"/>
      <c r="EL977" s="335"/>
      <c r="EM977" s="335"/>
    </row>
    <row r="978" spans="72:143">
      <c r="BT978" s="187"/>
      <c r="BU978" s="187" t="s">
        <v>89</v>
      </c>
      <c r="BV978" s="196">
        <v>120035</v>
      </c>
      <c r="BW978" s="197" t="e">
        <f t="shared" si="159"/>
        <v>#REF!</v>
      </c>
      <c r="BX978" s="198" t="e">
        <f>IF(AND(State_LOB_Code=18,LEFT(BW978,4)&lt;"2009"),81,State_LOB_Code)&amp;"|379"</f>
        <v>#REF!</v>
      </c>
      <c r="BY978" s="215"/>
      <c r="BZ978" s="216"/>
      <c r="CD978" s="163"/>
      <c r="CE978" s="363"/>
      <c r="CF978" s="335"/>
      <c r="CG978" s="335"/>
      <c r="CH978" s="335"/>
      <c r="CI978" s="335"/>
      <c r="CJ978" s="335"/>
      <c r="CK978" s="335"/>
      <c r="CL978" s="335"/>
      <c r="CM978" s="335"/>
      <c r="CN978" s="335"/>
      <c r="CO978" s="335"/>
      <c r="CP978" s="335"/>
      <c r="CQ978" s="335"/>
      <c r="CR978" s="335"/>
      <c r="CS978" s="335"/>
      <c r="CT978" s="335"/>
      <c r="CU978" s="335"/>
      <c r="CV978" s="335"/>
      <c r="CW978" s="335"/>
      <c r="CX978" s="335"/>
      <c r="CY978" s="335"/>
      <c r="CZ978" s="335"/>
      <c r="DA978" s="335"/>
      <c r="DB978" s="335"/>
      <c r="DC978" s="335"/>
      <c r="DD978" s="335"/>
      <c r="DE978" s="335"/>
      <c r="DF978" s="335"/>
      <c r="DG978" s="335"/>
      <c r="DH978" s="335"/>
      <c r="DI978" s="335"/>
      <c r="DJ978" s="335"/>
      <c r="DK978" s="335"/>
      <c r="DL978" s="335"/>
      <c r="DM978" s="335"/>
      <c r="DN978" s="335"/>
      <c r="DO978" s="335"/>
      <c r="DP978" s="335"/>
      <c r="DQ978" s="335"/>
      <c r="DR978" s="335"/>
      <c r="DS978" s="335"/>
      <c r="DT978" s="335"/>
      <c r="DU978" s="335"/>
      <c r="DV978" s="335"/>
      <c r="DW978" s="335"/>
      <c r="DX978" s="335"/>
      <c r="DY978" s="335"/>
      <c r="DZ978" s="335"/>
      <c r="EA978" s="335"/>
      <c r="EB978" s="335"/>
      <c r="EC978" s="335"/>
      <c r="ED978" s="335"/>
      <c r="EE978" s="335"/>
      <c r="EF978" s="335"/>
      <c r="EG978" s="335"/>
      <c r="EH978" s="335"/>
      <c r="EI978" s="335"/>
      <c r="EJ978" s="335"/>
      <c r="EK978" s="335"/>
      <c r="EL978" s="335"/>
      <c r="EM978" s="335"/>
    </row>
    <row r="979" spans="72:143">
      <c r="BT979" s="187"/>
      <c r="BU979" s="187" t="s">
        <v>90</v>
      </c>
      <c r="BV979" s="196">
        <v>120035</v>
      </c>
      <c r="BW979" s="197" t="e">
        <f t="shared" si="159"/>
        <v>#REF!</v>
      </c>
      <c r="BX979" s="198" t="e">
        <f>IF(AND(State_LOB_Code=18,LEFT(BW979,4)&lt;"2009"),81,State_LOB_Code)&amp;"|380"</f>
        <v>#REF!</v>
      </c>
      <c r="BY979" s="215"/>
      <c r="BZ979" s="216"/>
      <c r="CD979" s="163"/>
      <c r="CE979" s="363"/>
      <c r="CF979" s="335"/>
      <c r="CG979" s="335"/>
      <c r="CH979" s="335"/>
      <c r="CI979" s="335"/>
      <c r="CJ979" s="335"/>
      <c r="CK979" s="335"/>
      <c r="CL979" s="335"/>
      <c r="CM979" s="335"/>
      <c r="CN979" s="335"/>
      <c r="CO979" s="335"/>
      <c r="CP979" s="335"/>
      <c r="CQ979" s="335"/>
      <c r="CR979" s="335"/>
      <c r="CS979" s="335"/>
      <c r="CT979" s="335"/>
      <c r="CU979" s="335"/>
      <c r="CV979" s="335"/>
      <c r="CW979" s="335"/>
      <c r="CX979" s="335"/>
      <c r="CY979" s="335"/>
      <c r="CZ979" s="335"/>
      <c r="DA979" s="335"/>
      <c r="DB979" s="335"/>
      <c r="DC979" s="335"/>
      <c r="DD979" s="335"/>
      <c r="DE979" s="335"/>
      <c r="DF979" s="335"/>
      <c r="DG979" s="335"/>
      <c r="DH979" s="335"/>
      <c r="DI979" s="335"/>
      <c r="DJ979" s="335"/>
      <c r="DK979" s="335"/>
      <c r="DL979" s="335"/>
      <c r="DM979" s="335"/>
      <c r="DN979" s="335"/>
      <c r="DO979" s="335"/>
      <c r="DP979" s="335"/>
      <c r="DQ979" s="335"/>
      <c r="DR979" s="335"/>
      <c r="DS979" s="335"/>
      <c r="DT979" s="335"/>
      <c r="DU979" s="335"/>
      <c r="DV979" s="335"/>
      <c r="DW979" s="335"/>
      <c r="DX979" s="335"/>
      <c r="DY979" s="335"/>
      <c r="DZ979" s="335"/>
      <c r="EA979" s="335"/>
      <c r="EB979" s="335"/>
      <c r="EC979" s="335"/>
      <c r="ED979" s="335"/>
      <c r="EE979" s="335"/>
      <c r="EF979" s="335"/>
      <c r="EG979" s="335"/>
      <c r="EH979" s="335"/>
      <c r="EI979" s="335"/>
      <c r="EJ979" s="335"/>
      <c r="EK979" s="335"/>
      <c r="EL979" s="335"/>
      <c r="EM979" s="335"/>
    </row>
    <row r="980" spans="72:143">
      <c r="BT980" s="187"/>
      <c r="BU980" s="187" t="s">
        <v>91</v>
      </c>
      <c r="BV980" s="196">
        <v>120035</v>
      </c>
      <c r="BW980" s="197" t="e">
        <f t="shared" si="159"/>
        <v>#REF!</v>
      </c>
      <c r="BX980" s="198" t="e">
        <f>IF(AND(State_LOB_Code=18,LEFT(BW980,4)&lt;"2009"),81,State_LOB_Code)&amp;"|381"</f>
        <v>#REF!</v>
      </c>
      <c r="BY980" s="215"/>
      <c r="BZ980" s="216"/>
      <c r="CD980" s="163"/>
      <c r="CE980" s="363"/>
      <c r="CF980" s="335"/>
      <c r="CG980" s="335"/>
      <c r="CH980" s="335"/>
      <c r="CI980" s="335"/>
      <c r="CJ980" s="335"/>
      <c r="CK980" s="335"/>
      <c r="CL980" s="335"/>
      <c r="CM980" s="335"/>
      <c r="CN980" s="335"/>
      <c r="CO980" s="335"/>
      <c r="CP980" s="335"/>
      <c r="CQ980" s="335"/>
      <c r="CR980" s="335"/>
      <c r="CS980" s="335"/>
      <c r="CT980" s="335"/>
      <c r="CU980" s="335"/>
      <c r="CV980" s="335"/>
      <c r="CW980" s="335"/>
      <c r="CX980" s="335"/>
      <c r="CY980" s="335"/>
      <c r="CZ980" s="335"/>
      <c r="DA980" s="335"/>
      <c r="DB980" s="335"/>
      <c r="DC980" s="335"/>
      <c r="DD980" s="335"/>
      <c r="DE980" s="335"/>
      <c r="DF980" s="335"/>
      <c r="DG980" s="335"/>
      <c r="DH980" s="335"/>
      <c r="DI980" s="335"/>
      <c r="DJ980" s="335"/>
      <c r="DK980" s="335"/>
      <c r="DL980" s="335"/>
      <c r="DM980" s="335"/>
      <c r="DN980" s="335"/>
      <c r="DO980" s="335"/>
      <c r="DP980" s="335"/>
      <c r="DQ980" s="335"/>
      <c r="DR980" s="335"/>
      <c r="DS980" s="335"/>
      <c r="DT980" s="335"/>
      <c r="DU980" s="335"/>
      <c r="DV980" s="335"/>
      <c r="DW980" s="335"/>
      <c r="DX980" s="335"/>
      <c r="DY980" s="335"/>
      <c r="DZ980" s="335"/>
      <c r="EA980" s="335"/>
      <c r="EB980" s="335"/>
      <c r="EC980" s="335"/>
      <c r="ED980" s="335"/>
      <c r="EE980" s="335"/>
      <c r="EF980" s="335"/>
      <c r="EG980" s="335"/>
      <c r="EH980" s="335"/>
      <c r="EI980" s="335"/>
      <c r="EJ980" s="335"/>
      <c r="EK980" s="335"/>
      <c r="EL980" s="335"/>
      <c r="EM980" s="335"/>
    </row>
    <row r="981" spans="72:143">
      <c r="BT981" s="187"/>
      <c r="BU981" s="187" t="s">
        <v>92</v>
      </c>
      <c r="BV981" s="196">
        <v>120035</v>
      </c>
      <c r="BW981" s="197" t="e">
        <f t="shared" si="159"/>
        <v>#REF!</v>
      </c>
      <c r="BX981" s="198" t="e">
        <f>IF(AND(State_LOB_Code=18,LEFT(BW981,4)&lt;"2009"),81,State_LOB_Code)&amp;"|382"</f>
        <v>#REF!</v>
      </c>
      <c r="BY981" s="215"/>
      <c r="BZ981" s="216"/>
      <c r="CD981" s="163"/>
      <c r="CE981" s="363"/>
      <c r="CF981" s="335"/>
      <c r="CG981" s="335"/>
      <c r="CH981" s="335"/>
      <c r="CI981" s="335"/>
      <c r="CJ981" s="335"/>
      <c r="CK981" s="335"/>
      <c r="CL981" s="335"/>
      <c r="CM981" s="335"/>
      <c r="CN981" s="335"/>
      <c r="CO981" s="335"/>
      <c r="CP981" s="335"/>
      <c r="CQ981" s="335"/>
      <c r="CR981" s="335"/>
      <c r="CS981" s="335"/>
      <c r="CT981" s="335"/>
      <c r="CU981" s="335"/>
      <c r="CV981" s="335"/>
      <c r="CW981" s="335"/>
      <c r="CX981" s="335"/>
      <c r="CY981" s="335"/>
      <c r="CZ981" s="335"/>
      <c r="DA981" s="335"/>
      <c r="DB981" s="335"/>
      <c r="DC981" s="335"/>
      <c r="DD981" s="335"/>
      <c r="DE981" s="335"/>
      <c r="DF981" s="335"/>
      <c r="DG981" s="335"/>
      <c r="DH981" s="335"/>
      <c r="DI981" s="335"/>
      <c r="DJ981" s="335"/>
      <c r="DK981" s="335"/>
      <c r="DL981" s="335"/>
      <c r="DM981" s="335"/>
      <c r="DN981" s="335"/>
      <c r="DO981" s="335"/>
      <c r="DP981" s="335"/>
      <c r="DQ981" s="335"/>
      <c r="DR981" s="335"/>
      <c r="DS981" s="335"/>
      <c r="DT981" s="335"/>
      <c r="DU981" s="335"/>
      <c r="DV981" s="335"/>
      <c r="DW981" s="335"/>
      <c r="DX981" s="335"/>
      <c r="DY981" s="335"/>
      <c r="DZ981" s="335"/>
      <c r="EA981" s="335"/>
      <c r="EB981" s="335"/>
      <c r="EC981" s="335"/>
      <c r="ED981" s="335"/>
      <c r="EE981" s="335"/>
      <c r="EF981" s="335"/>
      <c r="EG981" s="335"/>
      <c r="EH981" s="335"/>
      <c r="EI981" s="335"/>
      <c r="EJ981" s="335"/>
      <c r="EK981" s="335"/>
      <c r="EL981" s="335"/>
      <c r="EM981" s="335"/>
    </row>
    <row r="982" spans="72:143">
      <c r="BT982" s="187"/>
      <c r="BU982" s="187" t="s">
        <v>93</v>
      </c>
      <c r="BV982" s="196">
        <v>120035</v>
      </c>
      <c r="BW982" s="197" t="e">
        <f t="shared" si="159"/>
        <v>#REF!</v>
      </c>
      <c r="BX982" s="198" t="e">
        <f>IF(AND(State_LOB_Code=18,LEFT(BW982,4)&lt;"2009"),81,State_LOB_Code)&amp;"|384"</f>
        <v>#REF!</v>
      </c>
      <c r="BY982" s="215"/>
      <c r="BZ982" s="216"/>
      <c r="CD982" s="163"/>
      <c r="CE982" s="363"/>
      <c r="CF982" s="335"/>
      <c r="CG982" s="335"/>
      <c r="CH982" s="335"/>
      <c r="CI982" s="335"/>
      <c r="CJ982" s="335"/>
      <c r="CK982" s="335"/>
      <c r="CL982" s="335"/>
      <c r="CM982" s="335"/>
      <c r="CN982" s="335"/>
      <c r="CO982" s="335"/>
      <c r="CP982" s="335"/>
      <c r="CQ982" s="335"/>
      <c r="CR982" s="335"/>
      <c r="CS982" s="335"/>
      <c r="CT982" s="335"/>
      <c r="CU982" s="335"/>
      <c r="CV982" s="335"/>
      <c r="CW982" s="335"/>
      <c r="CX982" s="335"/>
      <c r="CY982" s="335"/>
      <c r="CZ982" s="335"/>
      <c r="DA982" s="335"/>
      <c r="DB982" s="335"/>
      <c r="DC982" s="335"/>
      <c r="DD982" s="335"/>
      <c r="DE982" s="335"/>
      <c r="DF982" s="335"/>
      <c r="DG982" s="335"/>
      <c r="DH982" s="335"/>
      <c r="DI982" s="335"/>
      <c r="DJ982" s="335"/>
      <c r="DK982" s="335"/>
      <c r="DL982" s="335"/>
      <c r="DM982" s="335"/>
      <c r="DN982" s="335"/>
      <c r="DO982" s="335"/>
      <c r="DP982" s="335"/>
      <c r="DQ982" s="335"/>
      <c r="DR982" s="335"/>
      <c r="DS982" s="335"/>
      <c r="DT982" s="335"/>
      <c r="DU982" s="335"/>
      <c r="DV982" s="335"/>
      <c r="DW982" s="335"/>
      <c r="DX982" s="335"/>
      <c r="DY982" s="335"/>
      <c r="DZ982" s="335"/>
      <c r="EA982" s="335"/>
      <c r="EB982" s="335"/>
      <c r="EC982" s="335"/>
      <c r="ED982" s="335"/>
      <c r="EE982" s="335"/>
      <c r="EF982" s="335"/>
      <c r="EG982" s="335"/>
      <c r="EH982" s="335"/>
      <c r="EI982" s="335"/>
      <c r="EJ982" s="335"/>
      <c r="EK982" s="335"/>
      <c r="EL982" s="335"/>
      <c r="EM982" s="335"/>
    </row>
    <row r="983" spans="72:143">
      <c r="BT983" s="187"/>
      <c r="BU983" s="187" t="s">
        <v>94</v>
      </c>
      <c r="BV983" s="196">
        <v>120035</v>
      </c>
      <c r="BW983" s="197" t="e">
        <f t="shared" si="159"/>
        <v>#REF!</v>
      </c>
      <c r="BX983" s="198" t="e">
        <f>IF(AND(State_LOB_Code=18,LEFT(BW983,4)&lt;"2009"),81,State_LOB_Code)&amp;"|385"</f>
        <v>#REF!</v>
      </c>
      <c r="BY983" s="215"/>
      <c r="BZ983" s="216"/>
      <c r="CD983" s="163"/>
      <c r="CE983" s="363"/>
      <c r="CF983" s="335"/>
      <c r="CG983" s="335"/>
      <c r="CH983" s="335"/>
      <c r="CI983" s="335"/>
      <c r="CJ983" s="335"/>
      <c r="CK983" s="335"/>
      <c r="CL983" s="335"/>
      <c r="CM983" s="335"/>
      <c r="CN983" s="335"/>
      <c r="CO983" s="335"/>
      <c r="CP983" s="335"/>
      <c r="CQ983" s="335"/>
      <c r="CR983" s="335"/>
      <c r="CS983" s="335"/>
      <c r="CT983" s="335"/>
      <c r="CU983" s="335"/>
      <c r="CV983" s="335"/>
      <c r="CW983" s="335"/>
      <c r="CX983" s="335"/>
      <c r="CY983" s="335"/>
      <c r="CZ983" s="335"/>
      <c r="DA983" s="335"/>
      <c r="DB983" s="335"/>
      <c r="DC983" s="335"/>
      <c r="DD983" s="335"/>
      <c r="DE983" s="335"/>
      <c r="DF983" s="335"/>
      <c r="DG983" s="335"/>
      <c r="DH983" s="335"/>
      <c r="DI983" s="335"/>
      <c r="DJ983" s="335"/>
      <c r="DK983" s="335"/>
      <c r="DL983" s="335"/>
      <c r="DM983" s="335"/>
      <c r="DN983" s="335"/>
      <c r="DO983" s="335"/>
      <c r="DP983" s="335"/>
      <c r="DQ983" s="335"/>
      <c r="DR983" s="335"/>
      <c r="DS983" s="335"/>
      <c r="DT983" s="335"/>
      <c r="DU983" s="335"/>
      <c r="DV983" s="335"/>
      <c r="DW983" s="335"/>
      <c r="DX983" s="335"/>
      <c r="DY983" s="335"/>
      <c r="DZ983" s="335"/>
      <c r="EA983" s="335"/>
      <c r="EB983" s="335"/>
      <c r="EC983" s="335"/>
      <c r="ED983" s="335"/>
      <c r="EE983" s="335"/>
      <c r="EF983" s="335"/>
      <c r="EG983" s="335"/>
      <c r="EH983" s="335"/>
      <c r="EI983" s="335"/>
      <c r="EJ983" s="335"/>
      <c r="EK983" s="335"/>
      <c r="EL983" s="335"/>
      <c r="EM983" s="335"/>
    </row>
    <row r="984" spans="72:143">
      <c r="BT984" s="187"/>
      <c r="BU984" s="187" t="s">
        <v>95</v>
      </c>
      <c r="BV984" s="196">
        <v>120035</v>
      </c>
      <c r="BW984" s="197" t="e">
        <f t="shared" si="159"/>
        <v>#REF!</v>
      </c>
      <c r="BX984" s="198" t="e">
        <f>IF(AND(State_LOB_Code=18,LEFT(BW984,4)&lt;"2009"),81,State_LOB_Code)&amp;"|386"</f>
        <v>#REF!</v>
      </c>
      <c r="BY984" s="215"/>
      <c r="BZ984" s="216"/>
      <c r="CD984" s="163"/>
      <c r="CE984" s="363"/>
      <c r="CF984" s="335"/>
      <c r="CG984" s="335"/>
      <c r="CH984" s="335"/>
      <c r="CI984" s="335"/>
      <c r="CJ984" s="335"/>
      <c r="CK984" s="335"/>
      <c r="CL984" s="335"/>
      <c r="CM984" s="335"/>
      <c r="CN984" s="335"/>
      <c r="CO984" s="335"/>
      <c r="CP984" s="335"/>
      <c r="CQ984" s="335"/>
      <c r="CR984" s="335"/>
      <c r="CS984" s="335"/>
      <c r="CT984" s="335"/>
      <c r="CU984" s="335"/>
      <c r="CV984" s="335"/>
      <c r="CW984" s="335"/>
      <c r="CX984" s="335"/>
      <c r="CY984" s="335"/>
      <c r="CZ984" s="335"/>
      <c r="DA984" s="335"/>
      <c r="DB984" s="335"/>
      <c r="DC984" s="335"/>
      <c r="DD984" s="335"/>
      <c r="DE984" s="335"/>
      <c r="DF984" s="335"/>
      <c r="DG984" s="335"/>
      <c r="DH984" s="335"/>
      <c r="DI984" s="335"/>
      <c r="DJ984" s="335"/>
      <c r="DK984" s="335"/>
      <c r="DL984" s="335"/>
      <c r="DM984" s="335"/>
      <c r="DN984" s="335"/>
      <c r="DO984" s="335"/>
      <c r="DP984" s="335"/>
      <c r="DQ984" s="335"/>
      <c r="DR984" s="335"/>
      <c r="DS984" s="335"/>
      <c r="DT984" s="335"/>
      <c r="DU984" s="335"/>
      <c r="DV984" s="335"/>
      <c r="DW984" s="335"/>
      <c r="DX984" s="335"/>
      <c r="DY984" s="335"/>
      <c r="DZ984" s="335"/>
      <c r="EA984" s="335"/>
      <c r="EB984" s="335"/>
      <c r="EC984" s="335"/>
      <c r="ED984" s="335"/>
      <c r="EE984" s="335"/>
      <c r="EF984" s="335"/>
      <c r="EG984" s="335"/>
      <c r="EH984" s="335"/>
      <c r="EI984" s="335"/>
      <c r="EJ984" s="335"/>
      <c r="EK984" s="335"/>
      <c r="EL984" s="335"/>
      <c r="EM984" s="335"/>
    </row>
    <row r="985" spans="72:143">
      <c r="BT985" s="187"/>
      <c r="BU985" s="187" t="s">
        <v>96</v>
      </c>
      <c r="BV985" s="196">
        <v>120035</v>
      </c>
      <c r="BW985" s="197" t="e">
        <f t="shared" si="159"/>
        <v>#REF!</v>
      </c>
      <c r="BX985" s="198" t="e">
        <f>IF(AND(State_LOB_Code=18,LEFT(BW985,4)&lt;"2009"),81,State_LOB_Code)&amp;"|387"</f>
        <v>#REF!</v>
      </c>
      <c r="BY985" s="215"/>
      <c r="BZ985" s="216"/>
      <c r="CD985" s="163"/>
      <c r="CE985" s="363"/>
      <c r="CF985" s="335"/>
      <c r="CG985" s="335"/>
      <c r="CH985" s="335"/>
      <c r="CI985" s="335"/>
      <c r="CJ985" s="335"/>
      <c r="CK985" s="335"/>
      <c r="CL985" s="335"/>
      <c r="CM985" s="335"/>
      <c r="CN985" s="335"/>
      <c r="CO985" s="335"/>
      <c r="CP985" s="335"/>
      <c r="CQ985" s="335"/>
      <c r="CR985" s="335"/>
      <c r="CS985" s="335"/>
      <c r="CT985" s="335"/>
      <c r="CU985" s="335"/>
      <c r="CV985" s="335"/>
      <c r="CW985" s="335"/>
      <c r="CX985" s="335"/>
      <c r="CY985" s="335"/>
      <c r="CZ985" s="335"/>
      <c r="DA985" s="335"/>
      <c r="DB985" s="335"/>
      <c r="DC985" s="335"/>
      <c r="DD985" s="335"/>
      <c r="DE985" s="335"/>
      <c r="DF985" s="335"/>
      <c r="DG985" s="335"/>
      <c r="DH985" s="335"/>
      <c r="DI985" s="335"/>
      <c r="DJ985" s="335"/>
      <c r="DK985" s="335"/>
      <c r="DL985" s="335"/>
      <c r="DM985" s="335"/>
      <c r="DN985" s="335"/>
      <c r="DO985" s="335"/>
      <c r="DP985" s="335"/>
      <c r="DQ985" s="335"/>
      <c r="DR985" s="335"/>
      <c r="DS985" s="335"/>
      <c r="DT985" s="335"/>
      <c r="DU985" s="335"/>
      <c r="DV985" s="335"/>
      <c r="DW985" s="335"/>
      <c r="DX985" s="335"/>
      <c r="DY985" s="335"/>
      <c r="DZ985" s="335"/>
      <c r="EA985" s="335"/>
      <c r="EB985" s="335"/>
      <c r="EC985" s="335"/>
      <c r="ED985" s="335"/>
      <c r="EE985" s="335"/>
      <c r="EF985" s="335"/>
      <c r="EG985" s="335"/>
      <c r="EH985" s="335"/>
      <c r="EI985" s="335"/>
      <c r="EJ985" s="335"/>
      <c r="EK985" s="335"/>
      <c r="EL985" s="335"/>
      <c r="EM985" s="335"/>
    </row>
    <row r="986" spans="72:143">
      <c r="BT986" s="187"/>
      <c r="BU986" s="187" t="s">
        <v>97</v>
      </c>
      <c r="BV986" s="196">
        <v>120035</v>
      </c>
      <c r="BW986" s="197" t="e">
        <f t="shared" si="159"/>
        <v>#REF!</v>
      </c>
      <c r="BX986" s="198" t="e">
        <f>IF(AND(State_LOB_Code=18,LEFT(BW986,4)&lt;"2009"),81,State_LOB_Code)&amp;"|388"</f>
        <v>#REF!</v>
      </c>
      <c r="BY986" s="215"/>
      <c r="BZ986" s="216"/>
      <c r="CD986" s="163"/>
      <c r="CE986" s="363"/>
      <c r="CF986" s="335"/>
      <c r="CG986" s="335"/>
      <c r="CH986" s="335"/>
      <c r="CI986" s="335"/>
      <c r="CJ986" s="335"/>
      <c r="CK986" s="335"/>
      <c r="CL986" s="335"/>
      <c r="CM986" s="335"/>
      <c r="CN986" s="335"/>
      <c r="CO986" s="335"/>
      <c r="CP986" s="335"/>
      <c r="CQ986" s="335"/>
      <c r="CR986" s="335"/>
      <c r="CS986" s="335"/>
      <c r="CT986" s="335"/>
      <c r="CU986" s="335"/>
      <c r="CV986" s="335"/>
      <c r="CW986" s="335"/>
      <c r="CX986" s="335"/>
      <c r="CY986" s="335"/>
      <c r="CZ986" s="335"/>
      <c r="DA986" s="335"/>
      <c r="DB986" s="335"/>
      <c r="DC986" s="335"/>
      <c r="DD986" s="335"/>
      <c r="DE986" s="335"/>
      <c r="DF986" s="335"/>
      <c r="DG986" s="335"/>
      <c r="DH986" s="335"/>
      <c r="DI986" s="335"/>
      <c r="DJ986" s="335"/>
      <c r="DK986" s="335"/>
      <c r="DL986" s="335"/>
      <c r="DM986" s="335"/>
      <c r="DN986" s="335"/>
      <c r="DO986" s="335"/>
      <c r="DP986" s="335"/>
      <c r="DQ986" s="335"/>
      <c r="DR986" s="335"/>
      <c r="DS986" s="335"/>
      <c r="DT986" s="335"/>
      <c r="DU986" s="335"/>
      <c r="DV986" s="335"/>
      <c r="DW986" s="335"/>
      <c r="DX986" s="335"/>
      <c r="DY986" s="335"/>
      <c r="DZ986" s="335"/>
      <c r="EA986" s="335"/>
      <c r="EB986" s="335"/>
      <c r="EC986" s="335"/>
      <c r="ED986" s="335"/>
      <c r="EE986" s="335"/>
      <c r="EF986" s="335"/>
      <c r="EG986" s="335"/>
      <c r="EH986" s="335"/>
      <c r="EI986" s="335"/>
      <c r="EJ986" s="335"/>
      <c r="EK986" s="335"/>
      <c r="EL986" s="335"/>
      <c r="EM986" s="335"/>
    </row>
    <row r="987" spans="72:143">
      <c r="BT987" s="187"/>
      <c r="BU987" s="189" t="s">
        <v>137</v>
      </c>
      <c r="BV987" s="199">
        <v>120035</v>
      </c>
      <c r="BW987" s="200" t="e">
        <f t="shared" si="159"/>
        <v>#REF!</v>
      </c>
      <c r="BX987" s="201" t="e">
        <f>IF(AND(State_LOB_Code=18,LEFT(BW987,4)&lt;"2009"),81,State_LOB_Code)&amp;"|600"</f>
        <v>#REF!</v>
      </c>
      <c r="BY987" s="217"/>
      <c r="BZ987" s="218"/>
      <c r="CD987" s="163"/>
      <c r="CE987" s="363"/>
      <c r="CF987" s="335"/>
      <c r="CG987" s="335"/>
      <c r="CH987" s="335"/>
      <c r="CI987" s="335"/>
      <c r="CJ987" s="335"/>
      <c r="CK987" s="335"/>
      <c r="CL987" s="335"/>
      <c r="CM987" s="335"/>
      <c r="CN987" s="335"/>
      <c r="CO987" s="335"/>
      <c r="CP987" s="335"/>
      <c r="CQ987" s="335"/>
      <c r="CR987" s="335"/>
      <c r="CS987" s="335"/>
      <c r="CT987" s="335"/>
      <c r="CU987" s="335"/>
      <c r="CV987" s="335"/>
      <c r="CW987" s="335"/>
      <c r="CX987" s="335"/>
      <c r="CY987" s="335"/>
      <c r="CZ987" s="335"/>
      <c r="DA987" s="335"/>
      <c r="DB987" s="335"/>
      <c r="DC987" s="335"/>
      <c r="DD987" s="335"/>
      <c r="DE987" s="335"/>
      <c r="DF987" s="335"/>
      <c r="DG987" s="335"/>
      <c r="DH987" s="335"/>
      <c r="DI987" s="335"/>
      <c r="DJ987" s="335"/>
      <c r="DK987" s="335"/>
      <c r="DL987" s="335"/>
      <c r="DM987" s="335"/>
      <c r="DN987" s="335"/>
      <c r="DO987" s="335"/>
      <c r="DP987" s="335"/>
      <c r="DQ987" s="335"/>
      <c r="DR987" s="335"/>
      <c r="DS987" s="335"/>
      <c r="DT987" s="335"/>
      <c r="DU987" s="335"/>
      <c r="DV987" s="335"/>
      <c r="DW987" s="335"/>
      <c r="DX987" s="335"/>
      <c r="DY987" s="335"/>
      <c r="DZ987" s="335"/>
      <c r="EA987" s="335"/>
      <c r="EB987" s="335"/>
      <c r="EC987" s="335"/>
      <c r="ED987" s="335"/>
      <c r="EE987" s="335"/>
      <c r="EF987" s="335"/>
      <c r="EG987" s="335"/>
      <c r="EH987" s="335"/>
      <c r="EI987" s="335"/>
      <c r="EJ987" s="335"/>
      <c r="EK987" s="335"/>
      <c r="EL987" s="335"/>
      <c r="EM987" s="335"/>
    </row>
    <row r="988" spans="72:143">
      <c r="BT988" s="187"/>
      <c r="BU988" s="187" t="s">
        <v>98</v>
      </c>
      <c r="BV988" s="196">
        <v>120035</v>
      </c>
      <c r="BW988" s="197" t="e">
        <f t="shared" si="159"/>
        <v>#REF!</v>
      </c>
      <c r="BX988" s="198" t="e">
        <f>IF(AND(State_LOB_Code=18,LEFT(BW988,4)&lt;"2009"),81,State_LOB_Code)&amp;"|336"</f>
        <v>#REF!</v>
      </c>
      <c r="BY988" s="215"/>
      <c r="BZ988" s="216"/>
      <c r="CD988" s="163"/>
      <c r="CE988" s="363"/>
      <c r="CF988" s="335"/>
      <c r="CG988" s="335"/>
      <c r="CH988" s="335"/>
      <c r="CI988" s="335"/>
      <c r="CJ988" s="335"/>
      <c r="CK988" s="335"/>
      <c r="CL988" s="335"/>
      <c r="CM988" s="335"/>
      <c r="CN988" s="335"/>
      <c r="CO988" s="335"/>
      <c r="CP988" s="335"/>
      <c r="CQ988" s="335"/>
      <c r="CR988" s="335"/>
      <c r="CS988" s="335"/>
      <c r="CT988" s="335"/>
      <c r="CU988" s="335"/>
      <c r="CV988" s="335"/>
      <c r="CW988" s="335"/>
      <c r="CX988" s="335"/>
      <c r="CY988" s="335"/>
      <c r="CZ988" s="335"/>
      <c r="DA988" s="335"/>
      <c r="DB988" s="335"/>
      <c r="DC988" s="335"/>
      <c r="DD988" s="335"/>
      <c r="DE988" s="335"/>
      <c r="DF988" s="335"/>
      <c r="DG988" s="335"/>
      <c r="DH988" s="335"/>
      <c r="DI988" s="335"/>
      <c r="DJ988" s="335"/>
      <c r="DK988" s="335"/>
      <c r="DL988" s="335"/>
      <c r="DM988" s="335"/>
      <c r="DN988" s="335"/>
      <c r="DO988" s="335"/>
      <c r="DP988" s="335"/>
      <c r="DQ988" s="335"/>
      <c r="DR988" s="335"/>
      <c r="DS988" s="335"/>
      <c r="DT988" s="335"/>
      <c r="DU988" s="335"/>
      <c r="DV988" s="335"/>
      <c r="DW988" s="335"/>
      <c r="DX988" s="335"/>
      <c r="DY988" s="335"/>
      <c r="DZ988" s="335"/>
      <c r="EA988" s="335"/>
      <c r="EB988" s="335"/>
      <c r="EC988" s="335"/>
      <c r="ED988" s="335"/>
      <c r="EE988" s="335"/>
      <c r="EF988" s="335"/>
      <c r="EG988" s="335"/>
      <c r="EH988" s="335"/>
      <c r="EI988" s="335"/>
      <c r="EJ988" s="335"/>
      <c r="EK988" s="335"/>
      <c r="EL988" s="335"/>
      <c r="EM988" s="335"/>
    </row>
    <row r="989" spans="72:143">
      <c r="BT989" s="187"/>
      <c r="BU989" s="187" t="s">
        <v>99</v>
      </c>
      <c r="BV989" s="196">
        <v>120035</v>
      </c>
      <c r="BW989" s="197" t="e">
        <f t="shared" si="159"/>
        <v>#REF!</v>
      </c>
      <c r="BX989" s="198" t="e">
        <f>IF(AND(State_LOB_Code=18,LEFT(BW989,4)&lt;"2009"),81,State_LOB_Code)&amp;"|345"</f>
        <v>#REF!</v>
      </c>
      <c r="BY989" s="215"/>
      <c r="BZ989" s="216"/>
      <c r="CD989" s="163"/>
      <c r="CE989" s="363"/>
      <c r="CF989" s="335"/>
      <c r="CG989" s="335"/>
      <c r="CH989" s="335"/>
      <c r="CI989" s="335"/>
      <c r="CJ989" s="335"/>
      <c r="CK989" s="335"/>
      <c r="CL989" s="335"/>
      <c r="CM989" s="335"/>
      <c r="CN989" s="335"/>
      <c r="CO989" s="335"/>
      <c r="CP989" s="335"/>
      <c r="CQ989" s="335"/>
      <c r="CR989" s="335"/>
      <c r="CS989" s="335"/>
      <c r="CT989" s="335"/>
      <c r="CU989" s="335"/>
      <c r="CV989" s="335"/>
      <c r="CW989" s="335"/>
      <c r="CX989" s="335"/>
      <c r="CY989" s="335"/>
      <c r="CZ989" s="335"/>
      <c r="DA989" s="335"/>
      <c r="DB989" s="335"/>
      <c r="DC989" s="335"/>
      <c r="DD989" s="335"/>
      <c r="DE989" s="335"/>
      <c r="DF989" s="335"/>
      <c r="DG989" s="335"/>
      <c r="DH989" s="335"/>
      <c r="DI989" s="335"/>
      <c r="DJ989" s="335"/>
      <c r="DK989" s="335"/>
      <c r="DL989" s="335"/>
      <c r="DM989" s="335"/>
      <c r="DN989" s="335"/>
      <c r="DO989" s="335"/>
      <c r="DP989" s="335"/>
      <c r="DQ989" s="335"/>
      <c r="DR989" s="335"/>
      <c r="DS989" s="335"/>
      <c r="DT989" s="335"/>
      <c r="DU989" s="335"/>
      <c r="DV989" s="335"/>
      <c r="DW989" s="335"/>
      <c r="DX989" s="335"/>
      <c r="DY989" s="335"/>
      <c r="DZ989" s="335"/>
      <c r="EA989" s="335"/>
      <c r="EB989" s="335"/>
      <c r="EC989" s="335"/>
      <c r="ED989" s="335"/>
      <c r="EE989" s="335"/>
      <c r="EF989" s="335"/>
      <c r="EG989" s="335"/>
      <c r="EH989" s="335"/>
      <c r="EI989" s="335"/>
      <c r="EJ989" s="335"/>
      <c r="EK989" s="335"/>
      <c r="EL989" s="335"/>
      <c r="EM989" s="335"/>
    </row>
    <row r="990" spans="72:143">
      <c r="BT990" s="187"/>
      <c r="BU990" s="187" t="s">
        <v>100</v>
      </c>
      <c r="BV990" s="196">
        <v>120035</v>
      </c>
      <c r="BW990" s="197" t="e">
        <f t="shared" si="159"/>
        <v>#REF!</v>
      </c>
      <c r="BX990" s="198" t="e">
        <f>IF(AND(State_LOB_Code=18,LEFT(BW990,4)&lt;"2009"),81,State_LOB_Code)&amp;"|360"</f>
        <v>#REF!</v>
      </c>
      <c r="BY990" s="215"/>
      <c r="BZ990" s="216"/>
      <c r="CD990" s="163"/>
      <c r="CE990" s="363"/>
      <c r="CF990" s="335"/>
      <c r="CG990" s="335"/>
      <c r="CH990" s="335"/>
      <c r="CI990" s="335"/>
      <c r="CJ990" s="335"/>
      <c r="CK990" s="335"/>
      <c r="CL990" s="335"/>
      <c r="CM990" s="335"/>
      <c r="CN990" s="335"/>
      <c r="CO990" s="335"/>
      <c r="CP990" s="335"/>
      <c r="CQ990" s="335"/>
      <c r="CR990" s="335"/>
      <c r="CS990" s="335"/>
      <c r="CT990" s="335"/>
      <c r="CU990" s="335"/>
      <c r="CV990" s="335"/>
      <c r="CW990" s="335"/>
      <c r="CX990" s="335"/>
      <c r="CY990" s="335"/>
      <c r="CZ990" s="335"/>
      <c r="DA990" s="335"/>
      <c r="DB990" s="335"/>
      <c r="DC990" s="335"/>
      <c r="DD990" s="335"/>
      <c r="DE990" s="335"/>
      <c r="DF990" s="335"/>
      <c r="DG990" s="335"/>
      <c r="DH990" s="335"/>
      <c r="DI990" s="335"/>
      <c r="DJ990" s="335"/>
      <c r="DK990" s="335"/>
      <c r="DL990" s="335"/>
      <c r="DM990" s="335"/>
      <c r="DN990" s="335"/>
      <c r="DO990" s="335"/>
      <c r="DP990" s="335"/>
      <c r="DQ990" s="335"/>
      <c r="DR990" s="335"/>
      <c r="DS990" s="335"/>
      <c r="DT990" s="335"/>
      <c r="DU990" s="335"/>
      <c r="DV990" s="335"/>
      <c r="DW990" s="335"/>
      <c r="DX990" s="335"/>
      <c r="DY990" s="335"/>
      <c r="DZ990" s="335"/>
      <c r="EA990" s="335"/>
      <c r="EB990" s="335"/>
      <c r="EC990" s="335"/>
      <c r="ED990" s="335"/>
      <c r="EE990" s="335"/>
      <c r="EF990" s="335"/>
      <c r="EG990" s="335"/>
      <c r="EH990" s="335"/>
      <c r="EI990" s="335"/>
      <c r="EJ990" s="335"/>
      <c r="EK990" s="335"/>
      <c r="EL990" s="335"/>
      <c r="EM990" s="335"/>
    </row>
    <row r="991" spans="72:143">
      <c r="BT991" s="187"/>
      <c r="BU991" s="187" t="s">
        <v>101</v>
      </c>
      <c r="BV991" s="196">
        <v>120035</v>
      </c>
      <c r="BW991" s="197" t="e">
        <f t="shared" si="159"/>
        <v>#REF!</v>
      </c>
      <c r="BX991" s="198" t="e">
        <f>IF(AND(State_LOB_Code=18,LEFT(BW991,4)&lt;"2009"),81,State_LOB_Code)&amp;"|375"</f>
        <v>#REF!</v>
      </c>
      <c r="BY991" s="215"/>
      <c r="BZ991" s="216"/>
      <c r="CD991" s="163"/>
      <c r="CE991" s="363"/>
      <c r="CF991" s="335"/>
      <c r="CG991" s="335"/>
      <c r="CH991" s="335"/>
      <c r="CI991" s="335"/>
      <c r="CJ991" s="335"/>
      <c r="CK991" s="335"/>
      <c r="CL991" s="335"/>
      <c r="CM991" s="335"/>
      <c r="CN991" s="335"/>
      <c r="CO991" s="335"/>
      <c r="CP991" s="335"/>
      <c r="CQ991" s="335"/>
      <c r="CR991" s="335"/>
      <c r="CS991" s="335"/>
      <c r="CT991" s="335"/>
      <c r="CU991" s="335"/>
      <c r="CV991" s="335"/>
      <c r="CW991" s="335"/>
      <c r="CX991" s="335"/>
      <c r="CY991" s="335"/>
      <c r="CZ991" s="335"/>
      <c r="DA991" s="335"/>
      <c r="DB991" s="335"/>
      <c r="DC991" s="335"/>
      <c r="DD991" s="335"/>
      <c r="DE991" s="335"/>
      <c r="DF991" s="335"/>
      <c r="DG991" s="335"/>
      <c r="DH991" s="335"/>
      <c r="DI991" s="335"/>
      <c r="DJ991" s="335"/>
      <c r="DK991" s="335"/>
      <c r="DL991" s="335"/>
      <c r="DM991" s="335"/>
      <c r="DN991" s="335"/>
      <c r="DO991" s="335"/>
      <c r="DP991" s="335"/>
      <c r="DQ991" s="335"/>
      <c r="DR991" s="335"/>
      <c r="DS991" s="335"/>
      <c r="DT991" s="335"/>
      <c r="DU991" s="335"/>
      <c r="DV991" s="335"/>
      <c r="DW991" s="335"/>
      <c r="DX991" s="335"/>
      <c r="DY991" s="335"/>
      <c r="DZ991" s="335"/>
      <c r="EA991" s="335"/>
      <c r="EB991" s="335"/>
      <c r="EC991" s="335"/>
      <c r="ED991" s="335"/>
      <c r="EE991" s="335"/>
      <c r="EF991" s="335"/>
      <c r="EG991" s="335"/>
      <c r="EH991" s="335"/>
      <c r="EI991" s="335"/>
      <c r="EJ991" s="335"/>
      <c r="EK991" s="335"/>
      <c r="EL991" s="335"/>
      <c r="EM991" s="335"/>
    </row>
    <row r="992" spans="72:143">
      <c r="BT992" s="187"/>
      <c r="BU992" s="187" t="s">
        <v>102</v>
      </c>
      <c r="BV992" s="196">
        <v>120035</v>
      </c>
      <c r="BW992" s="197" t="e">
        <f t="shared" si="159"/>
        <v>#REF!</v>
      </c>
      <c r="BX992" s="198" t="e">
        <f>IF(AND(State_LOB_Code=18,LEFT(BW992,4)&lt;"2009"),81,State_LOB_Code)&amp;"|383"</f>
        <v>#REF!</v>
      </c>
      <c r="BY992" s="215"/>
      <c r="BZ992" s="216"/>
      <c r="CD992" s="163"/>
      <c r="CE992" s="363"/>
      <c r="CF992" s="335"/>
      <c r="CG992" s="335"/>
      <c r="CH992" s="335"/>
      <c r="CI992" s="335"/>
      <c r="CJ992" s="335"/>
      <c r="CK992" s="335"/>
      <c r="CL992" s="335"/>
      <c r="CM992" s="335"/>
      <c r="CN992" s="335"/>
      <c r="CO992" s="335"/>
      <c r="CP992" s="335"/>
      <c r="CQ992" s="335"/>
      <c r="CR992" s="335"/>
      <c r="CS992" s="335"/>
      <c r="CT992" s="335"/>
      <c r="CU992" s="335"/>
      <c r="CV992" s="335"/>
      <c r="CW992" s="335"/>
      <c r="CX992" s="335"/>
      <c r="CY992" s="335"/>
      <c r="CZ992" s="335"/>
      <c r="DA992" s="335"/>
      <c r="DB992" s="335"/>
      <c r="DC992" s="335"/>
      <c r="DD992" s="335"/>
      <c r="DE992" s="335"/>
      <c r="DF992" s="335"/>
      <c r="DG992" s="335"/>
      <c r="DH992" s="335"/>
      <c r="DI992" s="335"/>
      <c r="DJ992" s="335"/>
      <c r="DK992" s="335"/>
      <c r="DL992" s="335"/>
      <c r="DM992" s="335"/>
      <c r="DN992" s="335"/>
      <c r="DO992" s="335"/>
      <c r="DP992" s="335"/>
      <c r="DQ992" s="335"/>
      <c r="DR992" s="335"/>
      <c r="DS992" s="335"/>
      <c r="DT992" s="335"/>
      <c r="DU992" s="335"/>
      <c r="DV992" s="335"/>
      <c r="DW992" s="335"/>
      <c r="DX992" s="335"/>
      <c r="DY992" s="335"/>
      <c r="DZ992" s="335"/>
      <c r="EA992" s="335"/>
      <c r="EB992" s="335"/>
      <c r="EC992" s="335"/>
      <c r="ED992" s="335"/>
      <c r="EE992" s="335"/>
      <c r="EF992" s="335"/>
      <c r="EG992" s="335"/>
      <c r="EH992" s="335"/>
      <c r="EI992" s="335"/>
      <c r="EJ992" s="335"/>
      <c r="EK992" s="335"/>
      <c r="EL992" s="335"/>
      <c r="EM992" s="335"/>
    </row>
    <row r="993" spans="72:143">
      <c r="BT993" s="187"/>
      <c r="BU993" s="187" t="s">
        <v>103</v>
      </c>
      <c r="BV993" s="196">
        <v>120035</v>
      </c>
      <c r="BW993" s="197" t="e">
        <f t="shared" si="159"/>
        <v>#REF!</v>
      </c>
      <c r="BX993" s="198" t="e">
        <f>IF(AND(State_LOB_Code=18,LEFT(BW993,4)&lt;"2009"),81,State_LOB_Code)&amp;"|332"</f>
        <v>#REF!</v>
      </c>
      <c r="BY993" s="215"/>
      <c r="BZ993" s="216"/>
      <c r="CD993" s="163"/>
      <c r="CE993" s="363"/>
      <c r="CF993" s="335"/>
      <c r="CG993" s="335"/>
      <c r="CH993" s="335"/>
      <c r="CI993" s="335"/>
      <c r="CJ993" s="335"/>
      <c r="CK993" s="335"/>
      <c r="CL993" s="335"/>
      <c r="CM993" s="335"/>
      <c r="CN993" s="335"/>
      <c r="CO993" s="335"/>
      <c r="CP993" s="335"/>
      <c r="CQ993" s="335"/>
      <c r="CR993" s="335"/>
      <c r="CS993" s="335"/>
      <c r="CT993" s="335"/>
      <c r="CU993" s="335"/>
      <c r="CV993" s="335"/>
      <c r="CW993" s="335"/>
      <c r="CX993" s="335"/>
      <c r="CY993" s="335"/>
      <c r="CZ993" s="335"/>
      <c r="DA993" s="335"/>
      <c r="DB993" s="335"/>
      <c r="DC993" s="335"/>
      <c r="DD993" s="335"/>
      <c r="DE993" s="335"/>
      <c r="DF993" s="335"/>
      <c r="DG993" s="335"/>
      <c r="DH993" s="335"/>
      <c r="DI993" s="335"/>
      <c r="DJ993" s="335"/>
      <c r="DK993" s="335"/>
      <c r="DL993" s="335"/>
      <c r="DM993" s="335"/>
      <c r="DN993" s="335"/>
      <c r="DO993" s="335"/>
      <c r="DP993" s="335"/>
      <c r="DQ993" s="335"/>
      <c r="DR993" s="335"/>
      <c r="DS993" s="335"/>
      <c r="DT993" s="335"/>
      <c r="DU993" s="335"/>
      <c r="DV993" s="335"/>
      <c r="DW993" s="335"/>
      <c r="DX993" s="335"/>
      <c r="DY993" s="335"/>
      <c r="DZ993" s="335"/>
      <c r="EA993" s="335"/>
      <c r="EB993" s="335"/>
      <c r="EC993" s="335"/>
      <c r="ED993" s="335"/>
      <c r="EE993" s="335"/>
      <c r="EF993" s="335"/>
      <c r="EG993" s="335"/>
      <c r="EH993" s="335"/>
      <c r="EI993" s="335"/>
      <c r="EJ993" s="335"/>
      <c r="EK993" s="335"/>
      <c r="EL993" s="335"/>
      <c r="EM993" s="335"/>
    </row>
    <row r="994" spans="72:143">
      <c r="BT994" s="187"/>
      <c r="BU994" s="187" t="s">
        <v>104</v>
      </c>
      <c r="BV994" s="196">
        <v>120035</v>
      </c>
      <c r="BW994" s="197" t="e">
        <f t="shared" si="159"/>
        <v>#REF!</v>
      </c>
      <c r="BX994" s="198" t="e">
        <f>IF(AND(State_LOB_Code=18,LEFT(BW994,4)&lt;"2009"),81,State_LOB_Code)&amp;"|330"</f>
        <v>#REF!</v>
      </c>
      <c r="BY994" s="215"/>
      <c r="BZ994" s="216"/>
      <c r="CD994" s="163"/>
      <c r="CE994" s="363"/>
      <c r="CF994" s="335"/>
      <c r="CG994" s="335"/>
      <c r="CH994" s="335"/>
      <c r="CI994" s="335"/>
      <c r="CJ994" s="335"/>
      <c r="CK994" s="335"/>
      <c r="CL994" s="335"/>
      <c r="CM994" s="335"/>
      <c r="CN994" s="335"/>
      <c r="CO994" s="335"/>
      <c r="CP994" s="335"/>
      <c r="CQ994" s="335"/>
      <c r="CR994" s="335"/>
      <c r="CS994" s="335"/>
      <c r="CT994" s="335"/>
      <c r="CU994" s="335"/>
      <c r="CV994" s="335"/>
      <c r="CW994" s="335"/>
      <c r="CX994" s="335"/>
      <c r="CY994" s="335"/>
      <c r="CZ994" s="335"/>
      <c r="DA994" s="335"/>
      <c r="DB994" s="335"/>
      <c r="DC994" s="335"/>
      <c r="DD994" s="335"/>
      <c r="DE994" s="335"/>
      <c r="DF994" s="335"/>
      <c r="DG994" s="335"/>
      <c r="DH994" s="335"/>
      <c r="DI994" s="335"/>
      <c r="DJ994" s="335"/>
      <c r="DK994" s="335"/>
      <c r="DL994" s="335"/>
      <c r="DM994" s="335"/>
      <c r="DN994" s="335"/>
      <c r="DO994" s="335"/>
      <c r="DP994" s="335"/>
      <c r="DQ994" s="335"/>
      <c r="DR994" s="335"/>
      <c r="DS994" s="335"/>
      <c r="DT994" s="335"/>
      <c r="DU994" s="335"/>
      <c r="DV994" s="335"/>
      <c r="DW994" s="335"/>
      <c r="DX994" s="335"/>
      <c r="DY994" s="335"/>
      <c r="DZ994" s="335"/>
      <c r="EA994" s="335"/>
      <c r="EB994" s="335"/>
      <c r="EC994" s="335"/>
      <c r="ED994" s="335"/>
      <c r="EE994" s="335"/>
      <c r="EF994" s="335"/>
      <c r="EG994" s="335"/>
      <c r="EH994" s="335"/>
      <c r="EI994" s="335"/>
      <c r="EJ994" s="335"/>
      <c r="EK994" s="335"/>
      <c r="EL994" s="335"/>
      <c r="EM994" s="335"/>
    </row>
    <row r="995" spans="72:143">
      <c r="BT995" s="187"/>
      <c r="BU995" s="190" t="s">
        <v>46</v>
      </c>
      <c r="BV995" s="202">
        <v>120055</v>
      </c>
      <c r="BW995" s="203" t="e">
        <f t="shared" si="159"/>
        <v>#REF!</v>
      </c>
      <c r="BX995" s="204" t="e">
        <f>IF(AND(State_LOB_Code=18,LEFT(BW995,4)&lt;"2009"),81,State_LOB_Code)</f>
        <v>#REF!</v>
      </c>
      <c r="BY995" s="219"/>
      <c r="BZ995" s="220"/>
      <c r="CD995" s="163"/>
      <c r="CE995" s="363"/>
      <c r="CF995" s="335"/>
      <c r="CG995" s="335"/>
      <c r="CH995" s="335"/>
      <c r="CI995" s="335"/>
      <c r="CJ995" s="335"/>
      <c r="CK995" s="335"/>
      <c r="CL995" s="335"/>
      <c r="CM995" s="335"/>
      <c r="CN995" s="335"/>
      <c r="CO995" s="335"/>
      <c r="CP995" s="335"/>
      <c r="CQ995" s="335"/>
      <c r="CR995" s="335"/>
      <c r="CS995" s="335"/>
      <c r="CT995" s="335"/>
      <c r="CU995" s="335"/>
      <c r="CV995" s="335"/>
      <c r="CW995" s="335"/>
      <c r="CX995" s="335"/>
      <c r="CY995" s="335"/>
      <c r="CZ995" s="335"/>
      <c r="DA995" s="335"/>
      <c r="DB995" s="335"/>
      <c r="DC995" s="335"/>
      <c r="DD995" s="335"/>
      <c r="DE995" s="335"/>
      <c r="DF995" s="335"/>
      <c r="DG995" s="335"/>
      <c r="DH995" s="335"/>
      <c r="DI995" s="335"/>
      <c r="DJ995" s="335"/>
      <c r="DK995" s="335"/>
      <c r="DL995" s="335"/>
      <c r="DM995" s="335"/>
      <c r="DN995" s="335"/>
      <c r="DO995" s="335"/>
      <c r="DP995" s="335"/>
      <c r="DQ995" s="335"/>
      <c r="DR995" s="335"/>
      <c r="DS995" s="335"/>
      <c r="DT995" s="335"/>
      <c r="DU995" s="335"/>
      <c r="DV995" s="335"/>
      <c r="DW995" s="335"/>
      <c r="DX995" s="335"/>
      <c r="DY995" s="335"/>
      <c r="DZ995" s="335"/>
      <c r="EA995" s="335"/>
      <c r="EB995" s="335"/>
      <c r="EC995" s="335"/>
      <c r="ED995" s="335"/>
      <c r="EE995" s="335"/>
      <c r="EF995" s="335"/>
      <c r="EG995" s="335"/>
      <c r="EH995" s="335"/>
      <c r="EI995" s="335"/>
      <c r="EJ995" s="335"/>
      <c r="EK995" s="335"/>
      <c r="EL995" s="335"/>
      <c r="EM995" s="335"/>
    </row>
    <row r="996" spans="72:143">
      <c r="BT996" s="187"/>
      <c r="BU996" s="187"/>
      <c r="BV996" s="188"/>
      <c r="BW996" s="188"/>
      <c r="BX996" s="188"/>
      <c r="BY996" s="215"/>
      <c r="BZ996" s="216"/>
      <c r="CD996" s="163"/>
      <c r="CE996" s="363"/>
      <c r="CF996" s="335"/>
      <c r="CG996" s="335"/>
      <c r="CH996" s="335"/>
      <c r="CI996" s="335"/>
      <c r="CJ996" s="335"/>
      <c r="CK996" s="335"/>
      <c r="CL996" s="335"/>
      <c r="CM996" s="335"/>
      <c r="CN996" s="335"/>
      <c r="CO996" s="335"/>
      <c r="CP996" s="335"/>
      <c r="CQ996" s="335"/>
      <c r="CR996" s="335"/>
      <c r="CS996" s="335"/>
      <c r="CT996" s="335"/>
      <c r="CU996" s="335"/>
      <c r="CV996" s="335"/>
      <c r="CW996" s="335"/>
      <c r="CX996" s="335"/>
      <c r="CY996" s="335"/>
      <c r="CZ996" s="335"/>
      <c r="DA996" s="335"/>
      <c r="DB996" s="335"/>
      <c r="DC996" s="335"/>
      <c r="DD996" s="335"/>
      <c r="DE996" s="335"/>
      <c r="DF996" s="335"/>
      <c r="DG996" s="335"/>
      <c r="DH996" s="335"/>
      <c r="DI996" s="335"/>
      <c r="DJ996" s="335"/>
      <c r="DK996" s="335"/>
      <c r="DL996" s="335"/>
      <c r="DM996" s="335"/>
      <c r="DN996" s="335"/>
      <c r="DO996" s="335"/>
      <c r="DP996" s="335"/>
      <c r="DQ996" s="335"/>
      <c r="DR996" s="335"/>
      <c r="DS996" s="335"/>
      <c r="DT996" s="335"/>
      <c r="DU996" s="335"/>
      <c r="DV996" s="335"/>
      <c r="DW996" s="335"/>
      <c r="DX996" s="335"/>
      <c r="DY996" s="335"/>
      <c r="DZ996" s="335"/>
      <c r="EA996" s="335"/>
      <c r="EB996" s="335"/>
      <c r="EC996" s="335"/>
      <c r="ED996" s="335"/>
      <c r="EE996" s="335"/>
      <c r="EF996" s="335"/>
      <c r="EG996" s="335"/>
      <c r="EH996" s="335"/>
      <c r="EI996" s="335"/>
      <c r="EJ996" s="335"/>
      <c r="EK996" s="335"/>
      <c r="EL996" s="335"/>
      <c r="EM996" s="335"/>
    </row>
    <row r="997" spans="72:143">
      <c r="BT997" s="187"/>
      <c r="BU997" s="184" t="s">
        <v>47</v>
      </c>
      <c r="BV997" s="193">
        <v>120035</v>
      </c>
      <c r="BW997" s="194" t="e">
        <f t="shared" ref="BW997:BW1028" si="160">LEFT(BW936,4)-1&amp;"Y"</f>
        <v>#REF!</v>
      </c>
      <c r="BX997" s="195" t="e">
        <f>IF(AND(State_LOB_Code=18,LEFT(BW997,4)&lt;"2009"),81,State_LOB_Code)&amp;"|333"</f>
        <v>#REF!</v>
      </c>
      <c r="BY997" s="213"/>
      <c r="BZ997" s="214"/>
      <c r="CD997" s="163"/>
      <c r="CE997" s="363"/>
      <c r="CF997" s="335"/>
      <c r="CG997" s="335"/>
      <c r="CH997" s="335"/>
      <c r="CI997" s="335"/>
      <c r="CJ997" s="335"/>
      <c r="CK997" s="335"/>
      <c r="CL997" s="335"/>
      <c r="CM997" s="335"/>
      <c r="CN997" s="335"/>
      <c r="CO997" s="335"/>
      <c r="CP997" s="335"/>
      <c r="CQ997" s="335"/>
      <c r="CR997" s="335"/>
      <c r="CS997" s="335"/>
      <c r="CT997" s="335"/>
      <c r="CU997" s="335"/>
      <c r="CV997" s="335"/>
      <c r="CW997" s="335"/>
      <c r="CX997" s="335"/>
      <c r="CY997" s="335"/>
      <c r="CZ997" s="335"/>
      <c r="DA997" s="335"/>
      <c r="DB997" s="335"/>
      <c r="DC997" s="335"/>
      <c r="DD997" s="335"/>
      <c r="DE997" s="335"/>
      <c r="DF997" s="335"/>
      <c r="DG997" s="335"/>
      <c r="DH997" s="335"/>
      <c r="DI997" s="335"/>
      <c r="DJ997" s="335"/>
      <c r="DK997" s="335"/>
      <c r="DL997" s="335"/>
      <c r="DM997" s="335"/>
      <c r="DN997" s="335"/>
      <c r="DO997" s="335"/>
      <c r="DP997" s="335"/>
      <c r="DQ997" s="335"/>
      <c r="DR997" s="335"/>
      <c r="DS997" s="335"/>
      <c r="DT997" s="335"/>
      <c r="DU997" s="335"/>
      <c r="DV997" s="335"/>
      <c r="DW997" s="335"/>
      <c r="DX997" s="335"/>
      <c r="DY997" s="335"/>
      <c r="DZ997" s="335"/>
      <c r="EA997" s="335"/>
      <c r="EB997" s="335"/>
      <c r="EC997" s="335"/>
      <c r="ED997" s="335"/>
      <c r="EE997" s="335"/>
      <c r="EF997" s="335"/>
      <c r="EG997" s="335"/>
      <c r="EH997" s="335"/>
      <c r="EI997" s="335"/>
      <c r="EJ997" s="335"/>
      <c r="EK997" s="335"/>
      <c r="EL997" s="335"/>
      <c r="EM997" s="335"/>
    </row>
    <row r="998" spans="72:143">
      <c r="BT998" s="187"/>
      <c r="BU998" s="187" t="s">
        <v>48</v>
      </c>
      <c r="BV998" s="196">
        <v>120035</v>
      </c>
      <c r="BW998" s="197" t="e">
        <f t="shared" si="160"/>
        <v>#REF!</v>
      </c>
      <c r="BX998" s="198" t="e">
        <f>IF(AND(State_LOB_Code=18,LEFT(BW998,4)&lt;"2009"),81,State_LOB_Code)&amp;"|334"</f>
        <v>#REF!</v>
      </c>
      <c r="BY998" s="215"/>
      <c r="BZ998" s="216"/>
      <c r="CD998" s="163"/>
      <c r="CE998" s="363"/>
      <c r="CF998" s="335"/>
      <c r="CG998" s="335"/>
      <c r="CH998" s="335"/>
      <c r="CI998" s="335"/>
      <c r="CJ998" s="335"/>
      <c r="CK998" s="335"/>
      <c r="CL998" s="335"/>
      <c r="CM998" s="335"/>
      <c r="CN998" s="335"/>
      <c r="CO998" s="335"/>
      <c r="CP998" s="335"/>
      <c r="CQ998" s="335"/>
      <c r="CR998" s="335"/>
      <c r="CS998" s="335"/>
      <c r="CT998" s="335"/>
      <c r="CU998" s="335"/>
      <c r="CV998" s="335"/>
      <c r="CW998" s="335"/>
      <c r="CX998" s="335"/>
      <c r="CY998" s="335"/>
      <c r="CZ998" s="335"/>
      <c r="DA998" s="335"/>
      <c r="DB998" s="335"/>
      <c r="DC998" s="335"/>
      <c r="DD998" s="335"/>
      <c r="DE998" s="335"/>
      <c r="DF998" s="335"/>
      <c r="DG998" s="335"/>
      <c r="DH998" s="335"/>
      <c r="DI998" s="335"/>
      <c r="DJ998" s="335"/>
      <c r="DK998" s="335"/>
      <c r="DL998" s="335"/>
      <c r="DM998" s="335"/>
      <c r="DN998" s="335"/>
      <c r="DO998" s="335"/>
      <c r="DP998" s="335"/>
      <c r="DQ998" s="335"/>
      <c r="DR998" s="335"/>
      <c r="DS998" s="335"/>
      <c r="DT998" s="335"/>
      <c r="DU998" s="335"/>
      <c r="DV998" s="335"/>
      <c r="DW998" s="335"/>
      <c r="DX998" s="335"/>
      <c r="DY998" s="335"/>
      <c r="DZ998" s="335"/>
      <c r="EA998" s="335"/>
      <c r="EB998" s="335"/>
      <c r="EC998" s="335"/>
      <c r="ED998" s="335"/>
      <c r="EE998" s="335"/>
      <c r="EF998" s="335"/>
      <c r="EG998" s="335"/>
      <c r="EH998" s="335"/>
      <c r="EI998" s="335"/>
      <c r="EJ998" s="335"/>
      <c r="EK998" s="335"/>
      <c r="EL998" s="335"/>
      <c r="EM998" s="335"/>
    </row>
    <row r="999" spans="72:143">
      <c r="BT999" s="187"/>
      <c r="BU999" s="187" t="s">
        <v>49</v>
      </c>
      <c r="BV999" s="196">
        <v>120035</v>
      </c>
      <c r="BW999" s="197" t="e">
        <f t="shared" si="160"/>
        <v>#REF!</v>
      </c>
      <c r="BX999" s="198" t="e">
        <f>IF(AND(State_LOB_Code=18,LEFT(BW999,4)&lt;"2009"),81,State_LOB_Code)&amp;"|335"</f>
        <v>#REF!</v>
      </c>
      <c r="BY999" s="215"/>
      <c r="BZ999" s="216"/>
      <c r="CD999" s="163"/>
      <c r="CE999" s="363"/>
      <c r="CF999" s="335"/>
      <c r="CG999" s="335"/>
      <c r="CH999" s="335"/>
      <c r="CI999" s="335"/>
      <c r="CJ999" s="335"/>
      <c r="CK999" s="335"/>
      <c r="CL999" s="335"/>
      <c r="CM999" s="335"/>
      <c r="CN999" s="335"/>
      <c r="CO999" s="335"/>
      <c r="CP999" s="335"/>
      <c r="CQ999" s="335"/>
      <c r="CR999" s="335"/>
      <c r="CS999" s="335"/>
      <c r="CT999" s="335"/>
      <c r="CU999" s="335"/>
      <c r="CV999" s="335"/>
      <c r="CW999" s="335"/>
      <c r="CX999" s="335"/>
      <c r="CY999" s="335"/>
      <c r="CZ999" s="335"/>
      <c r="DA999" s="335"/>
      <c r="DB999" s="335"/>
      <c r="DC999" s="335"/>
      <c r="DD999" s="335"/>
      <c r="DE999" s="335"/>
      <c r="DF999" s="335"/>
      <c r="DG999" s="335"/>
      <c r="DH999" s="335"/>
      <c r="DI999" s="335"/>
      <c r="DJ999" s="335"/>
      <c r="DK999" s="335"/>
      <c r="DL999" s="335"/>
      <c r="DM999" s="335"/>
      <c r="DN999" s="335"/>
      <c r="DO999" s="335"/>
      <c r="DP999" s="335"/>
      <c r="DQ999" s="335"/>
      <c r="DR999" s="335"/>
      <c r="DS999" s="335"/>
      <c r="DT999" s="335"/>
      <c r="DU999" s="335"/>
      <c r="DV999" s="335"/>
      <c r="DW999" s="335"/>
      <c r="DX999" s="335"/>
      <c r="DY999" s="335"/>
      <c r="DZ999" s="335"/>
      <c r="EA999" s="335"/>
      <c r="EB999" s="335"/>
      <c r="EC999" s="335"/>
      <c r="ED999" s="335"/>
      <c r="EE999" s="335"/>
      <c r="EF999" s="335"/>
      <c r="EG999" s="335"/>
      <c r="EH999" s="335"/>
      <c r="EI999" s="335"/>
      <c r="EJ999" s="335"/>
      <c r="EK999" s="335"/>
      <c r="EL999" s="335"/>
      <c r="EM999" s="335"/>
    </row>
    <row r="1000" spans="72:143">
      <c r="BT1000" s="187"/>
      <c r="BU1000" s="187" t="s">
        <v>50</v>
      </c>
      <c r="BV1000" s="196">
        <v>120035</v>
      </c>
      <c r="BW1000" s="197" t="e">
        <f t="shared" si="160"/>
        <v>#REF!</v>
      </c>
      <c r="BX1000" s="198" t="e">
        <f>IF(AND(State_LOB_Code=18,LEFT(BW1000,4)&lt;"2009"),81,State_LOB_Code)&amp;"|337"</f>
        <v>#REF!</v>
      </c>
      <c r="BY1000" s="215"/>
      <c r="BZ1000" s="216"/>
      <c r="CD1000" s="163"/>
      <c r="CE1000" s="363"/>
      <c r="CF1000" s="335"/>
      <c r="CG1000" s="335"/>
      <c r="CH1000" s="335"/>
      <c r="CI1000" s="335"/>
      <c r="CJ1000" s="335"/>
      <c r="CK1000" s="335"/>
      <c r="CL1000" s="335"/>
      <c r="CM1000" s="335"/>
      <c r="CN1000" s="335"/>
      <c r="CO1000" s="335"/>
      <c r="CP1000" s="335"/>
      <c r="CQ1000" s="335"/>
      <c r="CR1000" s="335"/>
      <c r="CS1000" s="335"/>
      <c r="CT1000" s="335"/>
      <c r="CU1000" s="335"/>
      <c r="CV1000" s="335"/>
      <c r="CW1000" s="335"/>
      <c r="CX1000" s="335"/>
      <c r="CY1000" s="335"/>
      <c r="CZ1000" s="335"/>
      <c r="DA1000" s="335"/>
      <c r="DB1000" s="335"/>
      <c r="DC1000" s="335"/>
      <c r="DD1000" s="335"/>
      <c r="DE1000" s="335"/>
      <c r="DF1000" s="335"/>
      <c r="DG1000" s="335"/>
      <c r="DH1000" s="335"/>
      <c r="DI1000" s="335"/>
      <c r="DJ1000" s="335"/>
      <c r="DK1000" s="335"/>
      <c r="DL1000" s="335"/>
      <c r="DM1000" s="335"/>
      <c r="DN1000" s="335"/>
      <c r="DO1000" s="335"/>
      <c r="DP1000" s="335"/>
      <c r="DQ1000" s="335"/>
      <c r="DR1000" s="335"/>
      <c r="DS1000" s="335"/>
      <c r="DT1000" s="335"/>
      <c r="DU1000" s="335"/>
      <c r="DV1000" s="335"/>
      <c r="DW1000" s="335"/>
      <c r="DX1000" s="335"/>
      <c r="DY1000" s="335"/>
      <c r="DZ1000" s="335"/>
      <c r="EA1000" s="335"/>
      <c r="EB1000" s="335"/>
      <c r="EC1000" s="335"/>
      <c r="ED1000" s="335"/>
      <c r="EE1000" s="335"/>
      <c r="EF1000" s="335"/>
      <c r="EG1000" s="335"/>
      <c r="EH1000" s="335"/>
      <c r="EI1000" s="335"/>
      <c r="EJ1000" s="335"/>
      <c r="EK1000" s="335"/>
      <c r="EL1000" s="335"/>
      <c r="EM1000" s="335"/>
    </row>
    <row r="1001" spans="72:143">
      <c r="BT1001" s="187"/>
      <c r="BU1001" s="187" t="s">
        <v>51</v>
      </c>
      <c r="BV1001" s="196">
        <v>120035</v>
      </c>
      <c r="BW1001" s="197" t="e">
        <f t="shared" si="160"/>
        <v>#REF!</v>
      </c>
      <c r="BX1001" s="198" t="e">
        <f>IF(AND(State_LOB_Code=18,LEFT(BW1001,4)&lt;"2009"),81,State_LOB_Code)&amp;"|338"</f>
        <v>#REF!</v>
      </c>
      <c r="BY1001" s="215"/>
      <c r="BZ1001" s="216"/>
      <c r="CD1001" s="163"/>
      <c r="CE1001" s="363"/>
      <c r="CF1001" s="335"/>
      <c r="CG1001" s="335"/>
      <c r="CH1001" s="335"/>
      <c r="CI1001" s="335"/>
      <c r="CJ1001" s="335"/>
      <c r="CK1001" s="335"/>
      <c r="CL1001" s="335"/>
      <c r="CM1001" s="335"/>
      <c r="CN1001" s="335"/>
      <c r="CO1001" s="335"/>
      <c r="CP1001" s="335"/>
      <c r="CQ1001" s="335"/>
      <c r="CR1001" s="335"/>
      <c r="CS1001" s="335"/>
      <c r="CT1001" s="335"/>
      <c r="CU1001" s="335"/>
      <c r="CV1001" s="335"/>
      <c r="CW1001" s="335"/>
      <c r="CX1001" s="335"/>
      <c r="CY1001" s="335"/>
      <c r="CZ1001" s="335"/>
      <c r="DA1001" s="335"/>
      <c r="DB1001" s="335"/>
      <c r="DC1001" s="335"/>
      <c r="DD1001" s="335"/>
      <c r="DE1001" s="335"/>
      <c r="DF1001" s="335"/>
      <c r="DG1001" s="335"/>
      <c r="DH1001" s="335"/>
      <c r="DI1001" s="335"/>
      <c r="DJ1001" s="335"/>
      <c r="DK1001" s="335"/>
      <c r="DL1001" s="335"/>
      <c r="DM1001" s="335"/>
      <c r="DN1001" s="335"/>
      <c r="DO1001" s="335"/>
      <c r="DP1001" s="335"/>
      <c r="DQ1001" s="335"/>
      <c r="DR1001" s="335"/>
      <c r="DS1001" s="335"/>
      <c r="DT1001" s="335"/>
      <c r="DU1001" s="335"/>
      <c r="DV1001" s="335"/>
      <c r="DW1001" s="335"/>
      <c r="DX1001" s="335"/>
      <c r="DY1001" s="335"/>
      <c r="DZ1001" s="335"/>
      <c r="EA1001" s="335"/>
      <c r="EB1001" s="335"/>
      <c r="EC1001" s="335"/>
      <c r="ED1001" s="335"/>
      <c r="EE1001" s="335"/>
      <c r="EF1001" s="335"/>
      <c r="EG1001" s="335"/>
      <c r="EH1001" s="335"/>
      <c r="EI1001" s="335"/>
      <c r="EJ1001" s="335"/>
      <c r="EK1001" s="335"/>
      <c r="EL1001" s="335"/>
      <c r="EM1001" s="335"/>
    </row>
    <row r="1002" spans="72:143">
      <c r="BT1002" s="187"/>
      <c r="BU1002" s="187" t="s">
        <v>52</v>
      </c>
      <c r="BV1002" s="196">
        <v>120035</v>
      </c>
      <c r="BW1002" s="197" t="e">
        <f t="shared" si="160"/>
        <v>#REF!</v>
      </c>
      <c r="BX1002" s="198" t="e">
        <f>IF(AND(State_LOB_Code=18,LEFT(BW1002,4)&lt;"2009"),81,State_LOB_Code)&amp;"|339"</f>
        <v>#REF!</v>
      </c>
      <c r="BY1002" s="215"/>
      <c r="BZ1002" s="216"/>
      <c r="CD1002" s="163"/>
      <c r="CE1002" s="363"/>
      <c r="CF1002" s="335"/>
      <c r="CG1002" s="335"/>
      <c r="CH1002" s="335"/>
      <c r="CI1002" s="335"/>
      <c r="CJ1002" s="335"/>
      <c r="CK1002" s="335"/>
      <c r="CL1002" s="335"/>
      <c r="CM1002" s="335"/>
      <c r="CN1002" s="335"/>
      <c r="CO1002" s="335"/>
      <c r="CP1002" s="335"/>
      <c r="CQ1002" s="335"/>
      <c r="CR1002" s="335"/>
      <c r="CS1002" s="335"/>
      <c r="CT1002" s="335"/>
      <c r="CU1002" s="335"/>
      <c r="CV1002" s="335"/>
      <c r="CW1002" s="335"/>
      <c r="CX1002" s="335"/>
      <c r="CY1002" s="335"/>
      <c r="CZ1002" s="335"/>
      <c r="DA1002" s="335"/>
      <c r="DB1002" s="335"/>
      <c r="DC1002" s="335"/>
      <c r="DD1002" s="335"/>
      <c r="DE1002" s="335"/>
      <c r="DF1002" s="335"/>
      <c r="DG1002" s="335"/>
      <c r="DH1002" s="335"/>
      <c r="DI1002" s="335"/>
      <c r="DJ1002" s="335"/>
      <c r="DK1002" s="335"/>
      <c r="DL1002" s="335"/>
      <c r="DM1002" s="335"/>
      <c r="DN1002" s="335"/>
      <c r="DO1002" s="335"/>
      <c r="DP1002" s="335"/>
      <c r="DQ1002" s="335"/>
      <c r="DR1002" s="335"/>
      <c r="DS1002" s="335"/>
      <c r="DT1002" s="335"/>
      <c r="DU1002" s="335"/>
      <c r="DV1002" s="335"/>
      <c r="DW1002" s="335"/>
      <c r="DX1002" s="335"/>
      <c r="DY1002" s="335"/>
      <c r="DZ1002" s="335"/>
      <c r="EA1002" s="335"/>
      <c r="EB1002" s="335"/>
      <c r="EC1002" s="335"/>
      <c r="ED1002" s="335"/>
      <c r="EE1002" s="335"/>
      <c r="EF1002" s="335"/>
      <c r="EG1002" s="335"/>
      <c r="EH1002" s="335"/>
      <c r="EI1002" s="335"/>
      <c r="EJ1002" s="335"/>
      <c r="EK1002" s="335"/>
      <c r="EL1002" s="335"/>
      <c r="EM1002" s="335"/>
    </row>
    <row r="1003" spans="72:143">
      <c r="BT1003" s="187"/>
      <c r="BU1003" s="187" t="s">
        <v>53</v>
      </c>
      <c r="BV1003" s="196">
        <v>120035</v>
      </c>
      <c r="BW1003" s="197" t="e">
        <f t="shared" si="160"/>
        <v>#REF!</v>
      </c>
      <c r="BX1003" s="198" t="e">
        <f>IF(AND(State_LOB_Code=18,LEFT(BW1003,4)&lt;"2009"),81,State_LOB_Code)&amp;"|340"</f>
        <v>#REF!</v>
      </c>
      <c r="BY1003" s="215"/>
      <c r="BZ1003" s="216"/>
      <c r="CD1003" s="163"/>
      <c r="CE1003" s="363"/>
      <c r="CF1003" s="335"/>
      <c r="CG1003" s="335"/>
      <c r="CH1003" s="335"/>
      <c r="CI1003" s="335"/>
      <c r="CJ1003" s="335"/>
      <c r="CK1003" s="335"/>
      <c r="CL1003" s="335"/>
      <c r="CM1003" s="335"/>
      <c r="CN1003" s="335"/>
      <c r="CO1003" s="335"/>
      <c r="CP1003" s="335"/>
      <c r="CQ1003" s="335"/>
      <c r="CR1003" s="335"/>
      <c r="CS1003" s="335"/>
      <c r="CT1003" s="335"/>
      <c r="CU1003" s="335"/>
      <c r="CV1003" s="335"/>
      <c r="CW1003" s="335"/>
      <c r="CX1003" s="335"/>
      <c r="CY1003" s="335"/>
      <c r="CZ1003" s="335"/>
      <c r="DA1003" s="335"/>
      <c r="DB1003" s="335"/>
      <c r="DC1003" s="335"/>
      <c r="DD1003" s="335"/>
      <c r="DE1003" s="335"/>
      <c r="DF1003" s="335"/>
      <c r="DG1003" s="335"/>
      <c r="DH1003" s="335"/>
      <c r="DI1003" s="335"/>
      <c r="DJ1003" s="335"/>
      <c r="DK1003" s="335"/>
      <c r="DL1003" s="335"/>
      <c r="DM1003" s="335"/>
      <c r="DN1003" s="335"/>
      <c r="DO1003" s="335"/>
      <c r="DP1003" s="335"/>
      <c r="DQ1003" s="335"/>
      <c r="DR1003" s="335"/>
      <c r="DS1003" s="335"/>
      <c r="DT1003" s="335"/>
      <c r="DU1003" s="335"/>
      <c r="DV1003" s="335"/>
      <c r="DW1003" s="335"/>
      <c r="DX1003" s="335"/>
      <c r="DY1003" s="335"/>
      <c r="DZ1003" s="335"/>
      <c r="EA1003" s="335"/>
      <c r="EB1003" s="335"/>
      <c r="EC1003" s="335"/>
      <c r="ED1003" s="335"/>
      <c r="EE1003" s="335"/>
      <c r="EF1003" s="335"/>
      <c r="EG1003" s="335"/>
      <c r="EH1003" s="335"/>
      <c r="EI1003" s="335"/>
      <c r="EJ1003" s="335"/>
      <c r="EK1003" s="335"/>
      <c r="EL1003" s="335"/>
      <c r="EM1003" s="335"/>
    </row>
    <row r="1004" spans="72:143">
      <c r="BT1004" s="187"/>
      <c r="BU1004" s="187" t="s">
        <v>54</v>
      </c>
      <c r="BV1004" s="196">
        <v>120035</v>
      </c>
      <c r="BW1004" s="197" t="e">
        <f t="shared" si="160"/>
        <v>#REF!</v>
      </c>
      <c r="BX1004" s="198" t="e">
        <f>IF(AND(State_LOB_Code=18,LEFT(BW1004,4)&lt;"2009"),81,State_LOB_Code)&amp;"|341"</f>
        <v>#REF!</v>
      </c>
      <c r="BY1004" s="215"/>
      <c r="BZ1004" s="216"/>
      <c r="CD1004" s="163"/>
      <c r="CE1004" s="363"/>
      <c r="CF1004" s="335"/>
      <c r="CG1004" s="335"/>
      <c r="CH1004" s="335"/>
      <c r="CI1004" s="335"/>
      <c r="CJ1004" s="335"/>
      <c r="CK1004" s="335"/>
      <c r="CL1004" s="335"/>
      <c r="CM1004" s="335"/>
      <c r="CN1004" s="335"/>
      <c r="CO1004" s="335"/>
      <c r="CP1004" s="335"/>
      <c r="CQ1004" s="335"/>
      <c r="CR1004" s="335"/>
      <c r="CS1004" s="335"/>
      <c r="CT1004" s="335"/>
      <c r="CU1004" s="335"/>
      <c r="CV1004" s="335"/>
      <c r="CW1004" s="335"/>
      <c r="CX1004" s="335"/>
      <c r="CY1004" s="335"/>
      <c r="CZ1004" s="335"/>
      <c r="DA1004" s="335"/>
      <c r="DB1004" s="335"/>
      <c r="DC1004" s="335"/>
      <c r="DD1004" s="335"/>
      <c r="DE1004" s="335"/>
      <c r="DF1004" s="335"/>
      <c r="DG1004" s="335"/>
      <c r="DH1004" s="335"/>
      <c r="DI1004" s="335"/>
      <c r="DJ1004" s="335"/>
      <c r="DK1004" s="335"/>
      <c r="DL1004" s="335"/>
      <c r="DM1004" s="335"/>
      <c r="DN1004" s="335"/>
      <c r="DO1004" s="335"/>
      <c r="DP1004" s="335"/>
      <c r="DQ1004" s="335"/>
      <c r="DR1004" s="335"/>
      <c r="DS1004" s="335"/>
      <c r="DT1004" s="335"/>
      <c r="DU1004" s="335"/>
      <c r="DV1004" s="335"/>
      <c r="DW1004" s="335"/>
      <c r="DX1004" s="335"/>
      <c r="DY1004" s="335"/>
      <c r="DZ1004" s="335"/>
      <c r="EA1004" s="335"/>
      <c r="EB1004" s="335"/>
      <c r="EC1004" s="335"/>
      <c r="ED1004" s="335"/>
      <c r="EE1004" s="335"/>
      <c r="EF1004" s="335"/>
      <c r="EG1004" s="335"/>
      <c r="EH1004" s="335"/>
      <c r="EI1004" s="335"/>
      <c r="EJ1004" s="335"/>
      <c r="EK1004" s="335"/>
      <c r="EL1004" s="335"/>
      <c r="EM1004" s="335"/>
    </row>
    <row r="1005" spans="72:143">
      <c r="BT1005" s="187"/>
      <c r="BU1005" s="187" t="s">
        <v>55</v>
      </c>
      <c r="BV1005" s="196">
        <v>120035</v>
      </c>
      <c r="BW1005" s="197" t="e">
        <f t="shared" si="160"/>
        <v>#REF!</v>
      </c>
      <c r="BX1005" s="198" t="e">
        <f>IF(AND(State_LOB_Code=18,LEFT(BW1005,4)&lt;"2009"),81,State_LOB_Code)&amp;"|342"</f>
        <v>#REF!</v>
      </c>
      <c r="BY1005" s="215"/>
      <c r="BZ1005" s="216"/>
      <c r="CD1005" s="163"/>
      <c r="CE1005" s="363"/>
      <c r="CF1005" s="335"/>
      <c r="CG1005" s="335"/>
      <c r="CH1005" s="335"/>
      <c r="CI1005" s="335"/>
      <c r="CJ1005" s="335"/>
      <c r="CK1005" s="335"/>
      <c r="CL1005" s="335"/>
      <c r="CM1005" s="335"/>
      <c r="CN1005" s="335"/>
      <c r="CO1005" s="335"/>
      <c r="CP1005" s="335"/>
      <c r="CQ1005" s="335"/>
      <c r="CR1005" s="335"/>
      <c r="CS1005" s="335"/>
      <c r="CT1005" s="335"/>
      <c r="CU1005" s="335"/>
      <c r="CV1005" s="335"/>
      <c r="CW1005" s="335"/>
      <c r="CX1005" s="335"/>
      <c r="CY1005" s="335"/>
      <c r="CZ1005" s="335"/>
      <c r="DA1005" s="335"/>
      <c r="DB1005" s="335"/>
      <c r="DC1005" s="335"/>
      <c r="DD1005" s="335"/>
      <c r="DE1005" s="335"/>
      <c r="DF1005" s="335"/>
      <c r="DG1005" s="335"/>
      <c r="DH1005" s="335"/>
      <c r="DI1005" s="335"/>
      <c r="DJ1005" s="335"/>
      <c r="DK1005" s="335"/>
      <c r="DL1005" s="335"/>
      <c r="DM1005" s="335"/>
      <c r="DN1005" s="335"/>
      <c r="DO1005" s="335"/>
      <c r="DP1005" s="335"/>
      <c r="DQ1005" s="335"/>
      <c r="DR1005" s="335"/>
      <c r="DS1005" s="335"/>
      <c r="DT1005" s="335"/>
      <c r="DU1005" s="335"/>
      <c r="DV1005" s="335"/>
      <c r="DW1005" s="335"/>
      <c r="DX1005" s="335"/>
      <c r="DY1005" s="335"/>
      <c r="DZ1005" s="335"/>
      <c r="EA1005" s="335"/>
      <c r="EB1005" s="335"/>
      <c r="EC1005" s="335"/>
      <c r="ED1005" s="335"/>
      <c r="EE1005" s="335"/>
      <c r="EF1005" s="335"/>
      <c r="EG1005" s="335"/>
      <c r="EH1005" s="335"/>
      <c r="EI1005" s="335"/>
      <c r="EJ1005" s="335"/>
      <c r="EK1005" s="335"/>
      <c r="EL1005" s="335"/>
      <c r="EM1005" s="335"/>
    </row>
    <row r="1006" spans="72:143">
      <c r="BT1006" s="187"/>
      <c r="BU1006" s="187" t="s">
        <v>56</v>
      </c>
      <c r="BV1006" s="196">
        <v>120035</v>
      </c>
      <c r="BW1006" s="197" t="e">
        <f t="shared" si="160"/>
        <v>#REF!</v>
      </c>
      <c r="BX1006" s="198" t="e">
        <f>IF(AND(State_LOB_Code=18,LEFT(BW1006,4)&lt;"2009"),81,State_LOB_Code)&amp;"|343"</f>
        <v>#REF!</v>
      </c>
      <c r="BY1006" s="215"/>
      <c r="BZ1006" s="216"/>
      <c r="CD1006" s="163"/>
      <c r="CE1006" s="363"/>
      <c r="CF1006" s="335"/>
      <c r="CG1006" s="335"/>
      <c r="CH1006" s="335"/>
      <c r="CI1006" s="335"/>
      <c r="CJ1006" s="335"/>
      <c r="CK1006" s="335"/>
      <c r="CL1006" s="335"/>
      <c r="CM1006" s="335"/>
      <c r="CN1006" s="335"/>
      <c r="CO1006" s="335"/>
      <c r="CP1006" s="335"/>
      <c r="CQ1006" s="335"/>
      <c r="CR1006" s="335"/>
      <c r="CS1006" s="335"/>
      <c r="CT1006" s="335"/>
      <c r="CU1006" s="335"/>
      <c r="CV1006" s="335"/>
      <c r="CW1006" s="335"/>
      <c r="CX1006" s="335"/>
      <c r="CY1006" s="335"/>
      <c r="CZ1006" s="335"/>
      <c r="DA1006" s="335"/>
      <c r="DB1006" s="335"/>
      <c r="DC1006" s="335"/>
      <c r="DD1006" s="335"/>
      <c r="DE1006" s="335"/>
      <c r="DF1006" s="335"/>
      <c r="DG1006" s="335"/>
      <c r="DH1006" s="335"/>
      <c r="DI1006" s="335"/>
      <c r="DJ1006" s="335"/>
      <c r="DK1006" s="335"/>
      <c r="DL1006" s="335"/>
      <c r="DM1006" s="335"/>
      <c r="DN1006" s="335"/>
      <c r="DO1006" s="335"/>
      <c r="DP1006" s="335"/>
      <c r="DQ1006" s="335"/>
      <c r="DR1006" s="335"/>
      <c r="DS1006" s="335"/>
      <c r="DT1006" s="335"/>
      <c r="DU1006" s="335"/>
      <c r="DV1006" s="335"/>
      <c r="DW1006" s="335"/>
      <c r="DX1006" s="335"/>
      <c r="DY1006" s="335"/>
      <c r="DZ1006" s="335"/>
      <c r="EA1006" s="335"/>
      <c r="EB1006" s="335"/>
      <c r="EC1006" s="335"/>
      <c r="ED1006" s="335"/>
      <c r="EE1006" s="335"/>
      <c r="EF1006" s="335"/>
      <c r="EG1006" s="335"/>
      <c r="EH1006" s="335"/>
      <c r="EI1006" s="335"/>
      <c r="EJ1006" s="335"/>
      <c r="EK1006" s="335"/>
      <c r="EL1006" s="335"/>
      <c r="EM1006" s="335"/>
    </row>
    <row r="1007" spans="72:143">
      <c r="BT1007" s="187"/>
      <c r="BU1007" s="187" t="s">
        <v>57</v>
      </c>
      <c r="BV1007" s="196">
        <v>120035</v>
      </c>
      <c r="BW1007" s="197" t="e">
        <f t="shared" si="160"/>
        <v>#REF!</v>
      </c>
      <c r="BX1007" s="198" t="e">
        <f>IF(AND(State_LOB_Code=18,LEFT(BW1007,4)&lt;"2009"),81,State_LOB_Code)&amp;"|344"</f>
        <v>#REF!</v>
      </c>
      <c r="BY1007" s="215"/>
      <c r="BZ1007" s="216"/>
      <c r="CD1007" s="163"/>
      <c r="CE1007" s="363"/>
      <c r="CF1007" s="335"/>
      <c r="CG1007" s="335"/>
      <c r="CH1007" s="335"/>
      <c r="CI1007" s="335"/>
      <c r="CJ1007" s="335"/>
      <c r="CK1007" s="335"/>
      <c r="CL1007" s="335"/>
      <c r="CM1007" s="335"/>
      <c r="CN1007" s="335"/>
      <c r="CO1007" s="335"/>
      <c r="CP1007" s="335"/>
      <c r="CQ1007" s="335"/>
      <c r="CR1007" s="335"/>
      <c r="CS1007" s="335"/>
      <c r="CT1007" s="335"/>
      <c r="CU1007" s="335"/>
      <c r="CV1007" s="335"/>
      <c r="CW1007" s="335"/>
      <c r="CX1007" s="335"/>
      <c r="CY1007" s="335"/>
      <c r="CZ1007" s="335"/>
      <c r="DA1007" s="335"/>
      <c r="DB1007" s="335"/>
      <c r="DC1007" s="335"/>
      <c r="DD1007" s="335"/>
      <c r="DE1007" s="335"/>
      <c r="DF1007" s="335"/>
      <c r="DG1007" s="335"/>
      <c r="DH1007" s="335"/>
      <c r="DI1007" s="335"/>
      <c r="DJ1007" s="335"/>
      <c r="DK1007" s="335"/>
      <c r="DL1007" s="335"/>
      <c r="DM1007" s="335"/>
      <c r="DN1007" s="335"/>
      <c r="DO1007" s="335"/>
      <c r="DP1007" s="335"/>
      <c r="DQ1007" s="335"/>
      <c r="DR1007" s="335"/>
      <c r="DS1007" s="335"/>
      <c r="DT1007" s="335"/>
      <c r="DU1007" s="335"/>
      <c r="DV1007" s="335"/>
      <c r="DW1007" s="335"/>
      <c r="DX1007" s="335"/>
      <c r="DY1007" s="335"/>
      <c r="DZ1007" s="335"/>
      <c r="EA1007" s="335"/>
      <c r="EB1007" s="335"/>
      <c r="EC1007" s="335"/>
      <c r="ED1007" s="335"/>
      <c r="EE1007" s="335"/>
      <c r="EF1007" s="335"/>
      <c r="EG1007" s="335"/>
      <c r="EH1007" s="335"/>
      <c r="EI1007" s="335"/>
      <c r="EJ1007" s="335"/>
      <c r="EK1007" s="335"/>
      <c r="EL1007" s="335"/>
      <c r="EM1007" s="335"/>
    </row>
    <row r="1008" spans="72:143">
      <c r="BT1008" s="187"/>
      <c r="BU1008" s="187" t="s">
        <v>58</v>
      </c>
      <c r="BV1008" s="196">
        <v>120035</v>
      </c>
      <c r="BW1008" s="197" t="e">
        <f t="shared" si="160"/>
        <v>#REF!</v>
      </c>
      <c r="BX1008" s="198" t="e">
        <f>IF(AND(State_LOB_Code=18,LEFT(BW1008,4)&lt;"2009"),81,State_LOB_Code)&amp;"|346"</f>
        <v>#REF!</v>
      </c>
      <c r="BY1008" s="215"/>
      <c r="BZ1008" s="216"/>
      <c r="CD1008" s="163"/>
      <c r="CE1008" s="363"/>
      <c r="CF1008" s="335"/>
      <c r="CG1008" s="335"/>
      <c r="CH1008" s="335"/>
      <c r="CI1008" s="335"/>
      <c r="CJ1008" s="335"/>
      <c r="CK1008" s="335"/>
      <c r="CL1008" s="335"/>
      <c r="CM1008" s="335"/>
      <c r="CN1008" s="335"/>
      <c r="CO1008" s="335"/>
      <c r="CP1008" s="335"/>
      <c r="CQ1008" s="335"/>
      <c r="CR1008" s="335"/>
      <c r="CS1008" s="335"/>
      <c r="CT1008" s="335"/>
      <c r="CU1008" s="335"/>
      <c r="CV1008" s="335"/>
      <c r="CW1008" s="335"/>
      <c r="CX1008" s="335"/>
      <c r="CY1008" s="335"/>
      <c r="CZ1008" s="335"/>
      <c r="DA1008" s="335"/>
      <c r="DB1008" s="335"/>
      <c r="DC1008" s="335"/>
      <c r="DD1008" s="335"/>
      <c r="DE1008" s="335"/>
      <c r="DF1008" s="335"/>
      <c r="DG1008" s="335"/>
      <c r="DH1008" s="335"/>
      <c r="DI1008" s="335"/>
      <c r="DJ1008" s="335"/>
      <c r="DK1008" s="335"/>
      <c r="DL1008" s="335"/>
      <c r="DM1008" s="335"/>
      <c r="DN1008" s="335"/>
      <c r="DO1008" s="335"/>
      <c r="DP1008" s="335"/>
      <c r="DQ1008" s="335"/>
      <c r="DR1008" s="335"/>
      <c r="DS1008" s="335"/>
      <c r="DT1008" s="335"/>
      <c r="DU1008" s="335"/>
      <c r="DV1008" s="335"/>
      <c r="DW1008" s="335"/>
      <c r="DX1008" s="335"/>
      <c r="DY1008" s="335"/>
      <c r="DZ1008" s="335"/>
      <c r="EA1008" s="335"/>
      <c r="EB1008" s="335"/>
      <c r="EC1008" s="335"/>
      <c r="ED1008" s="335"/>
      <c r="EE1008" s="335"/>
      <c r="EF1008" s="335"/>
      <c r="EG1008" s="335"/>
      <c r="EH1008" s="335"/>
      <c r="EI1008" s="335"/>
      <c r="EJ1008" s="335"/>
      <c r="EK1008" s="335"/>
      <c r="EL1008" s="335"/>
      <c r="EM1008" s="335"/>
    </row>
    <row r="1009" spans="72:143">
      <c r="BT1009" s="187"/>
      <c r="BU1009" s="187" t="s">
        <v>59</v>
      </c>
      <c r="BV1009" s="196">
        <v>120035</v>
      </c>
      <c r="BW1009" s="197" t="e">
        <f t="shared" si="160"/>
        <v>#REF!</v>
      </c>
      <c r="BX1009" s="198" t="e">
        <f>IF(AND(State_LOB_Code=18,LEFT(BW1009,4)&lt;"2009"),81,State_LOB_Code)&amp;"|347"</f>
        <v>#REF!</v>
      </c>
      <c r="BY1009" s="215"/>
      <c r="BZ1009" s="216"/>
      <c r="CD1009" s="163"/>
      <c r="CE1009" s="363"/>
      <c r="CF1009" s="335"/>
      <c r="CG1009" s="335"/>
      <c r="CH1009" s="335"/>
      <c r="CI1009" s="335"/>
      <c r="CJ1009" s="335"/>
      <c r="CK1009" s="335"/>
      <c r="CL1009" s="335"/>
      <c r="CM1009" s="335"/>
      <c r="CN1009" s="335"/>
      <c r="CO1009" s="335"/>
      <c r="CP1009" s="335"/>
      <c r="CQ1009" s="335"/>
      <c r="CR1009" s="335"/>
      <c r="CS1009" s="335"/>
      <c r="CT1009" s="335"/>
      <c r="CU1009" s="335"/>
      <c r="CV1009" s="335"/>
      <c r="CW1009" s="335"/>
      <c r="CX1009" s="335"/>
      <c r="CY1009" s="335"/>
      <c r="CZ1009" s="335"/>
      <c r="DA1009" s="335"/>
      <c r="DB1009" s="335"/>
      <c r="DC1009" s="335"/>
      <c r="DD1009" s="335"/>
      <c r="DE1009" s="335"/>
      <c r="DF1009" s="335"/>
      <c r="DG1009" s="335"/>
      <c r="DH1009" s="335"/>
      <c r="DI1009" s="335"/>
      <c r="DJ1009" s="335"/>
      <c r="DK1009" s="335"/>
      <c r="DL1009" s="335"/>
      <c r="DM1009" s="335"/>
      <c r="DN1009" s="335"/>
      <c r="DO1009" s="335"/>
      <c r="DP1009" s="335"/>
      <c r="DQ1009" s="335"/>
      <c r="DR1009" s="335"/>
      <c r="DS1009" s="335"/>
      <c r="DT1009" s="335"/>
      <c r="DU1009" s="335"/>
      <c r="DV1009" s="335"/>
      <c r="DW1009" s="335"/>
      <c r="DX1009" s="335"/>
      <c r="DY1009" s="335"/>
      <c r="DZ1009" s="335"/>
      <c r="EA1009" s="335"/>
      <c r="EB1009" s="335"/>
      <c r="EC1009" s="335"/>
      <c r="ED1009" s="335"/>
      <c r="EE1009" s="335"/>
      <c r="EF1009" s="335"/>
      <c r="EG1009" s="335"/>
      <c r="EH1009" s="335"/>
      <c r="EI1009" s="335"/>
      <c r="EJ1009" s="335"/>
      <c r="EK1009" s="335"/>
      <c r="EL1009" s="335"/>
      <c r="EM1009" s="335"/>
    </row>
    <row r="1010" spans="72:143">
      <c r="BT1010" s="187"/>
      <c r="BU1010" s="187" t="s">
        <v>60</v>
      </c>
      <c r="BV1010" s="196">
        <v>120035</v>
      </c>
      <c r="BW1010" s="197" t="e">
        <f t="shared" si="160"/>
        <v>#REF!</v>
      </c>
      <c r="BX1010" s="198" t="e">
        <f>IF(AND(State_LOB_Code=18,LEFT(BW1010,4)&lt;"2009"),81,State_LOB_Code)&amp;"|348"</f>
        <v>#REF!</v>
      </c>
      <c r="BY1010" s="215"/>
      <c r="BZ1010" s="216"/>
      <c r="CD1010" s="163"/>
      <c r="CE1010" s="363"/>
      <c r="CF1010" s="335"/>
      <c r="CG1010" s="335"/>
      <c r="CH1010" s="335"/>
      <c r="CI1010" s="335"/>
      <c r="CJ1010" s="335"/>
      <c r="CK1010" s="335"/>
      <c r="CL1010" s="335"/>
      <c r="CM1010" s="335"/>
      <c r="CN1010" s="335"/>
      <c r="CO1010" s="335"/>
      <c r="CP1010" s="335"/>
      <c r="CQ1010" s="335"/>
      <c r="CR1010" s="335"/>
      <c r="CS1010" s="335"/>
      <c r="CT1010" s="335"/>
      <c r="CU1010" s="335"/>
      <c r="CV1010" s="335"/>
      <c r="CW1010" s="335"/>
      <c r="CX1010" s="335"/>
      <c r="CY1010" s="335"/>
      <c r="CZ1010" s="335"/>
      <c r="DA1010" s="335"/>
      <c r="DB1010" s="335"/>
      <c r="DC1010" s="335"/>
      <c r="DD1010" s="335"/>
      <c r="DE1010" s="335"/>
      <c r="DF1010" s="335"/>
      <c r="DG1010" s="335"/>
      <c r="DH1010" s="335"/>
      <c r="DI1010" s="335"/>
      <c r="DJ1010" s="335"/>
      <c r="DK1010" s="335"/>
      <c r="DL1010" s="335"/>
      <c r="DM1010" s="335"/>
      <c r="DN1010" s="335"/>
      <c r="DO1010" s="335"/>
      <c r="DP1010" s="335"/>
      <c r="DQ1010" s="335"/>
      <c r="DR1010" s="335"/>
      <c r="DS1010" s="335"/>
      <c r="DT1010" s="335"/>
      <c r="DU1010" s="335"/>
      <c r="DV1010" s="335"/>
      <c r="DW1010" s="335"/>
      <c r="DX1010" s="335"/>
      <c r="DY1010" s="335"/>
      <c r="DZ1010" s="335"/>
      <c r="EA1010" s="335"/>
      <c r="EB1010" s="335"/>
      <c r="EC1010" s="335"/>
      <c r="ED1010" s="335"/>
      <c r="EE1010" s="335"/>
      <c r="EF1010" s="335"/>
      <c r="EG1010" s="335"/>
      <c r="EH1010" s="335"/>
      <c r="EI1010" s="335"/>
      <c r="EJ1010" s="335"/>
      <c r="EK1010" s="335"/>
      <c r="EL1010" s="335"/>
      <c r="EM1010" s="335"/>
    </row>
    <row r="1011" spans="72:143">
      <c r="BT1011" s="187"/>
      <c r="BU1011" s="187" t="s">
        <v>61</v>
      </c>
      <c r="BV1011" s="196">
        <v>120035</v>
      </c>
      <c r="BW1011" s="197" t="e">
        <f t="shared" si="160"/>
        <v>#REF!</v>
      </c>
      <c r="BX1011" s="198" t="e">
        <f>IF(AND(State_LOB_Code=18,LEFT(BW1011,4)&lt;"2009"),81,State_LOB_Code)&amp;"|349"</f>
        <v>#REF!</v>
      </c>
      <c r="BY1011" s="215"/>
      <c r="BZ1011" s="216"/>
      <c r="CD1011" s="163"/>
      <c r="CE1011" s="363"/>
      <c r="CF1011" s="335"/>
      <c r="CG1011" s="335"/>
      <c r="CH1011" s="335"/>
      <c r="CI1011" s="335"/>
      <c r="CJ1011" s="335"/>
      <c r="CK1011" s="335"/>
      <c r="CL1011" s="335"/>
      <c r="CM1011" s="335"/>
      <c r="CN1011" s="335"/>
      <c r="CO1011" s="335"/>
      <c r="CP1011" s="335"/>
      <c r="CQ1011" s="335"/>
      <c r="CR1011" s="335"/>
      <c r="CS1011" s="335"/>
      <c r="CT1011" s="335"/>
      <c r="CU1011" s="335"/>
      <c r="CV1011" s="335"/>
      <c r="CW1011" s="335"/>
      <c r="CX1011" s="335"/>
      <c r="CY1011" s="335"/>
      <c r="CZ1011" s="335"/>
      <c r="DA1011" s="335"/>
      <c r="DB1011" s="335"/>
      <c r="DC1011" s="335"/>
      <c r="DD1011" s="335"/>
      <c r="DE1011" s="335"/>
      <c r="DF1011" s="335"/>
      <c r="DG1011" s="335"/>
      <c r="DH1011" s="335"/>
      <c r="DI1011" s="335"/>
      <c r="DJ1011" s="335"/>
      <c r="DK1011" s="335"/>
      <c r="DL1011" s="335"/>
      <c r="DM1011" s="335"/>
      <c r="DN1011" s="335"/>
      <c r="DO1011" s="335"/>
      <c r="DP1011" s="335"/>
      <c r="DQ1011" s="335"/>
      <c r="DR1011" s="335"/>
      <c r="DS1011" s="335"/>
      <c r="DT1011" s="335"/>
      <c r="DU1011" s="335"/>
      <c r="DV1011" s="335"/>
      <c r="DW1011" s="335"/>
      <c r="DX1011" s="335"/>
      <c r="DY1011" s="335"/>
      <c r="DZ1011" s="335"/>
      <c r="EA1011" s="335"/>
      <c r="EB1011" s="335"/>
      <c r="EC1011" s="335"/>
      <c r="ED1011" s="335"/>
      <c r="EE1011" s="335"/>
      <c r="EF1011" s="335"/>
      <c r="EG1011" s="335"/>
      <c r="EH1011" s="335"/>
      <c r="EI1011" s="335"/>
      <c r="EJ1011" s="335"/>
      <c r="EK1011" s="335"/>
      <c r="EL1011" s="335"/>
      <c r="EM1011" s="335"/>
    </row>
    <row r="1012" spans="72:143">
      <c r="BT1012" s="187"/>
      <c r="BU1012" s="187" t="s">
        <v>62</v>
      </c>
      <c r="BV1012" s="196">
        <v>120035</v>
      </c>
      <c r="BW1012" s="197" t="e">
        <f t="shared" si="160"/>
        <v>#REF!</v>
      </c>
      <c r="BX1012" s="198" t="e">
        <f>IF(AND(State_LOB_Code=18,LEFT(BW1012,4)&lt;"2009"),81,State_LOB_Code)&amp;"|350"</f>
        <v>#REF!</v>
      </c>
      <c r="BY1012" s="215"/>
      <c r="BZ1012" s="216"/>
      <c r="CD1012" s="163"/>
      <c r="CE1012" s="363"/>
      <c r="CF1012" s="335"/>
      <c r="CG1012" s="335"/>
      <c r="CH1012" s="335"/>
      <c r="CI1012" s="335"/>
      <c r="CJ1012" s="335"/>
      <c r="CK1012" s="335"/>
      <c r="CL1012" s="335"/>
      <c r="CM1012" s="335"/>
      <c r="CN1012" s="335"/>
      <c r="CO1012" s="335"/>
      <c r="CP1012" s="335"/>
      <c r="CQ1012" s="335"/>
      <c r="CR1012" s="335"/>
      <c r="CS1012" s="335"/>
      <c r="CT1012" s="335"/>
      <c r="CU1012" s="335"/>
      <c r="CV1012" s="335"/>
      <c r="CW1012" s="335"/>
      <c r="CX1012" s="335"/>
      <c r="CY1012" s="335"/>
      <c r="CZ1012" s="335"/>
      <c r="DA1012" s="335"/>
      <c r="DB1012" s="335"/>
      <c r="DC1012" s="335"/>
      <c r="DD1012" s="335"/>
      <c r="DE1012" s="335"/>
      <c r="DF1012" s="335"/>
      <c r="DG1012" s="335"/>
      <c r="DH1012" s="335"/>
      <c r="DI1012" s="335"/>
      <c r="DJ1012" s="335"/>
      <c r="DK1012" s="335"/>
      <c r="DL1012" s="335"/>
      <c r="DM1012" s="335"/>
      <c r="DN1012" s="335"/>
      <c r="DO1012" s="335"/>
      <c r="DP1012" s="335"/>
      <c r="DQ1012" s="335"/>
      <c r="DR1012" s="335"/>
      <c r="DS1012" s="335"/>
      <c r="DT1012" s="335"/>
      <c r="DU1012" s="335"/>
      <c r="DV1012" s="335"/>
      <c r="DW1012" s="335"/>
      <c r="DX1012" s="335"/>
      <c r="DY1012" s="335"/>
      <c r="DZ1012" s="335"/>
      <c r="EA1012" s="335"/>
      <c r="EB1012" s="335"/>
      <c r="EC1012" s="335"/>
      <c r="ED1012" s="335"/>
      <c r="EE1012" s="335"/>
      <c r="EF1012" s="335"/>
      <c r="EG1012" s="335"/>
      <c r="EH1012" s="335"/>
      <c r="EI1012" s="335"/>
      <c r="EJ1012" s="335"/>
      <c r="EK1012" s="335"/>
      <c r="EL1012" s="335"/>
      <c r="EM1012" s="335"/>
    </row>
    <row r="1013" spans="72:143">
      <c r="BT1013" s="187"/>
      <c r="BU1013" s="187" t="s">
        <v>63</v>
      </c>
      <c r="BV1013" s="196">
        <v>120035</v>
      </c>
      <c r="BW1013" s="197" t="e">
        <f t="shared" si="160"/>
        <v>#REF!</v>
      </c>
      <c r="BX1013" s="198" t="e">
        <f>IF(AND(State_LOB_Code=18,LEFT(BW1013,4)&lt;"2009"),81,State_LOB_Code)&amp;"|351"</f>
        <v>#REF!</v>
      </c>
      <c r="BY1013" s="215"/>
      <c r="BZ1013" s="216"/>
      <c r="CD1013" s="163"/>
      <c r="CE1013" s="363"/>
      <c r="CF1013" s="335"/>
      <c r="CG1013" s="335"/>
      <c r="CH1013" s="335"/>
      <c r="CI1013" s="335"/>
      <c r="CJ1013" s="335"/>
      <c r="CK1013" s="335"/>
      <c r="CL1013" s="335"/>
      <c r="CM1013" s="335"/>
      <c r="CN1013" s="335"/>
      <c r="CO1013" s="335"/>
      <c r="CP1013" s="335"/>
      <c r="CQ1013" s="335"/>
      <c r="CR1013" s="335"/>
      <c r="CS1013" s="335"/>
      <c r="CT1013" s="335"/>
      <c r="CU1013" s="335"/>
      <c r="CV1013" s="335"/>
      <c r="CW1013" s="335"/>
      <c r="CX1013" s="335"/>
      <c r="CY1013" s="335"/>
      <c r="CZ1013" s="335"/>
      <c r="DA1013" s="335"/>
      <c r="DB1013" s="335"/>
      <c r="DC1013" s="335"/>
      <c r="DD1013" s="335"/>
      <c r="DE1013" s="335"/>
      <c r="DF1013" s="335"/>
      <c r="DG1013" s="335"/>
      <c r="DH1013" s="335"/>
      <c r="DI1013" s="335"/>
      <c r="DJ1013" s="335"/>
      <c r="DK1013" s="335"/>
      <c r="DL1013" s="335"/>
      <c r="DM1013" s="335"/>
      <c r="DN1013" s="335"/>
      <c r="DO1013" s="335"/>
      <c r="DP1013" s="335"/>
      <c r="DQ1013" s="335"/>
      <c r="DR1013" s="335"/>
      <c r="DS1013" s="335"/>
      <c r="DT1013" s="335"/>
      <c r="DU1013" s="335"/>
      <c r="DV1013" s="335"/>
      <c r="DW1013" s="335"/>
      <c r="DX1013" s="335"/>
      <c r="DY1013" s="335"/>
      <c r="DZ1013" s="335"/>
      <c r="EA1013" s="335"/>
      <c r="EB1013" s="335"/>
      <c r="EC1013" s="335"/>
      <c r="ED1013" s="335"/>
      <c r="EE1013" s="335"/>
      <c r="EF1013" s="335"/>
      <c r="EG1013" s="335"/>
      <c r="EH1013" s="335"/>
      <c r="EI1013" s="335"/>
      <c r="EJ1013" s="335"/>
      <c r="EK1013" s="335"/>
      <c r="EL1013" s="335"/>
      <c r="EM1013" s="335"/>
    </row>
    <row r="1014" spans="72:143">
      <c r="BT1014" s="187"/>
      <c r="BU1014" s="187" t="s">
        <v>64</v>
      </c>
      <c r="BV1014" s="196">
        <v>120035</v>
      </c>
      <c r="BW1014" s="197" t="e">
        <f t="shared" si="160"/>
        <v>#REF!</v>
      </c>
      <c r="BX1014" s="198" t="e">
        <f>IF(AND(State_LOB_Code=18,LEFT(BW1014,4)&lt;"2009"),81,State_LOB_Code)&amp;"|352"</f>
        <v>#REF!</v>
      </c>
      <c r="BY1014" s="215"/>
      <c r="BZ1014" s="216"/>
      <c r="CD1014" s="163"/>
      <c r="CE1014" s="363"/>
      <c r="CF1014" s="335"/>
      <c r="CG1014" s="335"/>
      <c r="CH1014" s="335"/>
      <c r="CI1014" s="335"/>
      <c r="CJ1014" s="335"/>
      <c r="CK1014" s="335"/>
      <c r="CL1014" s="335"/>
      <c r="CM1014" s="335"/>
      <c r="CN1014" s="335"/>
      <c r="CO1014" s="335"/>
      <c r="CP1014" s="335"/>
      <c r="CQ1014" s="335"/>
      <c r="CR1014" s="335"/>
      <c r="CS1014" s="335"/>
      <c r="CT1014" s="335"/>
      <c r="CU1014" s="335"/>
      <c r="CV1014" s="335"/>
      <c r="CW1014" s="335"/>
      <c r="CX1014" s="335"/>
      <c r="CY1014" s="335"/>
      <c r="CZ1014" s="335"/>
      <c r="DA1014" s="335"/>
      <c r="DB1014" s="335"/>
      <c r="DC1014" s="335"/>
      <c r="DD1014" s="335"/>
      <c r="DE1014" s="335"/>
      <c r="DF1014" s="335"/>
      <c r="DG1014" s="335"/>
      <c r="DH1014" s="335"/>
      <c r="DI1014" s="335"/>
      <c r="DJ1014" s="335"/>
      <c r="DK1014" s="335"/>
      <c r="DL1014" s="335"/>
      <c r="DM1014" s="335"/>
      <c r="DN1014" s="335"/>
      <c r="DO1014" s="335"/>
      <c r="DP1014" s="335"/>
      <c r="DQ1014" s="335"/>
      <c r="DR1014" s="335"/>
      <c r="DS1014" s="335"/>
      <c r="DT1014" s="335"/>
      <c r="DU1014" s="335"/>
      <c r="DV1014" s="335"/>
      <c r="DW1014" s="335"/>
      <c r="DX1014" s="335"/>
      <c r="DY1014" s="335"/>
      <c r="DZ1014" s="335"/>
      <c r="EA1014" s="335"/>
      <c r="EB1014" s="335"/>
      <c r="EC1014" s="335"/>
      <c r="ED1014" s="335"/>
      <c r="EE1014" s="335"/>
      <c r="EF1014" s="335"/>
      <c r="EG1014" s="335"/>
      <c r="EH1014" s="335"/>
      <c r="EI1014" s="335"/>
      <c r="EJ1014" s="335"/>
      <c r="EK1014" s="335"/>
      <c r="EL1014" s="335"/>
      <c r="EM1014" s="335"/>
    </row>
    <row r="1015" spans="72:143">
      <c r="BT1015" s="187"/>
      <c r="BU1015" s="187" t="s">
        <v>65</v>
      </c>
      <c r="BV1015" s="196">
        <v>120035</v>
      </c>
      <c r="BW1015" s="197" t="e">
        <f t="shared" si="160"/>
        <v>#REF!</v>
      </c>
      <c r="BX1015" s="198" t="e">
        <f>IF(AND(State_LOB_Code=18,LEFT(BW1015,4)&lt;"2009"),81,State_LOB_Code)&amp;"|353"</f>
        <v>#REF!</v>
      </c>
      <c r="BY1015" s="215"/>
      <c r="BZ1015" s="216"/>
      <c r="CD1015" s="163"/>
      <c r="CE1015" s="363"/>
      <c r="CF1015" s="335"/>
      <c r="CG1015" s="335"/>
      <c r="CH1015" s="335"/>
      <c r="CI1015" s="335"/>
      <c r="CJ1015" s="335"/>
      <c r="CK1015" s="335"/>
      <c r="CL1015" s="335"/>
      <c r="CM1015" s="335"/>
      <c r="CN1015" s="335"/>
      <c r="CO1015" s="335"/>
      <c r="CP1015" s="335"/>
      <c r="CQ1015" s="335"/>
      <c r="CR1015" s="335"/>
      <c r="CS1015" s="335"/>
      <c r="CT1015" s="335"/>
      <c r="CU1015" s="335"/>
      <c r="CV1015" s="335"/>
      <c r="CW1015" s="335"/>
      <c r="CX1015" s="335"/>
      <c r="CY1015" s="335"/>
      <c r="CZ1015" s="335"/>
      <c r="DA1015" s="335"/>
      <c r="DB1015" s="335"/>
      <c r="DC1015" s="335"/>
      <c r="DD1015" s="335"/>
      <c r="DE1015" s="335"/>
      <c r="DF1015" s="335"/>
      <c r="DG1015" s="335"/>
      <c r="DH1015" s="335"/>
      <c r="DI1015" s="335"/>
      <c r="DJ1015" s="335"/>
      <c r="DK1015" s="335"/>
      <c r="DL1015" s="335"/>
      <c r="DM1015" s="335"/>
      <c r="DN1015" s="335"/>
      <c r="DO1015" s="335"/>
      <c r="DP1015" s="335"/>
      <c r="DQ1015" s="335"/>
      <c r="DR1015" s="335"/>
      <c r="DS1015" s="335"/>
      <c r="DT1015" s="335"/>
      <c r="DU1015" s="335"/>
      <c r="DV1015" s="335"/>
      <c r="DW1015" s="335"/>
      <c r="DX1015" s="335"/>
      <c r="DY1015" s="335"/>
      <c r="DZ1015" s="335"/>
      <c r="EA1015" s="335"/>
      <c r="EB1015" s="335"/>
      <c r="EC1015" s="335"/>
      <c r="ED1015" s="335"/>
      <c r="EE1015" s="335"/>
      <c r="EF1015" s="335"/>
      <c r="EG1015" s="335"/>
      <c r="EH1015" s="335"/>
      <c r="EI1015" s="335"/>
      <c r="EJ1015" s="335"/>
      <c r="EK1015" s="335"/>
      <c r="EL1015" s="335"/>
      <c r="EM1015" s="335"/>
    </row>
    <row r="1016" spans="72:143">
      <c r="BT1016" s="187"/>
      <c r="BU1016" s="187" t="s">
        <v>66</v>
      </c>
      <c r="BV1016" s="196">
        <v>120035</v>
      </c>
      <c r="BW1016" s="197" t="e">
        <f t="shared" si="160"/>
        <v>#REF!</v>
      </c>
      <c r="BX1016" s="198" t="e">
        <f>IF(AND(State_LOB_Code=18,LEFT(BW1016,4)&lt;"2009"),81,State_LOB_Code)&amp;"|354"</f>
        <v>#REF!</v>
      </c>
      <c r="BY1016" s="215"/>
      <c r="BZ1016" s="216"/>
      <c r="CD1016" s="163"/>
      <c r="CE1016" s="363"/>
      <c r="CF1016" s="335"/>
      <c r="CG1016" s="335"/>
      <c r="CH1016" s="335"/>
      <c r="CI1016" s="335"/>
      <c r="CJ1016" s="335"/>
      <c r="CK1016" s="335"/>
      <c r="CL1016" s="335"/>
      <c r="CM1016" s="335"/>
      <c r="CN1016" s="335"/>
      <c r="CO1016" s="335"/>
      <c r="CP1016" s="335"/>
      <c r="CQ1016" s="335"/>
      <c r="CR1016" s="335"/>
      <c r="CS1016" s="335"/>
      <c r="CT1016" s="335"/>
      <c r="CU1016" s="335"/>
      <c r="CV1016" s="335"/>
      <c r="CW1016" s="335"/>
      <c r="CX1016" s="335"/>
      <c r="CY1016" s="335"/>
      <c r="CZ1016" s="335"/>
      <c r="DA1016" s="335"/>
      <c r="DB1016" s="335"/>
      <c r="DC1016" s="335"/>
      <c r="DD1016" s="335"/>
      <c r="DE1016" s="335"/>
      <c r="DF1016" s="335"/>
      <c r="DG1016" s="335"/>
      <c r="DH1016" s="335"/>
      <c r="DI1016" s="335"/>
      <c r="DJ1016" s="335"/>
      <c r="DK1016" s="335"/>
      <c r="DL1016" s="335"/>
      <c r="DM1016" s="335"/>
      <c r="DN1016" s="335"/>
      <c r="DO1016" s="335"/>
      <c r="DP1016" s="335"/>
      <c r="DQ1016" s="335"/>
      <c r="DR1016" s="335"/>
      <c r="DS1016" s="335"/>
      <c r="DT1016" s="335"/>
      <c r="DU1016" s="335"/>
      <c r="DV1016" s="335"/>
      <c r="DW1016" s="335"/>
      <c r="DX1016" s="335"/>
      <c r="DY1016" s="335"/>
      <c r="DZ1016" s="335"/>
      <c r="EA1016" s="335"/>
      <c r="EB1016" s="335"/>
      <c r="EC1016" s="335"/>
      <c r="ED1016" s="335"/>
      <c r="EE1016" s="335"/>
      <c r="EF1016" s="335"/>
      <c r="EG1016" s="335"/>
      <c r="EH1016" s="335"/>
      <c r="EI1016" s="335"/>
      <c r="EJ1016" s="335"/>
      <c r="EK1016" s="335"/>
      <c r="EL1016" s="335"/>
      <c r="EM1016" s="335"/>
    </row>
    <row r="1017" spans="72:143">
      <c r="BT1017" s="187"/>
      <c r="BU1017" s="187" t="s">
        <v>67</v>
      </c>
      <c r="BV1017" s="196">
        <v>120035</v>
      </c>
      <c r="BW1017" s="197" t="e">
        <f t="shared" si="160"/>
        <v>#REF!</v>
      </c>
      <c r="BX1017" s="198" t="e">
        <f>IF(AND(State_LOB_Code=18,LEFT(BW1017,4)&lt;"2009"),81,State_LOB_Code)&amp;"|355"</f>
        <v>#REF!</v>
      </c>
      <c r="BY1017" s="215"/>
      <c r="BZ1017" s="216"/>
      <c r="CD1017" s="163"/>
      <c r="CE1017" s="363"/>
      <c r="CF1017" s="335"/>
      <c r="CG1017" s="335"/>
      <c r="CH1017" s="335"/>
      <c r="CI1017" s="335"/>
      <c r="CJ1017" s="335"/>
      <c r="CK1017" s="335"/>
      <c r="CL1017" s="335"/>
      <c r="CM1017" s="335"/>
      <c r="CN1017" s="335"/>
      <c r="CO1017" s="335"/>
      <c r="CP1017" s="335"/>
      <c r="CQ1017" s="335"/>
      <c r="CR1017" s="335"/>
      <c r="CS1017" s="335"/>
      <c r="CT1017" s="335"/>
      <c r="CU1017" s="335"/>
      <c r="CV1017" s="335"/>
      <c r="CW1017" s="335"/>
      <c r="CX1017" s="335"/>
      <c r="CY1017" s="335"/>
      <c r="CZ1017" s="335"/>
      <c r="DA1017" s="335"/>
      <c r="DB1017" s="335"/>
      <c r="DC1017" s="335"/>
      <c r="DD1017" s="335"/>
      <c r="DE1017" s="335"/>
      <c r="DF1017" s="335"/>
      <c r="DG1017" s="335"/>
      <c r="DH1017" s="335"/>
      <c r="DI1017" s="335"/>
      <c r="DJ1017" s="335"/>
      <c r="DK1017" s="335"/>
      <c r="DL1017" s="335"/>
      <c r="DM1017" s="335"/>
      <c r="DN1017" s="335"/>
      <c r="DO1017" s="335"/>
      <c r="DP1017" s="335"/>
      <c r="DQ1017" s="335"/>
      <c r="DR1017" s="335"/>
      <c r="DS1017" s="335"/>
      <c r="DT1017" s="335"/>
      <c r="DU1017" s="335"/>
      <c r="DV1017" s="335"/>
      <c r="DW1017" s="335"/>
      <c r="DX1017" s="335"/>
      <c r="DY1017" s="335"/>
      <c r="DZ1017" s="335"/>
      <c r="EA1017" s="335"/>
      <c r="EB1017" s="335"/>
      <c r="EC1017" s="335"/>
      <c r="ED1017" s="335"/>
      <c r="EE1017" s="335"/>
      <c r="EF1017" s="335"/>
      <c r="EG1017" s="335"/>
      <c r="EH1017" s="335"/>
      <c r="EI1017" s="335"/>
      <c r="EJ1017" s="335"/>
      <c r="EK1017" s="335"/>
      <c r="EL1017" s="335"/>
      <c r="EM1017" s="335"/>
    </row>
    <row r="1018" spans="72:143">
      <c r="BT1018" s="187"/>
      <c r="BU1018" s="187" t="s">
        <v>68</v>
      </c>
      <c r="BV1018" s="196">
        <v>120035</v>
      </c>
      <c r="BW1018" s="197" t="e">
        <f t="shared" si="160"/>
        <v>#REF!</v>
      </c>
      <c r="BX1018" s="198" t="e">
        <f>IF(AND(State_LOB_Code=18,LEFT(BW1018,4)&lt;"2009"),81,State_LOB_Code)&amp;"|356"</f>
        <v>#REF!</v>
      </c>
      <c r="BY1018" s="215"/>
      <c r="BZ1018" s="216"/>
      <c r="CD1018" s="163"/>
      <c r="CE1018" s="363"/>
      <c r="CF1018" s="335"/>
      <c r="CG1018" s="335"/>
      <c r="CH1018" s="335"/>
      <c r="CI1018" s="335"/>
      <c r="CJ1018" s="335"/>
      <c r="CK1018" s="335"/>
      <c r="CL1018" s="335"/>
      <c r="CM1018" s="335"/>
      <c r="CN1018" s="335"/>
      <c r="CO1018" s="335"/>
      <c r="CP1018" s="335"/>
      <c r="CQ1018" s="335"/>
      <c r="CR1018" s="335"/>
      <c r="CS1018" s="335"/>
      <c r="CT1018" s="335"/>
      <c r="CU1018" s="335"/>
      <c r="CV1018" s="335"/>
      <c r="CW1018" s="335"/>
      <c r="CX1018" s="335"/>
      <c r="CY1018" s="335"/>
      <c r="CZ1018" s="335"/>
      <c r="DA1018" s="335"/>
      <c r="DB1018" s="335"/>
      <c r="DC1018" s="335"/>
      <c r="DD1018" s="335"/>
      <c r="DE1018" s="335"/>
      <c r="DF1018" s="335"/>
      <c r="DG1018" s="335"/>
      <c r="DH1018" s="335"/>
      <c r="DI1018" s="335"/>
      <c r="DJ1018" s="335"/>
      <c r="DK1018" s="335"/>
      <c r="DL1018" s="335"/>
      <c r="DM1018" s="335"/>
      <c r="DN1018" s="335"/>
      <c r="DO1018" s="335"/>
      <c r="DP1018" s="335"/>
      <c r="DQ1018" s="335"/>
      <c r="DR1018" s="335"/>
      <c r="DS1018" s="335"/>
      <c r="DT1018" s="335"/>
      <c r="DU1018" s="335"/>
      <c r="DV1018" s="335"/>
      <c r="DW1018" s="335"/>
      <c r="DX1018" s="335"/>
      <c r="DY1018" s="335"/>
      <c r="DZ1018" s="335"/>
      <c r="EA1018" s="335"/>
      <c r="EB1018" s="335"/>
      <c r="EC1018" s="335"/>
      <c r="ED1018" s="335"/>
      <c r="EE1018" s="335"/>
      <c r="EF1018" s="335"/>
      <c r="EG1018" s="335"/>
      <c r="EH1018" s="335"/>
      <c r="EI1018" s="335"/>
      <c r="EJ1018" s="335"/>
      <c r="EK1018" s="335"/>
      <c r="EL1018" s="335"/>
      <c r="EM1018" s="335"/>
    </row>
    <row r="1019" spans="72:143">
      <c r="BT1019" s="187"/>
      <c r="BU1019" s="187" t="s">
        <v>69</v>
      </c>
      <c r="BV1019" s="196">
        <v>120035</v>
      </c>
      <c r="BW1019" s="197" t="e">
        <f t="shared" si="160"/>
        <v>#REF!</v>
      </c>
      <c r="BX1019" s="198" t="e">
        <f>IF(AND(State_LOB_Code=18,LEFT(BW1019,4)&lt;"2009"),81,State_LOB_Code)&amp;"|357"</f>
        <v>#REF!</v>
      </c>
      <c r="BY1019" s="215"/>
      <c r="BZ1019" s="216"/>
      <c r="CD1019" s="163"/>
      <c r="CE1019" s="363"/>
      <c r="CF1019" s="335"/>
      <c r="CG1019" s="335"/>
      <c r="CH1019" s="335"/>
      <c r="CI1019" s="335"/>
      <c r="CJ1019" s="335"/>
      <c r="CK1019" s="335"/>
      <c r="CL1019" s="335"/>
      <c r="CM1019" s="335"/>
      <c r="CN1019" s="335"/>
      <c r="CO1019" s="335"/>
      <c r="CP1019" s="335"/>
      <c r="CQ1019" s="335"/>
      <c r="CR1019" s="335"/>
      <c r="CS1019" s="335"/>
      <c r="CT1019" s="335"/>
      <c r="CU1019" s="335"/>
      <c r="CV1019" s="335"/>
      <c r="CW1019" s="335"/>
      <c r="CX1019" s="335"/>
      <c r="CY1019" s="335"/>
      <c r="CZ1019" s="335"/>
      <c r="DA1019" s="335"/>
      <c r="DB1019" s="335"/>
      <c r="DC1019" s="335"/>
      <c r="DD1019" s="335"/>
      <c r="DE1019" s="335"/>
      <c r="DF1019" s="335"/>
      <c r="DG1019" s="335"/>
      <c r="DH1019" s="335"/>
      <c r="DI1019" s="335"/>
      <c r="DJ1019" s="335"/>
      <c r="DK1019" s="335"/>
      <c r="DL1019" s="335"/>
      <c r="DM1019" s="335"/>
      <c r="DN1019" s="335"/>
      <c r="DO1019" s="335"/>
      <c r="DP1019" s="335"/>
      <c r="DQ1019" s="335"/>
      <c r="DR1019" s="335"/>
      <c r="DS1019" s="335"/>
      <c r="DT1019" s="335"/>
      <c r="DU1019" s="335"/>
      <c r="DV1019" s="335"/>
      <c r="DW1019" s="335"/>
      <c r="DX1019" s="335"/>
      <c r="DY1019" s="335"/>
      <c r="DZ1019" s="335"/>
      <c r="EA1019" s="335"/>
      <c r="EB1019" s="335"/>
      <c r="EC1019" s="335"/>
      <c r="ED1019" s="335"/>
      <c r="EE1019" s="335"/>
      <c r="EF1019" s="335"/>
      <c r="EG1019" s="335"/>
      <c r="EH1019" s="335"/>
      <c r="EI1019" s="335"/>
      <c r="EJ1019" s="335"/>
      <c r="EK1019" s="335"/>
      <c r="EL1019" s="335"/>
      <c r="EM1019" s="335"/>
    </row>
    <row r="1020" spans="72:143">
      <c r="BT1020" s="187"/>
      <c r="BU1020" s="187" t="s">
        <v>70</v>
      </c>
      <c r="BV1020" s="196">
        <v>120035</v>
      </c>
      <c r="BW1020" s="197" t="e">
        <f t="shared" si="160"/>
        <v>#REF!</v>
      </c>
      <c r="BX1020" s="198" t="e">
        <f>IF(AND(State_LOB_Code=18,LEFT(BW1020,4)&lt;"2009"),81,State_LOB_Code)&amp;"|358"</f>
        <v>#REF!</v>
      </c>
      <c r="BY1020" s="215"/>
      <c r="BZ1020" s="216"/>
      <c r="CD1020" s="163"/>
      <c r="CE1020" s="363"/>
      <c r="CF1020" s="335"/>
      <c r="CG1020" s="335"/>
      <c r="CH1020" s="335"/>
      <c r="CI1020" s="335"/>
      <c r="CJ1020" s="335"/>
      <c r="CK1020" s="335"/>
      <c r="CL1020" s="335"/>
      <c r="CM1020" s="335"/>
      <c r="CN1020" s="335"/>
      <c r="CO1020" s="335"/>
      <c r="CP1020" s="335"/>
      <c r="CQ1020" s="335"/>
      <c r="CR1020" s="335"/>
      <c r="CS1020" s="335"/>
      <c r="CT1020" s="335"/>
      <c r="CU1020" s="335"/>
      <c r="CV1020" s="335"/>
      <c r="CW1020" s="335"/>
      <c r="CX1020" s="335"/>
      <c r="CY1020" s="335"/>
      <c r="CZ1020" s="335"/>
      <c r="DA1020" s="335"/>
      <c r="DB1020" s="335"/>
      <c r="DC1020" s="335"/>
      <c r="DD1020" s="335"/>
      <c r="DE1020" s="335"/>
      <c r="DF1020" s="335"/>
      <c r="DG1020" s="335"/>
      <c r="DH1020" s="335"/>
      <c r="DI1020" s="335"/>
      <c r="DJ1020" s="335"/>
      <c r="DK1020" s="335"/>
      <c r="DL1020" s="335"/>
      <c r="DM1020" s="335"/>
      <c r="DN1020" s="335"/>
      <c r="DO1020" s="335"/>
      <c r="DP1020" s="335"/>
      <c r="DQ1020" s="335"/>
      <c r="DR1020" s="335"/>
      <c r="DS1020" s="335"/>
      <c r="DT1020" s="335"/>
      <c r="DU1020" s="335"/>
      <c r="DV1020" s="335"/>
      <c r="DW1020" s="335"/>
      <c r="DX1020" s="335"/>
      <c r="DY1020" s="335"/>
      <c r="DZ1020" s="335"/>
      <c r="EA1020" s="335"/>
      <c r="EB1020" s="335"/>
      <c r="EC1020" s="335"/>
      <c r="ED1020" s="335"/>
      <c r="EE1020" s="335"/>
      <c r="EF1020" s="335"/>
      <c r="EG1020" s="335"/>
      <c r="EH1020" s="335"/>
      <c r="EI1020" s="335"/>
      <c r="EJ1020" s="335"/>
      <c r="EK1020" s="335"/>
      <c r="EL1020" s="335"/>
      <c r="EM1020" s="335"/>
    </row>
    <row r="1021" spans="72:143">
      <c r="BT1021" s="187"/>
      <c r="BU1021" s="187" t="s">
        <v>71</v>
      </c>
      <c r="BV1021" s="196">
        <v>120035</v>
      </c>
      <c r="BW1021" s="197" t="e">
        <f t="shared" si="160"/>
        <v>#REF!</v>
      </c>
      <c r="BX1021" s="198" t="e">
        <f>IF(AND(State_LOB_Code=18,LEFT(BW1021,4)&lt;"2009"),81,State_LOB_Code)&amp;"|359"</f>
        <v>#REF!</v>
      </c>
      <c r="BY1021" s="215"/>
      <c r="BZ1021" s="216"/>
    </row>
    <row r="1022" spans="72:143">
      <c r="BT1022" s="187"/>
      <c r="BU1022" s="187" t="s">
        <v>72</v>
      </c>
      <c r="BV1022" s="196">
        <v>120035</v>
      </c>
      <c r="BW1022" s="197" t="e">
        <f t="shared" si="160"/>
        <v>#REF!</v>
      </c>
      <c r="BX1022" s="198" t="e">
        <f>IF(AND(State_LOB_Code=18,LEFT(BW1022,4)&lt;"2009"),81,State_LOB_Code)&amp;"|361"</f>
        <v>#REF!</v>
      </c>
      <c r="BY1022" s="215"/>
      <c r="BZ1022" s="216"/>
    </row>
    <row r="1023" spans="72:143">
      <c r="BT1023" s="187"/>
      <c r="BU1023" s="187" t="s">
        <v>73</v>
      </c>
      <c r="BV1023" s="196">
        <v>120035</v>
      </c>
      <c r="BW1023" s="197" t="e">
        <f t="shared" si="160"/>
        <v>#REF!</v>
      </c>
      <c r="BX1023" s="198" t="e">
        <f>IF(AND(State_LOB_Code=18,LEFT(BW1023,4)&lt;"2009"),81,State_LOB_Code)&amp;"|362"</f>
        <v>#REF!</v>
      </c>
      <c r="BY1023" s="215"/>
      <c r="BZ1023" s="216"/>
    </row>
    <row r="1024" spans="72:143">
      <c r="BT1024" s="187"/>
      <c r="BU1024" s="187" t="s">
        <v>74</v>
      </c>
      <c r="BV1024" s="196">
        <v>120035</v>
      </c>
      <c r="BW1024" s="197" t="e">
        <f t="shared" si="160"/>
        <v>#REF!</v>
      </c>
      <c r="BX1024" s="198" t="e">
        <f>IF(AND(State_LOB_Code=18,LEFT(BW1024,4)&lt;"2009"),81,State_LOB_Code)&amp;"|363"</f>
        <v>#REF!</v>
      </c>
      <c r="BY1024" s="215"/>
      <c r="BZ1024" s="216"/>
    </row>
    <row r="1025" spans="72:78">
      <c r="BT1025" s="187"/>
      <c r="BU1025" s="187" t="s">
        <v>75</v>
      </c>
      <c r="BV1025" s="196">
        <v>120035</v>
      </c>
      <c r="BW1025" s="197" t="e">
        <f t="shared" si="160"/>
        <v>#REF!</v>
      </c>
      <c r="BX1025" s="198" t="e">
        <f>IF(AND(State_LOB_Code=18,LEFT(BW1025,4)&lt;"2009"),81,State_LOB_Code)&amp;"|364"</f>
        <v>#REF!</v>
      </c>
      <c r="BY1025" s="215"/>
      <c r="BZ1025" s="216"/>
    </row>
    <row r="1026" spans="72:78">
      <c r="BT1026" s="187"/>
      <c r="BU1026" s="187" t="s">
        <v>76</v>
      </c>
      <c r="BV1026" s="196">
        <v>120035</v>
      </c>
      <c r="BW1026" s="197" t="e">
        <f t="shared" si="160"/>
        <v>#REF!</v>
      </c>
      <c r="BX1026" s="198" t="e">
        <f>IF(AND(State_LOB_Code=18,LEFT(BW1026,4)&lt;"2009"),81,State_LOB_Code)&amp;"|365"</f>
        <v>#REF!</v>
      </c>
      <c r="BY1026" s="215"/>
      <c r="BZ1026" s="216"/>
    </row>
    <row r="1027" spans="72:78">
      <c r="BT1027" s="187"/>
      <c r="BU1027" s="187" t="s">
        <v>77</v>
      </c>
      <c r="BV1027" s="196">
        <v>120035</v>
      </c>
      <c r="BW1027" s="197" t="e">
        <f t="shared" si="160"/>
        <v>#REF!</v>
      </c>
      <c r="BX1027" s="198" t="e">
        <f>IF(AND(State_LOB_Code=18,LEFT(BW1027,4)&lt;"2009"),81,State_LOB_Code)&amp;"|366"</f>
        <v>#REF!</v>
      </c>
      <c r="BY1027" s="215"/>
      <c r="BZ1027" s="216"/>
    </row>
    <row r="1028" spans="72:78">
      <c r="BT1028" s="187"/>
      <c r="BU1028" s="187" t="s">
        <v>78</v>
      </c>
      <c r="BV1028" s="196">
        <v>120035</v>
      </c>
      <c r="BW1028" s="197" t="e">
        <f t="shared" si="160"/>
        <v>#REF!</v>
      </c>
      <c r="BX1028" s="198" t="e">
        <f>IF(AND(State_LOB_Code=18,LEFT(BW1028,4)&lt;"2009"),81,State_LOB_Code)&amp;"|367"</f>
        <v>#REF!</v>
      </c>
      <c r="BY1028" s="215"/>
      <c r="BZ1028" s="216"/>
    </row>
    <row r="1029" spans="72:78">
      <c r="BT1029" s="187"/>
      <c r="BU1029" s="187" t="s">
        <v>79</v>
      </c>
      <c r="BV1029" s="196">
        <v>120035</v>
      </c>
      <c r="BW1029" s="197" t="e">
        <f t="shared" ref="BW1029:BW1056" si="161">LEFT(BW968,4)-1&amp;"Y"</f>
        <v>#REF!</v>
      </c>
      <c r="BX1029" s="198" t="e">
        <f>IF(AND(State_LOB_Code=18,LEFT(BW1029,4)&lt;"2009"),81,State_LOB_Code)&amp;"|368"</f>
        <v>#REF!</v>
      </c>
      <c r="BY1029" s="215"/>
      <c r="BZ1029" s="216"/>
    </row>
    <row r="1030" spans="72:78">
      <c r="BT1030" s="187"/>
      <c r="BU1030" s="187" t="s">
        <v>80</v>
      </c>
      <c r="BV1030" s="196">
        <v>120035</v>
      </c>
      <c r="BW1030" s="197" t="e">
        <f t="shared" si="161"/>
        <v>#REF!</v>
      </c>
      <c r="BX1030" s="198" t="e">
        <f>IF(AND(State_LOB_Code=18,LEFT(BW1030,4)&lt;"2009"),81,State_LOB_Code)&amp;"|369"</f>
        <v>#REF!</v>
      </c>
      <c r="BY1030" s="215"/>
      <c r="BZ1030" s="216"/>
    </row>
    <row r="1031" spans="72:78">
      <c r="BT1031" s="187"/>
      <c r="BU1031" s="187" t="s">
        <v>81</v>
      </c>
      <c r="BV1031" s="196">
        <v>120035</v>
      </c>
      <c r="BW1031" s="197" t="e">
        <f t="shared" si="161"/>
        <v>#REF!</v>
      </c>
      <c r="BX1031" s="198" t="e">
        <f>IF(AND(State_LOB_Code=18,LEFT(BW1031,4)&lt;"2009"),81,State_LOB_Code)&amp;"|370"</f>
        <v>#REF!</v>
      </c>
      <c r="BY1031" s="215"/>
      <c r="BZ1031" s="216"/>
    </row>
    <row r="1032" spans="72:78">
      <c r="BT1032" s="187"/>
      <c r="BU1032" s="187" t="s">
        <v>82</v>
      </c>
      <c r="BV1032" s="196">
        <v>120035</v>
      </c>
      <c r="BW1032" s="197" t="e">
        <f t="shared" si="161"/>
        <v>#REF!</v>
      </c>
      <c r="BX1032" s="198" t="e">
        <f>IF(AND(State_LOB_Code=18,LEFT(BW1032,4)&lt;"2009"),81,State_LOB_Code)&amp;"|371"</f>
        <v>#REF!</v>
      </c>
      <c r="BY1032" s="215"/>
      <c r="BZ1032" s="216"/>
    </row>
    <row r="1033" spans="72:78">
      <c r="BT1033" s="187"/>
      <c r="BU1033" s="187" t="s">
        <v>83</v>
      </c>
      <c r="BV1033" s="196">
        <v>120035</v>
      </c>
      <c r="BW1033" s="197" t="e">
        <f t="shared" si="161"/>
        <v>#REF!</v>
      </c>
      <c r="BX1033" s="198" t="e">
        <f>IF(AND(State_LOB_Code=18,LEFT(BW1033,4)&lt;"2009"),81,State_LOB_Code)&amp;"|372"</f>
        <v>#REF!</v>
      </c>
      <c r="BY1033" s="215"/>
      <c r="BZ1033" s="216"/>
    </row>
    <row r="1034" spans="72:78">
      <c r="BT1034" s="187"/>
      <c r="BU1034" s="187" t="s">
        <v>84</v>
      </c>
      <c r="BV1034" s="196">
        <v>120035</v>
      </c>
      <c r="BW1034" s="197" t="e">
        <f t="shared" si="161"/>
        <v>#REF!</v>
      </c>
      <c r="BX1034" s="198" t="e">
        <f>IF(AND(State_LOB_Code=18,LEFT(BW1034,4)&lt;"2009"),81,State_LOB_Code)&amp;"|373"</f>
        <v>#REF!</v>
      </c>
      <c r="BY1034" s="215"/>
      <c r="BZ1034" s="216"/>
    </row>
    <row r="1035" spans="72:78">
      <c r="BT1035" s="187"/>
      <c r="BU1035" s="187" t="s">
        <v>85</v>
      </c>
      <c r="BV1035" s="196">
        <v>120035</v>
      </c>
      <c r="BW1035" s="197" t="e">
        <f t="shared" si="161"/>
        <v>#REF!</v>
      </c>
      <c r="BX1035" s="198" t="e">
        <f>IF(AND(State_LOB_Code=18,LEFT(BW1035,4)&lt;"2009"),81,State_LOB_Code)&amp;"|374"</f>
        <v>#REF!</v>
      </c>
      <c r="BY1035" s="215"/>
      <c r="BZ1035" s="216"/>
    </row>
    <row r="1036" spans="72:78">
      <c r="BT1036" s="187"/>
      <c r="BU1036" s="187" t="s">
        <v>86</v>
      </c>
      <c r="BV1036" s="196">
        <v>120035</v>
      </c>
      <c r="BW1036" s="197" t="e">
        <f t="shared" si="161"/>
        <v>#REF!</v>
      </c>
      <c r="BX1036" s="198" t="e">
        <f>IF(AND(State_LOB_Code=18,LEFT(BW1036,4)&lt;"2009"),81,State_LOB_Code)&amp;"|376"</f>
        <v>#REF!</v>
      </c>
      <c r="BY1036" s="215"/>
      <c r="BZ1036" s="216"/>
    </row>
    <row r="1037" spans="72:78">
      <c r="BT1037" s="187"/>
      <c r="BU1037" s="187" t="s">
        <v>87</v>
      </c>
      <c r="BV1037" s="196">
        <v>120035</v>
      </c>
      <c r="BW1037" s="197" t="e">
        <f t="shared" si="161"/>
        <v>#REF!</v>
      </c>
      <c r="BX1037" s="198" t="e">
        <f>IF(AND(State_LOB_Code=18,LEFT(BW1037,4)&lt;"2009"),81,State_LOB_Code)&amp;"|377"</f>
        <v>#REF!</v>
      </c>
      <c r="BY1037" s="215"/>
      <c r="BZ1037" s="216"/>
    </row>
    <row r="1038" spans="72:78">
      <c r="BT1038" s="187"/>
      <c r="BU1038" s="187" t="s">
        <v>88</v>
      </c>
      <c r="BV1038" s="196">
        <v>120035</v>
      </c>
      <c r="BW1038" s="197" t="e">
        <f t="shared" si="161"/>
        <v>#REF!</v>
      </c>
      <c r="BX1038" s="198" t="e">
        <f>IF(AND(State_LOB_Code=18,LEFT(BW1038,4)&lt;"2009"),81,State_LOB_Code)&amp;"|378"</f>
        <v>#REF!</v>
      </c>
      <c r="BY1038" s="215"/>
      <c r="BZ1038" s="216"/>
    </row>
    <row r="1039" spans="72:78">
      <c r="BT1039" s="187"/>
      <c r="BU1039" s="187" t="s">
        <v>89</v>
      </c>
      <c r="BV1039" s="196">
        <v>120035</v>
      </c>
      <c r="BW1039" s="197" t="e">
        <f t="shared" si="161"/>
        <v>#REF!</v>
      </c>
      <c r="BX1039" s="198" t="e">
        <f>IF(AND(State_LOB_Code=18,LEFT(BW1039,4)&lt;"2009"),81,State_LOB_Code)&amp;"|379"</f>
        <v>#REF!</v>
      </c>
      <c r="BY1039" s="215"/>
      <c r="BZ1039" s="216"/>
    </row>
    <row r="1040" spans="72:78">
      <c r="BT1040" s="187"/>
      <c r="BU1040" s="187" t="s">
        <v>90</v>
      </c>
      <c r="BV1040" s="196">
        <v>120035</v>
      </c>
      <c r="BW1040" s="197" t="e">
        <f t="shared" si="161"/>
        <v>#REF!</v>
      </c>
      <c r="BX1040" s="198" t="e">
        <f>IF(AND(State_LOB_Code=18,LEFT(BW1040,4)&lt;"2009"),81,State_LOB_Code)&amp;"|380"</f>
        <v>#REF!</v>
      </c>
      <c r="BY1040" s="215"/>
      <c r="BZ1040" s="216"/>
    </row>
    <row r="1041" spans="72:78">
      <c r="BT1041" s="187"/>
      <c r="BU1041" s="187" t="s">
        <v>91</v>
      </c>
      <c r="BV1041" s="196">
        <v>120035</v>
      </c>
      <c r="BW1041" s="197" t="e">
        <f t="shared" si="161"/>
        <v>#REF!</v>
      </c>
      <c r="BX1041" s="198" t="e">
        <f>IF(AND(State_LOB_Code=18,LEFT(BW1041,4)&lt;"2009"),81,State_LOB_Code)&amp;"|381"</f>
        <v>#REF!</v>
      </c>
      <c r="BY1041" s="215"/>
      <c r="BZ1041" s="216"/>
    </row>
    <row r="1042" spans="72:78">
      <c r="BT1042" s="187"/>
      <c r="BU1042" s="187" t="s">
        <v>92</v>
      </c>
      <c r="BV1042" s="196">
        <v>120035</v>
      </c>
      <c r="BW1042" s="197" t="e">
        <f t="shared" si="161"/>
        <v>#REF!</v>
      </c>
      <c r="BX1042" s="198" t="e">
        <f>IF(AND(State_LOB_Code=18,LEFT(BW1042,4)&lt;"2009"),81,State_LOB_Code)&amp;"|382"</f>
        <v>#REF!</v>
      </c>
      <c r="BY1042" s="215"/>
      <c r="BZ1042" s="216"/>
    </row>
    <row r="1043" spans="72:78">
      <c r="BT1043" s="187"/>
      <c r="BU1043" s="187" t="s">
        <v>93</v>
      </c>
      <c r="BV1043" s="196">
        <v>120035</v>
      </c>
      <c r="BW1043" s="197" t="e">
        <f t="shared" si="161"/>
        <v>#REF!</v>
      </c>
      <c r="BX1043" s="198" t="e">
        <f>IF(AND(State_LOB_Code=18,LEFT(BW1043,4)&lt;"2009"),81,State_LOB_Code)&amp;"|384"</f>
        <v>#REF!</v>
      </c>
      <c r="BY1043" s="215"/>
      <c r="BZ1043" s="216"/>
    </row>
    <row r="1044" spans="72:78">
      <c r="BT1044" s="187"/>
      <c r="BU1044" s="187" t="s">
        <v>94</v>
      </c>
      <c r="BV1044" s="196">
        <v>120035</v>
      </c>
      <c r="BW1044" s="197" t="e">
        <f t="shared" si="161"/>
        <v>#REF!</v>
      </c>
      <c r="BX1044" s="198" t="e">
        <f>IF(AND(State_LOB_Code=18,LEFT(BW1044,4)&lt;"2009"),81,State_LOB_Code)&amp;"|385"</f>
        <v>#REF!</v>
      </c>
      <c r="BY1044" s="215"/>
      <c r="BZ1044" s="216"/>
    </row>
    <row r="1045" spans="72:78">
      <c r="BT1045" s="187"/>
      <c r="BU1045" s="187" t="s">
        <v>95</v>
      </c>
      <c r="BV1045" s="196">
        <v>120035</v>
      </c>
      <c r="BW1045" s="197" t="e">
        <f t="shared" si="161"/>
        <v>#REF!</v>
      </c>
      <c r="BX1045" s="198" t="e">
        <f>IF(AND(State_LOB_Code=18,LEFT(BW1045,4)&lt;"2009"),81,State_LOB_Code)&amp;"|386"</f>
        <v>#REF!</v>
      </c>
      <c r="BY1045" s="215"/>
      <c r="BZ1045" s="216"/>
    </row>
    <row r="1046" spans="72:78">
      <c r="BT1046" s="187"/>
      <c r="BU1046" s="187" t="s">
        <v>96</v>
      </c>
      <c r="BV1046" s="196">
        <v>120035</v>
      </c>
      <c r="BW1046" s="197" t="e">
        <f t="shared" si="161"/>
        <v>#REF!</v>
      </c>
      <c r="BX1046" s="198" t="e">
        <f>IF(AND(State_LOB_Code=18,LEFT(BW1046,4)&lt;"2009"),81,State_LOB_Code)&amp;"|387"</f>
        <v>#REF!</v>
      </c>
      <c r="BY1046" s="215"/>
      <c r="BZ1046" s="216"/>
    </row>
    <row r="1047" spans="72:78">
      <c r="BT1047" s="187"/>
      <c r="BU1047" s="187" t="s">
        <v>97</v>
      </c>
      <c r="BV1047" s="196">
        <v>120035</v>
      </c>
      <c r="BW1047" s="197" t="e">
        <f t="shared" si="161"/>
        <v>#REF!</v>
      </c>
      <c r="BX1047" s="198" t="e">
        <f>IF(AND(State_LOB_Code=18,LEFT(BW1047,4)&lt;"2009"),81,State_LOB_Code)&amp;"|388"</f>
        <v>#REF!</v>
      </c>
      <c r="BY1047" s="215"/>
      <c r="BZ1047" s="216"/>
    </row>
    <row r="1048" spans="72:78">
      <c r="BT1048" s="187"/>
      <c r="BU1048" s="189" t="s">
        <v>137</v>
      </c>
      <c r="BV1048" s="199">
        <v>120035</v>
      </c>
      <c r="BW1048" s="200" t="e">
        <f t="shared" si="161"/>
        <v>#REF!</v>
      </c>
      <c r="BX1048" s="201" t="e">
        <f>IF(AND(State_LOB_Code=18,LEFT(BW1048,4)&lt;"2009"),81,State_LOB_Code)&amp;"|600"</f>
        <v>#REF!</v>
      </c>
      <c r="BY1048" s="217"/>
      <c r="BZ1048" s="218"/>
    </row>
    <row r="1049" spans="72:78">
      <c r="BT1049" s="187"/>
      <c r="BU1049" s="187" t="s">
        <v>98</v>
      </c>
      <c r="BV1049" s="196">
        <v>120035</v>
      </c>
      <c r="BW1049" s="197" t="e">
        <f t="shared" si="161"/>
        <v>#REF!</v>
      </c>
      <c r="BX1049" s="198" t="e">
        <f>IF(AND(State_LOB_Code=18,LEFT(BW1049,4)&lt;"2009"),81,State_LOB_Code)&amp;"|336"</f>
        <v>#REF!</v>
      </c>
      <c r="BY1049" s="215"/>
      <c r="BZ1049" s="216"/>
    </row>
    <row r="1050" spans="72:78">
      <c r="BT1050" s="187"/>
      <c r="BU1050" s="187" t="s">
        <v>99</v>
      </c>
      <c r="BV1050" s="196">
        <v>120035</v>
      </c>
      <c r="BW1050" s="197" t="e">
        <f t="shared" si="161"/>
        <v>#REF!</v>
      </c>
      <c r="BX1050" s="198" t="e">
        <f>IF(AND(State_LOB_Code=18,LEFT(BW1050,4)&lt;"2009"),81,State_LOB_Code)&amp;"|345"</f>
        <v>#REF!</v>
      </c>
      <c r="BY1050" s="215"/>
      <c r="BZ1050" s="216"/>
    </row>
    <row r="1051" spans="72:78">
      <c r="BT1051" s="187"/>
      <c r="BU1051" s="187" t="s">
        <v>100</v>
      </c>
      <c r="BV1051" s="196">
        <v>120035</v>
      </c>
      <c r="BW1051" s="197" t="e">
        <f t="shared" si="161"/>
        <v>#REF!</v>
      </c>
      <c r="BX1051" s="198" t="e">
        <f>IF(AND(State_LOB_Code=18,LEFT(BW1051,4)&lt;"2009"),81,State_LOB_Code)&amp;"|360"</f>
        <v>#REF!</v>
      </c>
      <c r="BY1051" s="215"/>
      <c r="BZ1051" s="216"/>
    </row>
    <row r="1052" spans="72:78">
      <c r="BT1052" s="187"/>
      <c r="BU1052" s="187" t="s">
        <v>101</v>
      </c>
      <c r="BV1052" s="196">
        <v>120035</v>
      </c>
      <c r="BW1052" s="197" t="e">
        <f t="shared" si="161"/>
        <v>#REF!</v>
      </c>
      <c r="BX1052" s="198" t="e">
        <f>IF(AND(State_LOB_Code=18,LEFT(BW1052,4)&lt;"2009"),81,State_LOB_Code)&amp;"|375"</f>
        <v>#REF!</v>
      </c>
      <c r="BY1052" s="215"/>
      <c r="BZ1052" s="216"/>
    </row>
    <row r="1053" spans="72:78">
      <c r="BT1053" s="187"/>
      <c r="BU1053" s="187" t="s">
        <v>102</v>
      </c>
      <c r="BV1053" s="196">
        <v>120035</v>
      </c>
      <c r="BW1053" s="197" t="e">
        <f t="shared" si="161"/>
        <v>#REF!</v>
      </c>
      <c r="BX1053" s="198" t="e">
        <f>IF(AND(State_LOB_Code=18,LEFT(BW1053,4)&lt;"2009"),81,State_LOB_Code)&amp;"|383"</f>
        <v>#REF!</v>
      </c>
      <c r="BY1053" s="215"/>
      <c r="BZ1053" s="216"/>
    </row>
    <row r="1054" spans="72:78">
      <c r="BT1054" s="187"/>
      <c r="BU1054" s="187" t="s">
        <v>103</v>
      </c>
      <c r="BV1054" s="196">
        <v>120035</v>
      </c>
      <c r="BW1054" s="197" t="e">
        <f t="shared" si="161"/>
        <v>#REF!</v>
      </c>
      <c r="BX1054" s="198" t="e">
        <f>IF(AND(State_LOB_Code=18,LEFT(BW1054,4)&lt;"2009"),81,State_LOB_Code)&amp;"|332"</f>
        <v>#REF!</v>
      </c>
      <c r="BY1054" s="215"/>
      <c r="BZ1054" s="216"/>
    </row>
    <row r="1055" spans="72:78">
      <c r="BT1055" s="187"/>
      <c r="BU1055" s="187" t="s">
        <v>104</v>
      </c>
      <c r="BV1055" s="196">
        <v>120035</v>
      </c>
      <c r="BW1055" s="197" t="e">
        <f t="shared" si="161"/>
        <v>#REF!</v>
      </c>
      <c r="BX1055" s="198" t="e">
        <f>IF(AND(State_LOB_Code=18,LEFT(BW1055,4)&lt;"2009"),81,State_LOB_Code)&amp;"|330"</f>
        <v>#REF!</v>
      </c>
      <c r="BY1055" s="215"/>
      <c r="BZ1055" s="216"/>
    </row>
    <row r="1056" spans="72:78">
      <c r="BT1056" s="187"/>
      <c r="BU1056" s="190" t="s">
        <v>46</v>
      </c>
      <c r="BV1056" s="202">
        <v>120055</v>
      </c>
      <c r="BW1056" s="203" t="e">
        <f t="shared" si="161"/>
        <v>#REF!</v>
      </c>
      <c r="BX1056" s="204" t="e">
        <f>IF(AND(State_LOB_Code=18,LEFT(BW1056,4)&lt;"2009"),81,State_LOB_Code)</f>
        <v>#REF!</v>
      </c>
      <c r="BY1056" s="219"/>
      <c r="BZ1056" s="220"/>
    </row>
    <row r="1057" spans="72:78">
      <c r="BT1057" s="187"/>
      <c r="BU1057" s="187"/>
      <c r="BV1057" s="188"/>
      <c r="BW1057" s="188"/>
      <c r="BX1057" s="188"/>
      <c r="BY1057" s="215"/>
      <c r="BZ1057" s="216"/>
    </row>
    <row r="1058" spans="72:78">
      <c r="BT1058" s="187"/>
      <c r="BU1058" s="184" t="s">
        <v>47</v>
      </c>
      <c r="BV1058" s="193">
        <v>120035</v>
      </c>
      <c r="BW1058" s="194" t="e">
        <f t="shared" ref="BW1058:BW1089" si="162">LEFT(BW997,4)-1&amp;"Y"</f>
        <v>#REF!</v>
      </c>
      <c r="BX1058" s="195" t="e">
        <f>IF(AND(State_LOB_Code=18,LEFT(BW1058,4)&lt;"2009"),81,State_LOB_Code)&amp;"|333"</f>
        <v>#REF!</v>
      </c>
      <c r="BY1058" s="213"/>
      <c r="BZ1058" s="214"/>
    </row>
    <row r="1059" spans="72:78">
      <c r="BT1059" s="187"/>
      <c r="BU1059" s="187" t="s">
        <v>48</v>
      </c>
      <c r="BV1059" s="196">
        <v>120035</v>
      </c>
      <c r="BW1059" s="197" t="e">
        <f t="shared" si="162"/>
        <v>#REF!</v>
      </c>
      <c r="BX1059" s="198" t="e">
        <f>IF(AND(State_LOB_Code=18,LEFT(BW1059,4)&lt;"2009"),81,State_LOB_Code)&amp;"|334"</f>
        <v>#REF!</v>
      </c>
      <c r="BY1059" s="215"/>
      <c r="BZ1059" s="216"/>
    </row>
    <row r="1060" spans="72:78">
      <c r="BT1060" s="187"/>
      <c r="BU1060" s="187" t="s">
        <v>49</v>
      </c>
      <c r="BV1060" s="196">
        <v>120035</v>
      </c>
      <c r="BW1060" s="197" t="e">
        <f t="shared" si="162"/>
        <v>#REF!</v>
      </c>
      <c r="BX1060" s="198" t="e">
        <f>IF(AND(State_LOB_Code=18,LEFT(BW1060,4)&lt;"2009"),81,State_LOB_Code)&amp;"|335"</f>
        <v>#REF!</v>
      </c>
      <c r="BY1060" s="215"/>
      <c r="BZ1060" s="216"/>
    </row>
    <row r="1061" spans="72:78">
      <c r="BT1061" s="187"/>
      <c r="BU1061" s="187" t="s">
        <v>50</v>
      </c>
      <c r="BV1061" s="196">
        <v>120035</v>
      </c>
      <c r="BW1061" s="197" t="e">
        <f t="shared" si="162"/>
        <v>#REF!</v>
      </c>
      <c r="BX1061" s="198" t="e">
        <f>IF(AND(State_LOB_Code=18,LEFT(BW1061,4)&lt;"2009"),81,State_LOB_Code)&amp;"|337"</f>
        <v>#REF!</v>
      </c>
      <c r="BY1061" s="215"/>
      <c r="BZ1061" s="216"/>
    </row>
    <row r="1062" spans="72:78">
      <c r="BT1062" s="187"/>
      <c r="BU1062" s="187" t="s">
        <v>51</v>
      </c>
      <c r="BV1062" s="196">
        <v>120035</v>
      </c>
      <c r="BW1062" s="197" t="e">
        <f t="shared" si="162"/>
        <v>#REF!</v>
      </c>
      <c r="BX1062" s="198" t="e">
        <f>IF(AND(State_LOB_Code=18,LEFT(BW1062,4)&lt;"2009"),81,State_LOB_Code)&amp;"|338"</f>
        <v>#REF!</v>
      </c>
      <c r="BY1062" s="215"/>
      <c r="BZ1062" s="216"/>
    </row>
    <row r="1063" spans="72:78">
      <c r="BT1063" s="187"/>
      <c r="BU1063" s="187" t="s">
        <v>52</v>
      </c>
      <c r="BV1063" s="196">
        <v>120035</v>
      </c>
      <c r="BW1063" s="197" t="e">
        <f t="shared" si="162"/>
        <v>#REF!</v>
      </c>
      <c r="BX1063" s="198" t="e">
        <f>IF(AND(State_LOB_Code=18,LEFT(BW1063,4)&lt;"2009"),81,State_LOB_Code)&amp;"|339"</f>
        <v>#REF!</v>
      </c>
      <c r="BY1063" s="215"/>
      <c r="BZ1063" s="216"/>
    </row>
    <row r="1064" spans="72:78">
      <c r="BT1064" s="187"/>
      <c r="BU1064" s="187" t="s">
        <v>53</v>
      </c>
      <c r="BV1064" s="196">
        <v>120035</v>
      </c>
      <c r="BW1064" s="197" t="e">
        <f t="shared" si="162"/>
        <v>#REF!</v>
      </c>
      <c r="BX1064" s="198" t="e">
        <f>IF(AND(State_LOB_Code=18,LEFT(BW1064,4)&lt;"2009"),81,State_LOB_Code)&amp;"|340"</f>
        <v>#REF!</v>
      </c>
      <c r="BY1064" s="215"/>
      <c r="BZ1064" s="216"/>
    </row>
    <row r="1065" spans="72:78">
      <c r="BT1065" s="187"/>
      <c r="BU1065" s="187" t="s">
        <v>54</v>
      </c>
      <c r="BV1065" s="196">
        <v>120035</v>
      </c>
      <c r="BW1065" s="197" t="e">
        <f t="shared" si="162"/>
        <v>#REF!</v>
      </c>
      <c r="BX1065" s="198" t="e">
        <f>IF(AND(State_LOB_Code=18,LEFT(BW1065,4)&lt;"2009"),81,State_LOB_Code)&amp;"|341"</f>
        <v>#REF!</v>
      </c>
      <c r="BY1065" s="215"/>
      <c r="BZ1065" s="216"/>
    </row>
    <row r="1066" spans="72:78">
      <c r="BT1066" s="187"/>
      <c r="BU1066" s="187" t="s">
        <v>55</v>
      </c>
      <c r="BV1066" s="196">
        <v>120035</v>
      </c>
      <c r="BW1066" s="197" t="e">
        <f t="shared" si="162"/>
        <v>#REF!</v>
      </c>
      <c r="BX1066" s="198" t="e">
        <f>IF(AND(State_LOB_Code=18,LEFT(BW1066,4)&lt;"2009"),81,State_LOB_Code)&amp;"|342"</f>
        <v>#REF!</v>
      </c>
      <c r="BY1066" s="215"/>
      <c r="BZ1066" s="216"/>
    </row>
    <row r="1067" spans="72:78">
      <c r="BT1067" s="187"/>
      <c r="BU1067" s="187" t="s">
        <v>56</v>
      </c>
      <c r="BV1067" s="196">
        <v>120035</v>
      </c>
      <c r="BW1067" s="197" t="e">
        <f t="shared" si="162"/>
        <v>#REF!</v>
      </c>
      <c r="BX1067" s="198" t="e">
        <f>IF(AND(State_LOB_Code=18,LEFT(BW1067,4)&lt;"2009"),81,State_LOB_Code)&amp;"|343"</f>
        <v>#REF!</v>
      </c>
      <c r="BY1067" s="215"/>
      <c r="BZ1067" s="216"/>
    </row>
    <row r="1068" spans="72:78">
      <c r="BT1068" s="187"/>
      <c r="BU1068" s="187" t="s">
        <v>57</v>
      </c>
      <c r="BV1068" s="196">
        <v>120035</v>
      </c>
      <c r="BW1068" s="197" t="e">
        <f t="shared" si="162"/>
        <v>#REF!</v>
      </c>
      <c r="BX1068" s="198" t="e">
        <f>IF(AND(State_LOB_Code=18,LEFT(BW1068,4)&lt;"2009"),81,State_LOB_Code)&amp;"|344"</f>
        <v>#REF!</v>
      </c>
      <c r="BY1068" s="215"/>
      <c r="BZ1068" s="216"/>
    </row>
    <row r="1069" spans="72:78">
      <c r="BT1069" s="187"/>
      <c r="BU1069" s="187" t="s">
        <v>58</v>
      </c>
      <c r="BV1069" s="196">
        <v>120035</v>
      </c>
      <c r="BW1069" s="197" t="e">
        <f t="shared" si="162"/>
        <v>#REF!</v>
      </c>
      <c r="BX1069" s="198" t="e">
        <f>IF(AND(State_LOB_Code=18,LEFT(BW1069,4)&lt;"2009"),81,State_LOB_Code)&amp;"|346"</f>
        <v>#REF!</v>
      </c>
      <c r="BY1069" s="215"/>
      <c r="BZ1069" s="216"/>
    </row>
    <row r="1070" spans="72:78">
      <c r="BT1070" s="187"/>
      <c r="BU1070" s="187" t="s">
        <v>59</v>
      </c>
      <c r="BV1070" s="196">
        <v>120035</v>
      </c>
      <c r="BW1070" s="197" t="e">
        <f t="shared" si="162"/>
        <v>#REF!</v>
      </c>
      <c r="BX1070" s="198" t="e">
        <f>IF(AND(State_LOB_Code=18,LEFT(BW1070,4)&lt;"2009"),81,State_LOB_Code)&amp;"|347"</f>
        <v>#REF!</v>
      </c>
      <c r="BY1070" s="215"/>
      <c r="BZ1070" s="216"/>
    </row>
    <row r="1071" spans="72:78">
      <c r="BT1071" s="187"/>
      <c r="BU1071" s="187" t="s">
        <v>60</v>
      </c>
      <c r="BV1071" s="196">
        <v>120035</v>
      </c>
      <c r="BW1071" s="197" t="e">
        <f t="shared" si="162"/>
        <v>#REF!</v>
      </c>
      <c r="BX1071" s="198" t="e">
        <f>IF(AND(State_LOB_Code=18,LEFT(BW1071,4)&lt;"2009"),81,State_LOB_Code)&amp;"|348"</f>
        <v>#REF!</v>
      </c>
      <c r="BY1071" s="215"/>
      <c r="BZ1071" s="216"/>
    </row>
    <row r="1072" spans="72:78">
      <c r="BT1072" s="187"/>
      <c r="BU1072" s="187" t="s">
        <v>61</v>
      </c>
      <c r="BV1072" s="196">
        <v>120035</v>
      </c>
      <c r="BW1072" s="197" t="e">
        <f t="shared" si="162"/>
        <v>#REF!</v>
      </c>
      <c r="BX1072" s="198" t="e">
        <f>IF(AND(State_LOB_Code=18,LEFT(BW1072,4)&lt;"2009"),81,State_LOB_Code)&amp;"|349"</f>
        <v>#REF!</v>
      </c>
      <c r="BY1072" s="215"/>
      <c r="BZ1072" s="216"/>
    </row>
    <row r="1073" spans="72:78">
      <c r="BT1073" s="187"/>
      <c r="BU1073" s="187" t="s">
        <v>62</v>
      </c>
      <c r="BV1073" s="196">
        <v>120035</v>
      </c>
      <c r="BW1073" s="197" t="e">
        <f t="shared" si="162"/>
        <v>#REF!</v>
      </c>
      <c r="BX1073" s="198" t="e">
        <f>IF(AND(State_LOB_Code=18,LEFT(BW1073,4)&lt;"2009"),81,State_LOB_Code)&amp;"|350"</f>
        <v>#REF!</v>
      </c>
      <c r="BY1073" s="215"/>
      <c r="BZ1073" s="216"/>
    </row>
    <row r="1074" spans="72:78">
      <c r="BT1074" s="187"/>
      <c r="BU1074" s="187" t="s">
        <v>63</v>
      </c>
      <c r="BV1074" s="196">
        <v>120035</v>
      </c>
      <c r="BW1074" s="197" t="e">
        <f t="shared" si="162"/>
        <v>#REF!</v>
      </c>
      <c r="BX1074" s="198" t="e">
        <f>IF(AND(State_LOB_Code=18,LEFT(BW1074,4)&lt;"2009"),81,State_LOB_Code)&amp;"|351"</f>
        <v>#REF!</v>
      </c>
      <c r="BY1074" s="215"/>
      <c r="BZ1074" s="216"/>
    </row>
    <row r="1075" spans="72:78">
      <c r="BT1075" s="187"/>
      <c r="BU1075" s="187" t="s">
        <v>64</v>
      </c>
      <c r="BV1075" s="196">
        <v>120035</v>
      </c>
      <c r="BW1075" s="197" t="e">
        <f t="shared" si="162"/>
        <v>#REF!</v>
      </c>
      <c r="BX1075" s="198" t="e">
        <f>IF(AND(State_LOB_Code=18,LEFT(BW1075,4)&lt;"2009"),81,State_LOB_Code)&amp;"|352"</f>
        <v>#REF!</v>
      </c>
      <c r="BY1075" s="215"/>
      <c r="BZ1075" s="216"/>
    </row>
    <row r="1076" spans="72:78">
      <c r="BT1076" s="187"/>
      <c r="BU1076" s="187" t="s">
        <v>65</v>
      </c>
      <c r="BV1076" s="196">
        <v>120035</v>
      </c>
      <c r="BW1076" s="197" t="e">
        <f t="shared" si="162"/>
        <v>#REF!</v>
      </c>
      <c r="BX1076" s="198" t="e">
        <f>IF(AND(State_LOB_Code=18,LEFT(BW1076,4)&lt;"2009"),81,State_LOB_Code)&amp;"|353"</f>
        <v>#REF!</v>
      </c>
      <c r="BY1076" s="215"/>
      <c r="BZ1076" s="216"/>
    </row>
    <row r="1077" spans="72:78">
      <c r="BT1077" s="187"/>
      <c r="BU1077" s="187" t="s">
        <v>66</v>
      </c>
      <c r="BV1077" s="196">
        <v>120035</v>
      </c>
      <c r="BW1077" s="197" t="e">
        <f t="shared" si="162"/>
        <v>#REF!</v>
      </c>
      <c r="BX1077" s="198" t="e">
        <f>IF(AND(State_LOB_Code=18,LEFT(BW1077,4)&lt;"2009"),81,State_LOB_Code)&amp;"|354"</f>
        <v>#REF!</v>
      </c>
      <c r="BY1077" s="215"/>
      <c r="BZ1077" s="216"/>
    </row>
    <row r="1078" spans="72:78">
      <c r="BT1078" s="187"/>
      <c r="BU1078" s="187" t="s">
        <v>67</v>
      </c>
      <c r="BV1078" s="196">
        <v>120035</v>
      </c>
      <c r="BW1078" s="197" t="e">
        <f t="shared" si="162"/>
        <v>#REF!</v>
      </c>
      <c r="BX1078" s="198" t="e">
        <f>IF(AND(State_LOB_Code=18,LEFT(BW1078,4)&lt;"2009"),81,State_LOB_Code)&amp;"|355"</f>
        <v>#REF!</v>
      </c>
      <c r="BY1078" s="215"/>
      <c r="BZ1078" s="216"/>
    </row>
    <row r="1079" spans="72:78">
      <c r="BT1079" s="187"/>
      <c r="BU1079" s="187" t="s">
        <v>68</v>
      </c>
      <c r="BV1079" s="196">
        <v>120035</v>
      </c>
      <c r="BW1079" s="197" t="e">
        <f t="shared" si="162"/>
        <v>#REF!</v>
      </c>
      <c r="BX1079" s="198" t="e">
        <f>IF(AND(State_LOB_Code=18,LEFT(BW1079,4)&lt;"2009"),81,State_LOB_Code)&amp;"|356"</f>
        <v>#REF!</v>
      </c>
      <c r="BY1079" s="215"/>
      <c r="BZ1079" s="216"/>
    </row>
    <row r="1080" spans="72:78">
      <c r="BT1080" s="187"/>
      <c r="BU1080" s="187" t="s">
        <v>69</v>
      </c>
      <c r="BV1080" s="196">
        <v>120035</v>
      </c>
      <c r="BW1080" s="197" t="e">
        <f t="shared" si="162"/>
        <v>#REF!</v>
      </c>
      <c r="BX1080" s="198" t="e">
        <f>IF(AND(State_LOB_Code=18,LEFT(BW1080,4)&lt;"2009"),81,State_LOB_Code)&amp;"|357"</f>
        <v>#REF!</v>
      </c>
      <c r="BY1080" s="215"/>
      <c r="BZ1080" s="216"/>
    </row>
    <row r="1081" spans="72:78">
      <c r="BT1081" s="187"/>
      <c r="BU1081" s="187" t="s">
        <v>70</v>
      </c>
      <c r="BV1081" s="196">
        <v>120035</v>
      </c>
      <c r="BW1081" s="197" t="e">
        <f t="shared" si="162"/>
        <v>#REF!</v>
      </c>
      <c r="BX1081" s="198" t="e">
        <f>IF(AND(State_LOB_Code=18,LEFT(BW1081,4)&lt;"2009"),81,State_LOB_Code)&amp;"|358"</f>
        <v>#REF!</v>
      </c>
      <c r="BY1081" s="215"/>
      <c r="BZ1081" s="216"/>
    </row>
    <row r="1082" spans="72:78">
      <c r="BT1082" s="187"/>
      <c r="BU1082" s="187" t="s">
        <v>71</v>
      </c>
      <c r="BV1082" s="196">
        <v>120035</v>
      </c>
      <c r="BW1082" s="197" t="e">
        <f t="shared" si="162"/>
        <v>#REF!</v>
      </c>
      <c r="BX1082" s="198" t="e">
        <f>IF(AND(State_LOB_Code=18,LEFT(BW1082,4)&lt;"2009"),81,State_LOB_Code)&amp;"|359"</f>
        <v>#REF!</v>
      </c>
      <c r="BY1082" s="215"/>
      <c r="BZ1082" s="216"/>
    </row>
    <row r="1083" spans="72:78">
      <c r="BT1083" s="187"/>
      <c r="BU1083" s="187" t="s">
        <v>72</v>
      </c>
      <c r="BV1083" s="196">
        <v>120035</v>
      </c>
      <c r="BW1083" s="197" t="e">
        <f t="shared" si="162"/>
        <v>#REF!</v>
      </c>
      <c r="BX1083" s="198" t="e">
        <f>IF(AND(State_LOB_Code=18,LEFT(BW1083,4)&lt;"2009"),81,State_LOB_Code)&amp;"|361"</f>
        <v>#REF!</v>
      </c>
      <c r="BY1083" s="215"/>
      <c r="BZ1083" s="216"/>
    </row>
    <row r="1084" spans="72:78">
      <c r="BT1084" s="187"/>
      <c r="BU1084" s="187" t="s">
        <v>73</v>
      </c>
      <c r="BV1084" s="196">
        <v>120035</v>
      </c>
      <c r="BW1084" s="197" t="e">
        <f t="shared" si="162"/>
        <v>#REF!</v>
      </c>
      <c r="BX1084" s="198" t="e">
        <f>IF(AND(State_LOB_Code=18,LEFT(BW1084,4)&lt;"2009"),81,State_LOB_Code)&amp;"|362"</f>
        <v>#REF!</v>
      </c>
      <c r="BY1084" s="215"/>
      <c r="BZ1084" s="216"/>
    </row>
    <row r="1085" spans="72:78">
      <c r="BT1085" s="187"/>
      <c r="BU1085" s="187" t="s">
        <v>74</v>
      </c>
      <c r="BV1085" s="196">
        <v>120035</v>
      </c>
      <c r="BW1085" s="197" t="e">
        <f t="shared" si="162"/>
        <v>#REF!</v>
      </c>
      <c r="BX1085" s="198" t="e">
        <f>IF(AND(State_LOB_Code=18,LEFT(BW1085,4)&lt;"2009"),81,State_LOB_Code)&amp;"|363"</f>
        <v>#REF!</v>
      </c>
      <c r="BY1085" s="215"/>
      <c r="BZ1085" s="216"/>
    </row>
    <row r="1086" spans="72:78">
      <c r="BT1086" s="187"/>
      <c r="BU1086" s="187" t="s">
        <v>75</v>
      </c>
      <c r="BV1086" s="196">
        <v>120035</v>
      </c>
      <c r="BW1086" s="197" t="e">
        <f t="shared" si="162"/>
        <v>#REF!</v>
      </c>
      <c r="BX1086" s="198" t="e">
        <f>IF(AND(State_LOB_Code=18,LEFT(BW1086,4)&lt;"2009"),81,State_LOB_Code)&amp;"|364"</f>
        <v>#REF!</v>
      </c>
      <c r="BY1086" s="215"/>
      <c r="BZ1086" s="216"/>
    </row>
    <row r="1087" spans="72:78">
      <c r="BT1087" s="187"/>
      <c r="BU1087" s="187" t="s">
        <v>76</v>
      </c>
      <c r="BV1087" s="196">
        <v>120035</v>
      </c>
      <c r="BW1087" s="197" t="e">
        <f t="shared" si="162"/>
        <v>#REF!</v>
      </c>
      <c r="BX1087" s="198" t="e">
        <f>IF(AND(State_LOB_Code=18,LEFT(BW1087,4)&lt;"2009"),81,State_LOB_Code)&amp;"|365"</f>
        <v>#REF!</v>
      </c>
      <c r="BY1087" s="215"/>
      <c r="BZ1087" s="216"/>
    </row>
    <row r="1088" spans="72:78">
      <c r="BT1088" s="187"/>
      <c r="BU1088" s="187" t="s">
        <v>77</v>
      </c>
      <c r="BV1088" s="196">
        <v>120035</v>
      </c>
      <c r="BW1088" s="197" t="e">
        <f t="shared" si="162"/>
        <v>#REF!</v>
      </c>
      <c r="BX1088" s="198" t="e">
        <f>IF(AND(State_LOB_Code=18,LEFT(BW1088,4)&lt;"2009"),81,State_LOB_Code)&amp;"|366"</f>
        <v>#REF!</v>
      </c>
      <c r="BY1088" s="215"/>
      <c r="BZ1088" s="216"/>
    </row>
    <row r="1089" spans="72:78">
      <c r="BT1089" s="187"/>
      <c r="BU1089" s="187" t="s">
        <v>78</v>
      </c>
      <c r="BV1089" s="196">
        <v>120035</v>
      </c>
      <c r="BW1089" s="197" t="e">
        <f t="shared" si="162"/>
        <v>#REF!</v>
      </c>
      <c r="BX1089" s="198" t="e">
        <f>IF(AND(State_LOB_Code=18,LEFT(BW1089,4)&lt;"2009"),81,State_LOB_Code)&amp;"|367"</f>
        <v>#REF!</v>
      </c>
      <c r="BY1089" s="215"/>
      <c r="BZ1089" s="216"/>
    </row>
    <row r="1090" spans="72:78">
      <c r="BT1090" s="187"/>
      <c r="BU1090" s="187" t="s">
        <v>79</v>
      </c>
      <c r="BV1090" s="196">
        <v>120035</v>
      </c>
      <c r="BW1090" s="197" t="e">
        <f t="shared" ref="BW1090:BW1117" si="163">LEFT(BW1029,4)-1&amp;"Y"</f>
        <v>#REF!</v>
      </c>
      <c r="BX1090" s="198" t="e">
        <f>IF(AND(State_LOB_Code=18,LEFT(BW1090,4)&lt;"2009"),81,State_LOB_Code)&amp;"|368"</f>
        <v>#REF!</v>
      </c>
      <c r="BY1090" s="215"/>
      <c r="BZ1090" s="216"/>
    </row>
    <row r="1091" spans="72:78">
      <c r="BT1091" s="187"/>
      <c r="BU1091" s="187" t="s">
        <v>80</v>
      </c>
      <c r="BV1091" s="196">
        <v>120035</v>
      </c>
      <c r="BW1091" s="197" t="e">
        <f t="shared" si="163"/>
        <v>#REF!</v>
      </c>
      <c r="BX1091" s="198" t="e">
        <f>IF(AND(State_LOB_Code=18,LEFT(BW1091,4)&lt;"2009"),81,State_LOB_Code)&amp;"|369"</f>
        <v>#REF!</v>
      </c>
      <c r="BY1091" s="215"/>
      <c r="BZ1091" s="216"/>
    </row>
    <row r="1092" spans="72:78">
      <c r="BT1092" s="187"/>
      <c r="BU1092" s="187" t="s">
        <v>81</v>
      </c>
      <c r="BV1092" s="196">
        <v>120035</v>
      </c>
      <c r="BW1092" s="197" t="e">
        <f t="shared" si="163"/>
        <v>#REF!</v>
      </c>
      <c r="BX1092" s="198" t="e">
        <f>IF(AND(State_LOB_Code=18,LEFT(BW1092,4)&lt;"2009"),81,State_LOB_Code)&amp;"|370"</f>
        <v>#REF!</v>
      </c>
      <c r="BY1092" s="215"/>
      <c r="BZ1092" s="216"/>
    </row>
    <row r="1093" spans="72:78">
      <c r="BT1093" s="187"/>
      <c r="BU1093" s="187" t="s">
        <v>82</v>
      </c>
      <c r="BV1093" s="196">
        <v>120035</v>
      </c>
      <c r="BW1093" s="197" t="e">
        <f t="shared" si="163"/>
        <v>#REF!</v>
      </c>
      <c r="BX1093" s="198" t="e">
        <f>IF(AND(State_LOB_Code=18,LEFT(BW1093,4)&lt;"2009"),81,State_LOB_Code)&amp;"|371"</f>
        <v>#REF!</v>
      </c>
      <c r="BY1093" s="215"/>
      <c r="BZ1093" s="216"/>
    </row>
    <row r="1094" spans="72:78">
      <c r="BT1094" s="187"/>
      <c r="BU1094" s="187" t="s">
        <v>83</v>
      </c>
      <c r="BV1094" s="196">
        <v>120035</v>
      </c>
      <c r="BW1094" s="197" t="e">
        <f t="shared" si="163"/>
        <v>#REF!</v>
      </c>
      <c r="BX1094" s="198" t="e">
        <f>IF(AND(State_LOB_Code=18,LEFT(BW1094,4)&lt;"2009"),81,State_LOB_Code)&amp;"|372"</f>
        <v>#REF!</v>
      </c>
      <c r="BY1094" s="215"/>
      <c r="BZ1094" s="216"/>
    </row>
    <row r="1095" spans="72:78">
      <c r="BT1095" s="187"/>
      <c r="BU1095" s="187" t="s">
        <v>84</v>
      </c>
      <c r="BV1095" s="196">
        <v>120035</v>
      </c>
      <c r="BW1095" s="197" t="e">
        <f t="shared" si="163"/>
        <v>#REF!</v>
      </c>
      <c r="BX1095" s="198" t="e">
        <f>IF(AND(State_LOB_Code=18,LEFT(BW1095,4)&lt;"2009"),81,State_LOB_Code)&amp;"|373"</f>
        <v>#REF!</v>
      </c>
      <c r="BY1095" s="215"/>
      <c r="BZ1095" s="216"/>
    </row>
    <row r="1096" spans="72:78">
      <c r="BT1096" s="187"/>
      <c r="BU1096" s="187" t="s">
        <v>85</v>
      </c>
      <c r="BV1096" s="196">
        <v>120035</v>
      </c>
      <c r="BW1096" s="197" t="e">
        <f t="shared" si="163"/>
        <v>#REF!</v>
      </c>
      <c r="BX1096" s="198" t="e">
        <f>IF(AND(State_LOB_Code=18,LEFT(BW1096,4)&lt;"2009"),81,State_LOB_Code)&amp;"|374"</f>
        <v>#REF!</v>
      </c>
      <c r="BY1096" s="215"/>
      <c r="BZ1096" s="216"/>
    </row>
    <row r="1097" spans="72:78">
      <c r="BT1097" s="187"/>
      <c r="BU1097" s="187" t="s">
        <v>86</v>
      </c>
      <c r="BV1097" s="196">
        <v>120035</v>
      </c>
      <c r="BW1097" s="197" t="e">
        <f t="shared" si="163"/>
        <v>#REF!</v>
      </c>
      <c r="BX1097" s="198" t="e">
        <f>IF(AND(State_LOB_Code=18,LEFT(BW1097,4)&lt;"2009"),81,State_LOB_Code)&amp;"|376"</f>
        <v>#REF!</v>
      </c>
      <c r="BY1097" s="215"/>
      <c r="BZ1097" s="216"/>
    </row>
    <row r="1098" spans="72:78">
      <c r="BT1098" s="187"/>
      <c r="BU1098" s="187" t="s">
        <v>87</v>
      </c>
      <c r="BV1098" s="196">
        <v>120035</v>
      </c>
      <c r="BW1098" s="197" t="e">
        <f t="shared" si="163"/>
        <v>#REF!</v>
      </c>
      <c r="BX1098" s="198" t="e">
        <f>IF(AND(State_LOB_Code=18,LEFT(BW1098,4)&lt;"2009"),81,State_LOB_Code)&amp;"|377"</f>
        <v>#REF!</v>
      </c>
      <c r="BY1098" s="215"/>
      <c r="BZ1098" s="216"/>
    </row>
    <row r="1099" spans="72:78">
      <c r="BT1099" s="187"/>
      <c r="BU1099" s="187" t="s">
        <v>88</v>
      </c>
      <c r="BV1099" s="196">
        <v>120035</v>
      </c>
      <c r="BW1099" s="197" t="e">
        <f t="shared" si="163"/>
        <v>#REF!</v>
      </c>
      <c r="BX1099" s="198" t="e">
        <f>IF(AND(State_LOB_Code=18,LEFT(BW1099,4)&lt;"2009"),81,State_LOB_Code)&amp;"|378"</f>
        <v>#REF!</v>
      </c>
      <c r="BY1099" s="215"/>
      <c r="BZ1099" s="216"/>
    </row>
    <row r="1100" spans="72:78">
      <c r="BT1100" s="187"/>
      <c r="BU1100" s="187" t="s">
        <v>89</v>
      </c>
      <c r="BV1100" s="196">
        <v>120035</v>
      </c>
      <c r="BW1100" s="197" t="e">
        <f t="shared" si="163"/>
        <v>#REF!</v>
      </c>
      <c r="BX1100" s="198" t="e">
        <f>IF(AND(State_LOB_Code=18,LEFT(BW1100,4)&lt;"2009"),81,State_LOB_Code)&amp;"|379"</f>
        <v>#REF!</v>
      </c>
      <c r="BY1100" s="215"/>
      <c r="BZ1100" s="216"/>
    </row>
    <row r="1101" spans="72:78">
      <c r="BT1101" s="187"/>
      <c r="BU1101" s="187" t="s">
        <v>90</v>
      </c>
      <c r="BV1101" s="196">
        <v>120035</v>
      </c>
      <c r="BW1101" s="197" t="e">
        <f t="shared" si="163"/>
        <v>#REF!</v>
      </c>
      <c r="BX1101" s="198" t="e">
        <f>IF(AND(State_LOB_Code=18,LEFT(BW1101,4)&lt;"2009"),81,State_LOB_Code)&amp;"|380"</f>
        <v>#REF!</v>
      </c>
      <c r="BY1101" s="215"/>
      <c r="BZ1101" s="216"/>
    </row>
    <row r="1102" spans="72:78">
      <c r="BT1102" s="187"/>
      <c r="BU1102" s="187" t="s">
        <v>91</v>
      </c>
      <c r="BV1102" s="196">
        <v>120035</v>
      </c>
      <c r="BW1102" s="197" t="e">
        <f t="shared" si="163"/>
        <v>#REF!</v>
      </c>
      <c r="BX1102" s="198" t="e">
        <f>IF(AND(State_LOB_Code=18,LEFT(BW1102,4)&lt;"2009"),81,State_LOB_Code)&amp;"|381"</f>
        <v>#REF!</v>
      </c>
      <c r="BY1102" s="215"/>
      <c r="BZ1102" s="216"/>
    </row>
    <row r="1103" spans="72:78">
      <c r="BT1103" s="187"/>
      <c r="BU1103" s="187" t="s">
        <v>92</v>
      </c>
      <c r="BV1103" s="196">
        <v>120035</v>
      </c>
      <c r="BW1103" s="197" t="e">
        <f t="shared" si="163"/>
        <v>#REF!</v>
      </c>
      <c r="BX1103" s="198" t="e">
        <f>IF(AND(State_LOB_Code=18,LEFT(BW1103,4)&lt;"2009"),81,State_LOB_Code)&amp;"|382"</f>
        <v>#REF!</v>
      </c>
      <c r="BY1103" s="215"/>
      <c r="BZ1103" s="216"/>
    </row>
    <row r="1104" spans="72:78">
      <c r="BT1104" s="187"/>
      <c r="BU1104" s="187" t="s">
        <v>93</v>
      </c>
      <c r="BV1104" s="196">
        <v>120035</v>
      </c>
      <c r="BW1104" s="197" t="e">
        <f t="shared" si="163"/>
        <v>#REF!</v>
      </c>
      <c r="BX1104" s="198" t="e">
        <f>IF(AND(State_LOB_Code=18,LEFT(BW1104,4)&lt;"2009"),81,State_LOB_Code)&amp;"|384"</f>
        <v>#REF!</v>
      </c>
      <c r="BY1104" s="215"/>
      <c r="BZ1104" s="216"/>
    </row>
    <row r="1105" spans="72:78">
      <c r="BT1105" s="187"/>
      <c r="BU1105" s="187" t="s">
        <v>94</v>
      </c>
      <c r="BV1105" s="196">
        <v>120035</v>
      </c>
      <c r="BW1105" s="197" t="e">
        <f t="shared" si="163"/>
        <v>#REF!</v>
      </c>
      <c r="BX1105" s="198" t="e">
        <f>IF(AND(State_LOB_Code=18,LEFT(BW1105,4)&lt;"2009"),81,State_LOB_Code)&amp;"|385"</f>
        <v>#REF!</v>
      </c>
      <c r="BY1105" s="215"/>
      <c r="BZ1105" s="216"/>
    </row>
    <row r="1106" spans="72:78">
      <c r="BT1106" s="187"/>
      <c r="BU1106" s="187" t="s">
        <v>95</v>
      </c>
      <c r="BV1106" s="196">
        <v>120035</v>
      </c>
      <c r="BW1106" s="197" t="e">
        <f t="shared" si="163"/>
        <v>#REF!</v>
      </c>
      <c r="BX1106" s="198" t="e">
        <f>IF(AND(State_LOB_Code=18,LEFT(BW1106,4)&lt;"2009"),81,State_LOB_Code)&amp;"|386"</f>
        <v>#REF!</v>
      </c>
      <c r="BY1106" s="215"/>
      <c r="BZ1106" s="216"/>
    </row>
    <row r="1107" spans="72:78">
      <c r="BT1107" s="187"/>
      <c r="BU1107" s="187" t="s">
        <v>96</v>
      </c>
      <c r="BV1107" s="196">
        <v>120035</v>
      </c>
      <c r="BW1107" s="197" t="e">
        <f t="shared" si="163"/>
        <v>#REF!</v>
      </c>
      <c r="BX1107" s="198" t="e">
        <f>IF(AND(State_LOB_Code=18,LEFT(BW1107,4)&lt;"2009"),81,State_LOB_Code)&amp;"|387"</f>
        <v>#REF!</v>
      </c>
      <c r="BY1107" s="215"/>
      <c r="BZ1107" s="216"/>
    </row>
    <row r="1108" spans="72:78">
      <c r="BT1108" s="187"/>
      <c r="BU1108" s="187" t="s">
        <v>97</v>
      </c>
      <c r="BV1108" s="196">
        <v>120035</v>
      </c>
      <c r="BW1108" s="197" t="e">
        <f t="shared" si="163"/>
        <v>#REF!</v>
      </c>
      <c r="BX1108" s="198" t="e">
        <f>IF(AND(State_LOB_Code=18,LEFT(BW1108,4)&lt;"2009"),81,State_LOB_Code)&amp;"|388"</f>
        <v>#REF!</v>
      </c>
      <c r="BY1108" s="215"/>
      <c r="BZ1108" s="216"/>
    </row>
    <row r="1109" spans="72:78">
      <c r="BT1109" s="187"/>
      <c r="BU1109" s="189" t="s">
        <v>137</v>
      </c>
      <c r="BV1109" s="199">
        <v>120035</v>
      </c>
      <c r="BW1109" s="200" t="e">
        <f t="shared" si="163"/>
        <v>#REF!</v>
      </c>
      <c r="BX1109" s="201" t="e">
        <f>IF(AND(State_LOB_Code=18,LEFT(BW1109,4)&lt;"2009"),81,State_LOB_Code)&amp;"|600"</f>
        <v>#REF!</v>
      </c>
      <c r="BY1109" s="217"/>
      <c r="BZ1109" s="218"/>
    </row>
    <row r="1110" spans="72:78">
      <c r="BT1110" s="187"/>
      <c r="BU1110" s="187" t="s">
        <v>98</v>
      </c>
      <c r="BV1110" s="196">
        <v>120035</v>
      </c>
      <c r="BW1110" s="197" t="e">
        <f t="shared" si="163"/>
        <v>#REF!</v>
      </c>
      <c r="BX1110" s="198" t="e">
        <f>IF(AND(State_LOB_Code=18,LEFT(BW1110,4)&lt;"2009"),81,State_LOB_Code)&amp;"|336"</f>
        <v>#REF!</v>
      </c>
      <c r="BY1110" s="215"/>
      <c r="BZ1110" s="216"/>
    </row>
    <row r="1111" spans="72:78">
      <c r="BT1111" s="187"/>
      <c r="BU1111" s="187" t="s">
        <v>99</v>
      </c>
      <c r="BV1111" s="196">
        <v>120035</v>
      </c>
      <c r="BW1111" s="197" t="e">
        <f t="shared" si="163"/>
        <v>#REF!</v>
      </c>
      <c r="BX1111" s="198" t="e">
        <f>IF(AND(State_LOB_Code=18,LEFT(BW1111,4)&lt;"2009"),81,State_LOB_Code)&amp;"|345"</f>
        <v>#REF!</v>
      </c>
      <c r="BY1111" s="215"/>
      <c r="BZ1111" s="216"/>
    </row>
    <row r="1112" spans="72:78">
      <c r="BT1112" s="187"/>
      <c r="BU1112" s="187" t="s">
        <v>100</v>
      </c>
      <c r="BV1112" s="196">
        <v>120035</v>
      </c>
      <c r="BW1112" s="197" t="e">
        <f t="shared" si="163"/>
        <v>#REF!</v>
      </c>
      <c r="BX1112" s="198" t="e">
        <f>IF(AND(State_LOB_Code=18,LEFT(BW1112,4)&lt;"2009"),81,State_LOB_Code)&amp;"|360"</f>
        <v>#REF!</v>
      </c>
      <c r="BY1112" s="215"/>
      <c r="BZ1112" s="216"/>
    </row>
    <row r="1113" spans="72:78">
      <c r="BT1113" s="187"/>
      <c r="BU1113" s="187" t="s">
        <v>101</v>
      </c>
      <c r="BV1113" s="196">
        <v>120035</v>
      </c>
      <c r="BW1113" s="197" t="e">
        <f t="shared" si="163"/>
        <v>#REF!</v>
      </c>
      <c r="BX1113" s="198" t="e">
        <f>IF(AND(State_LOB_Code=18,LEFT(BW1113,4)&lt;"2009"),81,State_LOB_Code)&amp;"|375"</f>
        <v>#REF!</v>
      </c>
      <c r="BY1113" s="215"/>
      <c r="BZ1113" s="216"/>
    </row>
    <row r="1114" spans="72:78">
      <c r="BT1114" s="187"/>
      <c r="BU1114" s="187" t="s">
        <v>102</v>
      </c>
      <c r="BV1114" s="196">
        <v>120035</v>
      </c>
      <c r="BW1114" s="197" t="e">
        <f t="shared" si="163"/>
        <v>#REF!</v>
      </c>
      <c r="BX1114" s="198" t="e">
        <f>IF(AND(State_LOB_Code=18,LEFT(BW1114,4)&lt;"2009"),81,State_LOB_Code)&amp;"|383"</f>
        <v>#REF!</v>
      </c>
      <c r="BY1114" s="215"/>
      <c r="BZ1114" s="216"/>
    </row>
    <row r="1115" spans="72:78">
      <c r="BT1115" s="187"/>
      <c r="BU1115" s="187" t="s">
        <v>103</v>
      </c>
      <c r="BV1115" s="196">
        <v>120035</v>
      </c>
      <c r="BW1115" s="197" t="e">
        <f t="shared" si="163"/>
        <v>#REF!</v>
      </c>
      <c r="BX1115" s="198" t="e">
        <f>IF(AND(State_LOB_Code=18,LEFT(BW1115,4)&lt;"2009"),81,State_LOB_Code)&amp;"|332"</f>
        <v>#REF!</v>
      </c>
      <c r="BY1115" s="215"/>
      <c r="BZ1115" s="216"/>
    </row>
    <row r="1116" spans="72:78">
      <c r="BT1116" s="187"/>
      <c r="BU1116" s="187" t="s">
        <v>104</v>
      </c>
      <c r="BV1116" s="196">
        <v>120035</v>
      </c>
      <c r="BW1116" s="197" t="e">
        <f t="shared" si="163"/>
        <v>#REF!</v>
      </c>
      <c r="BX1116" s="198" t="e">
        <f>IF(AND(State_LOB_Code=18,LEFT(BW1116,4)&lt;"2009"),81,State_LOB_Code)&amp;"|330"</f>
        <v>#REF!</v>
      </c>
      <c r="BY1116" s="215"/>
      <c r="BZ1116" s="216"/>
    </row>
    <row r="1117" spans="72:78">
      <c r="BT1117" s="187"/>
      <c r="BU1117" s="190" t="s">
        <v>46</v>
      </c>
      <c r="BV1117" s="202">
        <v>120055</v>
      </c>
      <c r="BW1117" s="203" t="e">
        <f t="shared" si="163"/>
        <v>#REF!</v>
      </c>
      <c r="BX1117" s="204" t="e">
        <f>IF(AND(State_LOB_Code=18,LEFT(BW1117,4)&lt;"2009"),81,State_LOB_Code)</f>
        <v>#REF!</v>
      </c>
      <c r="BY1117" s="219"/>
      <c r="BZ1117" s="220"/>
    </row>
    <row r="1118" spans="72:78">
      <c r="BT1118" s="187"/>
      <c r="BU1118" s="187"/>
      <c r="BV1118" s="188"/>
      <c r="BW1118" s="188"/>
      <c r="BX1118" s="188"/>
      <c r="BY1118" s="215"/>
      <c r="BZ1118" s="216"/>
    </row>
    <row r="1119" spans="72:78">
      <c r="BT1119" s="187"/>
      <c r="BU1119" s="184" t="s">
        <v>47</v>
      </c>
      <c r="BV1119" s="193">
        <v>120035</v>
      </c>
      <c r="BW1119" s="194" t="e">
        <f t="shared" ref="BW1119:BW1150" si="164">LEFT(BW1058,4)-1&amp;"Y"</f>
        <v>#REF!</v>
      </c>
      <c r="BX1119" s="195" t="e">
        <f>IF(AND(State_LOB_Code=18,LEFT(BW1119,4)&lt;"2009"),81,State_LOB_Code)&amp;"|333"</f>
        <v>#REF!</v>
      </c>
      <c r="BY1119" s="213"/>
      <c r="BZ1119" s="214"/>
    </row>
    <row r="1120" spans="72:78">
      <c r="BT1120" s="187"/>
      <c r="BU1120" s="187" t="s">
        <v>48</v>
      </c>
      <c r="BV1120" s="196">
        <v>120035</v>
      </c>
      <c r="BW1120" s="197" t="e">
        <f t="shared" si="164"/>
        <v>#REF!</v>
      </c>
      <c r="BX1120" s="198" t="e">
        <f>IF(AND(State_LOB_Code=18,LEFT(BW1120,4)&lt;"2009"),81,State_LOB_Code)&amp;"|334"</f>
        <v>#REF!</v>
      </c>
      <c r="BY1120" s="215"/>
      <c r="BZ1120" s="216"/>
    </row>
    <row r="1121" spans="72:78">
      <c r="BT1121" s="187"/>
      <c r="BU1121" s="187" t="s">
        <v>49</v>
      </c>
      <c r="BV1121" s="196">
        <v>120035</v>
      </c>
      <c r="BW1121" s="197" t="e">
        <f t="shared" si="164"/>
        <v>#REF!</v>
      </c>
      <c r="BX1121" s="198" t="e">
        <f>IF(AND(State_LOB_Code=18,LEFT(BW1121,4)&lt;"2009"),81,State_LOB_Code)&amp;"|335"</f>
        <v>#REF!</v>
      </c>
      <c r="BY1121" s="215"/>
      <c r="BZ1121" s="216"/>
    </row>
    <row r="1122" spans="72:78">
      <c r="BT1122" s="187"/>
      <c r="BU1122" s="187" t="s">
        <v>50</v>
      </c>
      <c r="BV1122" s="196">
        <v>120035</v>
      </c>
      <c r="BW1122" s="197" t="e">
        <f t="shared" si="164"/>
        <v>#REF!</v>
      </c>
      <c r="BX1122" s="198" t="e">
        <f>IF(AND(State_LOB_Code=18,LEFT(BW1122,4)&lt;"2009"),81,State_LOB_Code)&amp;"|337"</f>
        <v>#REF!</v>
      </c>
      <c r="BY1122" s="215"/>
      <c r="BZ1122" s="216"/>
    </row>
    <row r="1123" spans="72:78">
      <c r="BT1123" s="187"/>
      <c r="BU1123" s="187" t="s">
        <v>51</v>
      </c>
      <c r="BV1123" s="196">
        <v>120035</v>
      </c>
      <c r="BW1123" s="197" t="e">
        <f t="shared" si="164"/>
        <v>#REF!</v>
      </c>
      <c r="BX1123" s="198" t="e">
        <f>IF(AND(State_LOB_Code=18,LEFT(BW1123,4)&lt;"2009"),81,State_LOB_Code)&amp;"|338"</f>
        <v>#REF!</v>
      </c>
      <c r="BY1123" s="215"/>
      <c r="BZ1123" s="216"/>
    </row>
    <row r="1124" spans="72:78">
      <c r="BT1124" s="187"/>
      <c r="BU1124" s="187" t="s">
        <v>52</v>
      </c>
      <c r="BV1124" s="196">
        <v>120035</v>
      </c>
      <c r="BW1124" s="197" t="e">
        <f t="shared" si="164"/>
        <v>#REF!</v>
      </c>
      <c r="BX1124" s="198" t="e">
        <f>IF(AND(State_LOB_Code=18,LEFT(BW1124,4)&lt;"2009"),81,State_LOB_Code)&amp;"|339"</f>
        <v>#REF!</v>
      </c>
      <c r="BY1124" s="215"/>
      <c r="BZ1124" s="216"/>
    </row>
    <row r="1125" spans="72:78">
      <c r="BT1125" s="187"/>
      <c r="BU1125" s="187" t="s">
        <v>53</v>
      </c>
      <c r="BV1125" s="196">
        <v>120035</v>
      </c>
      <c r="BW1125" s="197" t="e">
        <f t="shared" si="164"/>
        <v>#REF!</v>
      </c>
      <c r="BX1125" s="198" t="e">
        <f>IF(AND(State_LOB_Code=18,LEFT(BW1125,4)&lt;"2009"),81,State_LOB_Code)&amp;"|340"</f>
        <v>#REF!</v>
      </c>
      <c r="BY1125" s="215"/>
      <c r="BZ1125" s="216"/>
    </row>
    <row r="1126" spans="72:78">
      <c r="BT1126" s="187"/>
      <c r="BU1126" s="187" t="s">
        <v>54</v>
      </c>
      <c r="BV1126" s="196">
        <v>120035</v>
      </c>
      <c r="BW1126" s="197" t="e">
        <f t="shared" si="164"/>
        <v>#REF!</v>
      </c>
      <c r="BX1126" s="198" t="e">
        <f>IF(AND(State_LOB_Code=18,LEFT(BW1126,4)&lt;"2009"),81,State_LOB_Code)&amp;"|341"</f>
        <v>#REF!</v>
      </c>
      <c r="BY1126" s="215"/>
      <c r="BZ1126" s="216"/>
    </row>
    <row r="1127" spans="72:78">
      <c r="BT1127" s="187"/>
      <c r="BU1127" s="187" t="s">
        <v>55</v>
      </c>
      <c r="BV1127" s="196">
        <v>120035</v>
      </c>
      <c r="BW1127" s="197" t="e">
        <f t="shared" si="164"/>
        <v>#REF!</v>
      </c>
      <c r="BX1127" s="198" t="e">
        <f>IF(AND(State_LOB_Code=18,LEFT(BW1127,4)&lt;"2009"),81,State_LOB_Code)&amp;"|342"</f>
        <v>#REF!</v>
      </c>
      <c r="BY1127" s="215"/>
      <c r="BZ1127" s="216"/>
    </row>
    <row r="1128" spans="72:78">
      <c r="BT1128" s="187"/>
      <c r="BU1128" s="187" t="s">
        <v>56</v>
      </c>
      <c r="BV1128" s="196">
        <v>120035</v>
      </c>
      <c r="BW1128" s="197" t="e">
        <f t="shared" si="164"/>
        <v>#REF!</v>
      </c>
      <c r="BX1128" s="198" t="e">
        <f>IF(AND(State_LOB_Code=18,LEFT(BW1128,4)&lt;"2009"),81,State_LOB_Code)&amp;"|343"</f>
        <v>#REF!</v>
      </c>
      <c r="BY1128" s="215"/>
      <c r="BZ1128" s="216"/>
    </row>
    <row r="1129" spans="72:78">
      <c r="BT1129" s="187"/>
      <c r="BU1129" s="187" t="s">
        <v>57</v>
      </c>
      <c r="BV1129" s="196">
        <v>120035</v>
      </c>
      <c r="BW1129" s="197" t="e">
        <f t="shared" si="164"/>
        <v>#REF!</v>
      </c>
      <c r="BX1129" s="198" t="e">
        <f>IF(AND(State_LOB_Code=18,LEFT(BW1129,4)&lt;"2009"),81,State_LOB_Code)&amp;"|344"</f>
        <v>#REF!</v>
      </c>
      <c r="BY1129" s="215"/>
      <c r="BZ1129" s="216"/>
    </row>
    <row r="1130" spans="72:78">
      <c r="BT1130" s="187"/>
      <c r="BU1130" s="187" t="s">
        <v>58</v>
      </c>
      <c r="BV1130" s="196">
        <v>120035</v>
      </c>
      <c r="BW1130" s="197" t="e">
        <f t="shared" si="164"/>
        <v>#REF!</v>
      </c>
      <c r="BX1130" s="198" t="e">
        <f>IF(AND(State_LOB_Code=18,LEFT(BW1130,4)&lt;"2009"),81,State_LOB_Code)&amp;"|346"</f>
        <v>#REF!</v>
      </c>
      <c r="BY1130" s="215"/>
      <c r="BZ1130" s="216"/>
    </row>
    <row r="1131" spans="72:78">
      <c r="BT1131" s="187"/>
      <c r="BU1131" s="187" t="s">
        <v>59</v>
      </c>
      <c r="BV1131" s="196">
        <v>120035</v>
      </c>
      <c r="BW1131" s="197" t="e">
        <f t="shared" si="164"/>
        <v>#REF!</v>
      </c>
      <c r="BX1131" s="198" t="e">
        <f>IF(AND(State_LOB_Code=18,LEFT(BW1131,4)&lt;"2009"),81,State_LOB_Code)&amp;"|347"</f>
        <v>#REF!</v>
      </c>
      <c r="BY1131" s="215"/>
      <c r="BZ1131" s="216"/>
    </row>
    <row r="1132" spans="72:78">
      <c r="BT1132" s="187"/>
      <c r="BU1132" s="187" t="s">
        <v>60</v>
      </c>
      <c r="BV1132" s="196">
        <v>120035</v>
      </c>
      <c r="BW1132" s="197" t="e">
        <f t="shared" si="164"/>
        <v>#REF!</v>
      </c>
      <c r="BX1132" s="198" t="e">
        <f>IF(AND(State_LOB_Code=18,LEFT(BW1132,4)&lt;"2009"),81,State_LOB_Code)&amp;"|348"</f>
        <v>#REF!</v>
      </c>
      <c r="BY1132" s="215"/>
      <c r="BZ1132" s="216"/>
    </row>
    <row r="1133" spans="72:78">
      <c r="BT1133" s="187"/>
      <c r="BU1133" s="187" t="s">
        <v>61</v>
      </c>
      <c r="BV1133" s="196">
        <v>120035</v>
      </c>
      <c r="BW1133" s="197" t="e">
        <f t="shared" si="164"/>
        <v>#REF!</v>
      </c>
      <c r="BX1133" s="198" t="e">
        <f>IF(AND(State_LOB_Code=18,LEFT(BW1133,4)&lt;"2009"),81,State_LOB_Code)&amp;"|349"</f>
        <v>#REF!</v>
      </c>
      <c r="BY1133" s="215"/>
      <c r="BZ1133" s="216"/>
    </row>
    <row r="1134" spans="72:78">
      <c r="BT1134" s="187"/>
      <c r="BU1134" s="187" t="s">
        <v>62</v>
      </c>
      <c r="BV1134" s="196">
        <v>120035</v>
      </c>
      <c r="BW1134" s="197" t="e">
        <f t="shared" si="164"/>
        <v>#REF!</v>
      </c>
      <c r="BX1134" s="198" t="e">
        <f>IF(AND(State_LOB_Code=18,LEFT(BW1134,4)&lt;"2009"),81,State_LOB_Code)&amp;"|350"</f>
        <v>#REF!</v>
      </c>
      <c r="BY1134" s="215"/>
      <c r="BZ1134" s="216"/>
    </row>
    <row r="1135" spans="72:78">
      <c r="BT1135" s="187"/>
      <c r="BU1135" s="187" t="s">
        <v>63</v>
      </c>
      <c r="BV1135" s="196">
        <v>120035</v>
      </c>
      <c r="BW1135" s="197" t="e">
        <f t="shared" si="164"/>
        <v>#REF!</v>
      </c>
      <c r="BX1135" s="198" t="e">
        <f>IF(AND(State_LOB_Code=18,LEFT(BW1135,4)&lt;"2009"),81,State_LOB_Code)&amp;"|351"</f>
        <v>#REF!</v>
      </c>
      <c r="BY1135" s="215"/>
      <c r="BZ1135" s="216"/>
    </row>
    <row r="1136" spans="72:78">
      <c r="BT1136" s="187"/>
      <c r="BU1136" s="187" t="s">
        <v>64</v>
      </c>
      <c r="BV1136" s="196">
        <v>120035</v>
      </c>
      <c r="BW1136" s="197" t="e">
        <f t="shared" si="164"/>
        <v>#REF!</v>
      </c>
      <c r="BX1136" s="198" t="e">
        <f>IF(AND(State_LOB_Code=18,LEFT(BW1136,4)&lt;"2009"),81,State_LOB_Code)&amp;"|352"</f>
        <v>#REF!</v>
      </c>
      <c r="BY1136" s="215"/>
      <c r="BZ1136" s="216"/>
    </row>
    <row r="1137" spans="72:78">
      <c r="BT1137" s="187"/>
      <c r="BU1137" s="187" t="s">
        <v>65</v>
      </c>
      <c r="BV1137" s="196">
        <v>120035</v>
      </c>
      <c r="BW1137" s="197" t="e">
        <f t="shared" si="164"/>
        <v>#REF!</v>
      </c>
      <c r="BX1137" s="198" t="e">
        <f>IF(AND(State_LOB_Code=18,LEFT(BW1137,4)&lt;"2009"),81,State_LOB_Code)&amp;"|353"</f>
        <v>#REF!</v>
      </c>
      <c r="BY1137" s="215"/>
      <c r="BZ1137" s="216"/>
    </row>
    <row r="1138" spans="72:78">
      <c r="BT1138" s="187"/>
      <c r="BU1138" s="187" t="s">
        <v>66</v>
      </c>
      <c r="BV1138" s="196">
        <v>120035</v>
      </c>
      <c r="BW1138" s="197" t="e">
        <f t="shared" si="164"/>
        <v>#REF!</v>
      </c>
      <c r="BX1138" s="198" t="e">
        <f>IF(AND(State_LOB_Code=18,LEFT(BW1138,4)&lt;"2009"),81,State_LOB_Code)&amp;"|354"</f>
        <v>#REF!</v>
      </c>
      <c r="BY1138" s="215"/>
      <c r="BZ1138" s="216"/>
    </row>
    <row r="1139" spans="72:78">
      <c r="BT1139" s="187"/>
      <c r="BU1139" s="187" t="s">
        <v>67</v>
      </c>
      <c r="BV1139" s="196">
        <v>120035</v>
      </c>
      <c r="BW1139" s="197" t="e">
        <f t="shared" si="164"/>
        <v>#REF!</v>
      </c>
      <c r="BX1139" s="198" t="e">
        <f>IF(AND(State_LOB_Code=18,LEFT(BW1139,4)&lt;"2009"),81,State_LOB_Code)&amp;"|355"</f>
        <v>#REF!</v>
      </c>
      <c r="BY1139" s="215"/>
      <c r="BZ1139" s="216"/>
    </row>
    <row r="1140" spans="72:78">
      <c r="BT1140" s="187"/>
      <c r="BU1140" s="187" t="s">
        <v>68</v>
      </c>
      <c r="BV1140" s="196">
        <v>120035</v>
      </c>
      <c r="BW1140" s="197" t="e">
        <f t="shared" si="164"/>
        <v>#REF!</v>
      </c>
      <c r="BX1140" s="198" t="e">
        <f>IF(AND(State_LOB_Code=18,LEFT(BW1140,4)&lt;"2009"),81,State_LOB_Code)&amp;"|356"</f>
        <v>#REF!</v>
      </c>
      <c r="BY1140" s="215"/>
      <c r="BZ1140" s="216"/>
    </row>
    <row r="1141" spans="72:78">
      <c r="BT1141" s="187"/>
      <c r="BU1141" s="187" t="s">
        <v>69</v>
      </c>
      <c r="BV1141" s="196">
        <v>120035</v>
      </c>
      <c r="BW1141" s="197" t="e">
        <f t="shared" si="164"/>
        <v>#REF!</v>
      </c>
      <c r="BX1141" s="198" t="e">
        <f>IF(AND(State_LOB_Code=18,LEFT(BW1141,4)&lt;"2009"),81,State_LOB_Code)&amp;"|357"</f>
        <v>#REF!</v>
      </c>
      <c r="BY1141" s="215"/>
      <c r="BZ1141" s="216"/>
    </row>
    <row r="1142" spans="72:78">
      <c r="BT1142" s="187"/>
      <c r="BU1142" s="187" t="s">
        <v>70</v>
      </c>
      <c r="BV1142" s="196">
        <v>120035</v>
      </c>
      <c r="BW1142" s="197" t="e">
        <f t="shared" si="164"/>
        <v>#REF!</v>
      </c>
      <c r="BX1142" s="198" t="e">
        <f>IF(AND(State_LOB_Code=18,LEFT(BW1142,4)&lt;"2009"),81,State_LOB_Code)&amp;"|358"</f>
        <v>#REF!</v>
      </c>
      <c r="BY1142" s="215"/>
      <c r="BZ1142" s="216"/>
    </row>
    <row r="1143" spans="72:78">
      <c r="BT1143" s="187"/>
      <c r="BU1143" s="187" t="s">
        <v>71</v>
      </c>
      <c r="BV1143" s="196">
        <v>120035</v>
      </c>
      <c r="BW1143" s="197" t="e">
        <f t="shared" si="164"/>
        <v>#REF!</v>
      </c>
      <c r="BX1143" s="198" t="e">
        <f>IF(AND(State_LOB_Code=18,LEFT(BW1143,4)&lt;"2009"),81,State_LOB_Code)&amp;"|359"</f>
        <v>#REF!</v>
      </c>
      <c r="BY1143" s="215"/>
      <c r="BZ1143" s="216"/>
    </row>
    <row r="1144" spans="72:78">
      <c r="BT1144" s="187"/>
      <c r="BU1144" s="187" t="s">
        <v>72</v>
      </c>
      <c r="BV1144" s="196">
        <v>120035</v>
      </c>
      <c r="BW1144" s="197" t="e">
        <f t="shared" si="164"/>
        <v>#REF!</v>
      </c>
      <c r="BX1144" s="198" t="e">
        <f>IF(AND(State_LOB_Code=18,LEFT(BW1144,4)&lt;"2009"),81,State_LOB_Code)&amp;"|361"</f>
        <v>#REF!</v>
      </c>
      <c r="BY1144" s="215"/>
      <c r="BZ1144" s="216"/>
    </row>
    <row r="1145" spans="72:78">
      <c r="BT1145" s="187"/>
      <c r="BU1145" s="187" t="s">
        <v>73</v>
      </c>
      <c r="BV1145" s="196">
        <v>120035</v>
      </c>
      <c r="BW1145" s="197" t="e">
        <f t="shared" si="164"/>
        <v>#REF!</v>
      </c>
      <c r="BX1145" s="198" t="e">
        <f>IF(AND(State_LOB_Code=18,LEFT(BW1145,4)&lt;"2009"),81,State_LOB_Code)&amp;"|362"</f>
        <v>#REF!</v>
      </c>
      <c r="BY1145" s="215"/>
      <c r="BZ1145" s="216"/>
    </row>
    <row r="1146" spans="72:78">
      <c r="BT1146" s="187"/>
      <c r="BU1146" s="187" t="s">
        <v>74</v>
      </c>
      <c r="BV1146" s="196">
        <v>120035</v>
      </c>
      <c r="BW1146" s="197" t="e">
        <f t="shared" si="164"/>
        <v>#REF!</v>
      </c>
      <c r="BX1146" s="198" t="e">
        <f>IF(AND(State_LOB_Code=18,LEFT(BW1146,4)&lt;"2009"),81,State_LOB_Code)&amp;"|363"</f>
        <v>#REF!</v>
      </c>
      <c r="BY1146" s="215"/>
      <c r="BZ1146" s="216"/>
    </row>
    <row r="1147" spans="72:78">
      <c r="BT1147" s="187"/>
      <c r="BU1147" s="187" t="s">
        <v>75</v>
      </c>
      <c r="BV1147" s="196">
        <v>120035</v>
      </c>
      <c r="BW1147" s="197" t="e">
        <f t="shared" si="164"/>
        <v>#REF!</v>
      </c>
      <c r="BX1147" s="198" t="e">
        <f>IF(AND(State_LOB_Code=18,LEFT(BW1147,4)&lt;"2009"),81,State_LOB_Code)&amp;"|364"</f>
        <v>#REF!</v>
      </c>
      <c r="BY1147" s="215"/>
      <c r="BZ1147" s="216"/>
    </row>
    <row r="1148" spans="72:78">
      <c r="BT1148" s="187"/>
      <c r="BU1148" s="187" t="s">
        <v>76</v>
      </c>
      <c r="BV1148" s="196">
        <v>120035</v>
      </c>
      <c r="BW1148" s="197" t="e">
        <f t="shared" si="164"/>
        <v>#REF!</v>
      </c>
      <c r="BX1148" s="198" t="e">
        <f>IF(AND(State_LOB_Code=18,LEFT(BW1148,4)&lt;"2009"),81,State_LOB_Code)&amp;"|365"</f>
        <v>#REF!</v>
      </c>
      <c r="BY1148" s="215"/>
      <c r="BZ1148" s="216"/>
    </row>
    <row r="1149" spans="72:78">
      <c r="BT1149" s="187"/>
      <c r="BU1149" s="187" t="s">
        <v>77</v>
      </c>
      <c r="BV1149" s="196">
        <v>120035</v>
      </c>
      <c r="BW1149" s="197" t="e">
        <f t="shared" si="164"/>
        <v>#REF!</v>
      </c>
      <c r="BX1149" s="198" t="e">
        <f>IF(AND(State_LOB_Code=18,LEFT(BW1149,4)&lt;"2009"),81,State_LOB_Code)&amp;"|366"</f>
        <v>#REF!</v>
      </c>
      <c r="BY1149" s="215"/>
      <c r="BZ1149" s="216"/>
    </row>
    <row r="1150" spans="72:78">
      <c r="BT1150" s="187"/>
      <c r="BU1150" s="187" t="s">
        <v>78</v>
      </c>
      <c r="BV1150" s="196">
        <v>120035</v>
      </c>
      <c r="BW1150" s="197" t="e">
        <f t="shared" si="164"/>
        <v>#REF!</v>
      </c>
      <c r="BX1150" s="198" t="e">
        <f>IF(AND(State_LOB_Code=18,LEFT(BW1150,4)&lt;"2009"),81,State_LOB_Code)&amp;"|367"</f>
        <v>#REF!</v>
      </c>
      <c r="BY1150" s="215"/>
      <c r="BZ1150" s="216"/>
    </row>
    <row r="1151" spans="72:78">
      <c r="BT1151" s="187"/>
      <c r="BU1151" s="187" t="s">
        <v>79</v>
      </c>
      <c r="BV1151" s="196">
        <v>120035</v>
      </c>
      <c r="BW1151" s="197" t="e">
        <f t="shared" ref="BW1151:BW1178" si="165">LEFT(BW1090,4)-1&amp;"Y"</f>
        <v>#REF!</v>
      </c>
      <c r="BX1151" s="198" t="e">
        <f>IF(AND(State_LOB_Code=18,LEFT(BW1151,4)&lt;"2009"),81,State_LOB_Code)&amp;"|368"</f>
        <v>#REF!</v>
      </c>
      <c r="BY1151" s="215"/>
      <c r="BZ1151" s="216"/>
    </row>
    <row r="1152" spans="72:78">
      <c r="BT1152" s="187"/>
      <c r="BU1152" s="187" t="s">
        <v>80</v>
      </c>
      <c r="BV1152" s="196">
        <v>120035</v>
      </c>
      <c r="BW1152" s="197" t="e">
        <f t="shared" si="165"/>
        <v>#REF!</v>
      </c>
      <c r="BX1152" s="198" t="e">
        <f>IF(AND(State_LOB_Code=18,LEFT(BW1152,4)&lt;"2009"),81,State_LOB_Code)&amp;"|369"</f>
        <v>#REF!</v>
      </c>
      <c r="BY1152" s="215"/>
      <c r="BZ1152" s="216"/>
    </row>
    <row r="1153" spans="72:78">
      <c r="BT1153" s="187"/>
      <c r="BU1153" s="187" t="s">
        <v>81</v>
      </c>
      <c r="BV1153" s="196">
        <v>120035</v>
      </c>
      <c r="BW1153" s="197" t="e">
        <f t="shared" si="165"/>
        <v>#REF!</v>
      </c>
      <c r="BX1153" s="198" t="e">
        <f>IF(AND(State_LOB_Code=18,LEFT(BW1153,4)&lt;"2009"),81,State_LOB_Code)&amp;"|370"</f>
        <v>#REF!</v>
      </c>
      <c r="BY1153" s="215"/>
      <c r="BZ1153" s="216"/>
    </row>
    <row r="1154" spans="72:78">
      <c r="BT1154" s="187"/>
      <c r="BU1154" s="187" t="s">
        <v>82</v>
      </c>
      <c r="BV1154" s="196">
        <v>120035</v>
      </c>
      <c r="BW1154" s="197" t="e">
        <f t="shared" si="165"/>
        <v>#REF!</v>
      </c>
      <c r="BX1154" s="198" t="e">
        <f>IF(AND(State_LOB_Code=18,LEFT(BW1154,4)&lt;"2009"),81,State_LOB_Code)&amp;"|371"</f>
        <v>#REF!</v>
      </c>
      <c r="BY1154" s="215"/>
      <c r="BZ1154" s="216"/>
    </row>
    <row r="1155" spans="72:78">
      <c r="BT1155" s="187"/>
      <c r="BU1155" s="187" t="s">
        <v>83</v>
      </c>
      <c r="BV1155" s="196">
        <v>120035</v>
      </c>
      <c r="BW1155" s="197" t="e">
        <f t="shared" si="165"/>
        <v>#REF!</v>
      </c>
      <c r="BX1155" s="198" t="e">
        <f>IF(AND(State_LOB_Code=18,LEFT(BW1155,4)&lt;"2009"),81,State_LOB_Code)&amp;"|372"</f>
        <v>#REF!</v>
      </c>
      <c r="BY1155" s="215"/>
      <c r="BZ1155" s="216"/>
    </row>
    <row r="1156" spans="72:78">
      <c r="BT1156" s="187"/>
      <c r="BU1156" s="187" t="s">
        <v>84</v>
      </c>
      <c r="BV1156" s="196">
        <v>120035</v>
      </c>
      <c r="BW1156" s="197" t="e">
        <f t="shared" si="165"/>
        <v>#REF!</v>
      </c>
      <c r="BX1156" s="198" t="e">
        <f>IF(AND(State_LOB_Code=18,LEFT(BW1156,4)&lt;"2009"),81,State_LOB_Code)&amp;"|373"</f>
        <v>#REF!</v>
      </c>
      <c r="BY1156" s="215"/>
      <c r="BZ1156" s="216"/>
    </row>
    <row r="1157" spans="72:78">
      <c r="BT1157" s="187"/>
      <c r="BU1157" s="187" t="s">
        <v>85</v>
      </c>
      <c r="BV1157" s="196">
        <v>120035</v>
      </c>
      <c r="BW1157" s="197" t="e">
        <f t="shared" si="165"/>
        <v>#REF!</v>
      </c>
      <c r="BX1157" s="198" t="e">
        <f>IF(AND(State_LOB_Code=18,LEFT(BW1157,4)&lt;"2009"),81,State_LOB_Code)&amp;"|374"</f>
        <v>#REF!</v>
      </c>
      <c r="BY1157" s="215"/>
      <c r="BZ1157" s="216"/>
    </row>
    <row r="1158" spans="72:78">
      <c r="BT1158" s="187"/>
      <c r="BU1158" s="187" t="s">
        <v>86</v>
      </c>
      <c r="BV1158" s="196">
        <v>120035</v>
      </c>
      <c r="BW1158" s="197" t="e">
        <f t="shared" si="165"/>
        <v>#REF!</v>
      </c>
      <c r="BX1158" s="198" t="e">
        <f>IF(AND(State_LOB_Code=18,LEFT(BW1158,4)&lt;"2009"),81,State_LOB_Code)&amp;"|376"</f>
        <v>#REF!</v>
      </c>
      <c r="BY1158" s="215"/>
      <c r="BZ1158" s="216"/>
    </row>
    <row r="1159" spans="72:78">
      <c r="BT1159" s="187"/>
      <c r="BU1159" s="187" t="s">
        <v>87</v>
      </c>
      <c r="BV1159" s="196">
        <v>120035</v>
      </c>
      <c r="BW1159" s="197" t="e">
        <f t="shared" si="165"/>
        <v>#REF!</v>
      </c>
      <c r="BX1159" s="198" t="e">
        <f>IF(AND(State_LOB_Code=18,LEFT(BW1159,4)&lt;"2009"),81,State_LOB_Code)&amp;"|377"</f>
        <v>#REF!</v>
      </c>
      <c r="BY1159" s="215"/>
      <c r="BZ1159" s="216"/>
    </row>
    <row r="1160" spans="72:78">
      <c r="BT1160" s="187"/>
      <c r="BU1160" s="187" t="s">
        <v>88</v>
      </c>
      <c r="BV1160" s="196">
        <v>120035</v>
      </c>
      <c r="BW1160" s="197" t="e">
        <f t="shared" si="165"/>
        <v>#REF!</v>
      </c>
      <c r="BX1160" s="198" t="e">
        <f>IF(AND(State_LOB_Code=18,LEFT(BW1160,4)&lt;"2009"),81,State_LOB_Code)&amp;"|378"</f>
        <v>#REF!</v>
      </c>
      <c r="BY1160" s="215"/>
      <c r="BZ1160" s="216"/>
    </row>
    <row r="1161" spans="72:78">
      <c r="BT1161" s="187"/>
      <c r="BU1161" s="187" t="s">
        <v>89</v>
      </c>
      <c r="BV1161" s="196">
        <v>120035</v>
      </c>
      <c r="BW1161" s="197" t="e">
        <f t="shared" si="165"/>
        <v>#REF!</v>
      </c>
      <c r="BX1161" s="198" t="e">
        <f>IF(AND(State_LOB_Code=18,LEFT(BW1161,4)&lt;"2009"),81,State_LOB_Code)&amp;"|379"</f>
        <v>#REF!</v>
      </c>
      <c r="BY1161" s="215"/>
      <c r="BZ1161" s="216"/>
    </row>
    <row r="1162" spans="72:78">
      <c r="BT1162" s="187"/>
      <c r="BU1162" s="187" t="s">
        <v>90</v>
      </c>
      <c r="BV1162" s="196">
        <v>120035</v>
      </c>
      <c r="BW1162" s="197" t="e">
        <f t="shared" si="165"/>
        <v>#REF!</v>
      </c>
      <c r="BX1162" s="198" t="e">
        <f>IF(AND(State_LOB_Code=18,LEFT(BW1162,4)&lt;"2009"),81,State_LOB_Code)&amp;"|380"</f>
        <v>#REF!</v>
      </c>
      <c r="BY1162" s="215"/>
      <c r="BZ1162" s="216"/>
    </row>
    <row r="1163" spans="72:78">
      <c r="BT1163" s="187"/>
      <c r="BU1163" s="187" t="s">
        <v>91</v>
      </c>
      <c r="BV1163" s="196">
        <v>120035</v>
      </c>
      <c r="BW1163" s="197" t="e">
        <f t="shared" si="165"/>
        <v>#REF!</v>
      </c>
      <c r="BX1163" s="198" t="e">
        <f>IF(AND(State_LOB_Code=18,LEFT(BW1163,4)&lt;"2009"),81,State_LOB_Code)&amp;"|381"</f>
        <v>#REF!</v>
      </c>
      <c r="BY1163" s="215"/>
      <c r="BZ1163" s="216"/>
    </row>
    <row r="1164" spans="72:78">
      <c r="BT1164" s="187"/>
      <c r="BU1164" s="187" t="s">
        <v>92</v>
      </c>
      <c r="BV1164" s="196">
        <v>120035</v>
      </c>
      <c r="BW1164" s="197" t="e">
        <f t="shared" si="165"/>
        <v>#REF!</v>
      </c>
      <c r="BX1164" s="198" t="e">
        <f>IF(AND(State_LOB_Code=18,LEFT(BW1164,4)&lt;"2009"),81,State_LOB_Code)&amp;"|382"</f>
        <v>#REF!</v>
      </c>
      <c r="BY1164" s="215"/>
      <c r="BZ1164" s="216"/>
    </row>
    <row r="1165" spans="72:78">
      <c r="BT1165" s="187"/>
      <c r="BU1165" s="187" t="s">
        <v>93</v>
      </c>
      <c r="BV1165" s="196">
        <v>120035</v>
      </c>
      <c r="BW1165" s="197" t="e">
        <f t="shared" si="165"/>
        <v>#REF!</v>
      </c>
      <c r="BX1165" s="198" t="e">
        <f>IF(AND(State_LOB_Code=18,LEFT(BW1165,4)&lt;"2009"),81,State_LOB_Code)&amp;"|384"</f>
        <v>#REF!</v>
      </c>
      <c r="BY1165" s="215"/>
      <c r="BZ1165" s="216"/>
    </row>
    <row r="1166" spans="72:78">
      <c r="BT1166" s="187"/>
      <c r="BU1166" s="187" t="s">
        <v>94</v>
      </c>
      <c r="BV1166" s="196">
        <v>120035</v>
      </c>
      <c r="BW1166" s="197" t="e">
        <f t="shared" si="165"/>
        <v>#REF!</v>
      </c>
      <c r="BX1166" s="198" t="e">
        <f>IF(AND(State_LOB_Code=18,LEFT(BW1166,4)&lt;"2009"),81,State_LOB_Code)&amp;"|385"</f>
        <v>#REF!</v>
      </c>
      <c r="BY1166" s="215"/>
      <c r="BZ1166" s="216"/>
    </row>
    <row r="1167" spans="72:78">
      <c r="BT1167" s="187"/>
      <c r="BU1167" s="187" t="s">
        <v>95</v>
      </c>
      <c r="BV1167" s="196">
        <v>120035</v>
      </c>
      <c r="BW1167" s="197" t="e">
        <f t="shared" si="165"/>
        <v>#REF!</v>
      </c>
      <c r="BX1167" s="198" t="e">
        <f>IF(AND(State_LOB_Code=18,LEFT(BW1167,4)&lt;"2009"),81,State_LOB_Code)&amp;"|386"</f>
        <v>#REF!</v>
      </c>
      <c r="BY1167" s="215"/>
      <c r="BZ1167" s="216"/>
    </row>
    <row r="1168" spans="72:78">
      <c r="BT1168" s="187"/>
      <c r="BU1168" s="187" t="s">
        <v>96</v>
      </c>
      <c r="BV1168" s="196">
        <v>120035</v>
      </c>
      <c r="BW1168" s="197" t="e">
        <f t="shared" si="165"/>
        <v>#REF!</v>
      </c>
      <c r="BX1168" s="198" t="e">
        <f>IF(AND(State_LOB_Code=18,LEFT(BW1168,4)&lt;"2009"),81,State_LOB_Code)&amp;"|387"</f>
        <v>#REF!</v>
      </c>
      <c r="BY1168" s="215"/>
      <c r="BZ1168" s="216"/>
    </row>
    <row r="1169" spans="72:78">
      <c r="BT1169" s="187"/>
      <c r="BU1169" s="187" t="s">
        <v>97</v>
      </c>
      <c r="BV1169" s="196">
        <v>120035</v>
      </c>
      <c r="BW1169" s="197" t="e">
        <f t="shared" si="165"/>
        <v>#REF!</v>
      </c>
      <c r="BX1169" s="198" t="e">
        <f>IF(AND(State_LOB_Code=18,LEFT(BW1169,4)&lt;"2009"),81,State_LOB_Code)&amp;"|388"</f>
        <v>#REF!</v>
      </c>
      <c r="BY1169" s="215"/>
      <c r="BZ1169" s="216"/>
    </row>
    <row r="1170" spans="72:78">
      <c r="BT1170" s="187"/>
      <c r="BU1170" s="189" t="s">
        <v>137</v>
      </c>
      <c r="BV1170" s="199">
        <v>120035</v>
      </c>
      <c r="BW1170" s="200" t="e">
        <f t="shared" si="165"/>
        <v>#REF!</v>
      </c>
      <c r="BX1170" s="201" t="e">
        <f>IF(AND(State_LOB_Code=18,LEFT(BW1170,4)&lt;"2009"),81,State_LOB_Code)&amp;"|600"</f>
        <v>#REF!</v>
      </c>
      <c r="BY1170" s="217"/>
      <c r="BZ1170" s="218"/>
    </row>
    <row r="1171" spans="72:78">
      <c r="BT1171" s="187"/>
      <c r="BU1171" s="187" t="s">
        <v>98</v>
      </c>
      <c r="BV1171" s="196">
        <v>120035</v>
      </c>
      <c r="BW1171" s="197" t="e">
        <f t="shared" si="165"/>
        <v>#REF!</v>
      </c>
      <c r="BX1171" s="198" t="e">
        <f>IF(AND(State_LOB_Code=18,LEFT(BW1171,4)&lt;"2009"),81,State_LOB_Code)&amp;"|336"</f>
        <v>#REF!</v>
      </c>
      <c r="BY1171" s="215"/>
      <c r="BZ1171" s="216"/>
    </row>
    <row r="1172" spans="72:78">
      <c r="BT1172" s="187"/>
      <c r="BU1172" s="187" t="s">
        <v>99</v>
      </c>
      <c r="BV1172" s="196">
        <v>120035</v>
      </c>
      <c r="BW1172" s="197" t="e">
        <f t="shared" si="165"/>
        <v>#REF!</v>
      </c>
      <c r="BX1172" s="198" t="e">
        <f>IF(AND(State_LOB_Code=18,LEFT(BW1172,4)&lt;"2009"),81,State_LOB_Code)&amp;"|345"</f>
        <v>#REF!</v>
      </c>
      <c r="BY1172" s="215"/>
      <c r="BZ1172" s="216"/>
    </row>
    <row r="1173" spans="72:78">
      <c r="BT1173" s="187"/>
      <c r="BU1173" s="187" t="s">
        <v>100</v>
      </c>
      <c r="BV1173" s="196">
        <v>120035</v>
      </c>
      <c r="BW1173" s="197" t="e">
        <f t="shared" si="165"/>
        <v>#REF!</v>
      </c>
      <c r="BX1173" s="198" t="e">
        <f>IF(AND(State_LOB_Code=18,LEFT(BW1173,4)&lt;"2009"),81,State_LOB_Code)&amp;"|360"</f>
        <v>#REF!</v>
      </c>
      <c r="BY1173" s="215"/>
      <c r="BZ1173" s="216"/>
    </row>
    <row r="1174" spans="72:78">
      <c r="BT1174" s="187"/>
      <c r="BU1174" s="187" t="s">
        <v>101</v>
      </c>
      <c r="BV1174" s="196">
        <v>120035</v>
      </c>
      <c r="BW1174" s="197" t="e">
        <f t="shared" si="165"/>
        <v>#REF!</v>
      </c>
      <c r="BX1174" s="198" t="e">
        <f>IF(AND(State_LOB_Code=18,LEFT(BW1174,4)&lt;"2009"),81,State_LOB_Code)&amp;"|375"</f>
        <v>#REF!</v>
      </c>
      <c r="BY1174" s="215"/>
      <c r="BZ1174" s="216"/>
    </row>
    <row r="1175" spans="72:78">
      <c r="BT1175" s="187"/>
      <c r="BU1175" s="187" t="s">
        <v>102</v>
      </c>
      <c r="BV1175" s="196">
        <v>120035</v>
      </c>
      <c r="BW1175" s="197" t="e">
        <f t="shared" si="165"/>
        <v>#REF!</v>
      </c>
      <c r="BX1175" s="198" t="e">
        <f>IF(AND(State_LOB_Code=18,LEFT(BW1175,4)&lt;"2009"),81,State_LOB_Code)&amp;"|383"</f>
        <v>#REF!</v>
      </c>
      <c r="BY1175" s="215"/>
      <c r="BZ1175" s="216"/>
    </row>
    <row r="1176" spans="72:78">
      <c r="BT1176" s="187"/>
      <c r="BU1176" s="187" t="s">
        <v>103</v>
      </c>
      <c r="BV1176" s="196">
        <v>120035</v>
      </c>
      <c r="BW1176" s="197" t="e">
        <f t="shared" si="165"/>
        <v>#REF!</v>
      </c>
      <c r="BX1176" s="198" t="e">
        <f>IF(AND(State_LOB_Code=18,LEFT(BW1176,4)&lt;"2009"),81,State_LOB_Code)&amp;"|332"</f>
        <v>#REF!</v>
      </c>
      <c r="BY1176" s="215"/>
      <c r="BZ1176" s="216"/>
    </row>
    <row r="1177" spans="72:78">
      <c r="BT1177" s="187"/>
      <c r="BU1177" s="187" t="s">
        <v>104</v>
      </c>
      <c r="BV1177" s="196">
        <v>120035</v>
      </c>
      <c r="BW1177" s="197" t="e">
        <f t="shared" si="165"/>
        <v>#REF!</v>
      </c>
      <c r="BX1177" s="198" t="e">
        <f>IF(AND(State_LOB_Code=18,LEFT(BW1177,4)&lt;"2009"),81,State_LOB_Code)&amp;"|330"</f>
        <v>#REF!</v>
      </c>
      <c r="BY1177" s="215"/>
      <c r="BZ1177" s="216"/>
    </row>
    <row r="1178" spans="72:78">
      <c r="BT1178" s="187"/>
      <c r="BU1178" s="190" t="s">
        <v>46</v>
      </c>
      <c r="BV1178" s="202">
        <v>120055</v>
      </c>
      <c r="BW1178" s="203" t="e">
        <f t="shared" si="165"/>
        <v>#REF!</v>
      </c>
      <c r="BX1178" s="204" t="e">
        <f>IF(AND(State_LOB_Code=18,LEFT(BW1178,4)&lt;"2009"),81,State_LOB_Code)</f>
        <v>#REF!</v>
      </c>
      <c r="BY1178" s="219"/>
      <c r="BZ1178" s="220"/>
    </row>
    <row r="1179" spans="72:78">
      <c r="BT1179" s="187"/>
      <c r="BU1179" s="187"/>
      <c r="BV1179" s="188"/>
      <c r="BW1179" s="188"/>
      <c r="BX1179" s="188"/>
      <c r="BY1179" s="215"/>
      <c r="BZ1179" s="216"/>
    </row>
    <row r="1180" spans="72:78">
      <c r="BT1180" s="187"/>
      <c r="BU1180" s="184" t="s">
        <v>47</v>
      </c>
      <c r="BV1180" s="193">
        <v>120035</v>
      </c>
      <c r="BW1180" s="194" t="e">
        <f t="shared" ref="BW1180:BW1211" si="166">LEFT(BW1119,4)-1&amp;"Y"</f>
        <v>#REF!</v>
      </c>
      <c r="BX1180" s="195" t="e">
        <f>IF(AND(State_LOB_Code=18,LEFT(BW1180,4)&lt;"2009"),81,State_LOB_Code)&amp;"|333"</f>
        <v>#REF!</v>
      </c>
      <c r="BY1180" s="213"/>
      <c r="BZ1180" s="214"/>
    </row>
    <row r="1181" spans="72:78">
      <c r="BT1181" s="187"/>
      <c r="BU1181" s="187" t="s">
        <v>48</v>
      </c>
      <c r="BV1181" s="196">
        <v>120035</v>
      </c>
      <c r="BW1181" s="197" t="e">
        <f t="shared" si="166"/>
        <v>#REF!</v>
      </c>
      <c r="BX1181" s="198" t="e">
        <f>IF(AND(State_LOB_Code=18,LEFT(BW1181,4)&lt;"2009"),81,State_LOB_Code)&amp;"|334"</f>
        <v>#REF!</v>
      </c>
      <c r="BY1181" s="215"/>
      <c r="BZ1181" s="216"/>
    </row>
    <row r="1182" spans="72:78">
      <c r="BT1182" s="187"/>
      <c r="BU1182" s="187" t="s">
        <v>49</v>
      </c>
      <c r="BV1182" s="196">
        <v>120035</v>
      </c>
      <c r="BW1182" s="197" t="e">
        <f t="shared" si="166"/>
        <v>#REF!</v>
      </c>
      <c r="BX1182" s="198" t="e">
        <f>IF(AND(State_LOB_Code=18,LEFT(BW1182,4)&lt;"2009"),81,State_LOB_Code)&amp;"|335"</f>
        <v>#REF!</v>
      </c>
      <c r="BY1182" s="215"/>
      <c r="BZ1182" s="216"/>
    </row>
    <row r="1183" spans="72:78">
      <c r="BT1183" s="187"/>
      <c r="BU1183" s="187" t="s">
        <v>50</v>
      </c>
      <c r="BV1183" s="196">
        <v>120035</v>
      </c>
      <c r="BW1183" s="197" t="e">
        <f t="shared" si="166"/>
        <v>#REF!</v>
      </c>
      <c r="BX1183" s="198" t="e">
        <f>IF(AND(State_LOB_Code=18,LEFT(BW1183,4)&lt;"2009"),81,State_LOB_Code)&amp;"|337"</f>
        <v>#REF!</v>
      </c>
      <c r="BY1183" s="215"/>
      <c r="BZ1183" s="216"/>
    </row>
    <row r="1184" spans="72:78">
      <c r="BT1184" s="187"/>
      <c r="BU1184" s="187" t="s">
        <v>51</v>
      </c>
      <c r="BV1184" s="196">
        <v>120035</v>
      </c>
      <c r="BW1184" s="197" t="e">
        <f t="shared" si="166"/>
        <v>#REF!</v>
      </c>
      <c r="BX1184" s="198" t="e">
        <f>IF(AND(State_LOB_Code=18,LEFT(BW1184,4)&lt;"2009"),81,State_LOB_Code)&amp;"|338"</f>
        <v>#REF!</v>
      </c>
      <c r="BY1184" s="215"/>
      <c r="BZ1184" s="216"/>
    </row>
    <row r="1185" spans="72:78">
      <c r="BT1185" s="187"/>
      <c r="BU1185" s="187" t="s">
        <v>52</v>
      </c>
      <c r="BV1185" s="196">
        <v>120035</v>
      </c>
      <c r="BW1185" s="197" t="e">
        <f t="shared" si="166"/>
        <v>#REF!</v>
      </c>
      <c r="BX1185" s="198" t="e">
        <f>IF(AND(State_LOB_Code=18,LEFT(BW1185,4)&lt;"2009"),81,State_LOB_Code)&amp;"|339"</f>
        <v>#REF!</v>
      </c>
      <c r="BY1185" s="215"/>
      <c r="BZ1185" s="216"/>
    </row>
    <row r="1186" spans="72:78">
      <c r="BT1186" s="187"/>
      <c r="BU1186" s="187" t="s">
        <v>53</v>
      </c>
      <c r="BV1186" s="196">
        <v>120035</v>
      </c>
      <c r="BW1186" s="197" t="e">
        <f t="shared" si="166"/>
        <v>#REF!</v>
      </c>
      <c r="BX1186" s="198" t="e">
        <f>IF(AND(State_LOB_Code=18,LEFT(BW1186,4)&lt;"2009"),81,State_LOB_Code)&amp;"|340"</f>
        <v>#REF!</v>
      </c>
      <c r="BY1186" s="215"/>
      <c r="BZ1186" s="216"/>
    </row>
    <row r="1187" spans="72:78">
      <c r="BT1187" s="187"/>
      <c r="BU1187" s="187" t="s">
        <v>54</v>
      </c>
      <c r="BV1187" s="196">
        <v>120035</v>
      </c>
      <c r="BW1187" s="197" t="e">
        <f t="shared" si="166"/>
        <v>#REF!</v>
      </c>
      <c r="BX1187" s="198" t="e">
        <f>IF(AND(State_LOB_Code=18,LEFT(BW1187,4)&lt;"2009"),81,State_LOB_Code)&amp;"|341"</f>
        <v>#REF!</v>
      </c>
      <c r="BY1187" s="215"/>
      <c r="BZ1187" s="216"/>
    </row>
    <row r="1188" spans="72:78">
      <c r="BT1188" s="187"/>
      <c r="BU1188" s="187" t="s">
        <v>55</v>
      </c>
      <c r="BV1188" s="196">
        <v>120035</v>
      </c>
      <c r="BW1188" s="197" t="e">
        <f t="shared" si="166"/>
        <v>#REF!</v>
      </c>
      <c r="BX1188" s="198" t="e">
        <f>IF(AND(State_LOB_Code=18,LEFT(BW1188,4)&lt;"2009"),81,State_LOB_Code)&amp;"|342"</f>
        <v>#REF!</v>
      </c>
      <c r="BY1188" s="215"/>
      <c r="BZ1188" s="216"/>
    </row>
    <row r="1189" spans="72:78">
      <c r="BT1189" s="187"/>
      <c r="BU1189" s="187" t="s">
        <v>56</v>
      </c>
      <c r="BV1189" s="196">
        <v>120035</v>
      </c>
      <c r="BW1189" s="197" t="e">
        <f t="shared" si="166"/>
        <v>#REF!</v>
      </c>
      <c r="BX1189" s="198" t="e">
        <f>IF(AND(State_LOB_Code=18,LEFT(BW1189,4)&lt;"2009"),81,State_LOB_Code)&amp;"|343"</f>
        <v>#REF!</v>
      </c>
      <c r="BY1189" s="215"/>
      <c r="BZ1189" s="216"/>
    </row>
    <row r="1190" spans="72:78">
      <c r="BT1190" s="187"/>
      <c r="BU1190" s="187" t="s">
        <v>57</v>
      </c>
      <c r="BV1190" s="196">
        <v>120035</v>
      </c>
      <c r="BW1190" s="197" t="e">
        <f t="shared" si="166"/>
        <v>#REF!</v>
      </c>
      <c r="BX1190" s="198" t="e">
        <f>IF(AND(State_LOB_Code=18,LEFT(BW1190,4)&lt;"2009"),81,State_LOB_Code)&amp;"|344"</f>
        <v>#REF!</v>
      </c>
      <c r="BY1190" s="215"/>
      <c r="BZ1190" s="216"/>
    </row>
    <row r="1191" spans="72:78">
      <c r="BT1191" s="187"/>
      <c r="BU1191" s="187" t="s">
        <v>58</v>
      </c>
      <c r="BV1191" s="196">
        <v>120035</v>
      </c>
      <c r="BW1191" s="197" t="e">
        <f t="shared" si="166"/>
        <v>#REF!</v>
      </c>
      <c r="BX1191" s="198" t="e">
        <f>IF(AND(State_LOB_Code=18,LEFT(BW1191,4)&lt;"2009"),81,State_LOB_Code)&amp;"|346"</f>
        <v>#REF!</v>
      </c>
      <c r="BY1191" s="215"/>
      <c r="BZ1191" s="216"/>
    </row>
    <row r="1192" spans="72:78">
      <c r="BT1192" s="187"/>
      <c r="BU1192" s="187" t="s">
        <v>59</v>
      </c>
      <c r="BV1192" s="196">
        <v>120035</v>
      </c>
      <c r="BW1192" s="197" t="e">
        <f t="shared" si="166"/>
        <v>#REF!</v>
      </c>
      <c r="BX1192" s="198" t="e">
        <f>IF(AND(State_LOB_Code=18,LEFT(BW1192,4)&lt;"2009"),81,State_LOB_Code)&amp;"|347"</f>
        <v>#REF!</v>
      </c>
      <c r="BY1192" s="215"/>
      <c r="BZ1192" s="216"/>
    </row>
    <row r="1193" spans="72:78">
      <c r="BT1193" s="187"/>
      <c r="BU1193" s="187" t="s">
        <v>60</v>
      </c>
      <c r="BV1193" s="196">
        <v>120035</v>
      </c>
      <c r="BW1193" s="197" t="e">
        <f t="shared" si="166"/>
        <v>#REF!</v>
      </c>
      <c r="BX1193" s="198" t="e">
        <f>IF(AND(State_LOB_Code=18,LEFT(BW1193,4)&lt;"2009"),81,State_LOB_Code)&amp;"|348"</f>
        <v>#REF!</v>
      </c>
      <c r="BY1193" s="215"/>
      <c r="BZ1193" s="216"/>
    </row>
    <row r="1194" spans="72:78">
      <c r="BT1194" s="187"/>
      <c r="BU1194" s="187" t="s">
        <v>61</v>
      </c>
      <c r="BV1194" s="196">
        <v>120035</v>
      </c>
      <c r="BW1194" s="197" t="e">
        <f t="shared" si="166"/>
        <v>#REF!</v>
      </c>
      <c r="BX1194" s="198" t="e">
        <f>IF(AND(State_LOB_Code=18,LEFT(BW1194,4)&lt;"2009"),81,State_LOB_Code)&amp;"|349"</f>
        <v>#REF!</v>
      </c>
      <c r="BY1194" s="215"/>
      <c r="BZ1194" s="216"/>
    </row>
    <row r="1195" spans="72:78">
      <c r="BT1195" s="187"/>
      <c r="BU1195" s="187" t="s">
        <v>62</v>
      </c>
      <c r="BV1195" s="196">
        <v>120035</v>
      </c>
      <c r="BW1195" s="197" t="e">
        <f t="shared" si="166"/>
        <v>#REF!</v>
      </c>
      <c r="BX1195" s="198" t="e">
        <f>IF(AND(State_LOB_Code=18,LEFT(BW1195,4)&lt;"2009"),81,State_LOB_Code)&amp;"|350"</f>
        <v>#REF!</v>
      </c>
      <c r="BY1195" s="215"/>
      <c r="BZ1195" s="216"/>
    </row>
    <row r="1196" spans="72:78">
      <c r="BT1196" s="187"/>
      <c r="BU1196" s="187" t="s">
        <v>63</v>
      </c>
      <c r="BV1196" s="196">
        <v>120035</v>
      </c>
      <c r="BW1196" s="197" t="e">
        <f t="shared" si="166"/>
        <v>#REF!</v>
      </c>
      <c r="BX1196" s="198" t="e">
        <f>IF(AND(State_LOB_Code=18,LEFT(BW1196,4)&lt;"2009"),81,State_LOB_Code)&amp;"|351"</f>
        <v>#REF!</v>
      </c>
      <c r="BY1196" s="215"/>
      <c r="BZ1196" s="216"/>
    </row>
    <row r="1197" spans="72:78">
      <c r="BT1197" s="187"/>
      <c r="BU1197" s="187" t="s">
        <v>64</v>
      </c>
      <c r="BV1197" s="196">
        <v>120035</v>
      </c>
      <c r="BW1197" s="197" t="e">
        <f t="shared" si="166"/>
        <v>#REF!</v>
      </c>
      <c r="BX1197" s="198" t="e">
        <f>IF(AND(State_LOB_Code=18,LEFT(BW1197,4)&lt;"2009"),81,State_LOB_Code)&amp;"|352"</f>
        <v>#REF!</v>
      </c>
      <c r="BY1197" s="215"/>
      <c r="BZ1197" s="216"/>
    </row>
    <row r="1198" spans="72:78">
      <c r="BT1198" s="187"/>
      <c r="BU1198" s="187" t="s">
        <v>65</v>
      </c>
      <c r="BV1198" s="196">
        <v>120035</v>
      </c>
      <c r="BW1198" s="197" t="e">
        <f t="shared" si="166"/>
        <v>#REF!</v>
      </c>
      <c r="BX1198" s="198" t="e">
        <f>IF(AND(State_LOB_Code=18,LEFT(BW1198,4)&lt;"2009"),81,State_LOB_Code)&amp;"|353"</f>
        <v>#REF!</v>
      </c>
      <c r="BY1198" s="215"/>
      <c r="BZ1198" s="216"/>
    </row>
    <row r="1199" spans="72:78">
      <c r="BT1199" s="187"/>
      <c r="BU1199" s="187" t="s">
        <v>66</v>
      </c>
      <c r="BV1199" s="196">
        <v>120035</v>
      </c>
      <c r="BW1199" s="197" t="e">
        <f t="shared" si="166"/>
        <v>#REF!</v>
      </c>
      <c r="BX1199" s="198" t="e">
        <f>IF(AND(State_LOB_Code=18,LEFT(BW1199,4)&lt;"2009"),81,State_LOB_Code)&amp;"|354"</f>
        <v>#REF!</v>
      </c>
      <c r="BY1199" s="215"/>
      <c r="BZ1199" s="216"/>
    </row>
    <row r="1200" spans="72:78">
      <c r="BT1200" s="187"/>
      <c r="BU1200" s="187" t="s">
        <v>67</v>
      </c>
      <c r="BV1200" s="196">
        <v>120035</v>
      </c>
      <c r="BW1200" s="197" t="e">
        <f t="shared" si="166"/>
        <v>#REF!</v>
      </c>
      <c r="BX1200" s="198" t="e">
        <f>IF(AND(State_LOB_Code=18,LEFT(BW1200,4)&lt;"2009"),81,State_LOB_Code)&amp;"|355"</f>
        <v>#REF!</v>
      </c>
      <c r="BY1200" s="215"/>
      <c r="BZ1200" s="216"/>
    </row>
    <row r="1201" spans="72:78">
      <c r="BT1201" s="187"/>
      <c r="BU1201" s="187" t="s">
        <v>68</v>
      </c>
      <c r="BV1201" s="196">
        <v>120035</v>
      </c>
      <c r="BW1201" s="197" t="e">
        <f t="shared" si="166"/>
        <v>#REF!</v>
      </c>
      <c r="BX1201" s="198" t="e">
        <f>IF(AND(State_LOB_Code=18,LEFT(BW1201,4)&lt;"2009"),81,State_LOB_Code)&amp;"|356"</f>
        <v>#REF!</v>
      </c>
      <c r="BY1201" s="215"/>
      <c r="BZ1201" s="216"/>
    </row>
    <row r="1202" spans="72:78">
      <c r="BT1202" s="187"/>
      <c r="BU1202" s="187" t="s">
        <v>69</v>
      </c>
      <c r="BV1202" s="196">
        <v>120035</v>
      </c>
      <c r="BW1202" s="197" t="e">
        <f t="shared" si="166"/>
        <v>#REF!</v>
      </c>
      <c r="BX1202" s="198" t="e">
        <f>IF(AND(State_LOB_Code=18,LEFT(BW1202,4)&lt;"2009"),81,State_LOB_Code)&amp;"|357"</f>
        <v>#REF!</v>
      </c>
      <c r="BY1202" s="215"/>
      <c r="BZ1202" s="216"/>
    </row>
    <row r="1203" spans="72:78">
      <c r="BT1203" s="187"/>
      <c r="BU1203" s="187" t="s">
        <v>70</v>
      </c>
      <c r="BV1203" s="196">
        <v>120035</v>
      </c>
      <c r="BW1203" s="197" t="e">
        <f t="shared" si="166"/>
        <v>#REF!</v>
      </c>
      <c r="BX1203" s="198" t="e">
        <f>IF(AND(State_LOB_Code=18,LEFT(BW1203,4)&lt;"2009"),81,State_LOB_Code)&amp;"|358"</f>
        <v>#REF!</v>
      </c>
      <c r="BY1203" s="215"/>
      <c r="BZ1203" s="216"/>
    </row>
    <row r="1204" spans="72:78">
      <c r="BT1204" s="187"/>
      <c r="BU1204" s="187" t="s">
        <v>71</v>
      </c>
      <c r="BV1204" s="196">
        <v>120035</v>
      </c>
      <c r="BW1204" s="197" t="e">
        <f t="shared" si="166"/>
        <v>#REF!</v>
      </c>
      <c r="BX1204" s="198" t="e">
        <f>IF(AND(State_LOB_Code=18,LEFT(BW1204,4)&lt;"2009"),81,State_LOB_Code)&amp;"|359"</f>
        <v>#REF!</v>
      </c>
      <c r="BY1204" s="215"/>
      <c r="BZ1204" s="216"/>
    </row>
    <row r="1205" spans="72:78">
      <c r="BT1205" s="187"/>
      <c r="BU1205" s="187" t="s">
        <v>72</v>
      </c>
      <c r="BV1205" s="196">
        <v>120035</v>
      </c>
      <c r="BW1205" s="197" t="e">
        <f t="shared" si="166"/>
        <v>#REF!</v>
      </c>
      <c r="BX1205" s="198" t="e">
        <f>IF(AND(State_LOB_Code=18,LEFT(BW1205,4)&lt;"2009"),81,State_LOB_Code)&amp;"|361"</f>
        <v>#REF!</v>
      </c>
      <c r="BY1205" s="215"/>
      <c r="BZ1205" s="216"/>
    </row>
    <row r="1206" spans="72:78">
      <c r="BT1206" s="187"/>
      <c r="BU1206" s="187" t="s">
        <v>73</v>
      </c>
      <c r="BV1206" s="196">
        <v>120035</v>
      </c>
      <c r="BW1206" s="197" t="e">
        <f t="shared" si="166"/>
        <v>#REF!</v>
      </c>
      <c r="BX1206" s="198" t="e">
        <f>IF(AND(State_LOB_Code=18,LEFT(BW1206,4)&lt;"2009"),81,State_LOB_Code)&amp;"|362"</f>
        <v>#REF!</v>
      </c>
      <c r="BY1206" s="215"/>
      <c r="BZ1206" s="216"/>
    </row>
    <row r="1207" spans="72:78">
      <c r="BT1207" s="187"/>
      <c r="BU1207" s="187" t="s">
        <v>74</v>
      </c>
      <c r="BV1207" s="196">
        <v>120035</v>
      </c>
      <c r="BW1207" s="197" t="e">
        <f t="shared" si="166"/>
        <v>#REF!</v>
      </c>
      <c r="BX1207" s="198" t="e">
        <f>IF(AND(State_LOB_Code=18,LEFT(BW1207,4)&lt;"2009"),81,State_LOB_Code)&amp;"|363"</f>
        <v>#REF!</v>
      </c>
      <c r="BY1207" s="215"/>
      <c r="BZ1207" s="216"/>
    </row>
    <row r="1208" spans="72:78">
      <c r="BT1208" s="187"/>
      <c r="BU1208" s="187" t="s">
        <v>75</v>
      </c>
      <c r="BV1208" s="196">
        <v>120035</v>
      </c>
      <c r="BW1208" s="197" t="e">
        <f t="shared" si="166"/>
        <v>#REF!</v>
      </c>
      <c r="BX1208" s="198" t="e">
        <f>IF(AND(State_LOB_Code=18,LEFT(BW1208,4)&lt;"2009"),81,State_LOB_Code)&amp;"|364"</f>
        <v>#REF!</v>
      </c>
      <c r="BY1208" s="215"/>
      <c r="BZ1208" s="216"/>
    </row>
    <row r="1209" spans="72:78">
      <c r="BT1209" s="187"/>
      <c r="BU1209" s="187" t="s">
        <v>76</v>
      </c>
      <c r="BV1209" s="196">
        <v>120035</v>
      </c>
      <c r="BW1209" s="197" t="e">
        <f t="shared" si="166"/>
        <v>#REF!</v>
      </c>
      <c r="BX1209" s="198" t="e">
        <f>IF(AND(State_LOB_Code=18,LEFT(BW1209,4)&lt;"2009"),81,State_LOB_Code)&amp;"|365"</f>
        <v>#REF!</v>
      </c>
      <c r="BY1209" s="215"/>
      <c r="BZ1209" s="216"/>
    </row>
    <row r="1210" spans="72:78">
      <c r="BT1210" s="187"/>
      <c r="BU1210" s="187" t="s">
        <v>77</v>
      </c>
      <c r="BV1210" s="196">
        <v>120035</v>
      </c>
      <c r="BW1210" s="197" t="e">
        <f t="shared" si="166"/>
        <v>#REF!</v>
      </c>
      <c r="BX1210" s="198" t="e">
        <f>IF(AND(State_LOB_Code=18,LEFT(BW1210,4)&lt;"2009"),81,State_LOB_Code)&amp;"|366"</f>
        <v>#REF!</v>
      </c>
      <c r="BY1210" s="215"/>
      <c r="BZ1210" s="216"/>
    </row>
    <row r="1211" spans="72:78">
      <c r="BT1211" s="187"/>
      <c r="BU1211" s="187" t="s">
        <v>78</v>
      </c>
      <c r="BV1211" s="196">
        <v>120035</v>
      </c>
      <c r="BW1211" s="197" t="e">
        <f t="shared" si="166"/>
        <v>#REF!</v>
      </c>
      <c r="BX1211" s="198" t="e">
        <f>IF(AND(State_LOB_Code=18,LEFT(BW1211,4)&lt;"2009"),81,State_LOB_Code)&amp;"|367"</f>
        <v>#REF!</v>
      </c>
      <c r="BY1211" s="215"/>
      <c r="BZ1211" s="216"/>
    </row>
    <row r="1212" spans="72:78">
      <c r="BT1212" s="187"/>
      <c r="BU1212" s="187" t="s">
        <v>79</v>
      </c>
      <c r="BV1212" s="196">
        <v>120035</v>
      </c>
      <c r="BW1212" s="197" t="e">
        <f t="shared" ref="BW1212:BW1239" si="167">LEFT(BW1151,4)-1&amp;"Y"</f>
        <v>#REF!</v>
      </c>
      <c r="BX1212" s="198" t="e">
        <f>IF(AND(State_LOB_Code=18,LEFT(BW1212,4)&lt;"2009"),81,State_LOB_Code)&amp;"|368"</f>
        <v>#REF!</v>
      </c>
      <c r="BY1212" s="215"/>
      <c r="BZ1212" s="216"/>
    </row>
    <row r="1213" spans="72:78">
      <c r="BT1213" s="187"/>
      <c r="BU1213" s="187" t="s">
        <v>80</v>
      </c>
      <c r="BV1213" s="196">
        <v>120035</v>
      </c>
      <c r="BW1213" s="197" t="e">
        <f t="shared" si="167"/>
        <v>#REF!</v>
      </c>
      <c r="BX1213" s="198" t="e">
        <f>IF(AND(State_LOB_Code=18,LEFT(BW1213,4)&lt;"2009"),81,State_LOB_Code)&amp;"|369"</f>
        <v>#REF!</v>
      </c>
      <c r="BY1213" s="215"/>
      <c r="BZ1213" s="216"/>
    </row>
    <row r="1214" spans="72:78">
      <c r="BT1214" s="187"/>
      <c r="BU1214" s="187" t="s">
        <v>81</v>
      </c>
      <c r="BV1214" s="196">
        <v>120035</v>
      </c>
      <c r="BW1214" s="197" t="e">
        <f t="shared" si="167"/>
        <v>#REF!</v>
      </c>
      <c r="BX1214" s="198" t="e">
        <f>IF(AND(State_LOB_Code=18,LEFT(BW1214,4)&lt;"2009"),81,State_LOB_Code)&amp;"|370"</f>
        <v>#REF!</v>
      </c>
      <c r="BY1214" s="215"/>
      <c r="BZ1214" s="216"/>
    </row>
    <row r="1215" spans="72:78">
      <c r="BT1215" s="187"/>
      <c r="BU1215" s="187" t="s">
        <v>82</v>
      </c>
      <c r="BV1215" s="196">
        <v>120035</v>
      </c>
      <c r="BW1215" s="197" t="e">
        <f t="shared" si="167"/>
        <v>#REF!</v>
      </c>
      <c r="BX1215" s="198" t="e">
        <f>IF(AND(State_LOB_Code=18,LEFT(BW1215,4)&lt;"2009"),81,State_LOB_Code)&amp;"|371"</f>
        <v>#REF!</v>
      </c>
      <c r="BY1215" s="215"/>
      <c r="BZ1215" s="216"/>
    </row>
    <row r="1216" spans="72:78">
      <c r="BT1216" s="187"/>
      <c r="BU1216" s="187" t="s">
        <v>83</v>
      </c>
      <c r="BV1216" s="196">
        <v>120035</v>
      </c>
      <c r="BW1216" s="197" t="e">
        <f t="shared" si="167"/>
        <v>#REF!</v>
      </c>
      <c r="BX1216" s="198" t="e">
        <f>IF(AND(State_LOB_Code=18,LEFT(BW1216,4)&lt;"2009"),81,State_LOB_Code)&amp;"|372"</f>
        <v>#REF!</v>
      </c>
      <c r="BY1216" s="215"/>
      <c r="BZ1216" s="216"/>
    </row>
    <row r="1217" spans="72:78">
      <c r="BT1217" s="187"/>
      <c r="BU1217" s="187" t="s">
        <v>84</v>
      </c>
      <c r="BV1217" s="196">
        <v>120035</v>
      </c>
      <c r="BW1217" s="197" t="e">
        <f t="shared" si="167"/>
        <v>#REF!</v>
      </c>
      <c r="BX1217" s="198" t="e">
        <f>IF(AND(State_LOB_Code=18,LEFT(BW1217,4)&lt;"2009"),81,State_LOB_Code)&amp;"|373"</f>
        <v>#REF!</v>
      </c>
      <c r="BY1217" s="215"/>
      <c r="BZ1217" s="216"/>
    </row>
    <row r="1218" spans="72:78">
      <c r="BT1218" s="187"/>
      <c r="BU1218" s="187" t="s">
        <v>85</v>
      </c>
      <c r="BV1218" s="196">
        <v>120035</v>
      </c>
      <c r="BW1218" s="197" t="e">
        <f t="shared" si="167"/>
        <v>#REF!</v>
      </c>
      <c r="BX1218" s="198" t="e">
        <f>IF(AND(State_LOB_Code=18,LEFT(BW1218,4)&lt;"2009"),81,State_LOB_Code)&amp;"|374"</f>
        <v>#REF!</v>
      </c>
      <c r="BY1218" s="215"/>
      <c r="BZ1218" s="216"/>
    </row>
    <row r="1219" spans="72:78">
      <c r="BT1219" s="187"/>
      <c r="BU1219" s="187" t="s">
        <v>86</v>
      </c>
      <c r="BV1219" s="196">
        <v>120035</v>
      </c>
      <c r="BW1219" s="197" t="e">
        <f t="shared" si="167"/>
        <v>#REF!</v>
      </c>
      <c r="BX1219" s="198" t="e">
        <f>IF(AND(State_LOB_Code=18,LEFT(BW1219,4)&lt;"2009"),81,State_LOB_Code)&amp;"|376"</f>
        <v>#REF!</v>
      </c>
      <c r="BY1219" s="215"/>
      <c r="BZ1219" s="216"/>
    </row>
    <row r="1220" spans="72:78">
      <c r="BT1220" s="187"/>
      <c r="BU1220" s="187" t="s">
        <v>87</v>
      </c>
      <c r="BV1220" s="196">
        <v>120035</v>
      </c>
      <c r="BW1220" s="197" t="e">
        <f t="shared" si="167"/>
        <v>#REF!</v>
      </c>
      <c r="BX1220" s="198" t="e">
        <f>IF(AND(State_LOB_Code=18,LEFT(BW1220,4)&lt;"2009"),81,State_LOB_Code)&amp;"|377"</f>
        <v>#REF!</v>
      </c>
      <c r="BY1220" s="215"/>
      <c r="BZ1220" s="216"/>
    </row>
    <row r="1221" spans="72:78">
      <c r="BT1221" s="187"/>
      <c r="BU1221" s="187" t="s">
        <v>88</v>
      </c>
      <c r="BV1221" s="196">
        <v>120035</v>
      </c>
      <c r="BW1221" s="197" t="e">
        <f t="shared" si="167"/>
        <v>#REF!</v>
      </c>
      <c r="BX1221" s="198" t="e">
        <f>IF(AND(State_LOB_Code=18,LEFT(BW1221,4)&lt;"2009"),81,State_LOB_Code)&amp;"|378"</f>
        <v>#REF!</v>
      </c>
      <c r="BY1221" s="215"/>
      <c r="BZ1221" s="216"/>
    </row>
    <row r="1222" spans="72:78">
      <c r="BT1222" s="187"/>
      <c r="BU1222" s="187" t="s">
        <v>89</v>
      </c>
      <c r="BV1222" s="196">
        <v>120035</v>
      </c>
      <c r="BW1222" s="197" t="e">
        <f t="shared" si="167"/>
        <v>#REF!</v>
      </c>
      <c r="BX1222" s="198" t="e">
        <f>IF(AND(State_LOB_Code=18,LEFT(BW1222,4)&lt;"2009"),81,State_LOB_Code)&amp;"|379"</f>
        <v>#REF!</v>
      </c>
      <c r="BY1222" s="215"/>
      <c r="BZ1222" s="216"/>
    </row>
    <row r="1223" spans="72:78">
      <c r="BT1223" s="187"/>
      <c r="BU1223" s="187" t="s">
        <v>90</v>
      </c>
      <c r="BV1223" s="196">
        <v>120035</v>
      </c>
      <c r="BW1223" s="197" t="e">
        <f t="shared" si="167"/>
        <v>#REF!</v>
      </c>
      <c r="BX1223" s="198" t="e">
        <f>IF(AND(State_LOB_Code=18,LEFT(BW1223,4)&lt;"2009"),81,State_LOB_Code)&amp;"|380"</f>
        <v>#REF!</v>
      </c>
      <c r="BY1223" s="215"/>
      <c r="BZ1223" s="216"/>
    </row>
    <row r="1224" spans="72:78">
      <c r="BT1224" s="187"/>
      <c r="BU1224" s="187" t="s">
        <v>91</v>
      </c>
      <c r="BV1224" s="196">
        <v>120035</v>
      </c>
      <c r="BW1224" s="197" t="e">
        <f t="shared" si="167"/>
        <v>#REF!</v>
      </c>
      <c r="BX1224" s="198" t="e">
        <f>IF(AND(State_LOB_Code=18,LEFT(BW1224,4)&lt;"2009"),81,State_LOB_Code)&amp;"|381"</f>
        <v>#REF!</v>
      </c>
      <c r="BY1224" s="215"/>
      <c r="BZ1224" s="216"/>
    </row>
    <row r="1225" spans="72:78">
      <c r="BT1225" s="187"/>
      <c r="BU1225" s="187" t="s">
        <v>92</v>
      </c>
      <c r="BV1225" s="196">
        <v>120035</v>
      </c>
      <c r="BW1225" s="197" t="e">
        <f t="shared" si="167"/>
        <v>#REF!</v>
      </c>
      <c r="BX1225" s="198" t="e">
        <f>IF(AND(State_LOB_Code=18,LEFT(BW1225,4)&lt;"2009"),81,State_LOB_Code)&amp;"|382"</f>
        <v>#REF!</v>
      </c>
      <c r="BY1225" s="215"/>
      <c r="BZ1225" s="216"/>
    </row>
    <row r="1226" spans="72:78">
      <c r="BT1226" s="187"/>
      <c r="BU1226" s="187" t="s">
        <v>93</v>
      </c>
      <c r="BV1226" s="196">
        <v>120035</v>
      </c>
      <c r="BW1226" s="197" t="e">
        <f t="shared" si="167"/>
        <v>#REF!</v>
      </c>
      <c r="BX1226" s="198" t="e">
        <f>IF(AND(State_LOB_Code=18,LEFT(BW1226,4)&lt;"2009"),81,State_LOB_Code)&amp;"|384"</f>
        <v>#REF!</v>
      </c>
      <c r="BY1226" s="215"/>
      <c r="BZ1226" s="216"/>
    </row>
    <row r="1227" spans="72:78">
      <c r="BT1227" s="187"/>
      <c r="BU1227" s="187" t="s">
        <v>94</v>
      </c>
      <c r="BV1227" s="196">
        <v>120035</v>
      </c>
      <c r="BW1227" s="197" t="e">
        <f t="shared" si="167"/>
        <v>#REF!</v>
      </c>
      <c r="BX1227" s="198" t="e">
        <f>IF(AND(State_LOB_Code=18,LEFT(BW1227,4)&lt;"2009"),81,State_LOB_Code)&amp;"|385"</f>
        <v>#REF!</v>
      </c>
      <c r="BY1227" s="215"/>
      <c r="BZ1227" s="216"/>
    </row>
    <row r="1228" spans="72:78">
      <c r="BT1228" s="187"/>
      <c r="BU1228" s="187" t="s">
        <v>95</v>
      </c>
      <c r="BV1228" s="196">
        <v>120035</v>
      </c>
      <c r="BW1228" s="197" t="e">
        <f t="shared" si="167"/>
        <v>#REF!</v>
      </c>
      <c r="BX1228" s="198" t="e">
        <f>IF(AND(State_LOB_Code=18,LEFT(BW1228,4)&lt;"2009"),81,State_LOB_Code)&amp;"|386"</f>
        <v>#REF!</v>
      </c>
      <c r="BY1228" s="215"/>
      <c r="BZ1228" s="216"/>
    </row>
    <row r="1229" spans="72:78">
      <c r="BT1229" s="187"/>
      <c r="BU1229" s="187" t="s">
        <v>96</v>
      </c>
      <c r="BV1229" s="196">
        <v>120035</v>
      </c>
      <c r="BW1229" s="197" t="e">
        <f t="shared" si="167"/>
        <v>#REF!</v>
      </c>
      <c r="BX1229" s="198" t="e">
        <f>IF(AND(State_LOB_Code=18,LEFT(BW1229,4)&lt;"2009"),81,State_LOB_Code)&amp;"|387"</f>
        <v>#REF!</v>
      </c>
      <c r="BY1229" s="215"/>
      <c r="BZ1229" s="216"/>
    </row>
    <row r="1230" spans="72:78">
      <c r="BT1230" s="187"/>
      <c r="BU1230" s="187" t="s">
        <v>97</v>
      </c>
      <c r="BV1230" s="196">
        <v>120035</v>
      </c>
      <c r="BW1230" s="197" t="e">
        <f t="shared" si="167"/>
        <v>#REF!</v>
      </c>
      <c r="BX1230" s="198" t="e">
        <f>IF(AND(State_LOB_Code=18,LEFT(BW1230,4)&lt;"2009"),81,State_LOB_Code)&amp;"|388"</f>
        <v>#REF!</v>
      </c>
      <c r="BY1230" s="215"/>
      <c r="BZ1230" s="216"/>
    </row>
    <row r="1231" spans="72:78">
      <c r="BT1231" s="187"/>
      <c r="BU1231" s="189" t="s">
        <v>137</v>
      </c>
      <c r="BV1231" s="199">
        <v>120035</v>
      </c>
      <c r="BW1231" s="200" t="e">
        <f t="shared" si="167"/>
        <v>#REF!</v>
      </c>
      <c r="BX1231" s="201" t="e">
        <f>IF(AND(State_LOB_Code=18,LEFT(BW1231,4)&lt;"2009"),81,State_LOB_Code)&amp;"|600"</f>
        <v>#REF!</v>
      </c>
      <c r="BY1231" s="217"/>
      <c r="BZ1231" s="218"/>
    </row>
    <row r="1232" spans="72:78">
      <c r="BT1232" s="187"/>
      <c r="BU1232" s="187" t="s">
        <v>98</v>
      </c>
      <c r="BV1232" s="196">
        <v>120035</v>
      </c>
      <c r="BW1232" s="197" t="e">
        <f t="shared" si="167"/>
        <v>#REF!</v>
      </c>
      <c r="BX1232" s="198" t="e">
        <f>IF(AND(State_LOB_Code=18,LEFT(BW1232,4)&lt;"2009"),81,State_LOB_Code)&amp;"|336"</f>
        <v>#REF!</v>
      </c>
      <c r="BY1232" s="215"/>
      <c r="BZ1232" s="216"/>
    </row>
    <row r="1233" spans="72:78">
      <c r="BT1233" s="187"/>
      <c r="BU1233" s="187" t="s">
        <v>99</v>
      </c>
      <c r="BV1233" s="196">
        <v>120035</v>
      </c>
      <c r="BW1233" s="197" t="e">
        <f t="shared" si="167"/>
        <v>#REF!</v>
      </c>
      <c r="BX1233" s="198" t="e">
        <f>IF(AND(State_LOB_Code=18,LEFT(BW1233,4)&lt;"2009"),81,State_LOB_Code)&amp;"|345"</f>
        <v>#REF!</v>
      </c>
      <c r="BY1233" s="215"/>
      <c r="BZ1233" s="216"/>
    </row>
    <row r="1234" spans="72:78">
      <c r="BT1234" s="187"/>
      <c r="BU1234" s="187" t="s">
        <v>100</v>
      </c>
      <c r="BV1234" s="196">
        <v>120035</v>
      </c>
      <c r="BW1234" s="197" t="e">
        <f t="shared" si="167"/>
        <v>#REF!</v>
      </c>
      <c r="BX1234" s="198" t="e">
        <f>IF(AND(State_LOB_Code=18,LEFT(BW1234,4)&lt;"2009"),81,State_LOB_Code)&amp;"|360"</f>
        <v>#REF!</v>
      </c>
      <c r="BY1234" s="215"/>
      <c r="BZ1234" s="216"/>
    </row>
    <row r="1235" spans="72:78">
      <c r="BT1235" s="187"/>
      <c r="BU1235" s="187" t="s">
        <v>101</v>
      </c>
      <c r="BV1235" s="196">
        <v>120035</v>
      </c>
      <c r="BW1235" s="197" t="e">
        <f t="shared" si="167"/>
        <v>#REF!</v>
      </c>
      <c r="BX1235" s="198" t="e">
        <f>IF(AND(State_LOB_Code=18,LEFT(BW1235,4)&lt;"2009"),81,State_LOB_Code)&amp;"|375"</f>
        <v>#REF!</v>
      </c>
      <c r="BY1235" s="215"/>
      <c r="BZ1235" s="216"/>
    </row>
    <row r="1236" spans="72:78">
      <c r="BT1236" s="187"/>
      <c r="BU1236" s="187" t="s">
        <v>102</v>
      </c>
      <c r="BV1236" s="196">
        <v>120035</v>
      </c>
      <c r="BW1236" s="197" t="e">
        <f t="shared" si="167"/>
        <v>#REF!</v>
      </c>
      <c r="BX1236" s="198" t="e">
        <f>IF(AND(State_LOB_Code=18,LEFT(BW1236,4)&lt;"2009"),81,State_LOB_Code)&amp;"|383"</f>
        <v>#REF!</v>
      </c>
      <c r="BY1236" s="215"/>
      <c r="BZ1236" s="216"/>
    </row>
    <row r="1237" spans="72:78">
      <c r="BT1237" s="187"/>
      <c r="BU1237" s="187" t="s">
        <v>103</v>
      </c>
      <c r="BV1237" s="196">
        <v>120035</v>
      </c>
      <c r="BW1237" s="197" t="e">
        <f t="shared" si="167"/>
        <v>#REF!</v>
      </c>
      <c r="BX1237" s="198" t="e">
        <f>IF(AND(State_LOB_Code=18,LEFT(BW1237,4)&lt;"2009"),81,State_LOB_Code)&amp;"|332"</f>
        <v>#REF!</v>
      </c>
      <c r="BY1237" s="215"/>
      <c r="BZ1237" s="216"/>
    </row>
    <row r="1238" spans="72:78">
      <c r="BT1238" s="187"/>
      <c r="BU1238" s="187" t="s">
        <v>104</v>
      </c>
      <c r="BV1238" s="196">
        <v>120035</v>
      </c>
      <c r="BW1238" s="197" t="e">
        <f t="shared" si="167"/>
        <v>#REF!</v>
      </c>
      <c r="BX1238" s="198" t="e">
        <f>IF(AND(State_LOB_Code=18,LEFT(BW1238,4)&lt;"2009"),81,State_LOB_Code)&amp;"|330"</f>
        <v>#REF!</v>
      </c>
      <c r="BY1238" s="215"/>
      <c r="BZ1238" s="216"/>
    </row>
    <row r="1239" spans="72:78">
      <c r="BT1239" s="180" t="s">
        <v>34</v>
      </c>
      <c r="BU1239" s="190" t="s">
        <v>46</v>
      </c>
      <c r="BV1239" s="202">
        <v>120055</v>
      </c>
      <c r="BW1239" s="203" t="e">
        <f t="shared" si="167"/>
        <v>#REF!</v>
      </c>
      <c r="BX1239" s="204" t="e">
        <f>IF(AND(State_LOB_Code=18,LEFT(BW1239,4)&lt;"2009"),81,State_LOB_Code)</f>
        <v>#REF!</v>
      </c>
      <c r="BY1239" s="219"/>
      <c r="BZ1239" s="220"/>
    </row>
    <row r="1240" spans="72:78">
      <c r="BT1240" s="221"/>
      <c r="BU1240" s="184"/>
      <c r="BV1240" s="211"/>
      <c r="BW1240" s="208"/>
      <c r="BX1240" s="212"/>
      <c r="BY1240" s="224"/>
      <c r="BZ1240" s="214"/>
    </row>
    <row r="1241" spans="72:78">
      <c r="BT1241" s="180" t="s">
        <v>26</v>
      </c>
      <c r="BU1241" s="180"/>
      <c r="BV1241" s="181"/>
      <c r="BW1241" s="182"/>
      <c r="BX1241" s="182"/>
      <c r="BY1241" s="225"/>
      <c r="BZ1241" s="226"/>
    </row>
    <row r="1242" spans="72:78">
      <c r="BT1242" s="187"/>
      <c r="BU1242" s="184" t="s">
        <v>47</v>
      </c>
      <c r="BV1242" s="193">
        <v>120038</v>
      </c>
      <c r="BW1242" s="194" t="e">
        <f t="shared" ref="BW1242:BW1273" si="168">Period_Y</f>
        <v>#REF!</v>
      </c>
      <c r="BX1242" s="195" t="e">
        <f>IF(AND(State_LOB_Code=18,LEFT(BW1242,4)&lt;"2009"),81,State_LOB_Code)&amp;"|333"</f>
        <v>#REF!</v>
      </c>
      <c r="BY1242" s="213"/>
      <c r="BZ1242" s="214"/>
    </row>
    <row r="1243" spans="72:78">
      <c r="BT1243" s="187"/>
      <c r="BU1243" s="187" t="s">
        <v>48</v>
      </c>
      <c r="BV1243" s="196">
        <v>120038</v>
      </c>
      <c r="BW1243" s="197" t="e">
        <f t="shared" si="168"/>
        <v>#REF!</v>
      </c>
      <c r="BX1243" s="198" t="e">
        <f>IF(AND(State_LOB_Code=18,LEFT(BW1243,4)&lt;"2009"),81,State_LOB_Code)&amp;"|334"</f>
        <v>#REF!</v>
      </c>
      <c r="BY1243" s="215"/>
      <c r="BZ1243" s="216"/>
    </row>
    <row r="1244" spans="72:78">
      <c r="BT1244" s="187"/>
      <c r="BU1244" s="187" t="s">
        <v>49</v>
      </c>
      <c r="BV1244" s="196">
        <v>120038</v>
      </c>
      <c r="BW1244" s="197" t="e">
        <f t="shared" si="168"/>
        <v>#REF!</v>
      </c>
      <c r="BX1244" s="198" t="e">
        <f>IF(AND(State_LOB_Code=18,LEFT(BW1244,4)&lt;"2009"),81,State_LOB_Code)&amp;"|335"</f>
        <v>#REF!</v>
      </c>
      <c r="BY1244" s="215"/>
      <c r="BZ1244" s="216"/>
    </row>
    <row r="1245" spans="72:78">
      <c r="BT1245" s="187"/>
      <c r="BU1245" s="187" t="s">
        <v>50</v>
      </c>
      <c r="BV1245" s="196">
        <v>120038</v>
      </c>
      <c r="BW1245" s="197" t="e">
        <f t="shared" si="168"/>
        <v>#REF!</v>
      </c>
      <c r="BX1245" s="198" t="e">
        <f>IF(AND(State_LOB_Code=18,LEFT(BW1245,4)&lt;"2009"),81,State_LOB_Code)&amp;"|337"</f>
        <v>#REF!</v>
      </c>
      <c r="BY1245" s="215"/>
      <c r="BZ1245" s="216"/>
    </row>
    <row r="1246" spans="72:78">
      <c r="BT1246" s="187"/>
      <c r="BU1246" s="187" t="s">
        <v>51</v>
      </c>
      <c r="BV1246" s="196">
        <v>120038</v>
      </c>
      <c r="BW1246" s="197" t="e">
        <f t="shared" si="168"/>
        <v>#REF!</v>
      </c>
      <c r="BX1246" s="198" t="e">
        <f>IF(AND(State_LOB_Code=18,LEFT(BW1246,4)&lt;"2009"),81,State_LOB_Code)&amp;"|338"</f>
        <v>#REF!</v>
      </c>
      <c r="BY1246" s="215"/>
      <c r="BZ1246" s="216"/>
    </row>
    <row r="1247" spans="72:78">
      <c r="BT1247" s="187"/>
      <c r="BU1247" s="187" t="s">
        <v>52</v>
      </c>
      <c r="BV1247" s="196">
        <v>120038</v>
      </c>
      <c r="BW1247" s="197" t="e">
        <f t="shared" si="168"/>
        <v>#REF!</v>
      </c>
      <c r="BX1247" s="198" t="e">
        <f>IF(AND(State_LOB_Code=18,LEFT(BW1247,4)&lt;"2009"),81,State_LOB_Code)&amp;"|339"</f>
        <v>#REF!</v>
      </c>
      <c r="BY1247" s="215"/>
      <c r="BZ1247" s="216"/>
    </row>
    <row r="1248" spans="72:78">
      <c r="BT1248" s="187"/>
      <c r="BU1248" s="187" t="s">
        <v>53</v>
      </c>
      <c r="BV1248" s="196">
        <v>120038</v>
      </c>
      <c r="BW1248" s="197" t="e">
        <f t="shared" si="168"/>
        <v>#REF!</v>
      </c>
      <c r="BX1248" s="198" t="e">
        <f>IF(AND(State_LOB_Code=18,LEFT(BW1248,4)&lt;"2009"),81,State_LOB_Code)&amp;"|340"</f>
        <v>#REF!</v>
      </c>
      <c r="BY1248" s="215"/>
      <c r="BZ1248" s="216"/>
    </row>
    <row r="1249" spans="72:78">
      <c r="BT1249" s="187"/>
      <c r="BU1249" s="187" t="s">
        <v>54</v>
      </c>
      <c r="BV1249" s="196">
        <v>120038</v>
      </c>
      <c r="BW1249" s="197" t="e">
        <f t="shared" si="168"/>
        <v>#REF!</v>
      </c>
      <c r="BX1249" s="198" t="e">
        <f>IF(AND(State_LOB_Code=18,LEFT(BW1249,4)&lt;"2009"),81,State_LOB_Code)&amp;"|341"</f>
        <v>#REF!</v>
      </c>
      <c r="BY1249" s="215"/>
      <c r="BZ1249" s="216"/>
    </row>
    <row r="1250" spans="72:78">
      <c r="BT1250" s="187"/>
      <c r="BU1250" s="187" t="s">
        <v>55</v>
      </c>
      <c r="BV1250" s="196">
        <v>120038</v>
      </c>
      <c r="BW1250" s="197" t="e">
        <f t="shared" si="168"/>
        <v>#REF!</v>
      </c>
      <c r="BX1250" s="198" t="e">
        <f>IF(AND(State_LOB_Code=18,LEFT(BW1250,4)&lt;"2009"),81,State_LOB_Code)&amp;"|342"</f>
        <v>#REF!</v>
      </c>
      <c r="BY1250" s="215"/>
      <c r="BZ1250" s="216"/>
    </row>
    <row r="1251" spans="72:78">
      <c r="BT1251" s="187"/>
      <c r="BU1251" s="187" t="s">
        <v>56</v>
      </c>
      <c r="BV1251" s="196">
        <v>120038</v>
      </c>
      <c r="BW1251" s="197" t="e">
        <f t="shared" si="168"/>
        <v>#REF!</v>
      </c>
      <c r="BX1251" s="198" t="e">
        <f>IF(AND(State_LOB_Code=18,LEFT(BW1251,4)&lt;"2009"),81,State_LOB_Code)&amp;"|343"</f>
        <v>#REF!</v>
      </c>
      <c r="BY1251" s="215"/>
      <c r="BZ1251" s="216"/>
    </row>
    <row r="1252" spans="72:78">
      <c r="BT1252" s="187"/>
      <c r="BU1252" s="187" t="s">
        <v>57</v>
      </c>
      <c r="BV1252" s="196">
        <v>120038</v>
      </c>
      <c r="BW1252" s="197" t="e">
        <f t="shared" si="168"/>
        <v>#REF!</v>
      </c>
      <c r="BX1252" s="198" t="e">
        <f>IF(AND(State_LOB_Code=18,LEFT(BW1252,4)&lt;"2009"),81,State_LOB_Code)&amp;"|344"</f>
        <v>#REF!</v>
      </c>
      <c r="BY1252" s="215"/>
      <c r="BZ1252" s="216"/>
    </row>
    <row r="1253" spans="72:78">
      <c r="BT1253" s="187"/>
      <c r="BU1253" s="187" t="s">
        <v>58</v>
      </c>
      <c r="BV1253" s="196">
        <v>120038</v>
      </c>
      <c r="BW1253" s="197" t="e">
        <f t="shared" si="168"/>
        <v>#REF!</v>
      </c>
      <c r="BX1253" s="198" t="e">
        <f>IF(AND(State_LOB_Code=18,LEFT(BW1253,4)&lt;"2009"),81,State_LOB_Code)&amp;"|346"</f>
        <v>#REF!</v>
      </c>
      <c r="BY1253" s="215"/>
      <c r="BZ1253" s="216"/>
    </row>
    <row r="1254" spans="72:78">
      <c r="BT1254" s="187"/>
      <c r="BU1254" s="187" t="s">
        <v>59</v>
      </c>
      <c r="BV1254" s="196">
        <v>120038</v>
      </c>
      <c r="BW1254" s="197" t="e">
        <f t="shared" si="168"/>
        <v>#REF!</v>
      </c>
      <c r="BX1254" s="198" t="e">
        <f>IF(AND(State_LOB_Code=18,LEFT(BW1254,4)&lt;"2009"),81,State_LOB_Code)&amp;"|347"</f>
        <v>#REF!</v>
      </c>
      <c r="BY1254" s="215"/>
      <c r="BZ1254" s="216"/>
    </row>
    <row r="1255" spans="72:78">
      <c r="BT1255" s="187"/>
      <c r="BU1255" s="187" t="s">
        <v>60</v>
      </c>
      <c r="BV1255" s="196">
        <v>120038</v>
      </c>
      <c r="BW1255" s="197" t="e">
        <f t="shared" si="168"/>
        <v>#REF!</v>
      </c>
      <c r="BX1255" s="198" t="e">
        <f>IF(AND(State_LOB_Code=18,LEFT(BW1255,4)&lt;"2009"),81,State_LOB_Code)&amp;"|348"</f>
        <v>#REF!</v>
      </c>
      <c r="BY1255" s="215"/>
      <c r="BZ1255" s="216"/>
    </row>
    <row r="1256" spans="72:78">
      <c r="BT1256" s="187"/>
      <c r="BU1256" s="187" t="s">
        <v>61</v>
      </c>
      <c r="BV1256" s="196">
        <v>120038</v>
      </c>
      <c r="BW1256" s="197" t="e">
        <f t="shared" si="168"/>
        <v>#REF!</v>
      </c>
      <c r="BX1256" s="198" t="e">
        <f>IF(AND(State_LOB_Code=18,LEFT(BW1256,4)&lt;"2009"),81,State_LOB_Code)&amp;"|349"</f>
        <v>#REF!</v>
      </c>
      <c r="BY1256" s="215"/>
      <c r="BZ1256" s="216"/>
    </row>
    <row r="1257" spans="72:78">
      <c r="BT1257" s="187"/>
      <c r="BU1257" s="187" t="s">
        <v>62</v>
      </c>
      <c r="BV1257" s="196">
        <v>120038</v>
      </c>
      <c r="BW1257" s="197" t="e">
        <f t="shared" si="168"/>
        <v>#REF!</v>
      </c>
      <c r="BX1257" s="198" t="e">
        <f>IF(AND(State_LOB_Code=18,LEFT(BW1257,4)&lt;"2009"),81,State_LOB_Code)&amp;"|350"</f>
        <v>#REF!</v>
      </c>
      <c r="BY1257" s="215"/>
      <c r="BZ1257" s="216"/>
    </row>
    <row r="1258" spans="72:78">
      <c r="BT1258" s="187"/>
      <c r="BU1258" s="187" t="s">
        <v>63</v>
      </c>
      <c r="BV1258" s="196">
        <v>120038</v>
      </c>
      <c r="BW1258" s="197" t="e">
        <f t="shared" si="168"/>
        <v>#REF!</v>
      </c>
      <c r="BX1258" s="198" t="e">
        <f>IF(AND(State_LOB_Code=18,LEFT(BW1258,4)&lt;"2009"),81,State_LOB_Code)&amp;"|351"</f>
        <v>#REF!</v>
      </c>
      <c r="BY1258" s="215"/>
      <c r="BZ1258" s="216"/>
    </row>
    <row r="1259" spans="72:78">
      <c r="BT1259" s="187"/>
      <c r="BU1259" s="187" t="s">
        <v>64</v>
      </c>
      <c r="BV1259" s="196">
        <v>120038</v>
      </c>
      <c r="BW1259" s="197" t="e">
        <f t="shared" si="168"/>
        <v>#REF!</v>
      </c>
      <c r="BX1259" s="198" t="e">
        <f>IF(AND(State_LOB_Code=18,LEFT(BW1259,4)&lt;"2009"),81,State_LOB_Code)&amp;"|352"</f>
        <v>#REF!</v>
      </c>
      <c r="BY1259" s="215"/>
      <c r="BZ1259" s="216"/>
    </row>
    <row r="1260" spans="72:78">
      <c r="BT1260" s="187"/>
      <c r="BU1260" s="187" t="s">
        <v>65</v>
      </c>
      <c r="BV1260" s="196">
        <v>120038</v>
      </c>
      <c r="BW1260" s="197" t="e">
        <f t="shared" si="168"/>
        <v>#REF!</v>
      </c>
      <c r="BX1260" s="198" t="e">
        <f>IF(AND(State_LOB_Code=18,LEFT(BW1260,4)&lt;"2009"),81,State_LOB_Code)&amp;"|353"</f>
        <v>#REF!</v>
      </c>
      <c r="BY1260" s="215"/>
      <c r="BZ1260" s="216"/>
    </row>
    <row r="1261" spans="72:78">
      <c r="BT1261" s="187"/>
      <c r="BU1261" s="187" t="s">
        <v>66</v>
      </c>
      <c r="BV1261" s="196">
        <v>120038</v>
      </c>
      <c r="BW1261" s="197" t="e">
        <f t="shared" si="168"/>
        <v>#REF!</v>
      </c>
      <c r="BX1261" s="198" t="e">
        <f>IF(AND(State_LOB_Code=18,LEFT(BW1261,4)&lt;"2009"),81,State_LOB_Code)&amp;"|354"</f>
        <v>#REF!</v>
      </c>
      <c r="BY1261" s="215"/>
      <c r="BZ1261" s="216"/>
    </row>
    <row r="1262" spans="72:78">
      <c r="BT1262" s="187"/>
      <c r="BU1262" s="187" t="s">
        <v>67</v>
      </c>
      <c r="BV1262" s="196">
        <v>120038</v>
      </c>
      <c r="BW1262" s="197" t="e">
        <f t="shared" si="168"/>
        <v>#REF!</v>
      </c>
      <c r="BX1262" s="198" t="e">
        <f>IF(AND(State_LOB_Code=18,LEFT(BW1262,4)&lt;"2009"),81,State_LOB_Code)&amp;"|355"</f>
        <v>#REF!</v>
      </c>
      <c r="BY1262" s="215"/>
      <c r="BZ1262" s="216"/>
    </row>
    <row r="1263" spans="72:78">
      <c r="BT1263" s="187"/>
      <c r="BU1263" s="187" t="s">
        <v>68</v>
      </c>
      <c r="BV1263" s="196">
        <v>120038</v>
      </c>
      <c r="BW1263" s="197" t="e">
        <f t="shared" si="168"/>
        <v>#REF!</v>
      </c>
      <c r="BX1263" s="198" t="e">
        <f>IF(AND(State_LOB_Code=18,LEFT(BW1263,4)&lt;"2009"),81,State_LOB_Code)&amp;"|356"</f>
        <v>#REF!</v>
      </c>
      <c r="BY1263" s="215"/>
      <c r="BZ1263" s="216"/>
    </row>
    <row r="1264" spans="72:78">
      <c r="BT1264" s="187"/>
      <c r="BU1264" s="187" t="s">
        <v>69</v>
      </c>
      <c r="BV1264" s="196">
        <v>120038</v>
      </c>
      <c r="BW1264" s="197" t="e">
        <f t="shared" si="168"/>
        <v>#REF!</v>
      </c>
      <c r="BX1264" s="198" t="e">
        <f>IF(AND(State_LOB_Code=18,LEFT(BW1264,4)&lt;"2009"),81,State_LOB_Code)&amp;"|357"</f>
        <v>#REF!</v>
      </c>
      <c r="BY1264" s="215"/>
      <c r="BZ1264" s="216"/>
    </row>
    <row r="1265" spans="72:78">
      <c r="BT1265" s="187"/>
      <c r="BU1265" s="187" t="s">
        <v>70</v>
      </c>
      <c r="BV1265" s="196">
        <v>120038</v>
      </c>
      <c r="BW1265" s="197" t="e">
        <f t="shared" si="168"/>
        <v>#REF!</v>
      </c>
      <c r="BX1265" s="198" t="e">
        <f>IF(AND(State_LOB_Code=18,LEFT(BW1265,4)&lt;"2009"),81,State_LOB_Code)&amp;"|358"</f>
        <v>#REF!</v>
      </c>
      <c r="BY1265" s="215"/>
      <c r="BZ1265" s="216"/>
    </row>
    <row r="1266" spans="72:78">
      <c r="BT1266" s="187"/>
      <c r="BU1266" s="187" t="s">
        <v>71</v>
      </c>
      <c r="BV1266" s="196">
        <v>120038</v>
      </c>
      <c r="BW1266" s="197" t="e">
        <f t="shared" si="168"/>
        <v>#REF!</v>
      </c>
      <c r="BX1266" s="198" t="e">
        <f>IF(AND(State_LOB_Code=18,LEFT(BW1266,4)&lt;"2009"),81,State_LOB_Code)&amp;"|359"</f>
        <v>#REF!</v>
      </c>
      <c r="BY1266" s="215"/>
      <c r="BZ1266" s="216"/>
    </row>
    <row r="1267" spans="72:78">
      <c r="BT1267" s="187"/>
      <c r="BU1267" s="187" t="s">
        <v>72</v>
      </c>
      <c r="BV1267" s="196">
        <v>120038</v>
      </c>
      <c r="BW1267" s="197" t="e">
        <f t="shared" si="168"/>
        <v>#REF!</v>
      </c>
      <c r="BX1267" s="198" t="e">
        <f>IF(AND(State_LOB_Code=18,LEFT(BW1267,4)&lt;"2009"),81,State_LOB_Code)&amp;"|361"</f>
        <v>#REF!</v>
      </c>
      <c r="BY1267" s="215"/>
      <c r="BZ1267" s="216"/>
    </row>
    <row r="1268" spans="72:78">
      <c r="BT1268" s="187"/>
      <c r="BU1268" s="187" t="s">
        <v>73</v>
      </c>
      <c r="BV1268" s="196">
        <v>120038</v>
      </c>
      <c r="BW1268" s="197" t="e">
        <f t="shared" si="168"/>
        <v>#REF!</v>
      </c>
      <c r="BX1268" s="198" t="e">
        <f>IF(AND(State_LOB_Code=18,LEFT(BW1268,4)&lt;"2009"),81,State_LOB_Code)&amp;"|362"</f>
        <v>#REF!</v>
      </c>
      <c r="BY1268" s="215"/>
      <c r="BZ1268" s="216"/>
    </row>
    <row r="1269" spans="72:78">
      <c r="BT1269" s="187"/>
      <c r="BU1269" s="187" t="s">
        <v>74</v>
      </c>
      <c r="BV1269" s="196">
        <v>120038</v>
      </c>
      <c r="BW1269" s="197" t="e">
        <f t="shared" si="168"/>
        <v>#REF!</v>
      </c>
      <c r="BX1269" s="198" t="e">
        <f>IF(AND(State_LOB_Code=18,LEFT(BW1269,4)&lt;"2009"),81,State_LOB_Code)&amp;"|363"</f>
        <v>#REF!</v>
      </c>
      <c r="BY1269" s="215"/>
      <c r="BZ1269" s="216"/>
    </row>
    <row r="1270" spans="72:78">
      <c r="BT1270" s="187"/>
      <c r="BU1270" s="187" t="s">
        <v>75</v>
      </c>
      <c r="BV1270" s="196">
        <v>120038</v>
      </c>
      <c r="BW1270" s="197" t="e">
        <f t="shared" si="168"/>
        <v>#REF!</v>
      </c>
      <c r="BX1270" s="198" t="e">
        <f>IF(AND(State_LOB_Code=18,LEFT(BW1270,4)&lt;"2009"),81,State_LOB_Code)&amp;"|364"</f>
        <v>#REF!</v>
      </c>
      <c r="BY1270" s="215"/>
      <c r="BZ1270" s="216"/>
    </row>
    <row r="1271" spans="72:78">
      <c r="BT1271" s="187"/>
      <c r="BU1271" s="187" t="s">
        <v>76</v>
      </c>
      <c r="BV1271" s="196">
        <v>120038</v>
      </c>
      <c r="BW1271" s="197" t="e">
        <f t="shared" si="168"/>
        <v>#REF!</v>
      </c>
      <c r="BX1271" s="198" t="e">
        <f>IF(AND(State_LOB_Code=18,LEFT(BW1271,4)&lt;"2009"),81,State_LOB_Code)&amp;"|365"</f>
        <v>#REF!</v>
      </c>
      <c r="BY1271" s="215"/>
      <c r="BZ1271" s="216"/>
    </row>
    <row r="1272" spans="72:78">
      <c r="BT1272" s="187"/>
      <c r="BU1272" s="187" t="s">
        <v>77</v>
      </c>
      <c r="BV1272" s="196">
        <v>120038</v>
      </c>
      <c r="BW1272" s="197" t="e">
        <f t="shared" si="168"/>
        <v>#REF!</v>
      </c>
      <c r="BX1272" s="198" t="e">
        <f>IF(AND(State_LOB_Code=18,LEFT(BW1272,4)&lt;"2009"),81,State_LOB_Code)&amp;"|366"</f>
        <v>#REF!</v>
      </c>
      <c r="BY1272" s="215"/>
      <c r="BZ1272" s="216"/>
    </row>
    <row r="1273" spans="72:78">
      <c r="BT1273" s="187"/>
      <c r="BU1273" s="187" t="s">
        <v>78</v>
      </c>
      <c r="BV1273" s="196">
        <v>120038</v>
      </c>
      <c r="BW1273" s="197" t="e">
        <f t="shared" si="168"/>
        <v>#REF!</v>
      </c>
      <c r="BX1273" s="198" t="e">
        <f>IF(AND(State_LOB_Code=18,LEFT(BW1273,4)&lt;"2009"),81,State_LOB_Code)&amp;"|367"</f>
        <v>#REF!</v>
      </c>
      <c r="BY1273" s="215"/>
      <c r="BZ1273" s="216"/>
    </row>
    <row r="1274" spans="72:78">
      <c r="BT1274" s="187"/>
      <c r="BU1274" s="187" t="s">
        <v>79</v>
      </c>
      <c r="BV1274" s="196">
        <v>120038</v>
      </c>
      <c r="BW1274" s="197" t="e">
        <f t="shared" ref="BW1274:BW1301" si="169">Period_Y</f>
        <v>#REF!</v>
      </c>
      <c r="BX1274" s="198" t="e">
        <f>IF(AND(State_LOB_Code=18,LEFT(BW1274,4)&lt;"2009"),81,State_LOB_Code)&amp;"|368"</f>
        <v>#REF!</v>
      </c>
      <c r="BY1274" s="215"/>
      <c r="BZ1274" s="216"/>
    </row>
    <row r="1275" spans="72:78">
      <c r="BT1275" s="187"/>
      <c r="BU1275" s="187" t="s">
        <v>80</v>
      </c>
      <c r="BV1275" s="196">
        <v>120038</v>
      </c>
      <c r="BW1275" s="197" t="e">
        <f t="shared" si="169"/>
        <v>#REF!</v>
      </c>
      <c r="BX1275" s="198" t="e">
        <f>IF(AND(State_LOB_Code=18,LEFT(BW1275,4)&lt;"2009"),81,State_LOB_Code)&amp;"|369"</f>
        <v>#REF!</v>
      </c>
      <c r="BY1275" s="215"/>
      <c r="BZ1275" s="216"/>
    </row>
    <row r="1276" spans="72:78">
      <c r="BT1276" s="187"/>
      <c r="BU1276" s="187" t="s">
        <v>81</v>
      </c>
      <c r="BV1276" s="196">
        <v>120038</v>
      </c>
      <c r="BW1276" s="197" t="e">
        <f t="shared" si="169"/>
        <v>#REF!</v>
      </c>
      <c r="BX1276" s="198" t="e">
        <f>IF(AND(State_LOB_Code=18,LEFT(BW1276,4)&lt;"2009"),81,State_LOB_Code)&amp;"|370"</f>
        <v>#REF!</v>
      </c>
      <c r="BY1276" s="215"/>
      <c r="BZ1276" s="216"/>
    </row>
    <row r="1277" spans="72:78">
      <c r="BT1277" s="187"/>
      <c r="BU1277" s="187" t="s">
        <v>82</v>
      </c>
      <c r="BV1277" s="196">
        <v>120038</v>
      </c>
      <c r="BW1277" s="197" t="e">
        <f t="shared" si="169"/>
        <v>#REF!</v>
      </c>
      <c r="BX1277" s="198" t="e">
        <f>IF(AND(State_LOB_Code=18,LEFT(BW1277,4)&lt;"2009"),81,State_LOB_Code)&amp;"|371"</f>
        <v>#REF!</v>
      </c>
      <c r="BY1277" s="215"/>
      <c r="BZ1277" s="216"/>
    </row>
    <row r="1278" spans="72:78">
      <c r="BT1278" s="187"/>
      <c r="BU1278" s="187" t="s">
        <v>83</v>
      </c>
      <c r="BV1278" s="196">
        <v>120038</v>
      </c>
      <c r="BW1278" s="197" t="e">
        <f t="shared" si="169"/>
        <v>#REF!</v>
      </c>
      <c r="BX1278" s="198" t="e">
        <f>IF(AND(State_LOB_Code=18,LEFT(BW1278,4)&lt;"2009"),81,State_LOB_Code)&amp;"|372"</f>
        <v>#REF!</v>
      </c>
      <c r="BY1278" s="215"/>
      <c r="BZ1278" s="216"/>
    </row>
    <row r="1279" spans="72:78">
      <c r="BT1279" s="187"/>
      <c r="BU1279" s="187" t="s">
        <v>84</v>
      </c>
      <c r="BV1279" s="196">
        <v>120038</v>
      </c>
      <c r="BW1279" s="197" t="e">
        <f t="shared" si="169"/>
        <v>#REF!</v>
      </c>
      <c r="BX1279" s="198" t="e">
        <f>IF(AND(State_LOB_Code=18,LEFT(BW1279,4)&lt;"2009"),81,State_LOB_Code)&amp;"|373"</f>
        <v>#REF!</v>
      </c>
      <c r="BY1279" s="215"/>
      <c r="BZ1279" s="216"/>
    </row>
    <row r="1280" spans="72:78">
      <c r="BT1280" s="187"/>
      <c r="BU1280" s="187" t="s">
        <v>85</v>
      </c>
      <c r="BV1280" s="196">
        <v>120038</v>
      </c>
      <c r="BW1280" s="197" t="e">
        <f t="shared" si="169"/>
        <v>#REF!</v>
      </c>
      <c r="BX1280" s="198" t="e">
        <f>IF(AND(State_LOB_Code=18,LEFT(BW1280,4)&lt;"2009"),81,State_LOB_Code)&amp;"|374"</f>
        <v>#REF!</v>
      </c>
      <c r="BY1280" s="215"/>
      <c r="BZ1280" s="216"/>
    </row>
    <row r="1281" spans="72:78">
      <c r="BT1281" s="187"/>
      <c r="BU1281" s="187" t="s">
        <v>86</v>
      </c>
      <c r="BV1281" s="196">
        <v>120038</v>
      </c>
      <c r="BW1281" s="197" t="e">
        <f t="shared" si="169"/>
        <v>#REF!</v>
      </c>
      <c r="BX1281" s="198" t="e">
        <f>IF(AND(State_LOB_Code=18,LEFT(BW1281,4)&lt;"2009"),81,State_LOB_Code)&amp;"|376"</f>
        <v>#REF!</v>
      </c>
      <c r="BY1281" s="215"/>
      <c r="BZ1281" s="216"/>
    </row>
    <row r="1282" spans="72:78">
      <c r="BT1282" s="187"/>
      <c r="BU1282" s="187" t="s">
        <v>87</v>
      </c>
      <c r="BV1282" s="196">
        <v>120038</v>
      </c>
      <c r="BW1282" s="197" t="e">
        <f t="shared" si="169"/>
        <v>#REF!</v>
      </c>
      <c r="BX1282" s="198" t="e">
        <f>IF(AND(State_LOB_Code=18,LEFT(BW1282,4)&lt;"2009"),81,State_LOB_Code)&amp;"|377"</f>
        <v>#REF!</v>
      </c>
      <c r="BY1282" s="215"/>
      <c r="BZ1282" s="216"/>
    </row>
    <row r="1283" spans="72:78">
      <c r="BT1283" s="187"/>
      <c r="BU1283" s="187" t="s">
        <v>88</v>
      </c>
      <c r="BV1283" s="196">
        <v>120038</v>
      </c>
      <c r="BW1283" s="197" t="e">
        <f t="shared" si="169"/>
        <v>#REF!</v>
      </c>
      <c r="BX1283" s="198" t="e">
        <f>IF(AND(State_LOB_Code=18,LEFT(BW1283,4)&lt;"2009"),81,State_LOB_Code)&amp;"|378"</f>
        <v>#REF!</v>
      </c>
      <c r="BY1283" s="215"/>
      <c r="BZ1283" s="216"/>
    </row>
    <row r="1284" spans="72:78">
      <c r="BT1284" s="187"/>
      <c r="BU1284" s="187" t="s">
        <v>89</v>
      </c>
      <c r="BV1284" s="196">
        <v>120038</v>
      </c>
      <c r="BW1284" s="197" t="e">
        <f t="shared" si="169"/>
        <v>#REF!</v>
      </c>
      <c r="BX1284" s="198" t="e">
        <f>IF(AND(State_LOB_Code=18,LEFT(BW1284,4)&lt;"2009"),81,State_LOB_Code)&amp;"|379"</f>
        <v>#REF!</v>
      </c>
      <c r="BY1284" s="215"/>
      <c r="BZ1284" s="216"/>
    </row>
    <row r="1285" spans="72:78">
      <c r="BT1285" s="187"/>
      <c r="BU1285" s="187" t="s">
        <v>90</v>
      </c>
      <c r="BV1285" s="196">
        <v>120038</v>
      </c>
      <c r="BW1285" s="197" t="e">
        <f t="shared" si="169"/>
        <v>#REF!</v>
      </c>
      <c r="BX1285" s="198" t="e">
        <f>IF(AND(State_LOB_Code=18,LEFT(BW1285,4)&lt;"2009"),81,State_LOB_Code)&amp;"|380"</f>
        <v>#REF!</v>
      </c>
      <c r="BY1285" s="215"/>
      <c r="BZ1285" s="216"/>
    </row>
    <row r="1286" spans="72:78">
      <c r="BT1286" s="187"/>
      <c r="BU1286" s="187" t="s">
        <v>91</v>
      </c>
      <c r="BV1286" s="196">
        <v>120038</v>
      </c>
      <c r="BW1286" s="197" t="e">
        <f t="shared" si="169"/>
        <v>#REF!</v>
      </c>
      <c r="BX1286" s="198" t="e">
        <f>IF(AND(State_LOB_Code=18,LEFT(BW1286,4)&lt;"2009"),81,State_LOB_Code)&amp;"|381"</f>
        <v>#REF!</v>
      </c>
      <c r="BY1286" s="215"/>
      <c r="BZ1286" s="216"/>
    </row>
    <row r="1287" spans="72:78">
      <c r="BT1287" s="187"/>
      <c r="BU1287" s="187" t="s">
        <v>92</v>
      </c>
      <c r="BV1287" s="196">
        <v>120038</v>
      </c>
      <c r="BW1287" s="197" t="e">
        <f t="shared" si="169"/>
        <v>#REF!</v>
      </c>
      <c r="BX1287" s="198" t="e">
        <f>IF(AND(State_LOB_Code=18,LEFT(BW1287,4)&lt;"2009"),81,State_LOB_Code)&amp;"|382"</f>
        <v>#REF!</v>
      </c>
      <c r="BY1287" s="215"/>
      <c r="BZ1287" s="216"/>
    </row>
    <row r="1288" spans="72:78">
      <c r="BT1288" s="187"/>
      <c r="BU1288" s="187" t="s">
        <v>93</v>
      </c>
      <c r="BV1288" s="196">
        <v>120038</v>
      </c>
      <c r="BW1288" s="197" t="e">
        <f t="shared" si="169"/>
        <v>#REF!</v>
      </c>
      <c r="BX1288" s="198" t="e">
        <f>IF(AND(State_LOB_Code=18,LEFT(BW1288,4)&lt;"2009"),81,State_LOB_Code)&amp;"|384"</f>
        <v>#REF!</v>
      </c>
      <c r="BY1288" s="215"/>
      <c r="BZ1288" s="216"/>
    </row>
    <row r="1289" spans="72:78">
      <c r="BT1289" s="187"/>
      <c r="BU1289" s="187" t="s">
        <v>94</v>
      </c>
      <c r="BV1289" s="196">
        <v>120038</v>
      </c>
      <c r="BW1289" s="197" t="e">
        <f t="shared" si="169"/>
        <v>#REF!</v>
      </c>
      <c r="BX1289" s="198" t="e">
        <f>IF(AND(State_LOB_Code=18,LEFT(BW1289,4)&lt;"2009"),81,State_LOB_Code)&amp;"|385"</f>
        <v>#REF!</v>
      </c>
      <c r="BY1289" s="215"/>
      <c r="BZ1289" s="216"/>
    </row>
    <row r="1290" spans="72:78">
      <c r="BT1290" s="187"/>
      <c r="BU1290" s="187" t="s">
        <v>95</v>
      </c>
      <c r="BV1290" s="196">
        <v>120038</v>
      </c>
      <c r="BW1290" s="197" t="e">
        <f t="shared" si="169"/>
        <v>#REF!</v>
      </c>
      <c r="BX1290" s="198" t="e">
        <f>IF(AND(State_LOB_Code=18,LEFT(BW1290,4)&lt;"2009"),81,State_LOB_Code)&amp;"|386"</f>
        <v>#REF!</v>
      </c>
      <c r="BY1290" s="215"/>
      <c r="BZ1290" s="216"/>
    </row>
    <row r="1291" spans="72:78">
      <c r="BT1291" s="187"/>
      <c r="BU1291" s="187" t="s">
        <v>96</v>
      </c>
      <c r="BV1291" s="196">
        <v>120038</v>
      </c>
      <c r="BW1291" s="197" t="e">
        <f t="shared" si="169"/>
        <v>#REF!</v>
      </c>
      <c r="BX1291" s="198" t="e">
        <f>IF(AND(State_LOB_Code=18,LEFT(BW1291,4)&lt;"2009"),81,State_LOB_Code)&amp;"|387"</f>
        <v>#REF!</v>
      </c>
      <c r="BY1291" s="215"/>
      <c r="BZ1291" s="216"/>
    </row>
    <row r="1292" spans="72:78">
      <c r="BT1292" s="187"/>
      <c r="BU1292" s="187" t="s">
        <v>97</v>
      </c>
      <c r="BV1292" s="196">
        <v>120038</v>
      </c>
      <c r="BW1292" s="197" t="e">
        <f t="shared" si="169"/>
        <v>#REF!</v>
      </c>
      <c r="BX1292" s="198" t="e">
        <f>IF(AND(State_LOB_Code=18,LEFT(BW1292,4)&lt;"2009"),81,State_LOB_Code)&amp;"|388"</f>
        <v>#REF!</v>
      </c>
      <c r="BY1292" s="215"/>
      <c r="BZ1292" s="216"/>
    </row>
    <row r="1293" spans="72:78">
      <c r="BT1293" s="187"/>
      <c r="BU1293" s="189" t="s">
        <v>137</v>
      </c>
      <c r="BV1293" s="199">
        <v>120038</v>
      </c>
      <c r="BW1293" s="200" t="e">
        <f t="shared" si="169"/>
        <v>#REF!</v>
      </c>
      <c r="BX1293" s="201" t="e">
        <f>IF(AND(State_LOB_Code=18,LEFT(BW1293,4)&lt;"2009"),81,State_LOB_Code)&amp;"|600"</f>
        <v>#REF!</v>
      </c>
      <c r="BY1293" s="217"/>
      <c r="BZ1293" s="218"/>
    </row>
    <row r="1294" spans="72:78">
      <c r="BT1294" s="187"/>
      <c r="BU1294" s="187" t="s">
        <v>98</v>
      </c>
      <c r="BV1294" s="196">
        <v>120038</v>
      </c>
      <c r="BW1294" s="197" t="e">
        <f t="shared" si="169"/>
        <v>#REF!</v>
      </c>
      <c r="BX1294" s="198" t="e">
        <f>IF(AND(State_LOB_Code=18,LEFT(BW1294,4)&lt;"2009"),81,State_LOB_Code)&amp;"|336"</f>
        <v>#REF!</v>
      </c>
      <c r="BY1294" s="215"/>
      <c r="BZ1294" s="216"/>
    </row>
    <row r="1295" spans="72:78">
      <c r="BT1295" s="187"/>
      <c r="BU1295" s="187" t="s">
        <v>99</v>
      </c>
      <c r="BV1295" s="196">
        <v>120038</v>
      </c>
      <c r="BW1295" s="197" t="e">
        <f t="shared" si="169"/>
        <v>#REF!</v>
      </c>
      <c r="BX1295" s="198" t="e">
        <f>IF(AND(State_LOB_Code=18,LEFT(BW1295,4)&lt;"2009"),81,State_LOB_Code)&amp;"|345"</f>
        <v>#REF!</v>
      </c>
      <c r="BY1295" s="215"/>
      <c r="BZ1295" s="216"/>
    </row>
    <row r="1296" spans="72:78">
      <c r="BT1296" s="187"/>
      <c r="BU1296" s="187" t="s">
        <v>100</v>
      </c>
      <c r="BV1296" s="196">
        <v>120038</v>
      </c>
      <c r="BW1296" s="197" t="e">
        <f t="shared" si="169"/>
        <v>#REF!</v>
      </c>
      <c r="BX1296" s="198" t="e">
        <f>IF(AND(State_LOB_Code=18,LEFT(BW1296,4)&lt;"2009"),81,State_LOB_Code)&amp;"|360"</f>
        <v>#REF!</v>
      </c>
      <c r="BY1296" s="215"/>
      <c r="BZ1296" s="216"/>
    </row>
    <row r="1297" spans="72:78">
      <c r="BT1297" s="187"/>
      <c r="BU1297" s="187" t="s">
        <v>101</v>
      </c>
      <c r="BV1297" s="196">
        <v>120038</v>
      </c>
      <c r="BW1297" s="197" t="e">
        <f t="shared" si="169"/>
        <v>#REF!</v>
      </c>
      <c r="BX1297" s="198" t="e">
        <f>IF(AND(State_LOB_Code=18,LEFT(BW1297,4)&lt;"2009"),81,State_LOB_Code)&amp;"|375"</f>
        <v>#REF!</v>
      </c>
      <c r="BY1297" s="215"/>
      <c r="BZ1297" s="216"/>
    </row>
    <row r="1298" spans="72:78">
      <c r="BT1298" s="187"/>
      <c r="BU1298" s="187" t="s">
        <v>102</v>
      </c>
      <c r="BV1298" s="196">
        <v>120038</v>
      </c>
      <c r="BW1298" s="197" t="e">
        <f t="shared" si="169"/>
        <v>#REF!</v>
      </c>
      <c r="BX1298" s="198" t="e">
        <f>IF(AND(State_LOB_Code=18,LEFT(BW1298,4)&lt;"2009"),81,State_LOB_Code)&amp;"|383"</f>
        <v>#REF!</v>
      </c>
      <c r="BY1298" s="215"/>
      <c r="BZ1298" s="216"/>
    </row>
    <row r="1299" spans="72:78">
      <c r="BT1299" s="187"/>
      <c r="BU1299" s="187" t="s">
        <v>103</v>
      </c>
      <c r="BV1299" s="196">
        <v>120038</v>
      </c>
      <c r="BW1299" s="197" t="e">
        <f t="shared" si="169"/>
        <v>#REF!</v>
      </c>
      <c r="BX1299" s="198" t="e">
        <f>IF(AND(State_LOB_Code=18,LEFT(BW1299,4)&lt;"2009"),81,State_LOB_Code)&amp;"|332"</f>
        <v>#REF!</v>
      </c>
      <c r="BY1299" s="215"/>
      <c r="BZ1299" s="216"/>
    </row>
    <row r="1300" spans="72:78">
      <c r="BT1300" s="187"/>
      <c r="BU1300" s="187" t="s">
        <v>104</v>
      </c>
      <c r="BV1300" s="196">
        <v>120038</v>
      </c>
      <c r="BW1300" s="197" t="e">
        <f t="shared" si="169"/>
        <v>#REF!</v>
      </c>
      <c r="BX1300" s="198" t="e">
        <f>IF(AND(State_LOB_Code=18,LEFT(BW1300,4)&lt;"2009"),81,State_LOB_Code)&amp;"|330"</f>
        <v>#REF!</v>
      </c>
      <c r="BY1300" s="215"/>
      <c r="BZ1300" s="216"/>
    </row>
    <row r="1301" spans="72:78">
      <c r="BT1301" s="187"/>
      <c r="BU1301" s="190" t="s">
        <v>46</v>
      </c>
      <c r="BV1301" s="202">
        <v>120059</v>
      </c>
      <c r="BW1301" s="203" t="e">
        <f t="shared" si="169"/>
        <v>#REF!</v>
      </c>
      <c r="BX1301" s="204" t="e">
        <f>IF(AND(State_LOB_Code=18,LEFT(BW1301,4)&lt;"2009"),81,State_LOB_Code)</f>
        <v>#REF!</v>
      </c>
      <c r="BY1301" s="219"/>
      <c r="BZ1301" s="220"/>
    </row>
    <row r="1302" spans="72:78">
      <c r="BT1302" s="187"/>
      <c r="BU1302" s="187"/>
      <c r="BV1302" s="188"/>
      <c r="BW1302" s="188"/>
      <c r="BX1302" s="188"/>
      <c r="BY1302" s="215"/>
      <c r="BZ1302" s="216"/>
    </row>
    <row r="1303" spans="72:78">
      <c r="BT1303" s="187"/>
      <c r="BU1303" s="184" t="s">
        <v>47</v>
      </c>
      <c r="BV1303" s="193">
        <v>120038</v>
      </c>
      <c r="BW1303" s="194" t="e">
        <f t="shared" ref="BW1303:BW1334" si="170">LEFT(BW1242,4)-1&amp;"Y"</f>
        <v>#REF!</v>
      </c>
      <c r="BX1303" s="195" t="e">
        <f>IF(AND(State_LOB_Code=18,LEFT(BW1303,4)&lt;"2009"),81,State_LOB_Code)&amp;"|333"</f>
        <v>#REF!</v>
      </c>
      <c r="BY1303" s="213"/>
      <c r="BZ1303" s="214"/>
    </row>
    <row r="1304" spans="72:78">
      <c r="BT1304" s="187"/>
      <c r="BU1304" s="187" t="s">
        <v>48</v>
      </c>
      <c r="BV1304" s="196">
        <v>120038</v>
      </c>
      <c r="BW1304" s="197" t="e">
        <f t="shared" si="170"/>
        <v>#REF!</v>
      </c>
      <c r="BX1304" s="198" t="e">
        <f>IF(AND(State_LOB_Code=18,LEFT(BW1304,4)&lt;"2009"),81,State_LOB_Code)&amp;"|334"</f>
        <v>#REF!</v>
      </c>
      <c r="BY1304" s="215"/>
      <c r="BZ1304" s="216"/>
    </row>
    <row r="1305" spans="72:78">
      <c r="BT1305" s="187"/>
      <c r="BU1305" s="187" t="s">
        <v>49</v>
      </c>
      <c r="BV1305" s="196">
        <v>120038</v>
      </c>
      <c r="BW1305" s="197" t="e">
        <f t="shared" si="170"/>
        <v>#REF!</v>
      </c>
      <c r="BX1305" s="198" t="e">
        <f>IF(AND(State_LOB_Code=18,LEFT(BW1305,4)&lt;"2009"),81,State_LOB_Code)&amp;"|335"</f>
        <v>#REF!</v>
      </c>
      <c r="BY1305" s="215"/>
      <c r="BZ1305" s="216"/>
    </row>
    <row r="1306" spans="72:78">
      <c r="BT1306" s="187"/>
      <c r="BU1306" s="187" t="s">
        <v>50</v>
      </c>
      <c r="BV1306" s="196">
        <v>120038</v>
      </c>
      <c r="BW1306" s="197" t="e">
        <f t="shared" si="170"/>
        <v>#REF!</v>
      </c>
      <c r="BX1306" s="198" t="e">
        <f>IF(AND(State_LOB_Code=18,LEFT(BW1306,4)&lt;"2009"),81,State_LOB_Code)&amp;"|337"</f>
        <v>#REF!</v>
      </c>
      <c r="BY1306" s="215"/>
      <c r="BZ1306" s="216"/>
    </row>
    <row r="1307" spans="72:78">
      <c r="BT1307" s="187"/>
      <c r="BU1307" s="187" t="s">
        <v>51</v>
      </c>
      <c r="BV1307" s="196">
        <v>120038</v>
      </c>
      <c r="BW1307" s="197" t="e">
        <f t="shared" si="170"/>
        <v>#REF!</v>
      </c>
      <c r="BX1307" s="198" t="e">
        <f>IF(AND(State_LOB_Code=18,LEFT(BW1307,4)&lt;"2009"),81,State_LOB_Code)&amp;"|338"</f>
        <v>#REF!</v>
      </c>
      <c r="BY1307" s="215"/>
      <c r="BZ1307" s="216"/>
    </row>
    <row r="1308" spans="72:78">
      <c r="BT1308" s="187"/>
      <c r="BU1308" s="187" t="s">
        <v>52</v>
      </c>
      <c r="BV1308" s="196">
        <v>120038</v>
      </c>
      <c r="BW1308" s="197" t="e">
        <f t="shared" si="170"/>
        <v>#REF!</v>
      </c>
      <c r="BX1308" s="198" t="e">
        <f>IF(AND(State_LOB_Code=18,LEFT(BW1308,4)&lt;"2009"),81,State_LOB_Code)&amp;"|339"</f>
        <v>#REF!</v>
      </c>
      <c r="BY1308" s="215"/>
      <c r="BZ1308" s="216"/>
    </row>
    <row r="1309" spans="72:78">
      <c r="BT1309" s="187"/>
      <c r="BU1309" s="187" t="s">
        <v>53</v>
      </c>
      <c r="BV1309" s="196">
        <v>120038</v>
      </c>
      <c r="BW1309" s="197" t="e">
        <f t="shared" si="170"/>
        <v>#REF!</v>
      </c>
      <c r="BX1309" s="198" t="e">
        <f>IF(AND(State_LOB_Code=18,LEFT(BW1309,4)&lt;"2009"),81,State_LOB_Code)&amp;"|340"</f>
        <v>#REF!</v>
      </c>
      <c r="BY1309" s="215"/>
      <c r="BZ1309" s="216"/>
    </row>
    <row r="1310" spans="72:78">
      <c r="BT1310" s="187"/>
      <c r="BU1310" s="187" t="s">
        <v>54</v>
      </c>
      <c r="BV1310" s="196">
        <v>120038</v>
      </c>
      <c r="BW1310" s="197" t="e">
        <f t="shared" si="170"/>
        <v>#REF!</v>
      </c>
      <c r="BX1310" s="198" t="e">
        <f>IF(AND(State_LOB_Code=18,LEFT(BW1310,4)&lt;"2009"),81,State_LOB_Code)&amp;"|341"</f>
        <v>#REF!</v>
      </c>
      <c r="BY1310" s="215"/>
      <c r="BZ1310" s="216"/>
    </row>
    <row r="1311" spans="72:78">
      <c r="BT1311" s="187"/>
      <c r="BU1311" s="187" t="s">
        <v>55</v>
      </c>
      <c r="BV1311" s="196">
        <v>120038</v>
      </c>
      <c r="BW1311" s="197" t="e">
        <f t="shared" si="170"/>
        <v>#REF!</v>
      </c>
      <c r="BX1311" s="198" t="e">
        <f>IF(AND(State_LOB_Code=18,LEFT(BW1311,4)&lt;"2009"),81,State_LOB_Code)&amp;"|342"</f>
        <v>#REF!</v>
      </c>
      <c r="BY1311" s="215"/>
      <c r="BZ1311" s="216"/>
    </row>
    <row r="1312" spans="72:78">
      <c r="BT1312" s="187"/>
      <c r="BU1312" s="187" t="s">
        <v>56</v>
      </c>
      <c r="BV1312" s="196">
        <v>120038</v>
      </c>
      <c r="BW1312" s="197" t="e">
        <f t="shared" si="170"/>
        <v>#REF!</v>
      </c>
      <c r="BX1312" s="198" t="e">
        <f>IF(AND(State_LOB_Code=18,LEFT(BW1312,4)&lt;"2009"),81,State_LOB_Code)&amp;"|343"</f>
        <v>#REF!</v>
      </c>
      <c r="BY1312" s="215"/>
      <c r="BZ1312" s="216"/>
    </row>
    <row r="1313" spans="72:78">
      <c r="BT1313" s="187"/>
      <c r="BU1313" s="187" t="s">
        <v>57</v>
      </c>
      <c r="BV1313" s="196">
        <v>120038</v>
      </c>
      <c r="BW1313" s="197" t="e">
        <f t="shared" si="170"/>
        <v>#REF!</v>
      </c>
      <c r="BX1313" s="198" t="e">
        <f>IF(AND(State_LOB_Code=18,LEFT(BW1313,4)&lt;"2009"),81,State_LOB_Code)&amp;"|344"</f>
        <v>#REF!</v>
      </c>
      <c r="BY1313" s="215"/>
      <c r="BZ1313" s="216"/>
    </row>
    <row r="1314" spans="72:78">
      <c r="BT1314" s="187"/>
      <c r="BU1314" s="187" t="s">
        <v>58</v>
      </c>
      <c r="BV1314" s="196">
        <v>120038</v>
      </c>
      <c r="BW1314" s="197" t="e">
        <f t="shared" si="170"/>
        <v>#REF!</v>
      </c>
      <c r="BX1314" s="198" t="e">
        <f>IF(AND(State_LOB_Code=18,LEFT(BW1314,4)&lt;"2009"),81,State_LOB_Code)&amp;"|346"</f>
        <v>#REF!</v>
      </c>
      <c r="BY1314" s="215"/>
      <c r="BZ1314" s="216"/>
    </row>
    <row r="1315" spans="72:78">
      <c r="BT1315" s="187"/>
      <c r="BU1315" s="187" t="s">
        <v>59</v>
      </c>
      <c r="BV1315" s="196">
        <v>120038</v>
      </c>
      <c r="BW1315" s="197" t="e">
        <f t="shared" si="170"/>
        <v>#REF!</v>
      </c>
      <c r="BX1315" s="198" t="e">
        <f>IF(AND(State_LOB_Code=18,LEFT(BW1315,4)&lt;"2009"),81,State_LOB_Code)&amp;"|347"</f>
        <v>#REF!</v>
      </c>
      <c r="BY1315" s="215"/>
      <c r="BZ1315" s="216"/>
    </row>
    <row r="1316" spans="72:78">
      <c r="BT1316" s="187"/>
      <c r="BU1316" s="187" t="s">
        <v>60</v>
      </c>
      <c r="BV1316" s="196">
        <v>120038</v>
      </c>
      <c r="BW1316" s="197" t="e">
        <f t="shared" si="170"/>
        <v>#REF!</v>
      </c>
      <c r="BX1316" s="198" t="e">
        <f>IF(AND(State_LOB_Code=18,LEFT(BW1316,4)&lt;"2009"),81,State_LOB_Code)&amp;"|348"</f>
        <v>#REF!</v>
      </c>
      <c r="BY1316" s="215"/>
      <c r="BZ1316" s="216"/>
    </row>
    <row r="1317" spans="72:78">
      <c r="BT1317" s="187"/>
      <c r="BU1317" s="187" t="s">
        <v>61</v>
      </c>
      <c r="BV1317" s="196">
        <v>120038</v>
      </c>
      <c r="BW1317" s="197" t="e">
        <f t="shared" si="170"/>
        <v>#REF!</v>
      </c>
      <c r="BX1317" s="198" t="e">
        <f>IF(AND(State_LOB_Code=18,LEFT(BW1317,4)&lt;"2009"),81,State_LOB_Code)&amp;"|349"</f>
        <v>#REF!</v>
      </c>
      <c r="BY1317" s="215"/>
      <c r="BZ1317" s="216"/>
    </row>
    <row r="1318" spans="72:78">
      <c r="BT1318" s="187"/>
      <c r="BU1318" s="187" t="s">
        <v>62</v>
      </c>
      <c r="BV1318" s="196">
        <v>120038</v>
      </c>
      <c r="BW1318" s="197" t="e">
        <f t="shared" si="170"/>
        <v>#REF!</v>
      </c>
      <c r="BX1318" s="198" t="e">
        <f>IF(AND(State_LOB_Code=18,LEFT(BW1318,4)&lt;"2009"),81,State_LOB_Code)&amp;"|350"</f>
        <v>#REF!</v>
      </c>
      <c r="BY1318" s="215"/>
      <c r="BZ1318" s="216"/>
    </row>
    <row r="1319" spans="72:78">
      <c r="BT1319" s="187"/>
      <c r="BU1319" s="187" t="s">
        <v>63</v>
      </c>
      <c r="BV1319" s="196">
        <v>120038</v>
      </c>
      <c r="BW1319" s="197" t="e">
        <f t="shared" si="170"/>
        <v>#REF!</v>
      </c>
      <c r="BX1319" s="198" t="e">
        <f>IF(AND(State_LOB_Code=18,LEFT(BW1319,4)&lt;"2009"),81,State_LOB_Code)&amp;"|351"</f>
        <v>#REF!</v>
      </c>
      <c r="BY1319" s="215"/>
      <c r="BZ1319" s="216"/>
    </row>
    <row r="1320" spans="72:78">
      <c r="BT1320" s="187"/>
      <c r="BU1320" s="187" t="s">
        <v>64</v>
      </c>
      <c r="BV1320" s="196">
        <v>120038</v>
      </c>
      <c r="BW1320" s="197" t="e">
        <f t="shared" si="170"/>
        <v>#REF!</v>
      </c>
      <c r="BX1320" s="198" t="e">
        <f>IF(AND(State_LOB_Code=18,LEFT(BW1320,4)&lt;"2009"),81,State_LOB_Code)&amp;"|352"</f>
        <v>#REF!</v>
      </c>
      <c r="BY1320" s="215"/>
      <c r="BZ1320" s="216"/>
    </row>
    <row r="1321" spans="72:78">
      <c r="BT1321" s="187"/>
      <c r="BU1321" s="187" t="s">
        <v>65</v>
      </c>
      <c r="BV1321" s="196">
        <v>120038</v>
      </c>
      <c r="BW1321" s="197" t="e">
        <f t="shared" si="170"/>
        <v>#REF!</v>
      </c>
      <c r="BX1321" s="198" t="e">
        <f>IF(AND(State_LOB_Code=18,LEFT(BW1321,4)&lt;"2009"),81,State_LOB_Code)&amp;"|353"</f>
        <v>#REF!</v>
      </c>
      <c r="BY1321" s="215"/>
      <c r="BZ1321" s="216"/>
    </row>
    <row r="1322" spans="72:78">
      <c r="BT1322" s="187"/>
      <c r="BU1322" s="187" t="s">
        <v>66</v>
      </c>
      <c r="BV1322" s="196">
        <v>120038</v>
      </c>
      <c r="BW1322" s="197" t="e">
        <f t="shared" si="170"/>
        <v>#REF!</v>
      </c>
      <c r="BX1322" s="198" t="e">
        <f>IF(AND(State_LOB_Code=18,LEFT(BW1322,4)&lt;"2009"),81,State_LOB_Code)&amp;"|354"</f>
        <v>#REF!</v>
      </c>
      <c r="BY1322" s="215"/>
      <c r="BZ1322" s="216"/>
    </row>
    <row r="1323" spans="72:78">
      <c r="BT1323" s="187"/>
      <c r="BU1323" s="187" t="s">
        <v>67</v>
      </c>
      <c r="BV1323" s="196">
        <v>120038</v>
      </c>
      <c r="BW1323" s="197" t="e">
        <f t="shared" si="170"/>
        <v>#REF!</v>
      </c>
      <c r="BX1323" s="198" t="e">
        <f>IF(AND(State_LOB_Code=18,LEFT(BW1323,4)&lt;"2009"),81,State_LOB_Code)&amp;"|355"</f>
        <v>#REF!</v>
      </c>
      <c r="BY1323" s="215"/>
      <c r="BZ1323" s="216"/>
    </row>
    <row r="1324" spans="72:78">
      <c r="BT1324" s="187"/>
      <c r="BU1324" s="187" t="s">
        <v>68</v>
      </c>
      <c r="BV1324" s="196">
        <v>120038</v>
      </c>
      <c r="BW1324" s="197" t="e">
        <f t="shared" si="170"/>
        <v>#REF!</v>
      </c>
      <c r="BX1324" s="198" t="e">
        <f>IF(AND(State_LOB_Code=18,LEFT(BW1324,4)&lt;"2009"),81,State_LOB_Code)&amp;"|356"</f>
        <v>#REF!</v>
      </c>
      <c r="BY1324" s="215"/>
      <c r="BZ1324" s="216"/>
    </row>
    <row r="1325" spans="72:78">
      <c r="BT1325" s="187"/>
      <c r="BU1325" s="187" t="s">
        <v>69</v>
      </c>
      <c r="BV1325" s="196">
        <v>120038</v>
      </c>
      <c r="BW1325" s="197" t="e">
        <f t="shared" si="170"/>
        <v>#REF!</v>
      </c>
      <c r="BX1325" s="198" t="e">
        <f>IF(AND(State_LOB_Code=18,LEFT(BW1325,4)&lt;"2009"),81,State_LOB_Code)&amp;"|357"</f>
        <v>#REF!</v>
      </c>
      <c r="BY1325" s="215"/>
      <c r="BZ1325" s="216"/>
    </row>
    <row r="1326" spans="72:78">
      <c r="BT1326" s="187"/>
      <c r="BU1326" s="187" t="s">
        <v>70</v>
      </c>
      <c r="BV1326" s="196">
        <v>120038</v>
      </c>
      <c r="BW1326" s="197" t="e">
        <f t="shared" si="170"/>
        <v>#REF!</v>
      </c>
      <c r="BX1326" s="198" t="e">
        <f>IF(AND(State_LOB_Code=18,LEFT(BW1326,4)&lt;"2009"),81,State_LOB_Code)&amp;"|358"</f>
        <v>#REF!</v>
      </c>
      <c r="BY1326" s="215"/>
      <c r="BZ1326" s="216"/>
    </row>
    <row r="1327" spans="72:78">
      <c r="BT1327" s="187"/>
      <c r="BU1327" s="187" t="s">
        <v>71</v>
      </c>
      <c r="BV1327" s="196">
        <v>120038</v>
      </c>
      <c r="BW1327" s="197" t="e">
        <f t="shared" si="170"/>
        <v>#REF!</v>
      </c>
      <c r="BX1327" s="198" t="e">
        <f>IF(AND(State_LOB_Code=18,LEFT(BW1327,4)&lt;"2009"),81,State_LOB_Code)&amp;"|359"</f>
        <v>#REF!</v>
      </c>
      <c r="BY1327" s="215"/>
      <c r="BZ1327" s="216"/>
    </row>
    <row r="1328" spans="72:78">
      <c r="BT1328" s="187"/>
      <c r="BU1328" s="187" t="s">
        <v>72</v>
      </c>
      <c r="BV1328" s="196">
        <v>120038</v>
      </c>
      <c r="BW1328" s="197" t="e">
        <f t="shared" si="170"/>
        <v>#REF!</v>
      </c>
      <c r="BX1328" s="198" t="e">
        <f>IF(AND(State_LOB_Code=18,LEFT(BW1328,4)&lt;"2009"),81,State_LOB_Code)&amp;"|361"</f>
        <v>#REF!</v>
      </c>
      <c r="BY1328" s="215"/>
      <c r="BZ1328" s="216"/>
    </row>
    <row r="1329" spans="72:78">
      <c r="BT1329" s="187"/>
      <c r="BU1329" s="187" t="s">
        <v>73</v>
      </c>
      <c r="BV1329" s="196">
        <v>120038</v>
      </c>
      <c r="BW1329" s="197" t="e">
        <f t="shared" si="170"/>
        <v>#REF!</v>
      </c>
      <c r="BX1329" s="198" t="e">
        <f>IF(AND(State_LOB_Code=18,LEFT(BW1329,4)&lt;"2009"),81,State_LOB_Code)&amp;"|362"</f>
        <v>#REF!</v>
      </c>
      <c r="BY1329" s="215"/>
      <c r="BZ1329" s="216"/>
    </row>
    <row r="1330" spans="72:78">
      <c r="BT1330" s="187"/>
      <c r="BU1330" s="187" t="s">
        <v>74</v>
      </c>
      <c r="BV1330" s="196">
        <v>120038</v>
      </c>
      <c r="BW1330" s="197" t="e">
        <f t="shared" si="170"/>
        <v>#REF!</v>
      </c>
      <c r="BX1330" s="198" t="e">
        <f>IF(AND(State_LOB_Code=18,LEFT(BW1330,4)&lt;"2009"),81,State_LOB_Code)&amp;"|363"</f>
        <v>#REF!</v>
      </c>
      <c r="BY1330" s="215"/>
      <c r="BZ1330" s="216"/>
    </row>
    <row r="1331" spans="72:78">
      <c r="BT1331" s="187"/>
      <c r="BU1331" s="187" t="s">
        <v>75</v>
      </c>
      <c r="BV1331" s="196">
        <v>120038</v>
      </c>
      <c r="BW1331" s="197" t="e">
        <f t="shared" si="170"/>
        <v>#REF!</v>
      </c>
      <c r="BX1331" s="198" t="e">
        <f>IF(AND(State_LOB_Code=18,LEFT(BW1331,4)&lt;"2009"),81,State_LOB_Code)&amp;"|364"</f>
        <v>#REF!</v>
      </c>
      <c r="BY1331" s="215"/>
      <c r="BZ1331" s="216"/>
    </row>
    <row r="1332" spans="72:78">
      <c r="BT1332" s="187"/>
      <c r="BU1332" s="187" t="s">
        <v>76</v>
      </c>
      <c r="BV1332" s="196">
        <v>120038</v>
      </c>
      <c r="BW1332" s="197" t="e">
        <f t="shared" si="170"/>
        <v>#REF!</v>
      </c>
      <c r="BX1332" s="198" t="e">
        <f>IF(AND(State_LOB_Code=18,LEFT(BW1332,4)&lt;"2009"),81,State_LOB_Code)&amp;"|365"</f>
        <v>#REF!</v>
      </c>
      <c r="BY1332" s="215"/>
      <c r="BZ1332" s="216"/>
    </row>
    <row r="1333" spans="72:78">
      <c r="BT1333" s="187"/>
      <c r="BU1333" s="187" t="s">
        <v>77</v>
      </c>
      <c r="BV1333" s="196">
        <v>120038</v>
      </c>
      <c r="BW1333" s="197" t="e">
        <f t="shared" si="170"/>
        <v>#REF!</v>
      </c>
      <c r="BX1333" s="198" t="e">
        <f>IF(AND(State_LOB_Code=18,LEFT(BW1333,4)&lt;"2009"),81,State_LOB_Code)&amp;"|366"</f>
        <v>#REF!</v>
      </c>
      <c r="BY1333" s="215"/>
      <c r="BZ1333" s="216"/>
    </row>
    <row r="1334" spans="72:78">
      <c r="BT1334" s="187"/>
      <c r="BU1334" s="187" t="s">
        <v>78</v>
      </c>
      <c r="BV1334" s="196">
        <v>120038</v>
      </c>
      <c r="BW1334" s="197" t="e">
        <f t="shared" si="170"/>
        <v>#REF!</v>
      </c>
      <c r="BX1334" s="198" t="e">
        <f>IF(AND(State_LOB_Code=18,LEFT(BW1334,4)&lt;"2009"),81,State_LOB_Code)&amp;"|367"</f>
        <v>#REF!</v>
      </c>
      <c r="BY1334" s="215"/>
      <c r="BZ1334" s="216"/>
    </row>
    <row r="1335" spans="72:78">
      <c r="BT1335" s="187"/>
      <c r="BU1335" s="187" t="s">
        <v>79</v>
      </c>
      <c r="BV1335" s="196">
        <v>120038</v>
      </c>
      <c r="BW1335" s="197" t="e">
        <f t="shared" ref="BW1335:BW1362" si="171">LEFT(BW1274,4)-1&amp;"Y"</f>
        <v>#REF!</v>
      </c>
      <c r="BX1335" s="198" t="e">
        <f>IF(AND(State_LOB_Code=18,LEFT(BW1335,4)&lt;"2009"),81,State_LOB_Code)&amp;"|368"</f>
        <v>#REF!</v>
      </c>
      <c r="BY1335" s="215"/>
      <c r="BZ1335" s="216"/>
    </row>
    <row r="1336" spans="72:78">
      <c r="BT1336" s="187"/>
      <c r="BU1336" s="187" t="s">
        <v>80</v>
      </c>
      <c r="BV1336" s="196">
        <v>120038</v>
      </c>
      <c r="BW1336" s="197" t="e">
        <f t="shared" si="171"/>
        <v>#REF!</v>
      </c>
      <c r="BX1336" s="198" t="e">
        <f>IF(AND(State_LOB_Code=18,LEFT(BW1336,4)&lt;"2009"),81,State_LOB_Code)&amp;"|369"</f>
        <v>#REF!</v>
      </c>
      <c r="BY1336" s="215"/>
      <c r="BZ1336" s="216"/>
    </row>
    <row r="1337" spans="72:78">
      <c r="BT1337" s="187"/>
      <c r="BU1337" s="187" t="s">
        <v>81</v>
      </c>
      <c r="BV1337" s="196">
        <v>120038</v>
      </c>
      <c r="BW1337" s="197" t="e">
        <f t="shared" si="171"/>
        <v>#REF!</v>
      </c>
      <c r="BX1337" s="198" t="e">
        <f>IF(AND(State_LOB_Code=18,LEFT(BW1337,4)&lt;"2009"),81,State_LOB_Code)&amp;"|370"</f>
        <v>#REF!</v>
      </c>
      <c r="BY1337" s="215"/>
      <c r="BZ1337" s="216"/>
    </row>
    <row r="1338" spans="72:78">
      <c r="BT1338" s="187"/>
      <c r="BU1338" s="187" t="s">
        <v>82</v>
      </c>
      <c r="BV1338" s="196">
        <v>120038</v>
      </c>
      <c r="BW1338" s="197" t="e">
        <f t="shared" si="171"/>
        <v>#REF!</v>
      </c>
      <c r="BX1338" s="198" t="e">
        <f>IF(AND(State_LOB_Code=18,LEFT(BW1338,4)&lt;"2009"),81,State_LOB_Code)&amp;"|371"</f>
        <v>#REF!</v>
      </c>
      <c r="BY1338" s="215"/>
      <c r="BZ1338" s="216"/>
    </row>
    <row r="1339" spans="72:78">
      <c r="BT1339" s="187"/>
      <c r="BU1339" s="187" t="s">
        <v>83</v>
      </c>
      <c r="BV1339" s="196">
        <v>120038</v>
      </c>
      <c r="BW1339" s="197" t="e">
        <f t="shared" si="171"/>
        <v>#REF!</v>
      </c>
      <c r="BX1339" s="198" t="e">
        <f>IF(AND(State_LOB_Code=18,LEFT(BW1339,4)&lt;"2009"),81,State_LOB_Code)&amp;"|372"</f>
        <v>#REF!</v>
      </c>
      <c r="BY1339" s="215"/>
      <c r="BZ1339" s="216"/>
    </row>
    <row r="1340" spans="72:78">
      <c r="BT1340" s="187"/>
      <c r="BU1340" s="187" t="s">
        <v>84</v>
      </c>
      <c r="BV1340" s="196">
        <v>120038</v>
      </c>
      <c r="BW1340" s="197" t="e">
        <f t="shared" si="171"/>
        <v>#REF!</v>
      </c>
      <c r="BX1340" s="198" t="e">
        <f>IF(AND(State_LOB_Code=18,LEFT(BW1340,4)&lt;"2009"),81,State_LOB_Code)&amp;"|373"</f>
        <v>#REF!</v>
      </c>
      <c r="BY1340" s="215"/>
      <c r="BZ1340" s="216"/>
    </row>
    <row r="1341" spans="72:78">
      <c r="BT1341" s="187"/>
      <c r="BU1341" s="187" t="s">
        <v>85</v>
      </c>
      <c r="BV1341" s="196">
        <v>120038</v>
      </c>
      <c r="BW1341" s="197" t="e">
        <f t="shared" si="171"/>
        <v>#REF!</v>
      </c>
      <c r="BX1341" s="198" t="e">
        <f>IF(AND(State_LOB_Code=18,LEFT(BW1341,4)&lt;"2009"),81,State_LOB_Code)&amp;"|374"</f>
        <v>#REF!</v>
      </c>
      <c r="BY1341" s="215"/>
      <c r="BZ1341" s="216"/>
    </row>
    <row r="1342" spans="72:78">
      <c r="BT1342" s="187"/>
      <c r="BU1342" s="187" t="s">
        <v>86</v>
      </c>
      <c r="BV1342" s="196">
        <v>120038</v>
      </c>
      <c r="BW1342" s="197" t="e">
        <f t="shared" si="171"/>
        <v>#REF!</v>
      </c>
      <c r="BX1342" s="198" t="e">
        <f>IF(AND(State_LOB_Code=18,LEFT(BW1342,4)&lt;"2009"),81,State_LOB_Code)&amp;"|376"</f>
        <v>#REF!</v>
      </c>
      <c r="BY1342" s="215"/>
      <c r="BZ1342" s="216"/>
    </row>
    <row r="1343" spans="72:78">
      <c r="BT1343" s="187"/>
      <c r="BU1343" s="187" t="s">
        <v>87</v>
      </c>
      <c r="BV1343" s="196">
        <v>120038</v>
      </c>
      <c r="BW1343" s="197" t="e">
        <f t="shared" si="171"/>
        <v>#REF!</v>
      </c>
      <c r="BX1343" s="198" t="e">
        <f>IF(AND(State_LOB_Code=18,LEFT(BW1343,4)&lt;"2009"),81,State_LOB_Code)&amp;"|377"</f>
        <v>#REF!</v>
      </c>
      <c r="BY1343" s="215"/>
      <c r="BZ1343" s="216"/>
    </row>
    <row r="1344" spans="72:78">
      <c r="BT1344" s="187"/>
      <c r="BU1344" s="187" t="s">
        <v>88</v>
      </c>
      <c r="BV1344" s="196">
        <v>120038</v>
      </c>
      <c r="BW1344" s="197" t="e">
        <f t="shared" si="171"/>
        <v>#REF!</v>
      </c>
      <c r="BX1344" s="198" t="e">
        <f>IF(AND(State_LOB_Code=18,LEFT(BW1344,4)&lt;"2009"),81,State_LOB_Code)&amp;"|378"</f>
        <v>#REF!</v>
      </c>
      <c r="BY1344" s="215"/>
      <c r="BZ1344" s="216"/>
    </row>
    <row r="1345" spans="72:78">
      <c r="BT1345" s="187"/>
      <c r="BU1345" s="187" t="s">
        <v>89</v>
      </c>
      <c r="BV1345" s="196">
        <v>120038</v>
      </c>
      <c r="BW1345" s="197" t="e">
        <f t="shared" si="171"/>
        <v>#REF!</v>
      </c>
      <c r="BX1345" s="198" t="e">
        <f>IF(AND(State_LOB_Code=18,LEFT(BW1345,4)&lt;"2009"),81,State_LOB_Code)&amp;"|379"</f>
        <v>#REF!</v>
      </c>
      <c r="BY1345" s="215"/>
      <c r="BZ1345" s="216"/>
    </row>
    <row r="1346" spans="72:78">
      <c r="BT1346" s="187"/>
      <c r="BU1346" s="187" t="s">
        <v>90</v>
      </c>
      <c r="BV1346" s="196">
        <v>120038</v>
      </c>
      <c r="BW1346" s="197" t="e">
        <f t="shared" si="171"/>
        <v>#REF!</v>
      </c>
      <c r="BX1346" s="198" t="e">
        <f>IF(AND(State_LOB_Code=18,LEFT(BW1346,4)&lt;"2009"),81,State_LOB_Code)&amp;"|380"</f>
        <v>#REF!</v>
      </c>
      <c r="BY1346" s="215"/>
      <c r="BZ1346" s="216"/>
    </row>
    <row r="1347" spans="72:78">
      <c r="BT1347" s="187"/>
      <c r="BU1347" s="187" t="s">
        <v>91</v>
      </c>
      <c r="BV1347" s="196">
        <v>120038</v>
      </c>
      <c r="BW1347" s="197" t="e">
        <f t="shared" si="171"/>
        <v>#REF!</v>
      </c>
      <c r="BX1347" s="198" t="e">
        <f>IF(AND(State_LOB_Code=18,LEFT(BW1347,4)&lt;"2009"),81,State_LOB_Code)&amp;"|381"</f>
        <v>#REF!</v>
      </c>
      <c r="BY1347" s="215"/>
      <c r="BZ1347" s="216"/>
    </row>
    <row r="1348" spans="72:78">
      <c r="BT1348" s="187"/>
      <c r="BU1348" s="187" t="s">
        <v>92</v>
      </c>
      <c r="BV1348" s="196">
        <v>120038</v>
      </c>
      <c r="BW1348" s="197" t="e">
        <f t="shared" si="171"/>
        <v>#REF!</v>
      </c>
      <c r="BX1348" s="198" t="e">
        <f>IF(AND(State_LOB_Code=18,LEFT(BW1348,4)&lt;"2009"),81,State_LOB_Code)&amp;"|382"</f>
        <v>#REF!</v>
      </c>
      <c r="BY1348" s="215"/>
      <c r="BZ1348" s="216"/>
    </row>
    <row r="1349" spans="72:78">
      <c r="BT1349" s="187"/>
      <c r="BU1349" s="187" t="s">
        <v>93</v>
      </c>
      <c r="BV1349" s="196">
        <v>120038</v>
      </c>
      <c r="BW1349" s="197" t="e">
        <f t="shared" si="171"/>
        <v>#REF!</v>
      </c>
      <c r="BX1349" s="198" t="e">
        <f>IF(AND(State_LOB_Code=18,LEFT(BW1349,4)&lt;"2009"),81,State_LOB_Code)&amp;"|384"</f>
        <v>#REF!</v>
      </c>
      <c r="BY1349" s="215"/>
      <c r="BZ1349" s="216"/>
    </row>
    <row r="1350" spans="72:78">
      <c r="BT1350" s="187"/>
      <c r="BU1350" s="187" t="s">
        <v>94</v>
      </c>
      <c r="BV1350" s="196">
        <v>120038</v>
      </c>
      <c r="BW1350" s="197" t="e">
        <f t="shared" si="171"/>
        <v>#REF!</v>
      </c>
      <c r="BX1350" s="198" t="e">
        <f>IF(AND(State_LOB_Code=18,LEFT(BW1350,4)&lt;"2009"),81,State_LOB_Code)&amp;"|385"</f>
        <v>#REF!</v>
      </c>
      <c r="BY1350" s="215"/>
      <c r="BZ1350" s="216"/>
    </row>
    <row r="1351" spans="72:78">
      <c r="BT1351" s="187"/>
      <c r="BU1351" s="187" t="s">
        <v>95</v>
      </c>
      <c r="BV1351" s="196">
        <v>120038</v>
      </c>
      <c r="BW1351" s="197" t="e">
        <f t="shared" si="171"/>
        <v>#REF!</v>
      </c>
      <c r="BX1351" s="198" t="e">
        <f>IF(AND(State_LOB_Code=18,LEFT(BW1351,4)&lt;"2009"),81,State_LOB_Code)&amp;"|386"</f>
        <v>#REF!</v>
      </c>
      <c r="BY1351" s="215"/>
      <c r="BZ1351" s="216"/>
    </row>
    <row r="1352" spans="72:78">
      <c r="BT1352" s="187"/>
      <c r="BU1352" s="187" t="s">
        <v>96</v>
      </c>
      <c r="BV1352" s="196">
        <v>120038</v>
      </c>
      <c r="BW1352" s="197" t="e">
        <f t="shared" si="171"/>
        <v>#REF!</v>
      </c>
      <c r="BX1352" s="198" t="e">
        <f>IF(AND(State_LOB_Code=18,LEFT(BW1352,4)&lt;"2009"),81,State_LOB_Code)&amp;"|387"</f>
        <v>#REF!</v>
      </c>
      <c r="BY1352" s="215"/>
      <c r="BZ1352" s="216"/>
    </row>
    <row r="1353" spans="72:78">
      <c r="BT1353" s="187"/>
      <c r="BU1353" s="187" t="s">
        <v>97</v>
      </c>
      <c r="BV1353" s="196">
        <v>120038</v>
      </c>
      <c r="BW1353" s="197" t="e">
        <f t="shared" si="171"/>
        <v>#REF!</v>
      </c>
      <c r="BX1353" s="198" t="e">
        <f>IF(AND(State_LOB_Code=18,LEFT(BW1353,4)&lt;"2009"),81,State_LOB_Code)&amp;"|388"</f>
        <v>#REF!</v>
      </c>
      <c r="BY1353" s="215"/>
      <c r="BZ1353" s="216"/>
    </row>
    <row r="1354" spans="72:78">
      <c r="BT1354" s="187"/>
      <c r="BU1354" s="189" t="s">
        <v>137</v>
      </c>
      <c r="BV1354" s="199">
        <v>120038</v>
      </c>
      <c r="BW1354" s="200" t="e">
        <f t="shared" si="171"/>
        <v>#REF!</v>
      </c>
      <c r="BX1354" s="201" t="e">
        <f>IF(AND(State_LOB_Code=18,LEFT(BW1354,4)&lt;"2009"),81,State_LOB_Code)&amp;"|600"</f>
        <v>#REF!</v>
      </c>
      <c r="BY1354" s="217"/>
      <c r="BZ1354" s="218"/>
    </row>
    <row r="1355" spans="72:78">
      <c r="BT1355" s="187"/>
      <c r="BU1355" s="187" t="s">
        <v>98</v>
      </c>
      <c r="BV1355" s="196">
        <v>120038</v>
      </c>
      <c r="BW1355" s="197" t="e">
        <f t="shared" si="171"/>
        <v>#REF!</v>
      </c>
      <c r="BX1355" s="198" t="e">
        <f>IF(AND(State_LOB_Code=18,LEFT(BW1355,4)&lt;"2009"),81,State_LOB_Code)&amp;"|336"</f>
        <v>#REF!</v>
      </c>
      <c r="BY1355" s="215"/>
      <c r="BZ1355" s="216"/>
    </row>
    <row r="1356" spans="72:78">
      <c r="BT1356" s="187"/>
      <c r="BU1356" s="187" t="s">
        <v>99</v>
      </c>
      <c r="BV1356" s="196">
        <v>120038</v>
      </c>
      <c r="BW1356" s="197" t="e">
        <f t="shared" si="171"/>
        <v>#REF!</v>
      </c>
      <c r="BX1356" s="198" t="e">
        <f>IF(AND(State_LOB_Code=18,LEFT(BW1356,4)&lt;"2009"),81,State_LOB_Code)&amp;"|345"</f>
        <v>#REF!</v>
      </c>
      <c r="BY1356" s="215"/>
      <c r="BZ1356" s="216"/>
    </row>
    <row r="1357" spans="72:78">
      <c r="BT1357" s="187"/>
      <c r="BU1357" s="187" t="s">
        <v>100</v>
      </c>
      <c r="BV1357" s="196">
        <v>120038</v>
      </c>
      <c r="BW1357" s="197" t="e">
        <f t="shared" si="171"/>
        <v>#REF!</v>
      </c>
      <c r="BX1357" s="198" t="e">
        <f>IF(AND(State_LOB_Code=18,LEFT(BW1357,4)&lt;"2009"),81,State_LOB_Code)&amp;"|360"</f>
        <v>#REF!</v>
      </c>
      <c r="BY1357" s="215"/>
      <c r="BZ1357" s="216"/>
    </row>
    <row r="1358" spans="72:78">
      <c r="BT1358" s="187"/>
      <c r="BU1358" s="187" t="s">
        <v>101</v>
      </c>
      <c r="BV1358" s="196">
        <v>120038</v>
      </c>
      <c r="BW1358" s="197" t="e">
        <f t="shared" si="171"/>
        <v>#REF!</v>
      </c>
      <c r="BX1358" s="198" t="e">
        <f>IF(AND(State_LOB_Code=18,LEFT(BW1358,4)&lt;"2009"),81,State_LOB_Code)&amp;"|375"</f>
        <v>#REF!</v>
      </c>
      <c r="BY1358" s="215"/>
      <c r="BZ1358" s="216"/>
    </row>
    <row r="1359" spans="72:78">
      <c r="BT1359" s="187"/>
      <c r="BU1359" s="187" t="s">
        <v>102</v>
      </c>
      <c r="BV1359" s="196">
        <v>120038</v>
      </c>
      <c r="BW1359" s="197" t="e">
        <f t="shared" si="171"/>
        <v>#REF!</v>
      </c>
      <c r="BX1359" s="198" t="e">
        <f>IF(AND(State_LOB_Code=18,LEFT(BW1359,4)&lt;"2009"),81,State_LOB_Code)&amp;"|383"</f>
        <v>#REF!</v>
      </c>
      <c r="BY1359" s="215"/>
      <c r="BZ1359" s="216"/>
    </row>
    <row r="1360" spans="72:78">
      <c r="BT1360" s="187"/>
      <c r="BU1360" s="187" t="s">
        <v>103</v>
      </c>
      <c r="BV1360" s="196">
        <v>120038</v>
      </c>
      <c r="BW1360" s="197" t="e">
        <f t="shared" si="171"/>
        <v>#REF!</v>
      </c>
      <c r="BX1360" s="198" t="e">
        <f>IF(AND(State_LOB_Code=18,LEFT(BW1360,4)&lt;"2009"),81,State_LOB_Code)&amp;"|332"</f>
        <v>#REF!</v>
      </c>
      <c r="BY1360" s="215"/>
      <c r="BZ1360" s="216"/>
    </row>
    <row r="1361" spans="72:78">
      <c r="BT1361" s="187"/>
      <c r="BU1361" s="187" t="s">
        <v>104</v>
      </c>
      <c r="BV1361" s="196">
        <v>120038</v>
      </c>
      <c r="BW1361" s="197" t="e">
        <f t="shared" si="171"/>
        <v>#REF!</v>
      </c>
      <c r="BX1361" s="198" t="e">
        <f>IF(AND(State_LOB_Code=18,LEFT(BW1361,4)&lt;"2009"),81,State_LOB_Code)&amp;"|330"</f>
        <v>#REF!</v>
      </c>
      <c r="BY1361" s="215"/>
      <c r="BZ1361" s="216"/>
    </row>
    <row r="1362" spans="72:78">
      <c r="BT1362" s="187"/>
      <c r="BU1362" s="190" t="s">
        <v>46</v>
      </c>
      <c r="BV1362" s="202">
        <v>120059</v>
      </c>
      <c r="BW1362" s="203" t="e">
        <f t="shared" si="171"/>
        <v>#REF!</v>
      </c>
      <c r="BX1362" s="204" t="e">
        <f>IF(AND(State_LOB_Code=18,LEFT(BW1362,4)&lt;"2009"),81,State_LOB_Code)</f>
        <v>#REF!</v>
      </c>
      <c r="BY1362" s="219"/>
      <c r="BZ1362" s="220"/>
    </row>
    <row r="1363" spans="72:78">
      <c r="BT1363" s="187"/>
      <c r="BU1363" s="187"/>
      <c r="BV1363" s="188"/>
      <c r="BW1363" s="188"/>
      <c r="BX1363" s="188"/>
      <c r="BY1363" s="215"/>
      <c r="BZ1363" s="216"/>
    </row>
    <row r="1364" spans="72:78">
      <c r="BT1364" s="187"/>
      <c r="BU1364" s="184" t="s">
        <v>47</v>
      </c>
      <c r="BV1364" s="193">
        <v>120038</v>
      </c>
      <c r="BW1364" s="194" t="e">
        <f t="shared" ref="BW1364:BW1395" si="172">LEFT(BW1303,4)-1&amp;"Y"</f>
        <v>#REF!</v>
      </c>
      <c r="BX1364" s="195" t="e">
        <f>IF(AND(State_LOB_Code=18,LEFT(BW1364,4)&lt;"2009"),81,State_LOB_Code)&amp;"|333"</f>
        <v>#REF!</v>
      </c>
      <c r="BY1364" s="213"/>
      <c r="BZ1364" s="214"/>
    </row>
    <row r="1365" spans="72:78">
      <c r="BT1365" s="187"/>
      <c r="BU1365" s="187" t="s">
        <v>48</v>
      </c>
      <c r="BV1365" s="196">
        <v>120038</v>
      </c>
      <c r="BW1365" s="197" t="e">
        <f t="shared" si="172"/>
        <v>#REF!</v>
      </c>
      <c r="BX1365" s="198" t="e">
        <f>IF(AND(State_LOB_Code=18,LEFT(BW1365,4)&lt;"2009"),81,State_LOB_Code)&amp;"|334"</f>
        <v>#REF!</v>
      </c>
      <c r="BY1365" s="215"/>
      <c r="BZ1365" s="216"/>
    </row>
    <row r="1366" spans="72:78">
      <c r="BT1366" s="187"/>
      <c r="BU1366" s="187" t="s">
        <v>49</v>
      </c>
      <c r="BV1366" s="196">
        <v>120038</v>
      </c>
      <c r="BW1366" s="197" t="e">
        <f t="shared" si="172"/>
        <v>#REF!</v>
      </c>
      <c r="BX1366" s="198" t="e">
        <f>IF(AND(State_LOB_Code=18,LEFT(BW1366,4)&lt;"2009"),81,State_LOB_Code)&amp;"|335"</f>
        <v>#REF!</v>
      </c>
      <c r="BY1366" s="215"/>
      <c r="BZ1366" s="216"/>
    </row>
    <row r="1367" spans="72:78">
      <c r="BT1367" s="187"/>
      <c r="BU1367" s="187" t="s">
        <v>50</v>
      </c>
      <c r="BV1367" s="196">
        <v>120038</v>
      </c>
      <c r="BW1367" s="197" t="e">
        <f t="shared" si="172"/>
        <v>#REF!</v>
      </c>
      <c r="BX1367" s="198" t="e">
        <f>IF(AND(State_LOB_Code=18,LEFT(BW1367,4)&lt;"2009"),81,State_LOB_Code)&amp;"|337"</f>
        <v>#REF!</v>
      </c>
      <c r="BY1367" s="215"/>
      <c r="BZ1367" s="216"/>
    </row>
    <row r="1368" spans="72:78">
      <c r="BT1368" s="187"/>
      <c r="BU1368" s="187" t="s">
        <v>51</v>
      </c>
      <c r="BV1368" s="196">
        <v>120038</v>
      </c>
      <c r="BW1368" s="197" t="e">
        <f t="shared" si="172"/>
        <v>#REF!</v>
      </c>
      <c r="BX1368" s="198" t="e">
        <f>IF(AND(State_LOB_Code=18,LEFT(BW1368,4)&lt;"2009"),81,State_LOB_Code)&amp;"|338"</f>
        <v>#REF!</v>
      </c>
      <c r="BY1368" s="215"/>
      <c r="BZ1368" s="216"/>
    </row>
    <row r="1369" spans="72:78">
      <c r="BT1369" s="187"/>
      <c r="BU1369" s="187" t="s">
        <v>52</v>
      </c>
      <c r="BV1369" s="196">
        <v>120038</v>
      </c>
      <c r="BW1369" s="197" t="e">
        <f t="shared" si="172"/>
        <v>#REF!</v>
      </c>
      <c r="BX1369" s="198" t="e">
        <f>IF(AND(State_LOB_Code=18,LEFT(BW1369,4)&lt;"2009"),81,State_LOB_Code)&amp;"|339"</f>
        <v>#REF!</v>
      </c>
      <c r="BY1369" s="215"/>
      <c r="BZ1369" s="216"/>
    </row>
    <row r="1370" spans="72:78">
      <c r="BT1370" s="187"/>
      <c r="BU1370" s="187" t="s">
        <v>53</v>
      </c>
      <c r="BV1370" s="196">
        <v>120038</v>
      </c>
      <c r="BW1370" s="197" t="e">
        <f t="shared" si="172"/>
        <v>#REF!</v>
      </c>
      <c r="BX1370" s="198" t="e">
        <f>IF(AND(State_LOB_Code=18,LEFT(BW1370,4)&lt;"2009"),81,State_LOB_Code)&amp;"|340"</f>
        <v>#REF!</v>
      </c>
      <c r="BY1370" s="215"/>
      <c r="BZ1370" s="216"/>
    </row>
    <row r="1371" spans="72:78">
      <c r="BT1371" s="187"/>
      <c r="BU1371" s="187" t="s">
        <v>54</v>
      </c>
      <c r="BV1371" s="196">
        <v>120038</v>
      </c>
      <c r="BW1371" s="197" t="e">
        <f t="shared" si="172"/>
        <v>#REF!</v>
      </c>
      <c r="BX1371" s="198" t="e">
        <f>IF(AND(State_LOB_Code=18,LEFT(BW1371,4)&lt;"2009"),81,State_LOB_Code)&amp;"|341"</f>
        <v>#REF!</v>
      </c>
      <c r="BY1371" s="215"/>
      <c r="BZ1371" s="216"/>
    </row>
    <row r="1372" spans="72:78">
      <c r="BT1372" s="187"/>
      <c r="BU1372" s="187" t="s">
        <v>55</v>
      </c>
      <c r="BV1372" s="196">
        <v>120038</v>
      </c>
      <c r="BW1372" s="197" t="e">
        <f t="shared" si="172"/>
        <v>#REF!</v>
      </c>
      <c r="BX1372" s="198" t="e">
        <f>IF(AND(State_LOB_Code=18,LEFT(BW1372,4)&lt;"2009"),81,State_LOB_Code)&amp;"|342"</f>
        <v>#REF!</v>
      </c>
      <c r="BY1372" s="215"/>
      <c r="BZ1372" s="216"/>
    </row>
    <row r="1373" spans="72:78">
      <c r="BT1373" s="187"/>
      <c r="BU1373" s="187" t="s">
        <v>56</v>
      </c>
      <c r="BV1373" s="196">
        <v>120038</v>
      </c>
      <c r="BW1373" s="197" t="e">
        <f t="shared" si="172"/>
        <v>#REF!</v>
      </c>
      <c r="BX1373" s="198" t="e">
        <f>IF(AND(State_LOB_Code=18,LEFT(BW1373,4)&lt;"2009"),81,State_LOB_Code)&amp;"|343"</f>
        <v>#REF!</v>
      </c>
      <c r="BY1373" s="215"/>
      <c r="BZ1373" s="216"/>
    </row>
    <row r="1374" spans="72:78">
      <c r="BT1374" s="187"/>
      <c r="BU1374" s="187" t="s">
        <v>57</v>
      </c>
      <c r="BV1374" s="196">
        <v>120038</v>
      </c>
      <c r="BW1374" s="197" t="e">
        <f t="shared" si="172"/>
        <v>#REF!</v>
      </c>
      <c r="BX1374" s="198" t="e">
        <f>IF(AND(State_LOB_Code=18,LEFT(BW1374,4)&lt;"2009"),81,State_LOB_Code)&amp;"|344"</f>
        <v>#REF!</v>
      </c>
      <c r="BY1374" s="215"/>
      <c r="BZ1374" s="216"/>
    </row>
    <row r="1375" spans="72:78">
      <c r="BT1375" s="187"/>
      <c r="BU1375" s="187" t="s">
        <v>58</v>
      </c>
      <c r="BV1375" s="196">
        <v>120038</v>
      </c>
      <c r="BW1375" s="197" t="e">
        <f t="shared" si="172"/>
        <v>#REF!</v>
      </c>
      <c r="BX1375" s="198" t="e">
        <f>IF(AND(State_LOB_Code=18,LEFT(BW1375,4)&lt;"2009"),81,State_LOB_Code)&amp;"|346"</f>
        <v>#REF!</v>
      </c>
      <c r="BY1375" s="215"/>
      <c r="BZ1375" s="216"/>
    </row>
    <row r="1376" spans="72:78">
      <c r="BT1376" s="187"/>
      <c r="BU1376" s="187" t="s">
        <v>59</v>
      </c>
      <c r="BV1376" s="196">
        <v>120038</v>
      </c>
      <c r="BW1376" s="197" t="e">
        <f t="shared" si="172"/>
        <v>#REF!</v>
      </c>
      <c r="BX1376" s="198" t="e">
        <f>IF(AND(State_LOB_Code=18,LEFT(BW1376,4)&lt;"2009"),81,State_LOB_Code)&amp;"|347"</f>
        <v>#REF!</v>
      </c>
      <c r="BY1376" s="215"/>
      <c r="BZ1376" s="216"/>
    </row>
    <row r="1377" spans="72:78">
      <c r="BT1377" s="187"/>
      <c r="BU1377" s="187" t="s">
        <v>60</v>
      </c>
      <c r="BV1377" s="196">
        <v>120038</v>
      </c>
      <c r="BW1377" s="197" t="e">
        <f t="shared" si="172"/>
        <v>#REF!</v>
      </c>
      <c r="BX1377" s="198" t="e">
        <f>IF(AND(State_LOB_Code=18,LEFT(BW1377,4)&lt;"2009"),81,State_LOB_Code)&amp;"|348"</f>
        <v>#REF!</v>
      </c>
      <c r="BY1377" s="215"/>
      <c r="BZ1377" s="216"/>
    </row>
    <row r="1378" spans="72:78">
      <c r="BT1378" s="187"/>
      <c r="BU1378" s="187" t="s">
        <v>61</v>
      </c>
      <c r="BV1378" s="196">
        <v>120038</v>
      </c>
      <c r="BW1378" s="197" t="e">
        <f t="shared" si="172"/>
        <v>#REF!</v>
      </c>
      <c r="BX1378" s="198" t="e">
        <f>IF(AND(State_LOB_Code=18,LEFT(BW1378,4)&lt;"2009"),81,State_LOB_Code)&amp;"|349"</f>
        <v>#REF!</v>
      </c>
      <c r="BY1378" s="215"/>
      <c r="BZ1378" s="216"/>
    </row>
    <row r="1379" spans="72:78">
      <c r="BT1379" s="187"/>
      <c r="BU1379" s="187" t="s">
        <v>62</v>
      </c>
      <c r="BV1379" s="196">
        <v>120038</v>
      </c>
      <c r="BW1379" s="197" t="e">
        <f t="shared" si="172"/>
        <v>#REF!</v>
      </c>
      <c r="BX1379" s="198" t="e">
        <f>IF(AND(State_LOB_Code=18,LEFT(BW1379,4)&lt;"2009"),81,State_LOB_Code)&amp;"|350"</f>
        <v>#REF!</v>
      </c>
      <c r="BY1379" s="215"/>
      <c r="BZ1379" s="216"/>
    </row>
    <row r="1380" spans="72:78">
      <c r="BT1380" s="187"/>
      <c r="BU1380" s="187" t="s">
        <v>63</v>
      </c>
      <c r="BV1380" s="196">
        <v>120038</v>
      </c>
      <c r="BW1380" s="197" t="e">
        <f t="shared" si="172"/>
        <v>#REF!</v>
      </c>
      <c r="BX1380" s="198" t="e">
        <f>IF(AND(State_LOB_Code=18,LEFT(BW1380,4)&lt;"2009"),81,State_LOB_Code)&amp;"|351"</f>
        <v>#REF!</v>
      </c>
      <c r="BY1380" s="215"/>
      <c r="BZ1380" s="216"/>
    </row>
    <row r="1381" spans="72:78">
      <c r="BT1381" s="187"/>
      <c r="BU1381" s="187" t="s">
        <v>64</v>
      </c>
      <c r="BV1381" s="196">
        <v>120038</v>
      </c>
      <c r="BW1381" s="197" t="e">
        <f t="shared" si="172"/>
        <v>#REF!</v>
      </c>
      <c r="BX1381" s="198" t="e">
        <f>IF(AND(State_LOB_Code=18,LEFT(BW1381,4)&lt;"2009"),81,State_LOB_Code)&amp;"|352"</f>
        <v>#REF!</v>
      </c>
      <c r="BY1381" s="215"/>
      <c r="BZ1381" s="216"/>
    </row>
    <row r="1382" spans="72:78">
      <c r="BT1382" s="187"/>
      <c r="BU1382" s="187" t="s">
        <v>65</v>
      </c>
      <c r="BV1382" s="196">
        <v>120038</v>
      </c>
      <c r="BW1382" s="197" t="e">
        <f t="shared" si="172"/>
        <v>#REF!</v>
      </c>
      <c r="BX1382" s="198" t="e">
        <f>IF(AND(State_LOB_Code=18,LEFT(BW1382,4)&lt;"2009"),81,State_LOB_Code)&amp;"|353"</f>
        <v>#REF!</v>
      </c>
      <c r="BY1382" s="215"/>
      <c r="BZ1382" s="216"/>
    </row>
    <row r="1383" spans="72:78">
      <c r="BT1383" s="187"/>
      <c r="BU1383" s="187" t="s">
        <v>66</v>
      </c>
      <c r="BV1383" s="196">
        <v>120038</v>
      </c>
      <c r="BW1383" s="197" t="e">
        <f t="shared" si="172"/>
        <v>#REF!</v>
      </c>
      <c r="BX1383" s="198" t="e">
        <f>IF(AND(State_LOB_Code=18,LEFT(BW1383,4)&lt;"2009"),81,State_LOB_Code)&amp;"|354"</f>
        <v>#REF!</v>
      </c>
      <c r="BY1383" s="215"/>
      <c r="BZ1383" s="216"/>
    </row>
    <row r="1384" spans="72:78">
      <c r="BT1384" s="187"/>
      <c r="BU1384" s="187" t="s">
        <v>67</v>
      </c>
      <c r="BV1384" s="196">
        <v>120038</v>
      </c>
      <c r="BW1384" s="197" t="e">
        <f t="shared" si="172"/>
        <v>#REF!</v>
      </c>
      <c r="BX1384" s="198" t="e">
        <f>IF(AND(State_LOB_Code=18,LEFT(BW1384,4)&lt;"2009"),81,State_LOB_Code)&amp;"|355"</f>
        <v>#REF!</v>
      </c>
      <c r="BY1384" s="215"/>
      <c r="BZ1384" s="216"/>
    </row>
    <row r="1385" spans="72:78">
      <c r="BT1385" s="187"/>
      <c r="BU1385" s="187" t="s">
        <v>68</v>
      </c>
      <c r="BV1385" s="196">
        <v>120038</v>
      </c>
      <c r="BW1385" s="197" t="e">
        <f t="shared" si="172"/>
        <v>#REF!</v>
      </c>
      <c r="BX1385" s="198" t="e">
        <f>IF(AND(State_LOB_Code=18,LEFT(BW1385,4)&lt;"2009"),81,State_LOB_Code)&amp;"|356"</f>
        <v>#REF!</v>
      </c>
      <c r="BY1385" s="215"/>
      <c r="BZ1385" s="216"/>
    </row>
    <row r="1386" spans="72:78">
      <c r="BT1386" s="187"/>
      <c r="BU1386" s="187" t="s">
        <v>69</v>
      </c>
      <c r="BV1386" s="196">
        <v>120038</v>
      </c>
      <c r="BW1386" s="197" t="e">
        <f t="shared" si="172"/>
        <v>#REF!</v>
      </c>
      <c r="BX1386" s="198" t="e">
        <f>IF(AND(State_LOB_Code=18,LEFT(BW1386,4)&lt;"2009"),81,State_LOB_Code)&amp;"|357"</f>
        <v>#REF!</v>
      </c>
      <c r="BY1386" s="215"/>
      <c r="BZ1386" s="216"/>
    </row>
    <row r="1387" spans="72:78">
      <c r="BT1387" s="187"/>
      <c r="BU1387" s="187" t="s">
        <v>70</v>
      </c>
      <c r="BV1387" s="196">
        <v>120038</v>
      </c>
      <c r="BW1387" s="197" t="e">
        <f t="shared" si="172"/>
        <v>#REF!</v>
      </c>
      <c r="BX1387" s="198" t="e">
        <f>IF(AND(State_LOB_Code=18,LEFT(BW1387,4)&lt;"2009"),81,State_LOB_Code)&amp;"|358"</f>
        <v>#REF!</v>
      </c>
      <c r="BY1387" s="215"/>
      <c r="BZ1387" s="216"/>
    </row>
    <row r="1388" spans="72:78">
      <c r="BT1388" s="187"/>
      <c r="BU1388" s="187" t="s">
        <v>71</v>
      </c>
      <c r="BV1388" s="196">
        <v>120038</v>
      </c>
      <c r="BW1388" s="197" t="e">
        <f t="shared" si="172"/>
        <v>#REF!</v>
      </c>
      <c r="BX1388" s="198" t="e">
        <f>IF(AND(State_LOB_Code=18,LEFT(BW1388,4)&lt;"2009"),81,State_LOB_Code)&amp;"|359"</f>
        <v>#REF!</v>
      </c>
      <c r="BY1388" s="215"/>
      <c r="BZ1388" s="216"/>
    </row>
    <row r="1389" spans="72:78">
      <c r="BT1389" s="187"/>
      <c r="BU1389" s="187" t="s">
        <v>72</v>
      </c>
      <c r="BV1389" s="196">
        <v>120038</v>
      </c>
      <c r="BW1389" s="197" t="e">
        <f t="shared" si="172"/>
        <v>#REF!</v>
      </c>
      <c r="BX1389" s="198" t="e">
        <f>IF(AND(State_LOB_Code=18,LEFT(BW1389,4)&lt;"2009"),81,State_LOB_Code)&amp;"|361"</f>
        <v>#REF!</v>
      </c>
      <c r="BY1389" s="215"/>
      <c r="BZ1389" s="216"/>
    </row>
    <row r="1390" spans="72:78">
      <c r="BT1390" s="187"/>
      <c r="BU1390" s="187" t="s">
        <v>73</v>
      </c>
      <c r="BV1390" s="196">
        <v>120038</v>
      </c>
      <c r="BW1390" s="197" t="e">
        <f t="shared" si="172"/>
        <v>#REF!</v>
      </c>
      <c r="BX1390" s="198" t="e">
        <f>IF(AND(State_LOB_Code=18,LEFT(BW1390,4)&lt;"2009"),81,State_LOB_Code)&amp;"|362"</f>
        <v>#REF!</v>
      </c>
      <c r="BY1390" s="215"/>
      <c r="BZ1390" s="216"/>
    </row>
    <row r="1391" spans="72:78">
      <c r="BT1391" s="187"/>
      <c r="BU1391" s="187" t="s">
        <v>74</v>
      </c>
      <c r="BV1391" s="196">
        <v>120038</v>
      </c>
      <c r="BW1391" s="197" t="e">
        <f t="shared" si="172"/>
        <v>#REF!</v>
      </c>
      <c r="BX1391" s="198" t="e">
        <f>IF(AND(State_LOB_Code=18,LEFT(BW1391,4)&lt;"2009"),81,State_LOB_Code)&amp;"|363"</f>
        <v>#REF!</v>
      </c>
      <c r="BY1391" s="215"/>
      <c r="BZ1391" s="216"/>
    </row>
    <row r="1392" spans="72:78">
      <c r="BT1392" s="187"/>
      <c r="BU1392" s="187" t="s">
        <v>75</v>
      </c>
      <c r="BV1392" s="196">
        <v>120038</v>
      </c>
      <c r="BW1392" s="197" t="e">
        <f t="shared" si="172"/>
        <v>#REF!</v>
      </c>
      <c r="BX1392" s="198" t="e">
        <f>IF(AND(State_LOB_Code=18,LEFT(BW1392,4)&lt;"2009"),81,State_LOB_Code)&amp;"|364"</f>
        <v>#REF!</v>
      </c>
      <c r="BY1392" s="215"/>
      <c r="BZ1392" s="216"/>
    </row>
    <row r="1393" spans="72:78">
      <c r="BT1393" s="187"/>
      <c r="BU1393" s="187" t="s">
        <v>76</v>
      </c>
      <c r="BV1393" s="196">
        <v>120038</v>
      </c>
      <c r="BW1393" s="197" t="e">
        <f t="shared" si="172"/>
        <v>#REF!</v>
      </c>
      <c r="BX1393" s="198" t="e">
        <f>IF(AND(State_LOB_Code=18,LEFT(BW1393,4)&lt;"2009"),81,State_LOB_Code)&amp;"|365"</f>
        <v>#REF!</v>
      </c>
      <c r="BY1393" s="215"/>
      <c r="BZ1393" s="216"/>
    </row>
    <row r="1394" spans="72:78">
      <c r="BT1394" s="187"/>
      <c r="BU1394" s="187" t="s">
        <v>77</v>
      </c>
      <c r="BV1394" s="196">
        <v>120038</v>
      </c>
      <c r="BW1394" s="197" t="e">
        <f t="shared" si="172"/>
        <v>#REF!</v>
      </c>
      <c r="BX1394" s="198" t="e">
        <f>IF(AND(State_LOB_Code=18,LEFT(BW1394,4)&lt;"2009"),81,State_LOB_Code)&amp;"|366"</f>
        <v>#REF!</v>
      </c>
      <c r="BY1394" s="215"/>
      <c r="BZ1394" s="216"/>
    </row>
    <row r="1395" spans="72:78">
      <c r="BT1395" s="187"/>
      <c r="BU1395" s="187" t="s">
        <v>78</v>
      </c>
      <c r="BV1395" s="196">
        <v>120038</v>
      </c>
      <c r="BW1395" s="197" t="e">
        <f t="shared" si="172"/>
        <v>#REF!</v>
      </c>
      <c r="BX1395" s="198" t="e">
        <f>IF(AND(State_LOB_Code=18,LEFT(BW1395,4)&lt;"2009"),81,State_LOB_Code)&amp;"|367"</f>
        <v>#REF!</v>
      </c>
      <c r="BY1395" s="215"/>
      <c r="BZ1395" s="216"/>
    </row>
    <row r="1396" spans="72:78">
      <c r="BT1396" s="187"/>
      <c r="BU1396" s="187" t="s">
        <v>79</v>
      </c>
      <c r="BV1396" s="196">
        <v>120038</v>
      </c>
      <c r="BW1396" s="197" t="e">
        <f t="shared" ref="BW1396:BW1423" si="173">LEFT(BW1335,4)-1&amp;"Y"</f>
        <v>#REF!</v>
      </c>
      <c r="BX1396" s="198" t="e">
        <f>IF(AND(State_LOB_Code=18,LEFT(BW1396,4)&lt;"2009"),81,State_LOB_Code)&amp;"|368"</f>
        <v>#REF!</v>
      </c>
      <c r="BY1396" s="215"/>
      <c r="BZ1396" s="216"/>
    </row>
    <row r="1397" spans="72:78">
      <c r="BT1397" s="187"/>
      <c r="BU1397" s="187" t="s">
        <v>80</v>
      </c>
      <c r="BV1397" s="196">
        <v>120038</v>
      </c>
      <c r="BW1397" s="197" t="e">
        <f t="shared" si="173"/>
        <v>#REF!</v>
      </c>
      <c r="BX1397" s="198" t="e">
        <f>IF(AND(State_LOB_Code=18,LEFT(BW1397,4)&lt;"2009"),81,State_LOB_Code)&amp;"|369"</f>
        <v>#REF!</v>
      </c>
      <c r="BY1397" s="215"/>
      <c r="BZ1397" s="216"/>
    </row>
    <row r="1398" spans="72:78">
      <c r="BT1398" s="187"/>
      <c r="BU1398" s="187" t="s">
        <v>81</v>
      </c>
      <c r="BV1398" s="196">
        <v>120038</v>
      </c>
      <c r="BW1398" s="197" t="e">
        <f t="shared" si="173"/>
        <v>#REF!</v>
      </c>
      <c r="BX1398" s="198" t="e">
        <f>IF(AND(State_LOB_Code=18,LEFT(BW1398,4)&lt;"2009"),81,State_LOB_Code)&amp;"|370"</f>
        <v>#REF!</v>
      </c>
      <c r="BY1398" s="215"/>
      <c r="BZ1398" s="216"/>
    </row>
    <row r="1399" spans="72:78">
      <c r="BT1399" s="187"/>
      <c r="BU1399" s="187" t="s">
        <v>82</v>
      </c>
      <c r="BV1399" s="196">
        <v>120038</v>
      </c>
      <c r="BW1399" s="197" t="e">
        <f t="shared" si="173"/>
        <v>#REF!</v>
      </c>
      <c r="BX1399" s="198" t="e">
        <f>IF(AND(State_LOB_Code=18,LEFT(BW1399,4)&lt;"2009"),81,State_LOB_Code)&amp;"|371"</f>
        <v>#REF!</v>
      </c>
      <c r="BY1399" s="215"/>
      <c r="BZ1399" s="216"/>
    </row>
    <row r="1400" spans="72:78">
      <c r="BT1400" s="187"/>
      <c r="BU1400" s="187" t="s">
        <v>83</v>
      </c>
      <c r="BV1400" s="196">
        <v>120038</v>
      </c>
      <c r="BW1400" s="197" t="e">
        <f t="shared" si="173"/>
        <v>#REF!</v>
      </c>
      <c r="BX1400" s="198" t="e">
        <f>IF(AND(State_LOB_Code=18,LEFT(BW1400,4)&lt;"2009"),81,State_LOB_Code)&amp;"|372"</f>
        <v>#REF!</v>
      </c>
      <c r="BY1400" s="215"/>
      <c r="BZ1400" s="216"/>
    </row>
    <row r="1401" spans="72:78">
      <c r="BT1401" s="187"/>
      <c r="BU1401" s="187" t="s">
        <v>84</v>
      </c>
      <c r="BV1401" s="196">
        <v>120038</v>
      </c>
      <c r="BW1401" s="197" t="e">
        <f t="shared" si="173"/>
        <v>#REF!</v>
      </c>
      <c r="BX1401" s="198" t="e">
        <f>IF(AND(State_LOB_Code=18,LEFT(BW1401,4)&lt;"2009"),81,State_LOB_Code)&amp;"|373"</f>
        <v>#REF!</v>
      </c>
      <c r="BY1401" s="215"/>
      <c r="BZ1401" s="216"/>
    </row>
    <row r="1402" spans="72:78">
      <c r="BT1402" s="187"/>
      <c r="BU1402" s="187" t="s">
        <v>85</v>
      </c>
      <c r="BV1402" s="196">
        <v>120038</v>
      </c>
      <c r="BW1402" s="197" t="e">
        <f t="shared" si="173"/>
        <v>#REF!</v>
      </c>
      <c r="BX1402" s="198" t="e">
        <f>IF(AND(State_LOB_Code=18,LEFT(BW1402,4)&lt;"2009"),81,State_LOB_Code)&amp;"|374"</f>
        <v>#REF!</v>
      </c>
      <c r="BY1402" s="215"/>
      <c r="BZ1402" s="216"/>
    </row>
    <row r="1403" spans="72:78">
      <c r="BT1403" s="187"/>
      <c r="BU1403" s="187" t="s">
        <v>86</v>
      </c>
      <c r="BV1403" s="196">
        <v>120038</v>
      </c>
      <c r="BW1403" s="197" t="e">
        <f t="shared" si="173"/>
        <v>#REF!</v>
      </c>
      <c r="BX1403" s="198" t="e">
        <f>IF(AND(State_LOB_Code=18,LEFT(BW1403,4)&lt;"2009"),81,State_LOB_Code)&amp;"|376"</f>
        <v>#REF!</v>
      </c>
      <c r="BY1403" s="215"/>
      <c r="BZ1403" s="216"/>
    </row>
    <row r="1404" spans="72:78">
      <c r="BT1404" s="187"/>
      <c r="BU1404" s="187" t="s">
        <v>87</v>
      </c>
      <c r="BV1404" s="196">
        <v>120038</v>
      </c>
      <c r="BW1404" s="197" t="e">
        <f t="shared" si="173"/>
        <v>#REF!</v>
      </c>
      <c r="BX1404" s="198" t="e">
        <f>IF(AND(State_LOB_Code=18,LEFT(BW1404,4)&lt;"2009"),81,State_LOB_Code)&amp;"|377"</f>
        <v>#REF!</v>
      </c>
      <c r="BY1404" s="215"/>
      <c r="BZ1404" s="216"/>
    </row>
    <row r="1405" spans="72:78">
      <c r="BT1405" s="187"/>
      <c r="BU1405" s="187" t="s">
        <v>88</v>
      </c>
      <c r="BV1405" s="196">
        <v>120038</v>
      </c>
      <c r="BW1405" s="197" t="e">
        <f t="shared" si="173"/>
        <v>#REF!</v>
      </c>
      <c r="BX1405" s="198" t="e">
        <f>IF(AND(State_LOB_Code=18,LEFT(BW1405,4)&lt;"2009"),81,State_LOB_Code)&amp;"|378"</f>
        <v>#REF!</v>
      </c>
      <c r="BY1405" s="215"/>
      <c r="BZ1405" s="216"/>
    </row>
    <row r="1406" spans="72:78">
      <c r="BT1406" s="187"/>
      <c r="BU1406" s="187" t="s">
        <v>89</v>
      </c>
      <c r="BV1406" s="196">
        <v>120038</v>
      </c>
      <c r="BW1406" s="197" t="e">
        <f t="shared" si="173"/>
        <v>#REF!</v>
      </c>
      <c r="BX1406" s="198" t="e">
        <f>IF(AND(State_LOB_Code=18,LEFT(BW1406,4)&lt;"2009"),81,State_LOB_Code)&amp;"|379"</f>
        <v>#REF!</v>
      </c>
      <c r="BY1406" s="215"/>
      <c r="BZ1406" s="216"/>
    </row>
    <row r="1407" spans="72:78">
      <c r="BT1407" s="187"/>
      <c r="BU1407" s="187" t="s">
        <v>90</v>
      </c>
      <c r="BV1407" s="196">
        <v>120038</v>
      </c>
      <c r="BW1407" s="197" t="e">
        <f t="shared" si="173"/>
        <v>#REF!</v>
      </c>
      <c r="BX1407" s="198" t="e">
        <f>IF(AND(State_LOB_Code=18,LEFT(BW1407,4)&lt;"2009"),81,State_LOB_Code)&amp;"|380"</f>
        <v>#REF!</v>
      </c>
      <c r="BY1407" s="215"/>
      <c r="BZ1407" s="216"/>
    </row>
    <row r="1408" spans="72:78">
      <c r="BT1408" s="187"/>
      <c r="BU1408" s="187" t="s">
        <v>91</v>
      </c>
      <c r="BV1408" s="196">
        <v>120038</v>
      </c>
      <c r="BW1408" s="197" t="e">
        <f t="shared" si="173"/>
        <v>#REF!</v>
      </c>
      <c r="BX1408" s="198" t="e">
        <f>IF(AND(State_LOB_Code=18,LEFT(BW1408,4)&lt;"2009"),81,State_LOB_Code)&amp;"|381"</f>
        <v>#REF!</v>
      </c>
      <c r="BY1408" s="215"/>
      <c r="BZ1408" s="216"/>
    </row>
    <row r="1409" spans="72:78">
      <c r="BT1409" s="187"/>
      <c r="BU1409" s="187" t="s">
        <v>92</v>
      </c>
      <c r="BV1409" s="196">
        <v>120038</v>
      </c>
      <c r="BW1409" s="197" t="e">
        <f t="shared" si="173"/>
        <v>#REF!</v>
      </c>
      <c r="BX1409" s="198" t="e">
        <f>IF(AND(State_LOB_Code=18,LEFT(BW1409,4)&lt;"2009"),81,State_LOB_Code)&amp;"|382"</f>
        <v>#REF!</v>
      </c>
      <c r="BY1409" s="215"/>
      <c r="BZ1409" s="216"/>
    </row>
    <row r="1410" spans="72:78">
      <c r="BT1410" s="187"/>
      <c r="BU1410" s="187" t="s">
        <v>93</v>
      </c>
      <c r="BV1410" s="196">
        <v>120038</v>
      </c>
      <c r="BW1410" s="197" t="e">
        <f t="shared" si="173"/>
        <v>#REF!</v>
      </c>
      <c r="BX1410" s="198" t="e">
        <f>IF(AND(State_LOB_Code=18,LEFT(BW1410,4)&lt;"2009"),81,State_LOB_Code)&amp;"|384"</f>
        <v>#REF!</v>
      </c>
      <c r="BY1410" s="215"/>
      <c r="BZ1410" s="216"/>
    </row>
    <row r="1411" spans="72:78">
      <c r="BT1411" s="187"/>
      <c r="BU1411" s="187" t="s">
        <v>94</v>
      </c>
      <c r="BV1411" s="196">
        <v>120038</v>
      </c>
      <c r="BW1411" s="197" t="e">
        <f t="shared" si="173"/>
        <v>#REF!</v>
      </c>
      <c r="BX1411" s="198" t="e">
        <f>IF(AND(State_LOB_Code=18,LEFT(BW1411,4)&lt;"2009"),81,State_LOB_Code)&amp;"|385"</f>
        <v>#REF!</v>
      </c>
      <c r="BY1411" s="215"/>
      <c r="BZ1411" s="216"/>
    </row>
    <row r="1412" spans="72:78">
      <c r="BT1412" s="187"/>
      <c r="BU1412" s="187" t="s">
        <v>95</v>
      </c>
      <c r="BV1412" s="196">
        <v>120038</v>
      </c>
      <c r="BW1412" s="197" t="e">
        <f t="shared" si="173"/>
        <v>#REF!</v>
      </c>
      <c r="BX1412" s="198" t="e">
        <f>IF(AND(State_LOB_Code=18,LEFT(BW1412,4)&lt;"2009"),81,State_LOB_Code)&amp;"|386"</f>
        <v>#REF!</v>
      </c>
      <c r="BY1412" s="215"/>
      <c r="BZ1412" s="216"/>
    </row>
    <row r="1413" spans="72:78">
      <c r="BT1413" s="187"/>
      <c r="BU1413" s="187" t="s">
        <v>96</v>
      </c>
      <c r="BV1413" s="196">
        <v>120038</v>
      </c>
      <c r="BW1413" s="197" t="e">
        <f t="shared" si="173"/>
        <v>#REF!</v>
      </c>
      <c r="BX1413" s="198" t="e">
        <f>IF(AND(State_LOB_Code=18,LEFT(BW1413,4)&lt;"2009"),81,State_LOB_Code)&amp;"|387"</f>
        <v>#REF!</v>
      </c>
      <c r="BY1413" s="215"/>
      <c r="BZ1413" s="216"/>
    </row>
    <row r="1414" spans="72:78">
      <c r="BT1414" s="187"/>
      <c r="BU1414" s="187" t="s">
        <v>97</v>
      </c>
      <c r="BV1414" s="196">
        <v>120038</v>
      </c>
      <c r="BW1414" s="197" t="e">
        <f t="shared" si="173"/>
        <v>#REF!</v>
      </c>
      <c r="BX1414" s="198" t="e">
        <f>IF(AND(State_LOB_Code=18,LEFT(BW1414,4)&lt;"2009"),81,State_LOB_Code)&amp;"|388"</f>
        <v>#REF!</v>
      </c>
      <c r="BY1414" s="215"/>
      <c r="BZ1414" s="216"/>
    </row>
    <row r="1415" spans="72:78">
      <c r="BT1415" s="187"/>
      <c r="BU1415" s="189" t="s">
        <v>137</v>
      </c>
      <c r="BV1415" s="199">
        <v>120038</v>
      </c>
      <c r="BW1415" s="200" t="e">
        <f t="shared" si="173"/>
        <v>#REF!</v>
      </c>
      <c r="BX1415" s="201" t="e">
        <f>IF(AND(State_LOB_Code=18,LEFT(BW1415,4)&lt;"2009"),81,State_LOB_Code)&amp;"|600"</f>
        <v>#REF!</v>
      </c>
      <c r="BY1415" s="217"/>
      <c r="BZ1415" s="218"/>
    </row>
    <row r="1416" spans="72:78">
      <c r="BT1416" s="187"/>
      <c r="BU1416" s="187" t="s">
        <v>98</v>
      </c>
      <c r="BV1416" s="196">
        <v>120038</v>
      </c>
      <c r="BW1416" s="197" t="e">
        <f t="shared" si="173"/>
        <v>#REF!</v>
      </c>
      <c r="BX1416" s="198" t="e">
        <f>IF(AND(State_LOB_Code=18,LEFT(BW1416,4)&lt;"2009"),81,State_LOB_Code)&amp;"|336"</f>
        <v>#REF!</v>
      </c>
      <c r="BY1416" s="215"/>
      <c r="BZ1416" s="216"/>
    </row>
    <row r="1417" spans="72:78">
      <c r="BT1417" s="187"/>
      <c r="BU1417" s="187" t="s">
        <v>99</v>
      </c>
      <c r="BV1417" s="196">
        <v>120038</v>
      </c>
      <c r="BW1417" s="197" t="e">
        <f t="shared" si="173"/>
        <v>#REF!</v>
      </c>
      <c r="BX1417" s="198" t="e">
        <f>IF(AND(State_LOB_Code=18,LEFT(BW1417,4)&lt;"2009"),81,State_LOB_Code)&amp;"|345"</f>
        <v>#REF!</v>
      </c>
      <c r="BY1417" s="215"/>
      <c r="BZ1417" s="216"/>
    </row>
    <row r="1418" spans="72:78">
      <c r="BT1418" s="187"/>
      <c r="BU1418" s="187" t="s">
        <v>100</v>
      </c>
      <c r="BV1418" s="196">
        <v>120038</v>
      </c>
      <c r="BW1418" s="197" t="e">
        <f t="shared" si="173"/>
        <v>#REF!</v>
      </c>
      <c r="BX1418" s="198" t="e">
        <f>IF(AND(State_LOB_Code=18,LEFT(BW1418,4)&lt;"2009"),81,State_LOB_Code)&amp;"|360"</f>
        <v>#REF!</v>
      </c>
      <c r="BY1418" s="215"/>
      <c r="BZ1418" s="216"/>
    </row>
    <row r="1419" spans="72:78">
      <c r="BT1419" s="187"/>
      <c r="BU1419" s="187" t="s">
        <v>101</v>
      </c>
      <c r="BV1419" s="196">
        <v>120038</v>
      </c>
      <c r="BW1419" s="197" t="e">
        <f t="shared" si="173"/>
        <v>#REF!</v>
      </c>
      <c r="BX1419" s="198" t="e">
        <f>IF(AND(State_LOB_Code=18,LEFT(BW1419,4)&lt;"2009"),81,State_LOB_Code)&amp;"|375"</f>
        <v>#REF!</v>
      </c>
      <c r="BY1419" s="215"/>
      <c r="BZ1419" s="216"/>
    </row>
    <row r="1420" spans="72:78">
      <c r="BT1420" s="187"/>
      <c r="BU1420" s="187" t="s">
        <v>102</v>
      </c>
      <c r="BV1420" s="196">
        <v>120038</v>
      </c>
      <c r="BW1420" s="197" t="e">
        <f t="shared" si="173"/>
        <v>#REF!</v>
      </c>
      <c r="BX1420" s="198" t="e">
        <f>IF(AND(State_LOB_Code=18,LEFT(BW1420,4)&lt;"2009"),81,State_LOB_Code)&amp;"|383"</f>
        <v>#REF!</v>
      </c>
      <c r="BY1420" s="215"/>
      <c r="BZ1420" s="216"/>
    </row>
    <row r="1421" spans="72:78">
      <c r="BT1421" s="187"/>
      <c r="BU1421" s="187" t="s">
        <v>103</v>
      </c>
      <c r="BV1421" s="196">
        <v>120038</v>
      </c>
      <c r="BW1421" s="197" t="e">
        <f t="shared" si="173"/>
        <v>#REF!</v>
      </c>
      <c r="BX1421" s="198" t="e">
        <f>IF(AND(State_LOB_Code=18,LEFT(BW1421,4)&lt;"2009"),81,State_LOB_Code)&amp;"|332"</f>
        <v>#REF!</v>
      </c>
      <c r="BY1421" s="215"/>
      <c r="BZ1421" s="216"/>
    </row>
    <row r="1422" spans="72:78">
      <c r="BT1422" s="187"/>
      <c r="BU1422" s="187" t="s">
        <v>104</v>
      </c>
      <c r="BV1422" s="196">
        <v>120038</v>
      </c>
      <c r="BW1422" s="197" t="e">
        <f t="shared" si="173"/>
        <v>#REF!</v>
      </c>
      <c r="BX1422" s="198" t="e">
        <f>IF(AND(State_LOB_Code=18,LEFT(BW1422,4)&lt;"2009"),81,State_LOB_Code)&amp;"|330"</f>
        <v>#REF!</v>
      </c>
      <c r="BY1422" s="215"/>
      <c r="BZ1422" s="216"/>
    </row>
    <row r="1423" spans="72:78">
      <c r="BT1423" s="187"/>
      <c r="BU1423" s="190" t="s">
        <v>46</v>
      </c>
      <c r="BV1423" s="202">
        <v>120059</v>
      </c>
      <c r="BW1423" s="203" t="e">
        <f t="shared" si="173"/>
        <v>#REF!</v>
      </c>
      <c r="BX1423" s="204" t="e">
        <f>IF(AND(State_LOB_Code=18,LEFT(BW1423,4)&lt;"2009"),81,State_LOB_Code)</f>
        <v>#REF!</v>
      </c>
      <c r="BY1423" s="219"/>
      <c r="BZ1423" s="220"/>
    </row>
    <row r="1424" spans="72:78">
      <c r="BT1424" s="187"/>
      <c r="BU1424" s="187"/>
      <c r="BV1424" s="188"/>
      <c r="BW1424" s="188"/>
      <c r="BX1424" s="188"/>
      <c r="BY1424" s="215"/>
      <c r="BZ1424" s="216"/>
    </row>
    <row r="1425" spans="72:78">
      <c r="BT1425" s="187"/>
      <c r="BU1425" s="184" t="s">
        <v>47</v>
      </c>
      <c r="BV1425" s="193">
        <v>120038</v>
      </c>
      <c r="BW1425" s="194" t="e">
        <f t="shared" ref="BW1425:BW1456" si="174">LEFT(BW1364,4)-1&amp;"Y"</f>
        <v>#REF!</v>
      </c>
      <c r="BX1425" s="195" t="e">
        <f>IF(AND(State_LOB_Code=18,LEFT(BW1425,4)&lt;"2009"),81,State_LOB_Code)&amp;"|333"</f>
        <v>#REF!</v>
      </c>
      <c r="BY1425" s="213"/>
      <c r="BZ1425" s="214"/>
    </row>
    <row r="1426" spans="72:78">
      <c r="BT1426" s="187"/>
      <c r="BU1426" s="187" t="s">
        <v>48</v>
      </c>
      <c r="BV1426" s="196">
        <v>120038</v>
      </c>
      <c r="BW1426" s="197" t="e">
        <f t="shared" si="174"/>
        <v>#REF!</v>
      </c>
      <c r="BX1426" s="198" t="e">
        <f>IF(AND(State_LOB_Code=18,LEFT(BW1426,4)&lt;"2009"),81,State_LOB_Code)&amp;"|334"</f>
        <v>#REF!</v>
      </c>
      <c r="BY1426" s="215"/>
      <c r="BZ1426" s="216"/>
    </row>
    <row r="1427" spans="72:78">
      <c r="BT1427" s="187"/>
      <c r="BU1427" s="187" t="s">
        <v>49</v>
      </c>
      <c r="BV1427" s="196">
        <v>120038</v>
      </c>
      <c r="BW1427" s="197" t="e">
        <f t="shared" si="174"/>
        <v>#REF!</v>
      </c>
      <c r="BX1427" s="198" t="e">
        <f>IF(AND(State_LOB_Code=18,LEFT(BW1427,4)&lt;"2009"),81,State_LOB_Code)&amp;"|335"</f>
        <v>#REF!</v>
      </c>
      <c r="BY1427" s="215"/>
      <c r="BZ1427" s="216"/>
    </row>
    <row r="1428" spans="72:78">
      <c r="BT1428" s="187"/>
      <c r="BU1428" s="187" t="s">
        <v>50</v>
      </c>
      <c r="BV1428" s="196">
        <v>120038</v>
      </c>
      <c r="BW1428" s="197" t="e">
        <f t="shared" si="174"/>
        <v>#REF!</v>
      </c>
      <c r="BX1428" s="198" t="e">
        <f>IF(AND(State_LOB_Code=18,LEFT(BW1428,4)&lt;"2009"),81,State_LOB_Code)&amp;"|337"</f>
        <v>#REF!</v>
      </c>
      <c r="BY1428" s="215"/>
      <c r="BZ1428" s="216"/>
    </row>
    <row r="1429" spans="72:78">
      <c r="BT1429" s="187"/>
      <c r="BU1429" s="187" t="s">
        <v>51</v>
      </c>
      <c r="BV1429" s="196">
        <v>120038</v>
      </c>
      <c r="BW1429" s="197" t="e">
        <f t="shared" si="174"/>
        <v>#REF!</v>
      </c>
      <c r="BX1429" s="198" t="e">
        <f>IF(AND(State_LOB_Code=18,LEFT(BW1429,4)&lt;"2009"),81,State_LOB_Code)&amp;"|338"</f>
        <v>#REF!</v>
      </c>
      <c r="BY1429" s="215"/>
      <c r="BZ1429" s="216"/>
    </row>
    <row r="1430" spans="72:78">
      <c r="BT1430" s="187"/>
      <c r="BU1430" s="187" t="s">
        <v>52</v>
      </c>
      <c r="BV1430" s="196">
        <v>120038</v>
      </c>
      <c r="BW1430" s="197" t="e">
        <f t="shared" si="174"/>
        <v>#REF!</v>
      </c>
      <c r="BX1430" s="198" t="e">
        <f>IF(AND(State_LOB_Code=18,LEFT(BW1430,4)&lt;"2009"),81,State_LOB_Code)&amp;"|339"</f>
        <v>#REF!</v>
      </c>
      <c r="BY1430" s="215"/>
      <c r="BZ1430" s="216"/>
    </row>
    <row r="1431" spans="72:78">
      <c r="BT1431" s="187"/>
      <c r="BU1431" s="187" t="s">
        <v>53</v>
      </c>
      <c r="BV1431" s="196">
        <v>120038</v>
      </c>
      <c r="BW1431" s="197" t="e">
        <f t="shared" si="174"/>
        <v>#REF!</v>
      </c>
      <c r="BX1431" s="198" t="e">
        <f>IF(AND(State_LOB_Code=18,LEFT(BW1431,4)&lt;"2009"),81,State_LOB_Code)&amp;"|340"</f>
        <v>#REF!</v>
      </c>
      <c r="BY1431" s="215"/>
      <c r="BZ1431" s="216"/>
    </row>
    <row r="1432" spans="72:78">
      <c r="BT1432" s="187"/>
      <c r="BU1432" s="187" t="s">
        <v>54</v>
      </c>
      <c r="BV1432" s="196">
        <v>120038</v>
      </c>
      <c r="BW1432" s="197" t="e">
        <f t="shared" si="174"/>
        <v>#REF!</v>
      </c>
      <c r="BX1432" s="198" t="e">
        <f>IF(AND(State_LOB_Code=18,LEFT(BW1432,4)&lt;"2009"),81,State_LOB_Code)&amp;"|341"</f>
        <v>#REF!</v>
      </c>
      <c r="BY1432" s="215"/>
      <c r="BZ1432" s="216"/>
    </row>
    <row r="1433" spans="72:78">
      <c r="BT1433" s="187"/>
      <c r="BU1433" s="187" t="s">
        <v>55</v>
      </c>
      <c r="BV1433" s="196">
        <v>120038</v>
      </c>
      <c r="BW1433" s="197" t="e">
        <f t="shared" si="174"/>
        <v>#REF!</v>
      </c>
      <c r="BX1433" s="198" t="e">
        <f>IF(AND(State_LOB_Code=18,LEFT(BW1433,4)&lt;"2009"),81,State_LOB_Code)&amp;"|342"</f>
        <v>#REF!</v>
      </c>
      <c r="BY1433" s="215"/>
      <c r="BZ1433" s="216"/>
    </row>
    <row r="1434" spans="72:78">
      <c r="BT1434" s="187"/>
      <c r="BU1434" s="187" t="s">
        <v>56</v>
      </c>
      <c r="BV1434" s="196">
        <v>120038</v>
      </c>
      <c r="BW1434" s="197" t="e">
        <f t="shared" si="174"/>
        <v>#REF!</v>
      </c>
      <c r="BX1434" s="198" t="e">
        <f>IF(AND(State_LOB_Code=18,LEFT(BW1434,4)&lt;"2009"),81,State_LOB_Code)&amp;"|343"</f>
        <v>#REF!</v>
      </c>
      <c r="BY1434" s="215"/>
      <c r="BZ1434" s="216"/>
    </row>
    <row r="1435" spans="72:78">
      <c r="BT1435" s="187"/>
      <c r="BU1435" s="187" t="s">
        <v>57</v>
      </c>
      <c r="BV1435" s="196">
        <v>120038</v>
      </c>
      <c r="BW1435" s="197" t="e">
        <f t="shared" si="174"/>
        <v>#REF!</v>
      </c>
      <c r="BX1435" s="198" t="e">
        <f>IF(AND(State_LOB_Code=18,LEFT(BW1435,4)&lt;"2009"),81,State_LOB_Code)&amp;"|344"</f>
        <v>#REF!</v>
      </c>
      <c r="BY1435" s="215"/>
      <c r="BZ1435" s="216"/>
    </row>
    <row r="1436" spans="72:78">
      <c r="BT1436" s="187"/>
      <c r="BU1436" s="187" t="s">
        <v>58</v>
      </c>
      <c r="BV1436" s="196">
        <v>120038</v>
      </c>
      <c r="BW1436" s="197" t="e">
        <f t="shared" si="174"/>
        <v>#REF!</v>
      </c>
      <c r="BX1436" s="198" t="e">
        <f>IF(AND(State_LOB_Code=18,LEFT(BW1436,4)&lt;"2009"),81,State_LOB_Code)&amp;"|346"</f>
        <v>#REF!</v>
      </c>
      <c r="BY1436" s="215"/>
      <c r="BZ1436" s="216"/>
    </row>
    <row r="1437" spans="72:78">
      <c r="BT1437" s="187"/>
      <c r="BU1437" s="187" t="s">
        <v>59</v>
      </c>
      <c r="BV1437" s="196">
        <v>120038</v>
      </c>
      <c r="BW1437" s="197" t="e">
        <f t="shared" si="174"/>
        <v>#REF!</v>
      </c>
      <c r="BX1437" s="198" t="e">
        <f>IF(AND(State_LOB_Code=18,LEFT(BW1437,4)&lt;"2009"),81,State_LOB_Code)&amp;"|347"</f>
        <v>#REF!</v>
      </c>
      <c r="BY1437" s="215"/>
      <c r="BZ1437" s="216"/>
    </row>
    <row r="1438" spans="72:78">
      <c r="BT1438" s="187"/>
      <c r="BU1438" s="187" t="s">
        <v>60</v>
      </c>
      <c r="BV1438" s="196">
        <v>120038</v>
      </c>
      <c r="BW1438" s="197" t="e">
        <f t="shared" si="174"/>
        <v>#REF!</v>
      </c>
      <c r="BX1438" s="198" t="e">
        <f>IF(AND(State_LOB_Code=18,LEFT(BW1438,4)&lt;"2009"),81,State_LOB_Code)&amp;"|348"</f>
        <v>#REF!</v>
      </c>
      <c r="BY1438" s="215"/>
      <c r="BZ1438" s="216"/>
    </row>
    <row r="1439" spans="72:78">
      <c r="BT1439" s="187"/>
      <c r="BU1439" s="187" t="s">
        <v>61</v>
      </c>
      <c r="BV1439" s="196">
        <v>120038</v>
      </c>
      <c r="BW1439" s="197" t="e">
        <f t="shared" si="174"/>
        <v>#REF!</v>
      </c>
      <c r="BX1439" s="198" t="e">
        <f>IF(AND(State_LOB_Code=18,LEFT(BW1439,4)&lt;"2009"),81,State_LOB_Code)&amp;"|349"</f>
        <v>#REF!</v>
      </c>
      <c r="BY1439" s="215"/>
      <c r="BZ1439" s="216"/>
    </row>
    <row r="1440" spans="72:78">
      <c r="BT1440" s="187"/>
      <c r="BU1440" s="187" t="s">
        <v>62</v>
      </c>
      <c r="BV1440" s="196">
        <v>120038</v>
      </c>
      <c r="BW1440" s="197" t="e">
        <f t="shared" si="174"/>
        <v>#REF!</v>
      </c>
      <c r="BX1440" s="198" t="e">
        <f>IF(AND(State_LOB_Code=18,LEFT(BW1440,4)&lt;"2009"),81,State_LOB_Code)&amp;"|350"</f>
        <v>#REF!</v>
      </c>
      <c r="BY1440" s="215"/>
      <c r="BZ1440" s="216"/>
    </row>
    <row r="1441" spans="72:78">
      <c r="BT1441" s="187"/>
      <c r="BU1441" s="187" t="s">
        <v>63</v>
      </c>
      <c r="BV1441" s="196">
        <v>120038</v>
      </c>
      <c r="BW1441" s="197" t="e">
        <f t="shared" si="174"/>
        <v>#REF!</v>
      </c>
      <c r="BX1441" s="198" t="e">
        <f>IF(AND(State_LOB_Code=18,LEFT(BW1441,4)&lt;"2009"),81,State_LOB_Code)&amp;"|351"</f>
        <v>#REF!</v>
      </c>
      <c r="BY1441" s="215"/>
      <c r="BZ1441" s="216"/>
    </row>
    <row r="1442" spans="72:78">
      <c r="BT1442" s="187"/>
      <c r="BU1442" s="187" t="s">
        <v>64</v>
      </c>
      <c r="BV1442" s="196">
        <v>120038</v>
      </c>
      <c r="BW1442" s="197" t="e">
        <f t="shared" si="174"/>
        <v>#REF!</v>
      </c>
      <c r="BX1442" s="198" t="e">
        <f>IF(AND(State_LOB_Code=18,LEFT(BW1442,4)&lt;"2009"),81,State_LOB_Code)&amp;"|352"</f>
        <v>#REF!</v>
      </c>
      <c r="BY1442" s="215"/>
      <c r="BZ1442" s="216"/>
    </row>
    <row r="1443" spans="72:78">
      <c r="BT1443" s="187"/>
      <c r="BU1443" s="187" t="s">
        <v>65</v>
      </c>
      <c r="BV1443" s="196">
        <v>120038</v>
      </c>
      <c r="BW1443" s="197" t="e">
        <f t="shared" si="174"/>
        <v>#REF!</v>
      </c>
      <c r="BX1443" s="198" t="e">
        <f>IF(AND(State_LOB_Code=18,LEFT(BW1443,4)&lt;"2009"),81,State_LOB_Code)&amp;"|353"</f>
        <v>#REF!</v>
      </c>
      <c r="BY1443" s="215"/>
      <c r="BZ1443" s="216"/>
    </row>
    <row r="1444" spans="72:78">
      <c r="BT1444" s="187"/>
      <c r="BU1444" s="187" t="s">
        <v>66</v>
      </c>
      <c r="BV1444" s="196">
        <v>120038</v>
      </c>
      <c r="BW1444" s="197" t="e">
        <f t="shared" si="174"/>
        <v>#REF!</v>
      </c>
      <c r="BX1444" s="198" t="e">
        <f>IF(AND(State_LOB_Code=18,LEFT(BW1444,4)&lt;"2009"),81,State_LOB_Code)&amp;"|354"</f>
        <v>#REF!</v>
      </c>
      <c r="BY1444" s="215"/>
      <c r="BZ1444" s="216"/>
    </row>
    <row r="1445" spans="72:78">
      <c r="BT1445" s="187"/>
      <c r="BU1445" s="187" t="s">
        <v>67</v>
      </c>
      <c r="BV1445" s="196">
        <v>120038</v>
      </c>
      <c r="BW1445" s="197" t="e">
        <f t="shared" si="174"/>
        <v>#REF!</v>
      </c>
      <c r="BX1445" s="198" t="e">
        <f>IF(AND(State_LOB_Code=18,LEFT(BW1445,4)&lt;"2009"),81,State_LOB_Code)&amp;"|355"</f>
        <v>#REF!</v>
      </c>
      <c r="BY1445" s="215"/>
      <c r="BZ1445" s="216"/>
    </row>
    <row r="1446" spans="72:78">
      <c r="BT1446" s="187"/>
      <c r="BU1446" s="187" t="s">
        <v>68</v>
      </c>
      <c r="BV1446" s="196">
        <v>120038</v>
      </c>
      <c r="BW1446" s="197" t="e">
        <f t="shared" si="174"/>
        <v>#REF!</v>
      </c>
      <c r="BX1446" s="198" t="e">
        <f>IF(AND(State_LOB_Code=18,LEFT(BW1446,4)&lt;"2009"),81,State_LOB_Code)&amp;"|356"</f>
        <v>#REF!</v>
      </c>
      <c r="BY1446" s="215"/>
      <c r="BZ1446" s="216"/>
    </row>
    <row r="1447" spans="72:78">
      <c r="BT1447" s="187"/>
      <c r="BU1447" s="187" t="s">
        <v>69</v>
      </c>
      <c r="BV1447" s="196">
        <v>120038</v>
      </c>
      <c r="BW1447" s="197" t="e">
        <f t="shared" si="174"/>
        <v>#REF!</v>
      </c>
      <c r="BX1447" s="198" t="e">
        <f>IF(AND(State_LOB_Code=18,LEFT(BW1447,4)&lt;"2009"),81,State_LOB_Code)&amp;"|357"</f>
        <v>#REF!</v>
      </c>
      <c r="BY1447" s="215"/>
      <c r="BZ1447" s="216"/>
    </row>
    <row r="1448" spans="72:78">
      <c r="BT1448" s="187"/>
      <c r="BU1448" s="187" t="s">
        <v>70</v>
      </c>
      <c r="BV1448" s="196">
        <v>120038</v>
      </c>
      <c r="BW1448" s="197" t="e">
        <f t="shared" si="174"/>
        <v>#REF!</v>
      </c>
      <c r="BX1448" s="198" t="e">
        <f>IF(AND(State_LOB_Code=18,LEFT(BW1448,4)&lt;"2009"),81,State_LOB_Code)&amp;"|358"</f>
        <v>#REF!</v>
      </c>
      <c r="BY1448" s="215"/>
      <c r="BZ1448" s="216"/>
    </row>
    <row r="1449" spans="72:78">
      <c r="BT1449" s="187"/>
      <c r="BU1449" s="187" t="s">
        <v>71</v>
      </c>
      <c r="BV1449" s="196">
        <v>120038</v>
      </c>
      <c r="BW1449" s="197" t="e">
        <f t="shared" si="174"/>
        <v>#REF!</v>
      </c>
      <c r="BX1449" s="198" t="e">
        <f>IF(AND(State_LOB_Code=18,LEFT(BW1449,4)&lt;"2009"),81,State_LOB_Code)&amp;"|359"</f>
        <v>#REF!</v>
      </c>
      <c r="BY1449" s="215"/>
      <c r="BZ1449" s="216"/>
    </row>
    <row r="1450" spans="72:78">
      <c r="BT1450" s="187"/>
      <c r="BU1450" s="187" t="s">
        <v>72</v>
      </c>
      <c r="BV1450" s="196">
        <v>120038</v>
      </c>
      <c r="BW1450" s="197" t="e">
        <f t="shared" si="174"/>
        <v>#REF!</v>
      </c>
      <c r="BX1450" s="198" t="e">
        <f>IF(AND(State_LOB_Code=18,LEFT(BW1450,4)&lt;"2009"),81,State_LOB_Code)&amp;"|361"</f>
        <v>#REF!</v>
      </c>
      <c r="BY1450" s="215"/>
      <c r="BZ1450" s="216"/>
    </row>
    <row r="1451" spans="72:78">
      <c r="BT1451" s="187"/>
      <c r="BU1451" s="187" t="s">
        <v>73</v>
      </c>
      <c r="BV1451" s="196">
        <v>120038</v>
      </c>
      <c r="BW1451" s="197" t="e">
        <f t="shared" si="174"/>
        <v>#REF!</v>
      </c>
      <c r="BX1451" s="198" t="e">
        <f>IF(AND(State_LOB_Code=18,LEFT(BW1451,4)&lt;"2009"),81,State_LOB_Code)&amp;"|362"</f>
        <v>#REF!</v>
      </c>
      <c r="BY1451" s="215"/>
      <c r="BZ1451" s="216"/>
    </row>
    <row r="1452" spans="72:78">
      <c r="BT1452" s="187"/>
      <c r="BU1452" s="187" t="s">
        <v>74</v>
      </c>
      <c r="BV1452" s="196">
        <v>120038</v>
      </c>
      <c r="BW1452" s="197" t="e">
        <f t="shared" si="174"/>
        <v>#REF!</v>
      </c>
      <c r="BX1452" s="198" t="e">
        <f>IF(AND(State_LOB_Code=18,LEFT(BW1452,4)&lt;"2009"),81,State_LOB_Code)&amp;"|363"</f>
        <v>#REF!</v>
      </c>
      <c r="BY1452" s="215"/>
      <c r="BZ1452" s="216"/>
    </row>
    <row r="1453" spans="72:78">
      <c r="BT1453" s="187"/>
      <c r="BU1453" s="187" t="s">
        <v>75</v>
      </c>
      <c r="BV1453" s="196">
        <v>120038</v>
      </c>
      <c r="BW1453" s="197" t="e">
        <f t="shared" si="174"/>
        <v>#REF!</v>
      </c>
      <c r="BX1453" s="198" t="e">
        <f>IF(AND(State_LOB_Code=18,LEFT(BW1453,4)&lt;"2009"),81,State_LOB_Code)&amp;"|364"</f>
        <v>#REF!</v>
      </c>
      <c r="BY1453" s="215"/>
      <c r="BZ1453" s="216"/>
    </row>
    <row r="1454" spans="72:78">
      <c r="BT1454" s="187"/>
      <c r="BU1454" s="187" t="s">
        <v>76</v>
      </c>
      <c r="BV1454" s="196">
        <v>120038</v>
      </c>
      <c r="BW1454" s="197" t="e">
        <f t="shared" si="174"/>
        <v>#REF!</v>
      </c>
      <c r="BX1454" s="198" t="e">
        <f>IF(AND(State_LOB_Code=18,LEFT(BW1454,4)&lt;"2009"),81,State_LOB_Code)&amp;"|365"</f>
        <v>#REF!</v>
      </c>
      <c r="BY1454" s="215"/>
      <c r="BZ1454" s="216"/>
    </row>
    <row r="1455" spans="72:78">
      <c r="BT1455" s="187"/>
      <c r="BU1455" s="187" t="s">
        <v>77</v>
      </c>
      <c r="BV1455" s="196">
        <v>120038</v>
      </c>
      <c r="BW1455" s="197" t="e">
        <f t="shared" si="174"/>
        <v>#REF!</v>
      </c>
      <c r="BX1455" s="198" t="e">
        <f>IF(AND(State_LOB_Code=18,LEFT(BW1455,4)&lt;"2009"),81,State_LOB_Code)&amp;"|366"</f>
        <v>#REF!</v>
      </c>
      <c r="BY1455" s="215"/>
      <c r="BZ1455" s="216"/>
    </row>
    <row r="1456" spans="72:78">
      <c r="BT1456" s="187"/>
      <c r="BU1456" s="187" t="s">
        <v>78</v>
      </c>
      <c r="BV1456" s="196">
        <v>120038</v>
      </c>
      <c r="BW1456" s="197" t="e">
        <f t="shared" si="174"/>
        <v>#REF!</v>
      </c>
      <c r="BX1456" s="198" t="e">
        <f>IF(AND(State_LOB_Code=18,LEFT(BW1456,4)&lt;"2009"),81,State_LOB_Code)&amp;"|367"</f>
        <v>#REF!</v>
      </c>
      <c r="BY1456" s="215"/>
      <c r="BZ1456" s="216"/>
    </row>
    <row r="1457" spans="72:78">
      <c r="BT1457" s="187"/>
      <c r="BU1457" s="187" t="s">
        <v>79</v>
      </c>
      <c r="BV1457" s="196">
        <v>120038</v>
      </c>
      <c r="BW1457" s="197" t="e">
        <f t="shared" ref="BW1457:BW1484" si="175">LEFT(BW1396,4)-1&amp;"Y"</f>
        <v>#REF!</v>
      </c>
      <c r="BX1457" s="198" t="e">
        <f>IF(AND(State_LOB_Code=18,LEFT(BW1457,4)&lt;"2009"),81,State_LOB_Code)&amp;"|368"</f>
        <v>#REF!</v>
      </c>
      <c r="BY1457" s="215"/>
      <c r="BZ1457" s="216"/>
    </row>
    <row r="1458" spans="72:78">
      <c r="BT1458" s="187"/>
      <c r="BU1458" s="187" t="s">
        <v>80</v>
      </c>
      <c r="BV1458" s="196">
        <v>120038</v>
      </c>
      <c r="BW1458" s="197" t="e">
        <f t="shared" si="175"/>
        <v>#REF!</v>
      </c>
      <c r="BX1458" s="198" t="e">
        <f>IF(AND(State_LOB_Code=18,LEFT(BW1458,4)&lt;"2009"),81,State_LOB_Code)&amp;"|369"</f>
        <v>#REF!</v>
      </c>
      <c r="BY1458" s="215"/>
      <c r="BZ1458" s="216"/>
    </row>
    <row r="1459" spans="72:78">
      <c r="BT1459" s="187"/>
      <c r="BU1459" s="187" t="s">
        <v>81</v>
      </c>
      <c r="BV1459" s="196">
        <v>120038</v>
      </c>
      <c r="BW1459" s="197" t="e">
        <f t="shared" si="175"/>
        <v>#REF!</v>
      </c>
      <c r="BX1459" s="198" t="e">
        <f>IF(AND(State_LOB_Code=18,LEFT(BW1459,4)&lt;"2009"),81,State_LOB_Code)&amp;"|370"</f>
        <v>#REF!</v>
      </c>
      <c r="BY1459" s="215"/>
      <c r="BZ1459" s="216"/>
    </row>
    <row r="1460" spans="72:78">
      <c r="BT1460" s="187"/>
      <c r="BU1460" s="187" t="s">
        <v>82</v>
      </c>
      <c r="BV1460" s="196">
        <v>120038</v>
      </c>
      <c r="BW1460" s="197" t="e">
        <f t="shared" si="175"/>
        <v>#REF!</v>
      </c>
      <c r="BX1460" s="198" t="e">
        <f>IF(AND(State_LOB_Code=18,LEFT(BW1460,4)&lt;"2009"),81,State_LOB_Code)&amp;"|371"</f>
        <v>#REF!</v>
      </c>
      <c r="BY1460" s="215"/>
      <c r="BZ1460" s="216"/>
    </row>
    <row r="1461" spans="72:78">
      <c r="BT1461" s="187"/>
      <c r="BU1461" s="187" t="s">
        <v>83</v>
      </c>
      <c r="BV1461" s="196">
        <v>120038</v>
      </c>
      <c r="BW1461" s="197" t="e">
        <f t="shared" si="175"/>
        <v>#REF!</v>
      </c>
      <c r="BX1461" s="198" t="e">
        <f>IF(AND(State_LOB_Code=18,LEFT(BW1461,4)&lt;"2009"),81,State_LOB_Code)&amp;"|372"</f>
        <v>#REF!</v>
      </c>
      <c r="BY1461" s="215"/>
      <c r="BZ1461" s="216"/>
    </row>
    <row r="1462" spans="72:78">
      <c r="BT1462" s="187"/>
      <c r="BU1462" s="187" t="s">
        <v>84</v>
      </c>
      <c r="BV1462" s="196">
        <v>120038</v>
      </c>
      <c r="BW1462" s="197" t="e">
        <f t="shared" si="175"/>
        <v>#REF!</v>
      </c>
      <c r="BX1462" s="198" t="e">
        <f>IF(AND(State_LOB_Code=18,LEFT(BW1462,4)&lt;"2009"),81,State_LOB_Code)&amp;"|373"</f>
        <v>#REF!</v>
      </c>
      <c r="BY1462" s="215"/>
      <c r="BZ1462" s="216"/>
    </row>
    <row r="1463" spans="72:78">
      <c r="BT1463" s="187"/>
      <c r="BU1463" s="187" t="s">
        <v>85</v>
      </c>
      <c r="BV1463" s="196">
        <v>120038</v>
      </c>
      <c r="BW1463" s="197" t="e">
        <f t="shared" si="175"/>
        <v>#REF!</v>
      </c>
      <c r="BX1463" s="198" t="e">
        <f>IF(AND(State_LOB_Code=18,LEFT(BW1463,4)&lt;"2009"),81,State_LOB_Code)&amp;"|374"</f>
        <v>#REF!</v>
      </c>
      <c r="BY1463" s="215"/>
      <c r="BZ1463" s="216"/>
    </row>
    <row r="1464" spans="72:78">
      <c r="BT1464" s="187"/>
      <c r="BU1464" s="187" t="s">
        <v>86</v>
      </c>
      <c r="BV1464" s="196">
        <v>120038</v>
      </c>
      <c r="BW1464" s="197" t="e">
        <f t="shared" si="175"/>
        <v>#REF!</v>
      </c>
      <c r="BX1464" s="198" t="e">
        <f>IF(AND(State_LOB_Code=18,LEFT(BW1464,4)&lt;"2009"),81,State_LOB_Code)&amp;"|376"</f>
        <v>#REF!</v>
      </c>
      <c r="BY1464" s="215"/>
      <c r="BZ1464" s="216"/>
    </row>
    <row r="1465" spans="72:78">
      <c r="BT1465" s="187"/>
      <c r="BU1465" s="187" t="s">
        <v>87</v>
      </c>
      <c r="BV1465" s="196">
        <v>120038</v>
      </c>
      <c r="BW1465" s="197" t="e">
        <f t="shared" si="175"/>
        <v>#REF!</v>
      </c>
      <c r="BX1465" s="198" t="e">
        <f>IF(AND(State_LOB_Code=18,LEFT(BW1465,4)&lt;"2009"),81,State_LOB_Code)&amp;"|377"</f>
        <v>#REF!</v>
      </c>
      <c r="BY1465" s="215"/>
      <c r="BZ1465" s="216"/>
    </row>
    <row r="1466" spans="72:78">
      <c r="BT1466" s="187"/>
      <c r="BU1466" s="187" t="s">
        <v>88</v>
      </c>
      <c r="BV1466" s="196">
        <v>120038</v>
      </c>
      <c r="BW1466" s="197" t="e">
        <f t="shared" si="175"/>
        <v>#REF!</v>
      </c>
      <c r="BX1466" s="198" t="e">
        <f>IF(AND(State_LOB_Code=18,LEFT(BW1466,4)&lt;"2009"),81,State_LOB_Code)&amp;"|378"</f>
        <v>#REF!</v>
      </c>
      <c r="BY1466" s="215"/>
      <c r="BZ1466" s="216"/>
    </row>
    <row r="1467" spans="72:78">
      <c r="BT1467" s="187"/>
      <c r="BU1467" s="187" t="s">
        <v>89</v>
      </c>
      <c r="BV1467" s="196">
        <v>120038</v>
      </c>
      <c r="BW1467" s="197" t="e">
        <f t="shared" si="175"/>
        <v>#REF!</v>
      </c>
      <c r="BX1467" s="198" t="e">
        <f>IF(AND(State_LOB_Code=18,LEFT(BW1467,4)&lt;"2009"),81,State_LOB_Code)&amp;"|379"</f>
        <v>#REF!</v>
      </c>
      <c r="BY1467" s="215"/>
      <c r="BZ1467" s="216"/>
    </row>
    <row r="1468" spans="72:78">
      <c r="BT1468" s="187"/>
      <c r="BU1468" s="187" t="s">
        <v>90</v>
      </c>
      <c r="BV1468" s="196">
        <v>120038</v>
      </c>
      <c r="BW1468" s="197" t="e">
        <f t="shared" si="175"/>
        <v>#REF!</v>
      </c>
      <c r="BX1468" s="198" t="e">
        <f>IF(AND(State_LOB_Code=18,LEFT(BW1468,4)&lt;"2009"),81,State_LOB_Code)&amp;"|380"</f>
        <v>#REF!</v>
      </c>
      <c r="BY1468" s="215"/>
      <c r="BZ1468" s="216"/>
    </row>
    <row r="1469" spans="72:78">
      <c r="BT1469" s="187"/>
      <c r="BU1469" s="187" t="s">
        <v>91</v>
      </c>
      <c r="BV1469" s="196">
        <v>120038</v>
      </c>
      <c r="BW1469" s="197" t="e">
        <f t="shared" si="175"/>
        <v>#REF!</v>
      </c>
      <c r="BX1469" s="198" t="e">
        <f>IF(AND(State_LOB_Code=18,LEFT(BW1469,4)&lt;"2009"),81,State_LOB_Code)&amp;"|381"</f>
        <v>#REF!</v>
      </c>
      <c r="BY1469" s="215"/>
      <c r="BZ1469" s="216"/>
    </row>
    <row r="1470" spans="72:78">
      <c r="BT1470" s="187"/>
      <c r="BU1470" s="187" t="s">
        <v>92</v>
      </c>
      <c r="BV1470" s="196">
        <v>120038</v>
      </c>
      <c r="BW1470" s="197" t="e">
        <f t="shared" si="175"/>
        <v>#REF!</v>
      </c>
      <c r="BX1470" s="198" t="e">
        <f>IF(AND(State_LOB_Code=18,LEFT(BW1470,4)&lt;"2009"),81,State_LOB_Code)&amp;"|382"</f>
        <v>#REF!</v>
      </c>
      <c r="BY1470" s="215"/>
      <c r="BZ1470" s="216"/>
    </row>
    <row r="1471" spans="72:78">
      <c r="BT1471" s="187"/>
      <c r="BU1471" s="187" t="s">
        <v>93</v>
      </c>
      <c r="BV1471" s="196">
        <v>120038</v>
      </c>
      <c r="BW1471" s="197" t="e">
        <f t="shared" si="175"/>
        <v>#REF!</v>
      </c>
      <c r="BX1471" s="198" t="e">
        <f>IF(AND(State_LOB_Code=18,LEFT(BW1471,4)&lt;"2009"),81,State_LOB_Code)&amp;"|384"</f>
        <v>#REF!</v>
      </c>
      <c r="BY1471" s="215"/>
      <c r="BZ1471" s="216"/>
    </row>
    <row r="1472" spans="72:78">
      <c r="BT1472" s="187"/>
      <c r="BU1472" s="187" t="s">
        <v>94</v>
      </c>
      <c r="BV1472" s="196">
        <v>120038</v>
      </c>
      <c r="BW1472" s="197" t="e">
        <f t="shared" si="175"/>
        <v>#REF!</v>
      </c>
      <c r="BX1472" s="198" t="e">
        <f>IF(AND(State_LOB_Code=18,LEFT(BW1472,4)&lt;"2009"),81,State_LOB_Code)&amp;"|385"</f>
        <v>#REF!</v>
      </c>
      <c r="BY1472" s="215"/>
      <c r="BZ1472" s="216"/>
    </row>
    <row r="1473" spans="72:78">
      <c r="BT1473" s="187"/>
      <c r="BU1473" s="187" t="s">
        <v>95</v>
      </c>
      <c r="BV1473" s="196">
        <v>120038</v>
      </c>
      <c r="BW1473" s="197" t="e">
        <f t="shared" si="175"/>
        <v>#REF!</v>
      </c>
      <c r="BX1473" s="198" t="e">
        <f>IF(AND(State_LOB_Code=18,LEFT(BW1473,4)&lt;"2009"),81,State_LOB_Code)&amp;"|386"</f>
        <v>#REF!</v>
      </c>
      <c r="BY1473" s="215"/>
      <c r="BZ1473" s="216"/>
    </row>
    <row r="1474" spans="72:78">
      <c r="BT1474" s="187"/>
      <c r="BU1474" s="187" t="s">
        <v>96</v>
      </c>
      <c r="BV1474" s="196">
        <v>120038</v>
      </c>
      <c r="BW1474" s="197" t="e">
        <f t="shared" si="175"/>
        <v>#REF!</v>
      </c>
      <c r="BX1474" s="198" t="e">
        <f>IF(AND(State_LOB_Code=18,LEFT(BW1474,4)&lt;"2009"),81,State_LOB_Code)&amp;"|387"</f>
        <v>#REF!</v>
      </c>
      <c r="BY1474" s="215"/>
      <c r="BZ1474" s="216"/>
    </row>
    <row r="1475" spans="72:78">
      <c r="BT1475" s="187"/>
      <c r="BU1475" s="187" t="s">
        <v>97</v>
      </c>
      <c r="BV1475" s="196">
        <v>120038</v>
      </c>
      <c r="BW1475" s="197" t="e">
        <f t="shared" si="175"/>
        <v>#REF!</v>
      </c>
      <c r="BX1475" s="198" t="e">
        <f>IF(AND(State_LOB_Code=18,LEFT(BW1475,4)&lt;"2009"),81,State_LOB_Code)&amp;"|388"</f>
        <v>#REF!</v>
      </c>
      <c r="BY1475" s="215"/>
      <c r="BZ1475" s="216"/>
    </row>
    <row r="1476" spans="72:78">
      <c r="BT1476" s="187"/>
      <c r="BU1476" s="189" t="s">
        <v>137</v>
      </c>
      <c r="BV1476" s="199">
        <v>120038</v>
      </c>
      <c r="BW1476" s="200" t="e">
        <f t="shared" si="175"/>
        <v>#REF!</v>
      </c>
      <c r="BX1476" s="201" t="e">
        <f>IF(AND(State_LOB_Code=18,LEFT(BW1476,4)&lt;"2009"),81,State_LOB_Code)&amp;"|600"</f>
        <v>#REF!</v>
      </c>
      <c r="BY1476" s="217"/>
      <c r="BZ1476" s="218"/>
    </row>
    <row r="1477" spans="72:78">
      <c r="BT1477" s="187"/>
      <c r="BU1477" s="187" t="s">
        <v>98</v>
      </c>
      <c r="BV1477" s="196">
        <v>120038</v>
      </c>
      <c r="BW1477" s="197" t="e">
        <f t="shared" si="175"/>
        <v>#REF!</v>
      </c>
      <c r="BX1477" s="198" t="e">
        <f>IF(AND(State_LOB_Code=18,LEFT(BW1477,4)&lt;"2009"),81,State_LOB_Code)&amp;"|336"</f>
        <v>#REF!</v>
      </c>
      <c r="BY1477" s="215"/>
      <c r="BZ1477" s="216"/>
    </row>
    <row r="1478" spans="72:78">
      <c r="BT1478" s="187"/>
      <c r="BU1478" s="187" t="s">
        <v>99</v>
      </c>
      <c r="BV1478" s="196">
        <v>120038</v>
      </c>
      <c r="BW1478" s="197" t="e">
        <f t="shared" si="175"/>
        <v>#REF!</v>
      </c>
      <c r="BX1478" s="198" t="e">
        <f>IF(AND(State_LOB_Code=18,LEFT(BW1478,4)&lt;"2009"),81,State_LOB_Code)&amp;"|345"</f>
        <v>#REF!</v>
      </c>
      <c r="BY1478" s="215"/>
      <c r="BZ1478" s="216"/>
    </row>
    <row r="1479" spans="72:78">
      <c r="BT1479" s="187"/>
      <c r="BU1479" s="187" t="s">
        <v>100</v>
      </c>
      <c r="BV1479" s="196">
        <v>120038</v>
      </c>
      <c r="BW1479" s="197" t="e">
        <f t="shared" si="175"/>
        <v>#REF!</v>
      </c>
      <c r="BX1479" s="198" t="e">
        <f>IF(AND(State_LOB_Code=18,LEFT(BW1479,4)&lt;"2009"),81,State_LOB_Code)&amp;"|360"</f>
        <v>#REF!</v>
      </c>
      <c r="BY1479" s="215"/>
      <c r="BZ1479" s="216"/>
    </row>
    <row r="1480" spans="72:78">
      <c r="BT1480" s="187"/>
      <c r="BU1480" s="187" t="s">
        <v>101</v>
      </c>
      <c r="BV1480" s="196">
        <v>120038</v>
      </c>
      <c r="BW1480" s="197" t="e">
        <f t="shared" si="175"/>
        <v>#REF!</v>
      </c>
      <c r="BX1480" s="198" t="e">
        <f>IF(AND(State_LOB_Code=18,LEFT(BW1480,4)&lt;"2009"),81,State_LOB_Code)&amp;"|375"</f>
        <v>#REF!</v>
      </c>
      <c r="BY1480" s="215"/>
      <c r="BZ1480" s="216"/>
    </row>
    <row r="1481" spans="72:78">
      <c r="BT1481" s="187"/>
      <c r="BU1481" s="187" t="s">
        <v>102</v>
      </c>
      <c r="BV1481" s="196">
        <v>120038</v>
      </c>
      <c r="BW1481" s="197" t="e">
        <f t="shared" si="175"/>
        <v>#REF!</v>
      </c>
      <c r="BX1481" s="198" t="e">
        <f>IF(AND(State_LOB_Code=18,LEFT(BW1481,4)&lt;"2009"),81,State_LOB_Code)&amp;"|383"</f>
        <v>#REF!</v>
      </c>
      <c r="BY1481" s="215"/>
      <c r="BZ1481" s="216"/>
    </row>
    <row r="1482" spans="72:78">
      <c r="BT1482" s="187"/>
      <c r="BU1482" s="187" t="s">
        <v>103</v>
      </c>
      <c r="BV1482" s="196">
        <v>120038</v>
      </c>
      <c r="BW1482" s="197" t="e">
        <f t="shared" si="175"/>
        <v>#REF!</v>
      </c>
      <c r="BX1482" s="198" t="e">
        <f>IF(AND(State_LOB_Code=18,LEFT(BW1482,4)&lt;"2009"),81,State_LOB_Code)&amp;"|332"</f>
        <v>#REF!</v>
      </c>
      <c r="BY1482" s="215"/>
      <c r="BZ1482" s="216"/>
    </row>
    <row r="1483" spans="72:78">
      <c r="BT1483" s="187"/>
      <c r="BU1483" s="187" t="s">
        <v>104</v>
      </c>
      <c r="BV1483" s="196">
        <v>120038</v>
      </c>
      <c r="BW1483" s="197" t="e">
        <f t="shared" si="175"/>
        <v>#REF!</v>
      </c>
      <c r="BX1483" s="198" t="e">
        <f>IF(AND(State_LOB_Code=18,LEFT(BW1483,4)&lt;"2009"),81,State_LOB_Code)&amp;"|330"</f>
        <v>#REF!</v>
      </c>
      <c r="BY1483" s="215"/>
      <c r="BZ1483" s="216"/>
    </row>
    <row r="1484" spans="72:78">
      <c r="BT1484" s="187"/>
      <c r="BU1484" s="190" t="s">
        <v>46</v>
      </c>
      <c r="BV1484" s="202">
        <v>120059</v>
      </c>
      <c r="BW1484" s="203" t="e">
        <f t="shared" si="175"/>
        <v>#REF!</v>
      </c>
      <c r="BX1484" s="204" t="e">
        <f>IF(AND(State_LOB_Code=18,LEFT(BW1484,4)&lt;"2009"),81,State_LOB_Code)</f>
        <v>#REF!</v>
      </c>
      <c r="BY1484" s="219"/>
      <c r="BZ1484" s="220"/>
    </row>
    <row r="1485" spans="72:78">
      <c r="BT1485" s="187"/>
      <c r="BU1485" s="187"/>
      <c r="BV1485" s="188"/>
      <c r="BW1485" s="188"/>
      <c r="BX1485" s="188"/>
      <c r="BY1485" s="215"/>
      <c r="BZ1485" s="216"/>
    </row>
    <row r="1486" spans="72:78">
      <c r="BT1486" s="187"/>
      <c r="BU1486" s="184" t="s">
        <v>47</v>
      </c>
      <c r="BV1486" s="193">
        <v>120038</v>
      </c>
      <c r="BW1486" s="194" t="e">
        <f t="shared" ref="BW1486:BW1517" si="176">LEFT(BW1425,4)-1&amp;"Y"</f>
        <v>#REF!</v>
      </c>
      <c r="BX1486" s="195" t="e">
        <f>IF(AND(State_LOB_Code=18,LEFT(BW1486,4)&lt;"2009"),81,State_LOB_Code)&amp;"|333"</f>
        <v>#REF!</v>
      </c>
      <c r="BY1486" s="213"/>
      <c r="BZ1486" s="214"/>
    </row>
    <row r="1487" spans="72:78">
      <c r="BT1487" s="187"/>
      <c r="BU1487" s="187" t="s">
        <v>48</v>
      </c>
      <c r="BV1487" s="196">
        <v>120038</v>
      </c>
      <c r="BW1487" s="197" t="e">
        <f t="shared" si="176"/>
        <v>#REF!</v>
      </c>
      <c r="BX1487" s="198" t="e">
        <f>IF(AND(State_LOB_Code=18,LEFT(BW1487,4)&lt;"2009"),81,State_LOB_Code)&amp;"|334"</f>
        <v>#REF!</v>
      </c>
      <c r="BY1487" s="215"/>
      <c r="BZ1487" s="216"/>
    </row>
    <row r="1488" spans="72:78">
      <c r="BT1488" s="187"/>
      <c r="BU1488" s="187" t="s">
        <v>49</v>
      </c>
      <c r="BV1488" s="196">
        <v>120038</v>
      </c>
      <c r="BW1488" s="197" t="e">
        <f t="shared" si="176"/>
        <v>#REF!</v>
      </c>
      <c r="BX1488" s="198" t="e">
        <f>IF(AND(State_LOB_Code=18,LEFT(BW1488,4)&lt;"2009"),81,State_LOB_Code)&amp;"|335"</f>
        <v>#REF!</v>
      </c>
      <c r="BY1488" s="215"/>
      <c r="BZ1488" s="216"/>
    </row>
    <row r="1489" spans="72:78">
      <c r="BT1489" s="187"/>
      <c r="BU1489" s="187" t="s">
        <v>50</v>
      </c>
      <c r="BV1489" s="196">
        <v>120038</v>
      </c>
      <c r="BW1489" s="197" t="e">
        <f t="shared" si="176"/>
        <v>#REF!</v>
      </c>
      <c r="BX1489" s="198" t="e">
        <f>IF(AND(State_LOB_Code=18,LEFT(BW1489,4)&lt;"2009"),81,State_LOB_Code)&amp;"|337"</f>
        <v>#REF!</v>
      </c>
      <c r="BY1489" s="215"/>
      <c r="BZ1489" s="216"/>
    </row>
    <row r="1490" spans="72:78">
      <c r="BT1490" s="187"/>
      <c r="BU1490" s="187" t="s">
        <v>51</v>
      </c>
      <c r="BV1490" s="196">
        <v>120038</v>
      </c>
      <c r="BW1490" s="197" t="e">
        <f t="shared" si="176"/>
        <v>#REF!</v>
      </c>
      <c r="BX1490" s="198" t="e">
        <f>IF(AND(State_LOB_Code=18,LEFT(BW1490,4)&lt;"2009"),81,State_LOB_Code)&amp;"|338"</f>
        <v>#REF!</v>
      </c>
      <c r="BY1490" s="215"/>
      <c r="BZ1490" s="216"/>
    </row>
    <row r="1491" spans="72:78">
      <c r="BT1491" s="187"/>
      <c r="BU1491" s="187" t="s">
        <v>52</v>
      </c>
      <c r="BV1491" s="196">
        <v>120038</v>
      </c>
      <c r="BW1491" s="197" t="e">
        <f t="shared" si="176"/>
        <v>#REF!</v>
      </c>
      <c r="BX1491" s="198" t="e">
        <f>IF(AND(State_LOB_Code=18,LEFT(BW1491,4)&lt;"2009"),81,State_LOB_Code)&amp;"|339"</f>
        <v>#REF!</v>
      </c>
      <c r="BY1491" s="215"/>
      <c r="BZ1491" s="216"/>
    </row>
    <row r="1492" spans="72:78">
      <c r="BT1492" s="187"/>
      <c r="BU1492" s="187" t="s">
        <v>53</v>
      </c>
      <c r="BV1492" s="196">
        <v>120038</v>
      </c>
      <c r="BW1492" s="197" t="e">
        <f t="shared" si="176"/>
        <v>#REF!</v>
      </c>
      <c r="BX1492" s="198" t="e">
        <f>IF(AND(State_LOB_Code=18,LEFT(BW1492,4)&lt;"2009"),81,State_LOB_Code)&amp;"|340"</f>
        <v>#REF!</v>
      </c>
      <c r="BY1492" s="215"/>
      <c r="BZ1492" s="216"/>
    </row>
    <row r="1493" spans="72:78">
      <c r="BT1493" s="187"/>
      <c r="BU1493" s="187" t="s">
        <v>54</v>
      </c>
      <c r="BV1493" s="196">
        <v>120038</v>
      </c>
      <c r="BW1493" s="197" t="e">
        <f t="shared" si="176"/>
        <v>#REF!</v>
      </c>
      <c r="BX1493" s="198" t="e">
        <f>IF(AND(State_LOB_Code=18,LEFT(BW1493,4)&lt;"2009"),81,State_LOB_Code)&amp;"|341"</f>
        <v>#REF!</v>
      </c>
      <c r="BY1493" s="215"/>
      <c r="BZ1493" s="216"/>
    </row>
    <row r="1494" spans="72:78">
      <c r="BT1494" s="187"/>
      <c r="BU1494" s="187" t="s">
        <v>55</v>
      </c>
      <c r="BV1494" s="196">
        <v>120038</v>
      </c>
      <c r="BW1494" s="197" t="e">
        <f t="shared" si="176"/>
        <v>#REF!</v>
      </c>
      <c r="BX1494" s="198" t="e">
        <f>IF(AND(State_LOB_Code=18,LEFT(BW1494,4)&lt;"2009"),81,State_LOB_Code)&amp;"|342"</f>
        <v>#REF!</v>
      </c>
      <c r="BY1494" s="215"/>
      <c r="BZ1494" s="216"/>
    </row>
    <row r="1495" spans="72:78">
      <c r="BT1495" s="187"/>
      <c r="BU1495" s="187" t="s">
        <v>56</v>
      </c>
      <c r="BV1495" s="196">
        <v>120038</v>
      </c>
      <c r="BW1495" s="197" t="e">
        <f t="shared" si="176"/>
        <v>#REF!</v>
      </c>
      <c r="BX1495" s="198" t="e">
        <f>IF(AND(State_LOB_Code=18,LEFT(BW1495,4)&lt;"2009"),81,State_LOB_Code)&amp;"|343"</f>
        <v>#REF!</v>
      </c>
      <c r="BY1495" s="215"/>
      <c r="BZ1495" s="216"/>
    </row>
    <row r="1496" spans="72:78">
      <c r="BT1496" s="187"/>
      <c r="BU1496" s="187" t="s">
        <v>57</v>
      </c>
      <c r="BV1496" s="196">
        <v>120038</v>
      </c>
      <c r="BW1496" s="197" t="e">
        <f t="shared" si="176"/>
        <v>#REF!</v>
      </c>
      <c r="BX1496" s="198" t="e">
        <f>IF(AND(State_LOB_Code=18,LEFT(BW1496,4)&lt;"2009"),81,State_LOB_Code)&amp;"|344"</f>
        <v>#REF!</v>
      </c>
      <c r="BY1496" s="215"/>
      <c r="BZ1496" s="216"/>
    </row>
    <row r="1497" spans="72:78">
      <c r="BT1497" s="187"/>
      <c r="BU1497" s="187" t="s">
        <v>58</v>
      </c>
      <c r="BV1497" s="196">
        <v>120038</v>
      </c>
      <c r="BW1497" s="197" t="e">
        <f t="shared" si="176"/>
        <v>#REF!</v>
      </c>
      <c r="BX1497" s="198" t="e">
        <f>IF(AND(State_LOB_Code=18,LEFT(BW1497,4)&lt;"2009"),81,State_LOB_Code)&amp;"|346"</f>
        <v>#REF!</v>
      </c>
      <c r="BY1497" s="215"/>
      <c r="BZ1497" s="216"/>
    </row>
    <row r="1498" spans="72:78">
      <c r="BT1498" s="187"/>
      <c r="BU1498" s="187" t="s">
        <v>59</v>
      </c>
      <c r="BV1498" s="196">
        <v>120038</v>
      </c>
      <c r="BW1498" s="197" t="e">
        <f t="shared" si="176"/>
        <v>#REF!</v>
      </c>
      <c r="BX1498" s="198" t="e">
        <f>IF(AND(State_LOB_Code=18,LEFT(BW1498,4)&lt;"2009"),81,State_LOB_Code)&amp;"|347"</f>
        <v>#REF!</v>
      </c>
      <c r="BY1498" s="215"/>
      <c r="BZ1498" s="216"/>
    </row>
    <row r="1499" spans="72:78">
      <c r="BT1499" s="187"/>
      <c r="BU1499" s="187" t="s">
        <v>60</v>
      </c>
      <c r="BV1499" s="196">
        <v>120038</v>
      </c>
      <c r="BW1499" s="197" t="e">
        <f t="shared" si="176"/>
        <v>#REF!</v>
      </c>
      <c r="BX1499" s="198" t="e">
        <f>IF(AND(State_LOB_Code=18,LEFT(BW1499,4)&lt;"2009"),81,State_LOB_Code)&amp;"|348"</f>
        <v>#REF!</v>
      </c>
      <c r="BY1499" s="215"/>
      <c r="BZ1499" s="216"/>
    </row>
    <row r="1500" spans="72:78">
      <c r="BT1500" s="187"/>
      <c r="BU1500" s="187" t="s">
        <v>61</v>
      </c>
      <c r="BV1500" s="196">
        <v>120038</v>
      </c>
      <c r="BW1500" s="197" t="e">
        <f t="shared" si="176"/>
        <v>#REF!</v>
      </c>
      <c r="BX1500" s="198" t="e">
        <f>IF(AND(State_LOB_Code=18,LEFT(BW1500,4)&lt;"2009"),81,State_LOB_Code)&amp;"|349"</f>
        <v>#REF!</v>
      </c>
      <c r="BY1500" s="215"/>
      <c r="BZ1500" s="216"/>
    </row>
    <row r="1501" spans="72:78">
      <c r="BT1501" s="187"/>
      <c r="BU1501" s="187" t="s">
        <v>62</v>
      </c>
      <c r="BV1501" s="196">
        <v>120038</v>
      </c>
      <c r="BW1501" s="197" t="e">
        <f t="shared" si="176"/>
        <v>#REF!</v>
      </c>
      <c r="BX1501" s="198" t="e">
        <f>IF(AND(State_LOB_Code=18,LEFT(BW1501,4)&lt;"2009"),81,State_LOB_Code)&amp;"|350"</f>
        <v>#REF!</v>
      </c>
      <c r="BY1501" s="215"/>
      <c r="BZ1501" s="216"/>
    </row>
    <row r="1502" spans="72:78">
      <c r="BT1502" s="187"/>
      <c r="BU1502" s="187" t="s">
        <v>63</v>
      </c>
      <c r="BV1502" s="196">
        <v>120038</v>
      </c>
      <c r="BW1502" s="197" t="e">
        <f t="shared" si="176"/>
        <v>#REF!</v>
      </c>
      <c r="BX1502" s="198" t="e">
        <f>IF(AND(State_LOB_Code=18,LEFT(BW1502,4)&lt;"2009"),81,State_LOB_Code)&amp;"|351"</f>
        <v>#REF!</v>
      </c>
      <c r="BY1502" s="215"/>
      <c r="BZ1502" s="216"/>
    </row>
    <row r="1503" spans="72:78">
      <c r="BT1503" s="187"/>
      <c r="BU1503" s="187" t="s">
        <v>64</v>
      </c>
      <c r="BV1503" s="196">
        <v>120038</v>
      </c>
      <c r="BW1503" s="197" t="e">
        <f t="shared" si="176"/>
        <v>#REF!</v>
      </c>
      <c r="BX1503" s="198" t="e">
        <f>IF(AND(State_LOB_Code=18,LEFT(BW1503,4)&lt;"2009"),81,State_LOB_Code)&amp;"|352"</f>
        <v>#REF!</v>
      </c>
      <c r="BY1503" s="215"/>
      <c r="BZ1503" s="216"/>
    </row>
    <row r="1504" spans="72:78">
      <c r="BT1504" s="187"/>
      <c r="BU1504" s="187" t="s">
        <v>65</v>
      </c>
      <c r="BV1504" s="196">
        <v>120038</v>
      </c>
      <c r="BW1504" s="197" t="e">
        <f t="shared" si="176"/>
        <v>#REF!</v>
      </c>
      <c r="BX1504" s="198" t="e">
        <f>IF(AND(State_LOB_Code=18,LEFT(BW1504,4)&lt;"2009"),81,State_LOB_Code)&amp;"|353"</f>
        <v>#REF!</v>
      </c>
      <c r="BY1504" s="215"/>
      <c r="BZ1504" s="216"/>
    </row>
    <row r="1505" spans="72:78">
      <c r="BT1505" s="187"/>
      <c r="BU1505" s="187" t="s">
        <v>66</v>
      </c>
      <c r="BV1505" s="196">
        <v>120038</v>
      </c>
      <c r="BW1505" s="197" t="e">
        <f t="shared" si="176"/>
        <v>#REF!</v>
      </c>
      <c r="BX1505" s="198" t="e">
        <f>IF(AND(State_LOB_Code=18,LEFT(BW1505,4)&lt;"2009"),81,State_LOB_Code)&amp;"|354"</f>
        <v>#REF!</v>
      </c>
      <c r="BY1505" s="215"/>
      <c r="BZ1505" s="216"/>
    </row>
    <row r="1506" spans="72:78">
      <c r="BT1506" s="187"/>
      <c r="BU1506" s="187" t="s">
        <v>67</v>
      </c>
      <c r="BV1506" s="196">
        <v>120038</v>
      </c>
      <c r="BW1506" s="197" t="e">
        <f t="shared" si="176"/>
        <v>#REF!</v>
      </c>
      <c r="BX1506" s="198" t="e">
        <f>IF(AND(State_LOB_Code=18,LEFT(BW1506,4)&lt;"2009"),81,State_LOB_Code)&amp;"|355"</f>
        <v>#REF!</v>
      </c>
      <c r="BY1506" s="215"/>
      <c r="BZ1506" s="216"/>
    </row>
    <row r="1507" spans="72:78">
      <c r="BT1507" s="187"/>
      <c r="BU1507" s="187" t="s">
        <v>68</v>
      </c>
      <c r="BV1507" s="196">
        <v>120038</v>
      </c>
      <c r="BW1507" s="197" t="e">
        <f t="shared" si="176"/>
        <v>#REF!</v>
      </c>
      <c r="BX1507" s="198" t="e">
        <f>IF(AND(State_LOB_Code=18,LEFT(BW1507,4)&lt;"2009"),81,State_LOB_Code)&amp;"|356"</f>
        <v>#REF!</v>
      </c>
      <c r="BY1507" s="215"/>
      <c r="BZ1507" s="216"/>
    </row>
    <row r="1508" spans="72:78">
      <c r="BT1508" s="187"/>
      <c r="BU1508" s="187" t="s">
        <v>69</v>
      </c>
      <c r="BV1508" s="196">
        <v>120038</v>
      </c>
      <c r="BW1508" s="197" t="e">
        <f t="shared" si="176"/>
        <v>#REF!</v>
      </c>
      <c r="BX1508" s="198" t="e">
        <f>IF(AND(State_LOB_Code=18,LEFT(BW1508,4)&lt;"2009"),81,State_LOB_Code)&amp;"|357"</f>
        <v>#REF!</v>
      </c>
      <c r="BY1508" s="215"/>
      <c r="BZ1508" s="216"/>
    </row>
    <row r="1509" spans="72:78">
      <c r="BT1509" s="187"/>
      <c r="BU1509" s="187" t="s">
        <v>70</v>
      </c>
      <c r="BV1509" s="196">
        <v>120038</v>
      </c>
      <c r="BW1509" s="197" t="e">
        <f t="shared" si="176"/>
        <v>#REF!</v>
      </c>
      <c r="BX1509" s="198" t="e">
        <f>IF(AND(State_LOB_Code=18,LEFT(BW1509,4)&lt;"2009"),81,State_LOB_Code)&amp;"|358"</f>
        <v>#REF!</v>
      </c>
      <c r="BY1509" s="215"/>
      <c r="BZ1509" s="216"/>
    </row>
    <row r="1510" spans="72:78">
      <c r="BT1510" s="187"/>
      <c r="BU1510" s="187" t="s">
        <v>71</v>
      </c>
      <c r="BV1510" s="196">
        <v>120038</v>
      </c>
      <c r="BW1510" s="197" t="e">
        <f t="shared" si="176"/>
        <v>#REF!</v>
      </c>
      <c r="BX1510" s="198" t="e">
        <f>IF(AND(State_LOB_Code=18,LEFT(BW1510,4)&lt;"2009"),81,State_LOB_Code)&amp;"|359"</f>
        <v>#REF!</v>
      </c>
      <c r="BY1510" s="215"/>
      <c r="BZ1510" s="216"/>
    </row>
    <row r="1511" spans="72:78">
      <c r="BT1511" s="187"/>
      <c r="BU1511" s="187" t="s">
        <v>72</v>
      </c>
      <c r="BV1511" s="196">
        <v>120038</v>
      </c>
      <c r="BW1511" s="197" t="e">
        <f t="shared" si="176"/>
        <v>#REF!</v>
      </c>
      <c r="BX1511" s="198" t="e">
        <f>IF(AND(State_LOB_Code=18,LEFT(BW1511,4)&lt;"2009"),81,State_LOB_Code)&amp;"|361"</f>
        <v>#REF!</v>
      </c>
      <c r="BY1511" s="215"/>
      <c r="BZ1511" s="216"/>
    </row>
    <row r="1512" spans="72:78">
      <c r="BT1512" s="187"/>
      <c r="BU1512" s="187" t="s">
        <v>73</v>
      </c>
      <c r="BV1512" s="196">
        <v>120038</v>
      </c>
      <c r="BW1512" s="197" t="e">
        <f t="shared" si="176"/>
        <v>#REF!</v>
      </c>
      <c r="BX1512" s="198" t="e">
        <f>IF(AND(State_LOB_Code=18,LEFT(BW1512,4)&lt;"2009"),81,State_LOB_Code)&amp;"|362"</f>
        <v>#REF!</v>
      </c>
      <c r="BY1512" s="215"/>
      <c r="BZ1512" s="216"/>
    </row>
    <row r="1513" spans="72:78">
      <c r="BT1513" s="187"/>
      <c r="BU1513" s="187" t="s">
        <v>74</v>
      </c>
      <c r="BV1513" s="196">
        <v>120038</v>
      </c>
      <c r="BW1513" s="197" t="e">
        <f t="shared" si="176"/>
        <v>#REF!</v>
      </c>
      <c r="BX1513" s="198" t="e">
        <f>IF(AND(State_LOB_Code=18,LEFT(BW1513,4)&lt;"2009"),81,State_LOB_Code)&amp;"|363"</f>
        <v>#REF!</v>
      </c>
      <c r="BY1513" s="215"/>
      <c r="BZ1513" s="216"/>
    </row>
    <row r="1514" spans="72:78">
      <c r="BT1514" s="187"/>
      <c r="BU1514" s="187" t="s">
        <v>75</v>
      </c>
      <c r="BV1514" s="196">
        <v>120038</v>
      </c>
      <c r="BW1514" s="197" t="e">
        <f t="shared" si="176"/>
        <v>#REF!</v>
      </c>
      <c r="BX1514" s="198" t="e">
        <f>IF(AND(State_LOB_Code=18,LEFT(BW1514,4)&lt;"2009"),81,State_LOB_Code)&amp;"|364"</f>
        <v>#REF!</v>
      </c>
      <c r="BY1514" s="215"/>
      <c r="BZ1514" s="216"/>
    </row>
    <row r="1515" spans="72:78">
      <c r="BT1515" s="187"/>
      <c r="BU1515" s="187" t="s">
        <v>76</v>
      </c>
      <c r="BV1515" s="196">
        <v>120038</v>
      </c>
      <c r="BW1515" s="197" t="e">
        <f t="shared" si="176"/>
        <v>#REF!</v>
      </c>
      <c r="BX1515" s="198" t="e">
        <f>IF(AND(State_LOB_Code=18,LEFT(BW1515,4)&lt;"2009"),81,State_LOB_Code)&amp;"|365"</f>
        <v>#REF!</v>
      </c>
      <c r="BY1515" s="215"/>
      <c r="BZ1515" s="216"/>
    </row>
    <row r="1516" spans="72:78">
      <c r="BT1516" s="187"/>
      <c r="BU1516" s="187" t="s">
        <v>77</v>
      </c>
      <c r="BV1516" s="196">
        <v>120038</v>
      </c>
      <c r="BW1516" s="197" t="e">
        <f t="shared" si="176"/>
        <v>#REF!</v>
      </c>
      <c r="BX1516" s="198" t="e">
        <f>IF(AND(State_LOB_Code=18,LEFT(BW1516,4)&lt;"2009"),81,State_LOB_Code)&amp;"|366"</f>
        <v>#REF!</v>
      </c>
      <c r="BY1516" s="215"/>
      <c r="BZ1516" s="216"/>
    </row>
    <row r="1517" spans="72:78">
      <c r="BT1517" s="187"/>
      <c r="BU1517" s="187" t="s">
        <v>78</v>
      </c>
      <c r="BV1517" s="196">
        <v>120038</v>
      </c>
      <c r="BW1517" s="197" t="e">
        <f t="shared" si="176"/>
        <v>#REF!</v>
      </c>
      <c r="BX1517" s="198" t="e">
        <f>IF(AND(State_LOB_Code=18,LEFT(BW1517,4)&lt;"2009"),81,State_LOB_Code)&amp;"|367"</f>
        <v>#REF!</v>
      </c>
      <c r="BY1517" s="215"/>
      <c r="BZ1517" s="216"/>
    </row>
    <row r="1518" spans="72:78">
      <c r="BT1518" s="187"/>
      <c r="BU1518" s="187" t="s">
        <v>79</v>
      </c>
      <c r="BV1518" s="196">
        <v>120038</v>
      </c>
      <c r="BW1518" s="197" t="e">
        <f t="shared" ref="BW1518:BW1545" si="177">LEFT(BW1457,4)-1&amp;"Y"</f>
        <v>#REF!</v>
      </c>
      <c r="BX1518" s="198" t="e">
        <f>IF(AND(State_LOB_Code=18,LEFT(BW1518,4)&lt;"2009"),81,State_LOB_Code)&amp;"|368"</f>
        <v>#REF!</v>
      </c>
      <c r="BY1518" s="215"/>
      <c r="BZ1518" s="216"/>
    </row>
    <row r="1519" spans="72:78">
      <c r="BT1519" s="187"/>
      <c r="BU1519" s="187" t="s">
        <v>80</v>
      </c>
      <c r="BV1519" s="196">
        <v>120038</v>
      </c>
      <c r="BW1519" s="197" t="e">
        <f t="shared" si="177"/>
        <v>#REF!</v>
      </c>
      <c r="BX1519" s="198" t="e">
        <f>IF(AND(State_LOB_Code=18,LEFT(BW1519,4)&lt;"2009"),81,State_LOB_Code)&amp;"|369"</f>
        <v>#REF!</v>
      </c>
      <c r="BY1519" s="215"/>
      <c r="BZ1519" s="216"/>
    </row>
    <row r="1520" spans="72:78">
      <c r="BT1520" s="187"/>
      <c r="BU1520" s="187" t="s">
        <v>81</v>
      </c>
      <c r="BV1520" s="196">
        <v>120038</v>
      </c>
      <c r="BW1520" s="197" t="e">
        <f t="shared" si="177"/>
        <v>#REF!</v>
      </c>
      <c r="BX1520" s="198" t="e">
        <f>IF(AND(State_LOB_Code=18,LEFT(BW1520,4)&lt;"2009"),81,State_LOB_Code)&amp;"|370"</f>
        <v>#REF!</v>
      </c>
      <c r="BY1520" s="215"/>
      <c r="BZ1520" s="216"/>
    </row>
    <row r="1521" spans="72:78">
      <c r="BT1521" s="187"/>
      <c r="BU1521" s="187" t="s">
        <v>82</v>
      </c>
      <c r="BV1521" s="196">
        <v>120038</v>
      </c>
      <c r="BW1521" s="197" t="e">
        <f t="shared" si="177"/>
        <v>#REF!</v>
      </c>
      <c r="BX1521" s="198" t="e">
        <f>IF(AND(State_LOB_Code=18,LEFT(BW1521,4)&lt;"2009"),81,State_LOB_Code)&amp;"|371"</f>
        <v>#REF!</v>
      </c>
      <c r="BY1521" s="215"/>
      <c r="BZ1521" s="216"/>
    </row>
    <row r="1522" spans="72:78">
      <c r="BT1522" s="187"/>
      <c r="BU1522" s="187" t="s">
        <v>83</v>
      </c>
      <c r="BV1522" s="196">
        <v>120038</v>
      </c>
      <c r="BW1522" s="197" t="e">
        <f t="shared" si="177"/>
        <v>#REF!</v>
      </c>
      <c r="BX1522" s="198" t="e">
        <f>IF(AND(State_LOB_Code=18,LEFT(BW1522,4)&lt;"2009"),81,State_LOB_Code)&amp;"|372"</f>
        <v>#REF!</v>
      </c>
      <c r="BY1522" s="215"/>
      <c r="BZ1522" s="216"/>
    </row>
    <row r="1523" spans="72:78">
      <c r="BT1523" s="187"/>
      <c r="BU1523" s="187" t="s">
        <v>84</v>
      </c>
      <c r="BV1523" s="196">
        <v>120038</v>
      </c>
      <c r="BW1523" s="197" t="e">
        <f t="shared" si="177"/>
        <v>#REF!</v>
      </c>
      <c r="BX1523" s="198" t="e">
        <f>IF(AND(State_LOB_Code=18,LEFT(BW1523,4)&lt;"2009"),81,State_LOB_Code)&amp;"|373"</f>
        <v>#REF!</v>
      </c>
      <c r="BY1523" s="215"/>
      <c r="BZ1523" s="216"/>
    </row>
    <row r="1524" spans="72:78">
      <c r="BT1524" s="187"/>
      <c r="BU1524" s="187" t="s">
        <v>85</v>
      </c>
      <c r="BV1524" s="196">
        <v>120038</v>
      </c>
      <c r="BW1524" s="197" t="e">
        <f t="shared" si="177"/>
        <v>#REF!</v>
      </c>
      <c r="BX1524" s="198" t="e">
        <f>IF(AND(State_LOB_Code=18,LEFT(BW1524,4)&lt;"2009"),81,State_LOB_Code)&amp;"|374"</f>
        <v>#REF!</v>
      </c>
      <c r="BY1524" s="215"/>
      <c r="BZ1524" s="216"/>
    </row>
    <row r="1525" spans="72:78">
      <c r="BT1525" s="187"/>
      <c r="BU1525" s="187" t="s">
        <v>86</v>
      </c>
      <c r="BV1525" s="196">
        <v>120038</v>
      </c>
      <c r="BW1525" s="197" t="e">
        <f t="shared" si="177"/>
        <v>#REF!</v>
      </c>
      <c r="BX1525" s="198" t="e">
        <f>IF(AND(State_LOB_Code=18,LEFT(BW1525,4)&lt;"2009"),81,State_LOB_Code)&amp;"|376"</f>
        <v>#REF!</v>
      </c>
      <c r="BY1525" s="215"/>
      <c r="BZ1525" s="216"/>
    </row>
    <row r="1526" spans="72:78">
      <c r="BT1526" s="187"/>
      <c r="BU1526" s="187" t="s">
        <v>87</v>
      </c>
      <c r="BV1526" s="196">
        <v>120038</v>
      </c>
      <c r="BW1526" s="197" t="e">
        <f t="shared" si="177"/>
        <v>#REF!</v>
      </c>
      <c r="BX1526" s="198" t="e">
        <f>IF(AND(State_LOB_Code=18,LEFT(BW1526,4)&lt;"2009"),81,State_LOB_Code)&amp;"|377"</f>
        <v>#REF!</v>
      </c>
      <c r="BY1526" s="215"/>
      <c r="BZ1526" s="216"/>
    </row>
    <row r="1527" spans="72:78">
      <c r="BT1527" s="187"/>
      <c r="BU1527" s="187" t="s">
        <v>88</v>
      </c>
      <c r="BV1527" s="196">
        <v>120038</v>
      </c>
      <c r="BW1527" s="197" t="e">
        <f t="shared" si="177"/>
        <v>#REF!</v>
      </c>
      <c r="BX1527" s="198" t="e">
        <f>IF(AND(State_LOB_Code=18,LEFT(BW1527,4)&lt;"2009"),81,State_LOB_Code)&amp;"|378"</f>
        <v>#REF!</v>
      </c>
      <c r="BY1527" s="215"/>
      <c r="BZ1527" s="216"/>
    </row>
    <row r="1528" spans="72:78">
      <c r="BT1528" s="187"/>
      <c r="BU1528" s="187" t="s">
        <v>89</v>
      </c>
      <c r="BV1528" s="196">
        <v>120038</v>
      </c>
      <c r="BW1528" s="197" t="e">
        <f t="shared" si="177"/>
        <v>#REF!</v>
      </c>
      <c r="BX1528" s="198" t="e">
        <f>IF(AND(State_LOB_Code=18,LEFT(BW1528,4)&lt;"2009"),81,State_LOB_Code)&amp;"|379"</f>
        <v>#REF!</v>
      </c>
      <c r="BY1528" s="215"/>
      <c r="BZ1528" s="216"/>
    </row>
    <row r="1529" spans="72:78">
      <c r="BT1529" s="187"/>
      <c r="BU1529" s="187" t="s">
        <v>90</v>
      </c>
      <c r="BV1529" s="196">
        <v>120038</v>
      </c>
      <c r="BW1529" s="197" t="e">
        <f t="shared" si="177"/>
        <v>#REF!</v>
      </c>
      <c r="BX1529" s="198" t="e">
        <f>IF(AND(State_LOB_Code=18,LEFT(BW1529,4)&lt;"2009"),81,State_LOB_Code)&amp;"|380"</f>
        <v>#REF!</v>
      </c>
      <c r="BY1529" s="215"/>
      <c r="BZ1529" s="216"/>
    </row>
    <row r="1530" spans="72:78">
      <c r="BT1530" s="187"/>
      <c r="BU1530" s="187" t="s">
        <v>91</v>
      </c>
      <c r="BV1530" s="196">
        <v>120038</v>
      </c>
      <c r="BW1530" s="197" t="e">
        <f t="shared" si="177"/>
        <v>#REF!</v>
      </c>
      <c r="BX1530" s="198" t="e">
        <f>IF(AND(State_LOB_Code=18,LEFT(BW1530,4)&lt;"2009"),81,State_LOB_Code)&amp;"|381"</f>
        <v>#REF!</v>
      </c>
      <c r="BY1530" s="215"/>
      <c r="BZ1530" s="216"/>
    </row>
    <row r="1531" spans="72:78">
      <c r="BT1531" s="187"/>
      <c r="BU1531" s="187" t="s">
        <v>92</v>
      </c>
      <c r="BV1531" s="196">
        <v>120038</v>
      </c>
      <c r="BW1531" s="197" t="e">
        <f t="shared" si="177"/>
        <v>#REF!</v>
      </c>
      <c r="BX1531" s="198" t="e">
        <f>IF(AND(State_LOB_Code=18,LEFT(BW1531,4)&lt;"2009"),81,State_LOB_Code)&amp;"|382"</f>
        <v>#REF!</v>
      </c>
      <c r="BY1531" s="215"/>
      <c r="BZ1531" s="216"/>
    </row>
    <row r="1532" spans="72:78">
      <c r="BT1532" s="187"/>
      <c r="BU1532" s="187" t="s">
        <v>93</v>
      </c>
      <c r="BV1532" s="196">
        <v>120038</v>
      </c>
      <c r="BW1532" s="197" t="e">
        <f t="shared" si="177"/>
        <v>#REF!</v>
      </c>
      <c r="BX1532" s="198" t="e">
        <f>IF(AND(State_LOB_Code=18,LEFT(BW1532,4)&lt;"2009"),81,State_LOB_Code)&amp;"|384"</f>
        <v>#REF!</v>
      </c>
      <c r="BY1532" s="215"/>
      <c r="BZ1532" s="216"/>
    </row>
    <row r="1533" spans="72:78">
      <c r="BT1533" s="187"/>
      <c r="BU1533" s="187" t="s">
        <v>94</v>
      </c>
      <c r="BV1533" s="196">
        <v>120038</v>
      </c>
      <c r="BW1533" s="197" t="e">
        <f t="shared" si="177"/>
        <v>#REF!</v>
      </c>
      <c r="BX1533" s="198" t="e">
        <f>IF(AND(State_LOB_Code=18,LEFT(BW1533,4)&lt;"2009"),81,State_LOB_Code)&amp;"|385"</f>
        <v>#REF!</v>
      </c>
      <c r="BY1533" s="215"/>
      <c r="BZ1533" s="216"/>
    </row>
    <row r="1534" spans="72:78">
      <c r="BT1534" s="187"/>
      <c r="BU1534" s="187" t="s">
        <v>95</v>
      </c>
      <c r="BV1534" s="196">
        <v>120038</v>
      </c>
      <c r="BW1534" s="197" t="e">
        <f t="shared" si="177"/>
        <v>#REF!</v>
      </c>
      <c r="BX1534" s="198" t="e">
        <f>IF(AND(State_LOB_Code=18,LEFT(BW1534,4)&lt;"2009"),81,State_LOB_Code)&amp;"|386"</f>
        <v>#REF!</v>
      </c>
      <c r="BY1534" s="215"/>
      <c r="BZ1534" s="216"/>
    </row>
    <row r="1535" spans="72:78">
      <c r="BT1535" s="187"/>
      <c r="BU1535" s="187" t="s">
        <v>96</v>
      </c>
      <c r="BV1535" s="196">
        <v>120038</v>
      </c>
      <c r="BW1535" s="197" t="e">
        <f t="shared" si="177"/>
        <v>#REF!</v>
      </c>
      <c r="BX1535" s="198" t="e">
        <f>IF(AND(State_LOB_Code=18,LEFT(BW1535,4)&lt;"2009"),81,State_LOB_Code)&amp;"|387"</f>
        <v>#REF!</v>
      </c>
      <c r="BY1535" s="215"/>
      <c r="BZ1535" s="216"/>
    </row>
    <row r="1536" spans="72:78">
      <c r="BT1536" s="187"/>
      <c r="BU1536" s="187" t="s">
        <v>97</v>
      </c>
      <c r="BV1536" s="196">
        <v>120038</v>
      </c>
      <c r="BW1536" s="197" t="e">
        <f t="shared" si="177"/>
        <v>#REF!</v>
      </c>
      <c r="BX1536" s="198" t="e">
        <f>IF(AND(State_LOB_Code=18,LEFT(BW1536,4)&lt;"2009"),81,State_LOB_Code)&amp;"|388"</f>
        <v>#REF!</v>
      </c>
      <c r="BY1536" s="215"/>
      <c r="BZ1536" s="216"/>
    </row>
    <row r="1537" spans="72:78">
      <c r="BT1537" s="187"/>
      <c r="BU1537" s="189" t="s">
        <v>137</v>
      </c>
      <c r="BV1537" s="199">
        <v>120038</v>
      </c>
      <c r="BW1537" s="200" t="e">
        <f t="shared" si="177"/>
        <v>#REF!</v>
      </c>
      <c r="BX1537" s="201" t="e">
        <f>IF(AND(State_LOB_Code=18,LEFT(BW1537,4)&lt;"2009"),81,State_LOB_Code)&amp;"|600"</f>
        <v>#REF!</v>
      </c>
      <c r="BY1537" s="217"/>
      <c r="BZ1537" s="218"/>
    </row>
    <row r="1538" spans="72:78">
      <c r="BT1538" s="187"/>
      <c r="BU1538" s="187" t="s">
        <v>98</v>
      </c>
      <c r="BV1538" s="196">
        <v>120038</v>
      </c>
      <c r="BW1538" s="197" t="e">
        <f t="shared" si="177"/>
        <v>#REF!</v>
      </c>
      <c r="BX1538" s="198" t="e">
        <f>IF(AND(State_LOB_Code=18,LEFT(BW1538,4)&lt;"2009"),81,State_LOB_Code)&amp;"|336"</f>
        <v>#REF!</v>
      </c>
      <c r="BY1538" s="215"/>
      <c r="BZ1538" s="216"/>
    </row>
    <row r="1539" spans="72:78">
      <c r="BT1539" s="187"/>
      <c r="BU1539" s="187" t="s">
        <v>99</v>
      </c>
      <c r="BV1539" s="196">
        <v>120038</v>
      </c>
      <c r="BW1539" s="197" t="e">
        <f t="shared" si="177"/>
        <v>#REF!</v>
      </c>
      <c r="BX1539" s="198" t="e">
        <f>IF(AND(State_LOB_Code=18,LEFT(BW1539,4)&lt;"2009"),81,State_LOB_Code)&amp;"|345"</f>
        <v>#REF!</v>
      </c>
      <c r="BY1539" s="215"/>
      <c r="BZ1539" s="216"/>
    </row>
    <row r="1540" spans="72:78">
      <c r="BT1540" s="187"/>
      <c r="BU1540" s="187" t="s">
        <v>100</v>
      </c>
      <c r="BV1540" s="196">
        <v>120038</v>
      </c>
      <c r="BW1540" s="197" t="e">
        <f t="shared" si="177"/>
        <v>#REF!</v>
      </c>
      <c r="BX1540" s="198" t="e">
        <f>IF(AND(State_LOB_Code=18,LEFT(BW1540,4)&lt;"2009"),81,State_LOB_Code)&amp;"|360"</f>
        <v>#REF!</v>
      </c>
      <c r="BY1540" s="215"/>
      <c r="BZ1540" s="216"/>
    </row>
    <row r="1541" spans="72:78">
      <c r="BT1541" s="187"/>
      <c r="BU1541" s="187" t="s">
        <v>101</v>
      </c>
      <c r="BV1541" s="196">
        <v>120038</v>
      </c>
      <c r="BW1541" s="197" t="e">
        <f t="shared" si="177"/>
        <v>#REF!</v>
      </c>
      <c r="BX1541" s="198" t="e">
        <f>IF(AND(State_LOB_Code=18,LEFT(BW1541,4)&lt;"2009"),81,State_LOB_Code)&amp;"|375"</f>
        <v>#REF!</v>
      </c>
      <c r="BY1541" s="215"/>
      <c r="BZ1541" s="216"/>
    </row>
    <row r="1542" spans="72:78">
      <c r="BT1542" s="187"/>
      <c r="BU1542" s="187" t="s">
        <v>102</v>
      </c>
      <c r="BV1542" s="196">
        <v>120038</v>
      </c>
      <c r="BW1542" s="197" t="e">
        <f t="shared" si="177"/>
        <v>#REF!</v>
      </c>
      <c r="BX1542" s="198" t="e">
        <f>IF(AND(State_LOB_Code=18,LEFT(BW1542,4)&lt;"2009"),81,State_LOB_Code)&amp;"|383"</f>
        <v>#REF!</v>
      </c>
      <c r="BY1542" s="215"/>
      <c r="BZ1542" s="216"/>
    </row>
    <row r="1543" spans="72:78">
      <c r="BT1543" s="187"/>
      <c r="BU1543" s="187" t="s">
        <v>103</v>
      </c>
      <c r="BV1543" s="196">
        <v>120038</v>
      </c>
      <c r="BW1543" s="197" t="e">
        <f t="shared" si="177"/>
        <v>#REF!</v>
      </c>
      <c r="BX1543" s="198" t="e">
        <f>IF(AND(State_LOB_Code=18,LEFT(BW1543,4)&lt;"2009"),81,State_LOB_Code)&amp;"|332"</f>
        <v>#REF!</v>
      </c>
      <c r="BY1543" s="215"/>
      <c r="BZ1543" s="216"/>
    </row>
    <row r="1544" spans="72:78">
      <c r="BT1544" s="187"/>
      <c r="BU1544" s="187" t="s">
        <v>104</v>
      </c>
      <c r="BV1544" s="196">
        <v>120038</v>
      </c>
      <c r="BW1544" s="197" t="e">
        <f t="shared" si="177"/>
        <v>#REF!</v>
      </c>
      <c r="BX1544" s="198" t="e">
        <f>IF(AND(State_LOB_Code=18,LEFT(BW1544,4)&lt;"2009"),81,State_LOB_Code)&amp;"|330"</f>
        <v>#REF!</v>
      </c>
      <c r="BY1544" s="215"/>
      <c r="BZ1544" s="216"/>
    </row>
    <row r="1545" spans="72:78">
      <c r="BT1545" s="180" t="s">
        <v>34</v>
      </c>
      <c r="BU1545" s="190" t="s">
        <v>46</v>
      </c>
      <c r="BV1545" s="202">
        <v>120059</v>
      </c>
      <c r="BW1545" s="203" t="e">
        <f t="shared" si="177"/>
        <v>#REF!</v>
      </c>
      <c r="BX1545" s="204" t="e">
        <f>IF(AND(State_LOB_Code=18,LEFT(BW1545,4)&lt;"2009"),81,State_LOB_Code)</f>
        <v>#REF!</v>
      </c>
      <c r="BY1545" s="219"/>
      <c r="BZ1545" s="220"/>
    </row>
    <row r="1546" spans="72:78">
      <c r="BT1546" s="221"/>
      <c r="BU1546" s="184"/>
      <c r="BV1546" s="211"/>
      <c r="BW1546" s="208"/>
      <c r="BX1546" s="212"/>
      <c r="BY1546" s="224"/>
      <c r="BZ1546" s="214"/>
    </row>
    <row r="1547" spans="72:78">
      <c r="BT1547" s="180" t="s">
        <v>27</v>
      </c>
      <c r="BU1547" s="180"/>
      <c r="BV1547" s="181"/>
      <c r="BW1547" s="182"/>
      <c r="BX1547" s="182"/>
      <c r="BY1547" s="225"/>
      <c r="BZ1547" s="226"/>
    </row>
    <row r="1548" spans="72:78">
      <c r="BT1548" s="187"/>
      <c r="BU1548" s="184" t="s">
        <v>47</v>
      </c>
      <c r="BV1548" s="193">
        <v>120036</v>
      </c>
      <c r="BW1548" s="194" t="e">
        <f t="shared" ref="BW1548:BW1579" si="178">Period_Y</f>
        <v>#REF!</v>
      </c>
      <c r="BX1548" s="195" t="e">
        <f>IF(AND(State_LOB_Code=18,LEFT(BW1548,4)&lt;"2009"),81,State_LOB_Code)&amp;"|333"</f>
        <v>#REF!</v>
      </c>
      <c r="BY1548" s="213"/>
      <c r="BZ1548" s="214"/>
    </row>
    <row r="1549" spans="72:78">
      <c r="BT1549" s="187"/>
      <c r="BU1549" s="187" t="s">
        <v>48</v>
      </c>
      <c r="BV1549" s="196">
        <v>120036</v>
      </c>
      <c r="BW1549" s="197" t="e">
        <f t="shared" si="178"/>
        <v>#REF!</v>
      </c>
      <c r="BX1549" s="198" t="e">
        <f>IF(AND(State_LOB_Code=18,LEFT(BW1549,4)&lt;"2009"),81,State_LOB_Code)&amp;"|334"</f>
        <v>#REF!</v>
      </c>
      <c r="BY1549" s="215"/>
      <c r="BZ1549" s="216"/>
    </row>
    <row r="1550" spans="72:78">
      <c r="BT1550" s="187"/>
      <c r="BU1550" s="187" t="s">
        <v>49</v>
      </c>
      <c r="BV1550" s="196">
        <v>120036</v>
      </c>
      <c r="BW1550" s="197" t="e">
        <f t="shared" si="178"/>
        <v>#REF!</v>
      </c>
      <c r="BX1550" s="198" t="e">
        <f>IF(AND(State_LOB_Code=18,LEFT(BW1550,4)&lt;"2009"),81,State_LOB_Code)&amp;"|335"</f>
        <v>#REF!</v>
      </c>
      <c r="BY1550" s="215"/>
      <c r="BZ1550" s="216"/>
    </row>
    <row r="1551" spans="72:78">
      <c r="BT1551" s="187"/>
      <c r="BU1551" s="187" t="s">
        <v>50</v>
      </c>
      <c r="BV1551" s="196">
        <v>120036</v>
      </c>
      <c r="BW1551" s="197" t="e">
        <f t="shared" si="178"/>
        <v>#REF!</v>
      </c>
      <c r="BX1551" s="198" t="e">
        <f>IF(AND(State_LOB_Code=18,LEFT(BW1551,4)&lt;"2009"),81,State_LOB_Code)&amp;"|337"</f>
        <v>#REF!</v>
      </c>
      <c r="BY1551" s="215"/>
      <c r="BZ1551" s="216"/>
    </row>
    <row r="1552" spans="72:78">
      <c r="BT1552" s="187"/>
      <c r="BU1552" s="187" t="s">
        <v>51</v>
      </c>
      <c r="BV1552" s="196">
        <v>120036</v>
      </c>
      <c r="BW1552" s="197" t="e">
        <f t="shared" si="178"/>
        <v>#REF!</v>
      </c>
      <c r="BX1552" s="198" t="e">
        <f>IF(AND(State_LOB_Code=18,LEFT(BW1552,4)&lt;"2009"),81,State_LOB_Code)&amp;"|338"</f>
        <v>#REF!</v>
      </c>
      <c r="BY1552" s="215"/>
      <c r="BZ1552" s="216"/>
    </row>
    <row r="1553" spans="72:78">
      <c r="BT1553" s="187"/>
      <c r="BU1553" s="187" t="s">
        <v>52</v>
      </c>
      <c r="BV1553" s="196">
        <v>120036</v>
      </c>
      <c r="BW1553" s="197" t="e">
        <f t="shared" si="178"/>
        <v>#REF!</v>
      </c>
      <c r="BX1553" s="198" t="e">
        <f>IF(AND(State_LOB_Code=18,LEFT(BW1553,4)&lt;"2009"),81,State_LOB_Code)&amp;"|339"</f>
        <v>#REF!</v>
      </c>
      <c r="BY1553" s="215"/>
      <c r="BZ1553" s="216"/>
    </row>
    <row r="1554" spans="72:78">
      <c r="BT1554" s="187"/>
      <c r="BU1554" s="187" t="s">
        <v>53</v>
      </c>
      <c r="BV1554" s="196">
        <v>120036</v>
      </c>
      <c r="BW1554" s="197" t="e">
        <f t="shared" si="178"/>
        <v>#REF!</v>
      </c>
      <c r="BX1554" s="198" t="e">
        <f>IF(AND(State_LOB_Code=18,LEFT(BW1554,4)&lt;"2009"),81,State_LOB_Code)&amp;"|340"</f>
        <v>#REF!</v>
      </c>
      <c r="BY1554" s="215"/>
      <c r="BZ1554" s="216"/>
    </row>
    <row r="1555" spans="72:78">
      <c r="BT1555" s="187"/>
      <c r="BU1555" s="187" t="s">
        <v>54</v>
      </c>
      <c r="BV1555" s="196">
        <v>120036</v>
      </c>
      <c r="BW1555" s="197" t="e">
        <f t="shared" si="178"/>
        <v>#REF!</v>
      </c>
      <c r="BX1555" s="198" t="e">
        <f>IF(AND(State_LOB_Code=18,LEFT(BW1555,4)&lt;"2009"),81,State_LOB_Code)&amp;"|341"</f>
        <v>#REF!</v>
      </c>
      <c r="BY1555" s="215"/>
      <c r="BZ1555" s="216"/>
    </row>
    <row r="1556" spans="72:78">
      <c r="BT1556" s="187"/>
      <c r="BU1556" s="187" t="s">
        <v>55</v>
      </c>
      <c r="BV1556" s="196">
        <v>120036</v>
      </c>
      <c r="BW1556" s="197" t="e">
        <f t="shared" si="178"/>
        <v>#REF!</v>
      </c>
      <c r="BX1556" s="198" t="e">
        <f>IF(AND(State_LOB_Code=18,LEFT(BW1556,4)&lt;"2009"),81,State_LOB_Code)&amp;"|342"</f>
        <v>#REF!</v>
      </c>
      <c r="BY1556" s="215"/>
      <c r="BZ1556" s="216"/>
    </row>
    <row r="1557" spans="72:78">
      <c r="BT1557" s="187"/>
      <c r="BU1557" s="187" t="s">
        <v>56</v>
      </c>
      <c r="BV1557" s="196">
        <v>120036</v>
      </c>
      <c r="BW1557" s="197" t="e">
        <f t="shared" si="178"/>
        <v>#REF!</v>
      </c>
      <c r="BX1557" s="198" t="e">
        <f>IF(AND(State_LOB_Code=18,LEFT(BW1557,4)&lt;"2009"),81,State_LOB_Code)&amp;"|343"</f>
        <v>#REF!</v>
      </c>
      <c r="BY1557" s="215"/>
      <c r="BZ1557" s="216"/>
    </row>
    <row r="1558" spans="72:78">
      <c r="BT1558" s="187"/>
      <c r="BU1558" s="187" t="s">
        <v>57</v>
      </c>
      <c r="BV1558" s="196">
        <v>120036</v>
      </c>
      <c r="BW1558" s="197" t="e">
        <f t="shared" si="178"/>
        <v>#REF!</v>
      </c>
      <c r="BX1558" s="198" t="e">
        <f>IF(AND(State_LOB_Code=18,LEFT(BW1558,4)&lt;"2009"),81,State_LOB_Code)&amp;"|344"</f>
        <v>#REF!</v>
      </c>
      <c r="BY1558" s="215"/>
      <c r="BZ1558" s="216"/>
    </row>
    <row r="1559" spans="72:78">
      <c r="BT1559" s="187"/>
      <c r="BU1559" s="187" t="s">
        <v>58</v>
      </c>
      <c r="BV1559" s="196">
        <v>120036</v>
      </c>
      <c r="BW1559" s="197" t="e">
        <f t="shared" si="178"/>
        <v>#REF!</v>
      </c>
      <c r="BX1559" s="198" t="e">
        <f>IF(AND(State_LOB_Code=18,LEFT(BW1559,4)&lt;"2009"),81,State_LOB_Code)&amp;"|346"</f>
        <v>#REF!</v>
      </c>
      <c r="BY1559" s="215"/>
      <c r="BZ1559" s="216"/>
    </row>
    <row r="1560" spans="72:78">
      <c r="BT1560" s="187"/>
      <c r="BU1560" s="187" t="s">
        <v>59</v>
      </c>
      <c r="BV1560" s="196">
        <v>120036</v>
      </c>
      <c r="BW1560" s="197" t="e">
        <f t="shared" si="178"/>
        <v>#REF!</v>
      </c>
      <c r="BX1560" s="198" t="e">
        <f>IF(AND(State_LOB_Code=18,LEFT(BW1560,4)&lt;"2009"),81,State_LOB_Code)&amp;"|347"</f>
        <v>#REF!</v>
      </c>
      <c r="BY1560" s="215"/>
      <c r="BZ1560" s="216"/>
    </row>
    <row r="1561" spans="72:78">
      <c r="BT1561" s="187"/>
      <c r="BU1561" s="187" t="s">
        <v>60</v>
      </c>
      <c r="BV1561" s="196">
        <v>120036</v>
      </c>
      <c r="BW1561" s="197" t="e">
        <f t="shared" si="178"/>
        <v>#REF!</v>
      </c>
      <c r="BX1561" s="198" t="e">
        <f>IF(AND(State_LOB_Code=18,LEFT(BW1561,4)&lt;"2009"),81,State_LOB_Code)&amp;"|348"</f>
        <v>#REF!</v>
      </c>
      <c r="BY1561" s="215"/>
      <c r="BZ1561" s="216"/>
    </row>
    <row r="1562" spans="72:78">
      <c r="BT1562" s="187"/>
      <c r="BU1562" s="187" t="s">
        <v>61</v>
      </c>
      <c r="BV1562" s="196">
        <v>120036</v>
      </c>
      <c r="BW1562" s="197" t="e">
        <f t="shared" si="178"/>
        <v>#REF!</v>
      </c>
      <c r="BX1562" s="198" t="e">
        <f>IF(AND(State_LOB_Code=18,LEFT(BW1562,4)&lt;"2009"),81,State_LOB_Code)&amp;"|349"</f>
        <v>#REF!</v>
      </c>
      <c r="BY1562" s="215"/>
      <c r="BZ1562" s="216"/>
    </row>
    <row r="1563" spans="72:78">
      <c r="BT1563" s="187"/>
      <c r="BU1563" s="187" t="s">
        <v>62</v>
      </c>
      <c r="BV1563" s="196">
        <v>120036</v>
      </c>
      <c r="BW1563" s="197" t="e">
        <f t="shared" si="178"/>
        <v>#REF!</v>
      </c>
      <c r="BX1563" s="198" t="e">
        <f>IF(AND(State_LOB_Code=18,LEFT(BW1563,4)&lt;"2009"),81,State_LOB_Code)&amp;"|350"</f>
        <v>#REF!</v>
      </c>
      <c r="BY1563" s="215"/>
      <c r="BZ1563" s="216"/>
    </row>
    <row r="1564" spans="72:78">
      <c r="BT1564" s="187"/>
      <c r="BU1564" s="187" t="s">
        <v>63</v>
      </c>
      <c r="BV1564" s="196">
        <v>120036</v>
      </c>
      <c r="BW1564" s="197" t="e">
        <f t="shared" si="178"/>
        <v>#REF!</v>
      </c>
      <c r="BX1564" s="198" t="e">
        <f>IF(AND(State_LOB_Code=18,LEFT(BW1564,4)&lt;"2009"),81,State_LOB_Code)&amp;"|351"</f>
        <v>#REF!</v>
      </c>
      <c r="BY1564" s="215"/>
      <c r="BZ1564" s="216"/>
    </row>
    <row r="1565" spans="72:78">
      <c r="BT1565" s="187"/>
      <c r="BU1565" s="187" t="s">
        <v>64</v>
      </c>
      <c r="BV1565" s="196">
        <v>120036</v>
      </c>
      <c r="BW1565" s="197" t="e">
        <f t="shared" si="178"/>
        <v>#REF!</v>
      </c>
      <c r="BX1565" s="198" t="e">
        <f>IF(AND(State_LOB_Code=18,LEFT(BW1565,4)&lt;"2009"),81,State_LOB_Code)&amp;"|352"</f>
        <v>#REF!</v>
      </c>
      <c r="BY1565" s="215"/>
      <c r="BZ1565" s="216"/>
    </row>
    <row r="1566" spans="72:78">
      <c r="BT1566" s="187"/>
      <c r="BU1566" s="187" t="s">
        <v>65</v>
      </c>
      <c r="BV1566" s="196">
        <v>120036</v>
      </c>
      <c r="BW1566" s="197" t="e">
        <f t="shared" si="178"/>
        <v>#REF!</v>
      </c>
      <c r="BX1566" s="198" t="e">
        <f>IF(AND(State_LOB_Code=18,LEFT(BW1566,4)&lt;"2009"),81,State_LOB_Code)&amp;"|353"</f>
        <v>#REF!</v>
      </c>
      <c r="BY1566" s="215"/>
      <c r="BZ1566" s="216"/>
    </row>
    <row r="1567" spans="72:78">
      <c r="BT1567" s="187"/>
      <c r="BU1567" s="187" t="s">
        <v>66</v>
      </c>
      <c r="BV1567" s="196">
        <v>120036</v>
      </c>
      <c r="BW1567" s="197" t="e">
        <f t="shared" si="178"/>
        <v>#REF!</v>
      </c>
      <c r="BX1567" s="198" t="e">
        <f>IF(AND(State_LOB_Code=18,LEFT(BW1567,4)&lt;"2009"),81,State_LOB_Code)&amp;"|354"</f>
        <v>#REF!</v>
      </c>
      <c r="BY1567" s="215"/>
      <c r="BZ1567" s="216"/>
    </row>
    <row r="1568" spans="72:78">
      <c r="BT1568" s="187"/>
      <c r="BU1568" s="187" t="s">
        <v>67</v>
      </c>
      <c r="BV1568" s="196">
        <v>120036</v>
      </c>
      <c r="BW1568" s="197" t="e">
        <f t="shared" si="178"/>
        <v>#REF!</v>
      </c>
      <c r="BX1568" s="198" t="e">
        <f>IF(AND(State_LOB_Code=18,LEFT(BW1568,4)&lt;"2009"),81,State_LOB_Code)&amp;"|355"</f>
        <v>#REF!</v>
      </c>
      <c r="BY1568" s="215"/>
      <c r="BZ1568" s="216"/>
    </row>
    <row r="1569" spans="72:78">
      <c r="BT1569" s="187"/>
      <c r="BU1569" s="187" t="s">
        <v>68</v>
      </c>
      <c r="BV1569" s="196">
        <v>120036</v>
      </c>
      <c r="BW1569" s="197" t="e">
        <f t="shared" si="178"/>
        <v>#REF!</v>
      </c>
      <c r="BX1569" s="198" t="e">
        <f>IF(AND(State_LOB_Code=18,LEFT(BW1569,4)&lt;"2009"),81,State_LOB_Code)&amp;"|356"</f>
        <v>#REF!</v>
      </c>
      <c r="BY1569" s="215"/>
      <c r="BZ1569" s="216"/>
    </row>
    <row r="1570" spans="72:78">
      <c r="BT1570" s="187"/>
      <c r="BU1570" s="187" t="s">
        <v>69</v>
      </c>
      <c r="BV1570" s="196">
        <v>120036</v>
      </c>
      <c r="BW1570" s="197" t="e">
        <f t="shared" si="178"/>
        <v>#REF!</v>
      </c>
      <c r="BX1570" s="198" t="e">
        <f>IF(AND(State_LOB_Code=18,LEFT(BW1570,4)&lt;"2009"),81,State_LOB_Code)&amp;"|357"</f>
        <v>#REF!</v>
      </c>
      <c r="BY1570" s="215"/>
      <c r="BZ1570" s="216"/>
    </row>
    <row r="1571" spans="72:78">
      <c r="BT1571" s="187"/>
      <c r="BU1571" s="187" t="s">
        <v>70</v>
      </c>
      <c r="BV1571" s="196">
        <v>120036</v>
      </c>
      <c r="BW1571" s="197" t="e">
        <f t="shared" si="178"/>
        <v>#REF!</v>
      </c>
      <c r="BX1571" s="198" t="e">
        <f>IF(AND(State_LOB_Code=18,LEFT(BW1571,4)&lt;"2009"),81,State_LOB_Code)&amp;"|358"</f>
        <v>#REF!</v>
      </c>
      <c r="BY1571" s="215"/>
      <c r="BZ1571" s="216"/>
    </row>
    <row r="1572" spans="72:78">
      <c r="BT1572" s="187"/>
      <c r="BU1572" s="187" t="s">
        <v>71</v>
      </c>
      <c r="BV1572" s="196">
        <v>120036</v>
      </c>
      <c r="BW1572" s="197" t="e">
        <f t="shared" si="178"/>
        <v>#REF!</v>
      </c>
      <c r="BX1572" s="198" t="e">
        <f>IF(AND(State_LOB_Code=18,LEFT(BW1572,4)&lt;"2009"),81,State_LOB_Code)&amp;"|359"</f>
        <v>#REF!</v>
      </c>
      <c r="BY1572" s="215"/>
      <c r="BZ1572" s="216"/>
    </row>
    <row r="1573" spans="72:78">
      <c r="BT1573" s="187"/>
      <c r="BU1573" s="187" t="s">
        <v>72</v>
      </c>
      <c r="BV1573" s="196">
        <v>120036</v>
      </c>
      <c r="BW1573" s="197" t="e">
        <f t="shared" si="178"/>
        <v>#REF!</v>
      </c>
      <c r="BX1573" s="198" t="e">
        <f>IF(AND(State_LOB_Code=18,LEFT(BW1573,4)&lt;"2009"),81,State_LOB_Code)&amp;"|361"</f>
        <v>#REF!</v>
      </c>
      <c r="BY1573" s="215"/>
      <c r="BZ1573" s="216"/>
    </row>
    <row r="1574" spans="72:78">
      <c r="BT1574" s="187"/>
      <c r="BU1574" s="187" t="s">
        <v>73</v>
      </c>
      <c r="BV1574" s="196">
        <v>120036</v>
      </c>
      <c r="BW1574" s="197" t="e">
        <f t="shared" si="178"/>
        <v>#REF!</v>
      </c>
      <c r="BX1574" s="198" t="e">
        <f>IF(AND(State_LOB_Code=18,LEFT(BW1574,4)&lt;"2009"),81,State_LOB_Code)&amp;"|362"</f>
        <v>#REF!</v>
      </c>
      <c r="BY1574" s="215"/>
      <c r="BZ1574" s="216"/>
    </row>
    <row r="1575" spans="72:78">
      <c r="BT1575" s="187"/>
      <c r="BU1575" s="187" t="s">
        <v>74</v>
      </c>
      <c r="BV1575" s="196">
        <v>120036</v>
      </c>
      <c r="BW1575" s="197" t="e">
        <f t="shared" si="178"/>
        <v>#REF!</v>
      </c>
      <c r="BX1575" s="198" t="e">
        <f>IF(AND(State_LOB_Code=18,LEFT(BW1575,4)&lt;"2009"),81,State_LOB_Code)&amp;"|363"</f>
        <v>#REF!</v>
      </c>
      <c r="BY1575" s="215"/>
      <c r="BZ1575" s="216"/>
    </row>
    <row r="1576" spans="72:78">
      <c r="BT1576" s="187"/>
      <c r="BU1576" s="187" t="s">
        <v>75</v>
      </c>
      <c r="BV1576" s="196">
        <v>120036</v>
      </c>
      <c r="BW1576" s="197" t="e">
        <f t="shared" si="178"/>
        <v>#REF!</v>
      </c>
      <c r="BX1576" s="198" t="e">
        <f>IF(AND(State_LOB_Code=18,LEFT(BW1576,4)&lt;"2009"),81,State_LOB_Code)&amp;"|364"</f>
        <v>#REF!</v>
      </c>
      <c r="BY1576" s="215"/>
      <c r="BZ1576" s="216"/>
    </row>
    <row r="1577" spans="72:78">
      <c r="BT1577" s="187"/>
      <c r="BU1577" s="187" t="s">
        <v>76</v>
      </c>
      <c r="BV1577" s="196">
        <v>120036</v>
      </c>
      <c r="BW1577" s="197" t="e">
        <f t="shared" si="178"/>
        <v>#REF!</v>
      </c>
      <c r="BX1577" s="198" t="e">
        <f>IF(AND(State_LOB_Code=18,LEFT(BW1577,4)&lt;"2009"),81,State_LOB_Code)&amp;"|365"</f>
        <v>#REF!</v>
      </c>
      <c r="BY1577" s="215"/>
      <c r="BZ1577" s="216"/>
    </row>
    <row r="1578" spans="72:78">
      <c r="BT1578" s="187"/>
      <c r="BU1578" s="187" t="s">
        <v>77</v>
      </c>
      <c r="BV1578" s="196">
        <v>120036</v>
      </c>
      <c r="BW1578" s="197" t="e">
        <f t="shared" si="178"/>
        <v>#REF!</v>
      </c>
      <c r="BX1578" s="198" t="e">
        <f>IF(AND(State_LOB_Code=18,LEFT(BW1578,4)&lt;"2009"),81,State_LOB_Code)&amp;"|366"</f>
        <v>#REF!</v>
      </c>
      <c r="BY1578" s="215"/>
      <c r="BZ1578" s="216"/>
    </row>
    <row r="1579" spans="72:78">
      <c r="BT1579" s="187"/>
      <c r="BU1579" s="187" t="s">
        <v>78</v>
      </c>
      <c r="BV1579" s="196">
        <v>120036</v>
      </c>
      <c r="BW1579" s="197" t="e">
        <f t="shared" si="178"/>
        <v>#REF!</v>
      </c>
      <c r="BX1579" s="198" t="e">
        <f>IF(AND(State_LOB_Code=18,LEFT(BW1579,4)&lt;"2009"),81,State_LOB_Code)&amp;"|367"</f>
        <v>#REF!</v>
      </c>
      <c r="BY1579" s="215"/>
      <c r="BZ1579" s="216"/>
    </row>
    <row r="1580" spans="72:78">
      <c r="BT1580" s="187"/>
      <c r="BU1580" s="187" t="s">
        <v>79</v>
      </c>
      <c r="BV1580" s="196">
        <v>120036</v>
      </c>
      <c r="BW1580" s="197" t="e">
        <f t="shared" ref="BW1580:BW1607" si="179">Period_Y</f>
        <v>#REF!</v>
      </c>
      <c r="BX1580" s="198" t="e">
        <f>IF(AND(State_LOB_Code=18,LEFT(BW1580,4)&lt;"2009"),81,State_LOB_Code)&amp;"|368"</f>
        <v>#REF!</v>
      </c>
      <c r="BY1580" s="215"/>
      <c r="BZ1580" s="216"/>
    </row>
    <row r="1581" spans="72:78">
      <c r="BT1581" s="187"/>
      <c r="BU1581" s="187" t="s">
        <v>80</v>
      </c>
      <c r="BV1581" s="196">
        <v>120036</v>
      </c>
      <c r="BW1581" s="197" t="e">
        <f t="shared" si="179"/>
        <v>#REF!</v>
      </c>
      <c r="BX1581" s="198" t="e">
        <f>IF(AND(State_LOB_Code=18,LEFT(BW1581,4)&lt;"2009"),81,State_LOB_Code)&amp;"|369"</f>
        <v>#REF!</v>
      </c>
      <c r="BY1581" s="215"/>
      <c r="BZ1581" s="216"/>
    </row>
    <row r="1582" spans="72:78">
      <c r="BT1582" s="187"/>
      <c r="BU1582" s="187" t="s">
        <v>81</v>
      </c>
      <c r="BV1582" s="196">
        <v>120036</v>
      </c>
      <c r="BW1582" s="197" t="e">
        <f t="shared" si="179"/>
        <v>#REF!</v>
      </c>
      <c r="BX1582" s="198" t="e">
        <f>IF(AND(State_LOB_Code=18,LEFT(BW1582,4)&lt;"2009"),81,State_LOB_Code)&amp;"|370"</f>
        <v>#REF!</v>
      </c>
      <c r="BY1582" s="215"/>
      <c r="BZ1582" s="216"/>
    </row>
    <row r="1583" spans="72:78">
      <c r="BT1583" s="187"/>
      <c r="BU1583" s="187" t="s">
        <v>82</v>
      </c>
      <c r="BV1583" s="196">
        <v>120036</v>
      </c>
      <c r="BW1583" s="197" t="e">
        <f t="shared" si="179"/>
        <v>#REF!</v>
      </c>
      <c r="BX1583" s="198" t="e">
        <f>IF(AND(State_LOB_Code=18,LEFT(BW1583,4)&lt;"2009"),81,State_LOB_Code)&amp;"|371"</f>
        <v>#REF!</v>
      </c>
      <c r="BY1583" s="215"/>
      <c r="BZ1583" s="216"/>
    </row>
    <row r="1584" spans="72:78">
      <c r="BT1584" s="187"/>
      <c r="BU1584" s="187" t="s">
        <v>83</v>
      </c>
      <c r="BV1584" s="196">
        <v>120036</v>
      </c>
      <c r="BW1584" s="197" t="e">
        <f t="shared" si="179"/>
        <v>#REF!</v>
      </c>
      <c r="BX1584" s="198" t="e">
        <f>IF(AND(State_LOB_Code=18,LEFT(BW1584,4)&lt;"2009"),81,State_LOB_Code)&amp;"|372"</f>
        <v>#REF!</v>
      </c>
      <c r="BY1584" s="215"/>
      <c r="BZ1584" s="216"/>
    </row>
    <row r="1585" spans="72:78">
      <c r="BT1585" s="187"/>
      <c r="BU1585" s="187" t="s">
        <v>84</v>
      </c>
      <c r="BV1585" s="196">
        <v>120036</v>
      </c>
      <c r="BW1585" s="197" t="e">
        <f t="shared" si="179"/>
        <v>#REF!</v>
      </c>
      <c r="BX1585" s="198" t="e">
        <f>IF(AND(State_LOB_Code=18,LEFT(BW1585,4)&lt;"2009"),81,State_LOB_Code)&amp;"|373"</f>
        <v>#REF!</v>
      </c>
      <c r="BY1585" s="215"/>
      <c r="BZ1585" s="216"/>
    </row>
    <row r="1586" spans="72:78">
      <c r="BT1586" s="187"/>
      <c r="BU1586" s="187" t="s">
        <v>85</v>
      </c>
      <c r="BV1586" s="196">
        <v>120036</v>
      </c>
      <c r="BW1586" s="197" t="e">
        <f t="shared" si="179"/>
        <v>#REF!</v>
      </c>
      <c r="BX1586" s="198" t="e">
        <f>IF(AND(State_LOB_Code=18,LEFT(BW1586,4)&lt;"2009"),81,State_LOB_Code)&amp;"|374"</f>
        <v>#REF!</v>
      </c>
      <c r="BY1586" s="215"/>
      <c r="BZ1586" s="216"/>
    </row>
    <row r="1587" spans="72:78">
      <c r="BT1587" s="187"/>
      <c r="BU1587" s="187" t="s">
        <v>86</v>
      </c>
      <c r="BV1587" s="196">
        <v>120036</v>
      </c>
      <c r="BW1587" s="197" t="e">
        <f t="shared" si="179"/>
        <v>#REF!</v>
      </c>
      <c r="BX1587" s="198" t="e">
        <f>IF(AND(State_LOB_Code=18,LEFT(BW1587,4)&lt;"2009"),81,State_LOB_Code)&amp;"|376"</f>
        <v>#REF!</v>
      </c>
      <c r="BY1587" s="215"/>
      <c r="BZ1587" s="216"/>
    </row>
    <row r="1588" spans="72:78">
      <c r="BT1588" s="187"/>
      <c r="BU1588" s="187" t="s">
        <v>87</v>
      </c>
      <c r="BV1588" s="196">
        <v>120036</v>
      </c>
      <c r="BW1588" s="197" t="e">
        <f t="shared" si="179"/>
        <v>#REF!</v>
      </c>
      <c r="BX1588" s="198" t="e">
        <f>IF(AND(State_LOB_Code=18,LEFT(BW1588,4)&lt;"2009"),81,State_LOB_Code)&amp;"|377"</f>
        <v>#REF!</v>
      </c>
      <c r="BY1588" s="215"/>
      <c r="BZ1588" s="216"/>
    </row>
    <row r="1589" spans="72:78">
      <c r="BT1589" s="187"/>
      <c r="BU1589" s="187" t="s">
        <v>88</v>
      </c>
      <c r="BV1589" s="196">
        <v>120036</v>
      </c>
      <c r="BW1589" s="197" t="e">
        <f t="shared" si="179"/>
        <v>#REF!</v>
      </c>
      <c r="BX1589" s="198" t="e">
        <f>IF(AND(State_LOB_Code=18,LEFT(BW1589,4)&lt;"2009"),81,State_LOB_Code)&amp;"|378"</f>
        <v>#REF!</v>
      </c>
      <c r="BY1589" s="215"/>
      <c r="BZ1589" s="216"/>
    </row>
    <row r="1590" spans="72:78">
      <c r="BT1590" s="187"/>
      <c r="BU1590" s="187" t="s">
        <v>89</v>
      </c>
      <c r="BV1590" s="196">
        <v>120036</v>
      </c>
      <c r="BW1590" s="197" t="e">
        <f t="shared" si="179"/>
        <v>#REF!</v>
      </c>
      <c r="BX1590" s="198" t="e">
        <f>IF(AND(State_LOB_Code=18,LEFT(BW1590,4)&lt;"2009"),81,State_LOB_Code)&amp;"|379"</f>
        <v>#REF!</v>
      </c>
      <c r="BY1590" s="215"/>
      <c r="BZ1590" s="216"/>
    </row>
    <row r="1591" spans="72:78">
      <c r="BT1591" s="187"/>
      <c r="BU1591" s="187" t="s">
        <v>90</v>
      </c>
      <c r="BV1591" s="196">
        <v>120036</v>
      </c>
      <c r="BW1591" s="197" t="e">
        <f t="shared" si="179"/>
        <v>#REF!</v>
      </c>
      <c r="BX1591" s="198" t="e">
        <f>IF(AND(State_LOB_Code=18,LEFT(BW1591,4)&lt;"2009"),81,State_LOB_Code)&amp;"|380"</f>
        <v>#REF!</v>
      </c>
      <c r="BY1591" s="215"/>
      <c r="BZ1591" s="216"/>
    </row>
    <row r="1592" spans="72:78">
      <c r="BT1592" s="187"/>
      <c r="BU1592" s="187" t="s">
        <v>91</v>
      </c>
      <c r="BV1592" s="196">
        <v>120036</v>
      </c>
      <c r="BW1592" s="197" t="e">
        <f t="shared" si="179"/>
        <v>#REF!</v>
      </c>
      <c r="BX1592" s="198" t="e">
        <f>IF(AND(State_LOB_Code=18,LEFT(BW1592,4)&lt;"2009"),81,State_LOB_Code)&amp;"|381"</f>
        <v>#REF!</v>
      </c>
      <c r="BY1592" s="215"/>
      <c r="BZ1592" s="216"/>
    </row>
    <row r="1593" spans="72:78">
      <c r="BT1593" s="187"/>
      <c r="BU1593" s="187" t="s">
        <v>92</v>
      </c>
      <c r="BV1593" s="196">
        <v>120036</v>
      </c>
      <c r="BW1593" s="197" t="e">
        <f t="shared" si="179"/>
        <v>#REF!</v>
      </c>
      <c r="BX1593" s="198" t="e">
        <f>IF(AND(State_LOB_Code=18,LEFT(BW1593,4)&lt;"2009"),81,State_LOB_Code)&amp;"|382"</f>
        <v>#REF!</v>
      </c>
      <c r="BY1593" s="215"/>
      <c r="BZ1593" s="216"/>
    </row>
    <row r="1594" spans="72:78">
      <c r="BT1594" s="187"/>
      <c r="BU1594" s="187" t="s">
        <v>93</v>
      </c>
      <c r="BV1594" s="196">
        <v>120036</v>
      </c>
      <c r="BW1594" s="197" t="e">
        <f t="shared" si="179"/>
        <v>#REF!</v>
      </c>
      <c r="BX1594" s="198" t="e">
        <f>IF(AND(State_LOB_Code=18,LEFT(BW1594,4)&lt;"2009"),81,State_LOB_Code)&amp;"|384"</f>
        <v>#REF!</v>
      </c>
      <c r="BY1594" s="215"/>
      <c r="BZ1594" s="216"/>
    </row>
    <row r="1595" spans="72:78">
      <c r="BT1595" s="187"/>
      <c r="BU1595" s="187" t="s">
        <v>94</v>
      </c>
      <c r="BV1595" s="196">
        <v>120036</v>
      </c>
      <c r="BW1595" s="197" t="e">
        <f t="shared" si="179"/>
        <v>#REF!</v>
      </c>
      <c r="BX1595" s="198" t="e">
        <f>IF(AND(State_LOB_Code=18,LEFT(BW1595,4)&lt;"2009"),81,State_LOB_Code)&amp;"|385"</f>
        <v>#REF!</v>
      </c>
      <c r="BY1595" s="215"/>
      <c r="BZ1595" s="216"/>
    </row>
    <row r="1596" spans="72:78">
      <c r="BT1596" s="187"/>
      <c r="BU1596" s="187" t="s">
        <v>95</v>
      </c>
      <c r="BV1596" s="196">
        <v>120036</v>
      </c>
      <c r="BW1596" s="197" t="e">
        <f t="shared" si="179"/>
        <v>#REF!</v>
      </c>
      <c r="BX1596" s="198" t="e">
        <f>IF(AND(State_LOB_Code=18,LEFT(BW1596,4)&lt;"2009"),81,State_LOB_Code)&amp;"|386"</f>
        <v>#REF!</v>
      </c>
      <c r="BY1596" s="215"/>
      <c r="BZ1596" s="216"/>
    </row>
    <row r="1597" spans="72:78">
      <c r="BT1597" s="187"/>
      <c r="BU1597" s="187" t="s">
        <v>96</v>
      </c>
      <c r="BV1597" s="196">
        <v>120036</v>
      </c>
      <c r="BW1597" s="197" t="e">
        <f t="shared" si="179"/>
        <v>#REF!</v>
      </c>
      <c r="BX1597" s="198" t="e">
        <f>IF(AND(State_LOB_Code=18,LEFT(BW1597,4)&lt;"2009"),81,State_LOB_Code)&amp;"|387"</f>
        <v>#REF!</v>
      </c>
      <c r="BY1597" s="215"/>
      <c r="BZ1597" s="216"/>
    </row>
    <row r="1598" spans="72:78">
      <c r="BT1598" s="187"/>
      <c r="BU1598" s="187" t="s">
        <v>97</v>
      </c>
      <c r="BV1598" s="196">
        <v>120036</v>
      </c>
      <c r="BW1598" s="197" t="e">
        <f t="shared" si="179"/>
        <v>#REF!</v>
      </c>
      <c r="BX1598" s="198" t="e">
        <f>IF(AND(State_LOB_Code=18,LEFT(BW1598,4)&lt;"2009"),81,State_LOB_Code)&amp;"|388"</f>
        <v>#REF!</v>
      </c>
      <c r="BY1598" s="215"/>
      <c r="BZ1598" s="216"/>
    </row>
    <row r="1599" spans="72:78">
      <c r="BT1599" s="187"/>
      <c r="BU1599" s="189" t="s">
        <v>137</v>
      </c>
      <c r="BV1599" s="199">
        <v>120036</v>
      </c>
      <c r="BW1599" s="200" t="e">
        <f t="shared" si="179"/>
        <v>#REF!</v>
      </c>
      <c r="BX1599" s="201" t="e">
        <f>IF(AND(State_LOB_Code=18,LEFT(BW1599,4)&lt;"2009"),81,State_LOB_Code)&amp;"|600"</f>
        <v>#REF!</v>
      </c>
      <c r="BY1599" s="217"/>
      <c r="BZ1599" s="218"/>
    </row>
    <row r="1600" spans="72:78">
      <c r="BT1600" s="187"/>
      <c r="BU1600" s="187" t="s">
        <v>98</v>
      </c>
      <c r="BV1600" s="196">
        <v>120036</v>
      </c>
      <c r="BW1600" s="197" t="e">
        <f t="shared" si="179"/>
        <v>#REF!</v>
      </c>
      <c r="BX1600" s="198" t="e">
        <f>IF(AND(State_LOB_Code=18,LEFT(BW1600,4)&lt;"2009"),81,State_LOB_Code)&amp;"|336"</f>
        <v>#REF!</v>
      </c>
      <c r="BY1600" s="215"/>
      <c r="BZ1600" s="216"/>
    </row>
    <row r="1601" spans="72:78">
      <c r="BT1601" s="187"/>
      <c r="BU1601" s="187" t="s">
        <v>99</v>
      </c>
      <c r="BV1601" s="196">
        <v>120036</v>
      </c>
      <c r="BW1601" s="197" t="e">
        <f t="shared" si="179"/>
        <v>#REF!</v>
      </c>
      <c r="BX1601" s="198" t="e">
        <f>IF(AND(State_LOB_Code=18,LEFT(BW1601,4)&lt;"2009"),81,State_LOB_Code)&amp;"|345"</f>
        <v>#REF!</v>
      </c>
      <c r="BY1601" s="215"/>
      <c r="BZ1601" s="216"/>
    </row>
    <row r="1602" spans="72:78">
      <c r="BT1602" s="187"/>
      <c r="BU1602" s="187" t="s">
        <v>100</v>
      </c>
      <c r="BV1602" s="196">
        <v>120036</v>
      </c>
      <c r="BW1602" s="197" t="e">
        <f t="shared" si="179"/>
        <v>#REF!</v>
      </c>
      <c r="BX1602" s="198" t="e">
        <f>IF(AND(State_LOB_Code=18,LEFT(BW1602,4)&lt;"2009"),81,State_LOB_Code)&amp;"|360"</f>
        <v>#REF!</v>
      </c>
      <c r="BY1602" s="215"/>
      <c r="BZ1602" s="216"/>
    </row>
    <row r="1603" spans="72:78">
      <c r="BT1603" s="187"/>
      <c r="BU1603" s="187" t="s">
        <v>101</v>
      </c>
      <c r="BV1603" s="196">
        <v>120036</v>
      </c>
      <c r="BW1603" s="197" t="e">
        <f t="shared" si="179"/>
        <v>#REF!</v>
      </c>
      <c r="BX1603" s="198" t="e">
        <f>IF(AND(State_LOB_Code=18,LEFT(BW1603,4)&lt;"2009"),81,State_LOB_Code)&amp;"|375"</f>
        <v>#REF!</v>
      </c>
      <c r="BY1603" s="215"/>
      <c r="BZ1603" s="216"/>
    </row>
    <row r="1604" spans="72:78">
      <c r="BT1604" s="187"/>
      <c r="BU1604" s="187" t="s">
        <v>102</v>
      </c>
      <c r="BV1604" s="196">
        <v>120036</v>
      </c>
      <c r="BW1604" s="197" t="e">
        <f t="shared" si="179"/>
        <v>#REF!</v>
      </c>
      <c r="BX1604" s="198" t="e">
        <f>IF(AND(State_LOB_Code=18,LEFT(BW1604,4)&lt;"2009"),81,State_LOB_Code)&amp;"|383"</f>
        <v>#REF!</v>
      </c>
      <c r="BY1604" s="215"/>
      <c r="BZ1604" s="216"/>
    </row>
    <row r="1605" spans="72:78">
      <c r="BT1605" s="187"/>
      <c r="BU1605" s="187" t="s">
        <v>103</v>
      </c>
      <c r="BV1605" s="196">
        <v>120036</v>
      </c>
      <c r="BW1605" s="197" t="e">
        <f t="shared" si="179"/>
        <v>#REF!</v>
      </c>
      <c r="BX1605" s="198" t="e">
        <f>IF(AND(State_LOB_Code=18,LEFT(BW1605,4)&lt;"2009"),81,State_LOB_Code)&amp;"|332"</f>
        <v>#REF!</v>
      </c>
      <c r="BY1605" s="215"/>
      <c r="BZ1605" s="216"/>
    </row>
    <row r="1606" spans="72:78">
      <c r="BT1606" s="187"/>
      <c r="BU1606" s="187" t="s">
        <v>104</v>
      </c>
      <c r="BV1606" s="196">
        <v>120036</v>
      </c>
      <c r="BW1606" s="197" t="e">
        <f t="shared" si="179"/>
        <v>#REF!</v>
      </c>
      <c r="BX1606" s="198" t="e">
        <f>IF(AND(State_LOB_Code=18,LEFT(BW1606,4)&lt;"2009"),81,State_LOB_Code)&amp;"|330"</f>
        <v>#REF!</v>
      </c>
      <c r="BY1606" s="215"/>
      <c r="BZ1606" s="216"/>
    </row>
    <row r="1607" spans="72:78">
      <c r="BT1607" s="187"/>
      <c r="BU1607" s="190" t="s">
        <v>46</v>
      </c>
      <c r="BV1607" s="202">
        <v>120056</v>
      </c>
      <c r="BW1607" s="203" t="e">
        <f t="shared" si="179"/>
        <v>#REF!</v>
      </c>
      <c r="BX1607" s="204" t="e">
        <f>IF(AND(State_LOB_Code=18,LEFT(BW1607,4)&lt;"2009"),81,State_LOB_Code)</f>
        <v>#REF!</v>
      </c>
      <c r="BY1607" s="219"/>
      <c r="BZ1607" s="220"/>
    </row>
    <row r="1608" spans="72:78">
      <c r="BT1608" s="187"/>
      <c r="BU1608" s="187"/>
      <c r="BV1608" s="188"/>
      <c r="BW1608" s="188"/>
      <c r="BX1608" s="188"/>
      <c r="BY1608" s="215"/>
      <c r="BZ1608" s="216"/>
    </row>
    <row r="1609" spans="72:78">
      <c r="BT1609" s="187"/>
      <c r="BU1609" s="184" t="s">
        <v>47</v>
      </c>
      <c r="BV1609" s="193">
        <v>120036</v>
      </c>
      <c r="BW1609" s="194" t="e">
        <f t="shared" ref="BW1609:BW1640" si="180">LEFT(BW1548,4)-1&amp;"Y"</f>
        <v>#REF!</v>
      </c>
      <c r="BX1609" s="195" t="e">
        <f>IF(AND(State_LOB_Code=18,LEFT(BW1609,4)&lt;"2009"),81,State_LOB_Code)&amp;"|333"</f>
        <v>#REF!</v>
      </c>
      <c r="BY1609" s="213"/>
      <c r="BZ1609" s="214"/>
    </row>
    <row r="1610" spans="72:78">
      <c r="BT1610" s="187"/>
      <c r="BU1610" s="187" t="s">
        <v>48</v>
      </c>
      <c r="BV1610" s="196">
        <v>120036</v>
      </c>
      <c r="BW1610" s="197" t="e">
        <f t="shared" si="180"/>
        <v>#REF!</v>
      </c>
      <c r="BX1610" s="198" t="e">
        <f>IF(AND(State_LOB_Code=18,LEFT(BW1610,4)&lt;"2009"),81,State_LOB_Code)&amp;"|334"</f>
        <v>#REF!</v>
      </c>
      <c r="BY1610" s="215"/>
      <c r="BZ1610" s="216"/>
    </row>
    <row r="1611" spans="72:78">
      <c r="BT1611" s="187"/>
      <c r="BU1611" s="187" t="s">
        <v>49</v>
      </c>
      <c r="BV1611" s="196">
        <v>120036</v>
      </c>
      <c r="BW1611" s="197" t="e">
        <f t="shared" si="180"/>
        <v>#REF!</v>
      </c>
      <c r="BX1611" s="198" t="e">
        <f>IF(AND(State_LOB_Code=18,LEFT(BW1611,4)&lt;"2009"),81,State_LOB_Code)&amp;"|335"</f>
        <v>#REF!</v>
      </c>
      <c r="BY1611" s="215"/>
      <c r="BZ1611" s="216"/>
    </row>
    <row r="1612" spans="72:78">
      <c r="BT1612" s="187"/>
      <c r="BU1612" s="187" t="s">
        <v>50</v>
      </c>
      <c r="BV1612" s="196">
        <v>120036</v>
      </c>
      <c r="BW1612" s="197" t="e">
        <f t="shared" si="180"/>
        <v>#REF!</v>
      </c>
      <c r="BX1612" s="198" t="e">
        <f>IF(AND(State_LOB_Code=18,LEFT(BW1612,4)&lt;"2009"),81,State_LOB_Code)&amp;"|337"</f>
        <v>#REF!</v>
      </c>
      <c r="BY1612" s="215"/>
      <c r="BZ1612" s="216"/>
    </row>
    <row r="1613" spans="72:78">
      <c r="BT1613" s="187"/>
      <c r="BU1613" s="187" t="s">
        <v>51</v>
      </c>
      <c r="BV1613" s="196">
        <v>120036</v>
      </c>
      <c r="BW1613" s="197" t="e">
        <f t="shared" si="180"/>
        <v>#REF!</v>
      </c>
      <c r="BX1613" s="198" t="e">
        <f>IF(AND(State_LOB_Code=18,LEFT(BW1613,4)&lt;"2009"),81,State_LOB_Code)&amp;"|338"</f>
        <v>#REF!</v>
      </c>
      <c r="BY1613" s="215"/>
      <c r="BZ1613" s="216"/>
    </row>
    <row r="1614" spans="72:78">
      <c r="BT1614" s="187"/>
      <c r="BU1614" s="187" t="s">
        <v>52</v>
      </c>
      <c r="BV1614" s="196">
        <v>120036</v>
      </c>
      <c r="BW1614" s="197" t="e">
        <f t="shared" si="180"/>
        <v>#REF!</v>
      </c>
      <c r="BX1614" s="198" t="e">
        <f>IF(AND(State_LOB_Code=18,LEFT(BW1614,4)&lt;"2009"),81,State_LOB_Code)&amp;"|339"</f>
        <v>#REF!</v>
      </c>
      <c r="BY1614" s="215"/>
      <c r="BZ1614" s="216"/>
    </row>
    <row r="1615" spans="72:78">
      <c r="BT1615" s="187"/>
      <c r="BU1615" s="187" t="s">
        <v>53</v>
      </c>
      <c r="BV1615" s="196">
        <v>120036</v>
      </c>
      <c r="BW1615" s="197" t="e">
        <f t="shared" si="180"/>
        <v>#REF!</v>
      </c>
      <c r="BX1615" s="198" t="e">
        <f>IF(AND(State_LOB_Code=18,LEFT(BW1615,4)&lt;"2009"),81,State_LOB_Code)&amp;"|340"</f>
        <v>#REF!</v>
      </c>
      <c r="BY1615" s="215"/>
      <c r="BZ1615" s="216"/>
    </row>
    <row r="1616" spans="72:78">
      <c r="BT1616" s="187"/>
      <c r="BU1616" s="187" t="s">
        <v>54</v>
      </c>
      <c r="BV1616" s="196">
        <v>120036</v>
      </c>
      <c r="BW1616" s="197" t="e">
        <f t="shared" si="180"/>
        <v>#REF!</v>
      </c>
      <c r="BX1616" s="198" t="e">
        <f>IF(AND(State_LOB_Code=18,LEFT(BW1616,4)&lt;"2009"),81,State_LOB_Code)&amp;"|341"</f>
        <v>#REF!</v>
      </c>
      <c r="BY1616" s="215"/>
      <c r="BZ1616" s="216"/>
    </row>
    <row r="1617" spans="72:78">
      <c r="BT1617" s="187"/>
      <c r="BU1617" s="187" t="s">
        <v>55</v>
      </c>
      <c r="BV1617" s="196">
        <v>120036</v>
      </c>
      <c r="BW1617" s="197" t="e">
        <f t="shared" si="180"/>
        <v>#REF!</v>
      </c>
      <c r="BX1617" s="198" t="e">
        <f>IF(AND(State_LOB_Code=18,LEFT(BW1617,4)&lt;"2009"),81,State_LOB_Code)&amp;"|342"</f>
        <v>#REF!</v>
      </c>
      <c r="BY1617" s="215"/>
      <c r="BZ1617" s="216"/>
    </row>
    <row r="1618" spans="72:78">
      <c r="BT1618" s="187"/>
      <c r="BU1618" s="187" t="s">
        <v>56</v>
      </c>
      <c r="BV1618" s="196">
        <v>120036</v>
      </c>
      <c r="BW1618" s="197" t="e">
        <f t="shared" si="180"/>
        <v>#REF!</v>
      </c>
      <c r="BX1618" s="198" t="e">
        <f>IF(AND(State_LOB_Code=18,LEFT(BW1618,4)&lt;"2009"),81,State_LOB_Code)&amp;"|343"</f>
        <v>#REF!</v>
      </c>
      <c r="BY1618" s="215"/>
      <c r="BZ1618" s="216"/>
    </row>
    <row r="1619" spans="72:78">
      <c r="BT1619" s="187"/>
      <c r="BU1619" s="187" t="s">
        <v>57</v>
      </c>
      <c r="BV1619" s="196">
        <v>120036</v>
      </c>
      <c r="BW1619" s="197" t="e">
        <f t="shared" si="180"/>
        <v>#REF!</v>
      </c>
      <c r="BX1619" s="198" t="e">
        <f>IF(AND(State_LOB_Code=18,LEFT(BW1619,4)&lt;"2009"),81,State_LOB_Code)&amp;"|344"</f>
        <v>#REF!</v>
      </c>
      <c r="BY1619" s="215"/>
      <c r="BZ1619" s="216"/>
    </row>
    <row r="1620" spans="72:78">
      <c r="BT1620" s="187"/>
      <c r="BU1620" s="187" t="s">
        <v>58</v>
      </c>
      <c r="BV1620" s="196">
        <v>120036</v>
      </c>
      <c r="BW1620" s="197" t="e">
        <f t="shared" si="180"/>
        <v>#REF!</v>
      </c>
      <c r="BX1620" s="198" t="e">
        <f>IF(AND(State_LOB_Code=18,LEFT(BW1620,4)&lt;"2009"),81,State_LOB_Code)&amp;"|346"</f>
        <v>#REF!</v>
      </c>
      <c r="BY1620" s="215"/>
      <c r="BZ1620" s="216"/>
    </row>
    <row r="1621" spans="72:78">
      <c r="BT1621" s="187"/>
      <c r="BU1621" s="187" t="s">
        <v>59</v>
      </c>
      <c r="BV1621" s="196">
        <v>120036</v>
      </c>
      <c r="BW1621" s="197" t="e">
        <f t="shared" si="180"/>
        <v>#REF!</v>
      </c>
      <c r="BX1621" s="198" t="e">
        <f>IF(AND(State_LOB_Code=18,LEFT(BW1621,4)&lt;"2009"),81,State_LOB_Code)&amp;"|347"</f>
        <v>#REF!</v>
      </c>
      <c r="BY1621" s="215"/>
      <c r="BZ1621" s="216"/>
    </row>
    <row r="1622" spans="72:78">
      <c r="BT1622" s="187"/>
      <c r="BU1622" s="187" t="s">
        <v>60</v>
      </c>
      <c r="BV1622" s="196">
        <v>120036</v>
      </c>
      <c r="BW1622" s="197" t="e">
        <f t="shared" si="180"/>
        <v>#REF!</v>
      </c>
      <c r="BX1622" s="198" t="e">
        <f>IF(AND(State_LOB_Code=18,LEFT(BW1622,4)&lt;"2009"),81,State_LOB_Code)&amp;"|348"</f>
        <v>#REF!</v>
      </c>
      <c r="BY1622" s="215"/>
      <c r="BZ1622" s="216"/>
    </row>
    <row r="1623" spans="72:78">
      <c r="BT1623" s="187"/>
      <c r="BU1623" s="187" t="s">
        <v>61</v>
      </c>
      <c r="BV1623" s="196">
        <v>120036</v>
      </c>
      <c r="BW1623" s="197" t="e">
        <f t="shared" si="180"/>
        <v>#REF!</v>
      </c>
      <c r="BX1623" s="198" t="e">
        <f>IF(AND(State_LOB_Code=18,LEFT(BW1623,4)&lt;"2009"),81,State_LOB_Code)&amp;"|349"</f>
        <v>#REF!</v>
      </c>
      <c r="BY1623" s="215"/>
      <c r="BZ1623" s="216"/>
    </row>
    <row r="1624" spans="72:78">
      <c r="BT1624" s="187"/>
      <c r="BU1624" s="187" t="s">
        <v>62</v>
      </c>
      <c r="BV1624" s="196">
        <v>120036</v>
      </c>
      <c r="BW1624" s="197" t="e">
        <f t="shared" si="180"/>
        <v>#REF!</v>
      </c>
      <c r="BX1624" s="198" t="e">
        <f>IF(AND(State_LOB_Code=18,LEFT(BW1624,4)&lt;"2009"),81,State_LOB_Code)&amp;"|350"</f>
        <v>#REF!</v>
      </c>
      <c r="BY1624" s="215"/>
      <c r="BZ1624" s="216"/>
    </row>
    <row r="1625" spans="72:78">
      <c r="BT1625" s="187"/>
      <c r="BU1625" s="187" t="s">
        <v>63</v>
      </c>
      <c r="BV1625" s="196">
        <v>120036</v>
      </c>
      <c r="BW1625" s="197" t="e">
        <f t="shared" si="180"/>
        <v>#REF!</v>
      </c>
      <c r="BX1625" s="198" t="e">
        <f>IF(AND(State_LOB_Code=18,LEFT(BW1625,4)&lt;"2009"),81,State_LOB_Code)&amp;"|351"</f>
        <v>#REF!</v>
      </c>
      <c r="BY1625" s="215"/>
      <c r="BZ1625" s="216"/>
    </row>
    <row r="1626" spans="72:78">
      <c r="BT1626" s="187"/>
      <c r="BU1626" s="187" t="s">
        <v>64</v>
      </c>
      <c r="BV1626" s="196">
        <v>120036</v>
      </c>
      <c r="BW1626" s="197" t="e">
        <f t="shared" si="180"/>
        <v>#REF!</v>
      </c>
      <c r="BX1626" s="198" t="e">
        <f>IF(AND(State_LOB_Code=18,LEFT(BW1626,4)&lt;"2009"),81,State_LOB_Code)&amp;"|352"</f>
        <v>#REF!</v>
      </c>
      <c r="BY1626" s="215"/>
      <c r="BZ1626" s="216"/>
    </row>
    <row r="1627" spans="72:78">
      <c r="BT1627" s="187"/>
      <c r="BU1627" s="187" t="s">
        <v>65</v>
      </c>
      <c r="BV1627" s="196">
        <v>120036</v>
      </c>
      <c r="BW1627" s="197" t="e">
        <f t="shared" si="180"/>
        <v>#REF!</v>
      </c>
      <c r="BX1627" s="198" t="e">
        <f>IF(AND(State_LOB_Code=18,LEFT(BW1627,4)&lt;"2009"),81,State_LOB_Code)&amp;"|353"</f>
        <v>#REF!</v>
      </c>
      <c r="BY1627" s="215"/>
      <c r="BZ1627" s="216"/>
    </row>
    <row r="1628" spans="72:78">
      <c r="BT1628" s="187"/>
      <c r="BU1628" s="187" t="s">
        <v>66</v>
      </c>
      <c r="BV1628" s="196">
        <v>120036</v>
      </c>
      <c r="BW1628" s="197" t="e">
        <f t="shared" si="180"/>
        <v>#REF!</v>
      </c>
      <c r="BX1628" s="198" t="e">
        <f>IF(AND(State_LOB_Code=18,LEFT(BW1628,4)&lt;"2009"),81,State_LOB_Code)&amp;"|354"</f>
        <v>#REF!</v>
      </c>
      <c r="BY1628" s="215"/>
      <c r="BZ1628" s="216"/>
    </row>
    <row r="1629" spans="72:78">
      <c r="BT1629" s="187"/>
      <c r="BU1629" s="187" t="s">
        <v>67</v>
      </c>
      <c r="BV1629" s="196">
        <v>120036</v>
      </c>
      <c r="BW1629" s="197" t="e">
        <f t="shared" si="180"/>
        <v>#REF!</v>
      </c>
      <c r="BX1629" s="198" t="e">
        <f>IF(AND(State_LOB_Code=18,LEFT(BW1629,4)&lt;"2009"),81,State_LOB_Code)&amp;"|355"</f>
        <v>#REF!</v>
      </c>
      <c r="BY1629" s="215"/>
      <c r="BZ1629" s="216"/>
    </row>
    <row r="1630" spans="72:78">
      <c r="BT1630" s="187"/>
      <c r="BU1630" s="187" t="s">
        <v>68</v>
      </c>
      <c r="BV1630" s="196">
        <v>120036</v>
      </c>
      <c r="BW1630" s="197" t="e">
        <f t="shared" si="180"/>
        <v>#REF!</v>
      </c>
      <c r="BX1630" s="198" t="e">
        <f>IF(AND(State_LOB_Code=18,LEFT(BW1630,4)&lt;"2009"),81,State_LOB_Code)&amp;"|356"</f>
        <v>#REF!</v>
      </c>
      <c r="BY1630" s="215"/>
      <c r="BZ1630" s="216"/>
    </row>
    <row r="1631" spans="72:78">
      <c r="BT1631" s="187"/>
      <c r="BU1631" s="187" t="s">
        <v>69</v>
      </c>
      <c r="BV1631" s="196">
        <v>120036</v>
      </c>
      <c r="BW1631" s="197" t="e">
        <f t="shared" si="180"/>
        <v>#REF!</v>
      </c>
      <c r="BX1631" s="198" t="e">
        <f>IF(AND(State_LOB_Code=18,LEFT(BW1631,4)&lt;"2009"),81,State_LOB_Code)&amp;"|357"</f>
        <v>#REF!</v>
      </c>
      <c r="BY1631" s="215"/>
      <c r="BZ1631" s="216"/>
    </row>
    <row r="1632" spans="72:78">
      <c r="BT1632" s="187"/>
      <c r="BU1632" s="187" t="s">
        <v>70</v>
      </c>
      <c r="BV1632" s="196">
        <v>120036</v>
      </c>
      <c r="BW1632" s="197" t="e">
        <f t="shared" si="180"/>
        <v>#REF!</v>
      </c>
      <c r="BX1632" s="198" t="e">
        <f>IF(AND(State_LOB_Code=18,LEFT(BW1632,4)&lt;"2009"),81,State_LOB_Code)&amp;"|358"</f>
        <v>#REF!</v>
      </c>
      <c r="BY1632" s="215"/>
      <c r="BZ1632" s="216"/>
    </row>
    <row r="1633" spans="72:78">
      <c r="BT1633" s="187"/>
      <c r="BU1633" s="187" t="s">
        <v>71</v>
      </c>
      <c r="BV1633" s="196">
        <v>120036</v>
      </c>
      <c r="BW1633" s="197" t="e">
        <f t="shared" si="180"/>
        <v>#REF!</v>
      </c>
      <c r="BX1633" s="198" t="e">
        <f>IF(AND(State_LOB_Code=18,LEFT(BW1633,4)&lt;"2009"),81,State_LOB_Code)&amp;"|359"</f>
        <v>#REF!</v>
      </c>
      <c r="BY1633" s="215"/>
      <c r="BZ1633" s="216"/>
    </row>
    <row r="1634" spans="72:78">
      <c r="BT1634" s="187"/>
      <c r="BU1634" s="187" t="s">
        <v>72</v>
      </c>
      <c r="BV1634" s="196">
        <v>120036</v>
      </c>
      <c r="BW1634" s="197" t="e">
        <f t="shared" si="180"/>
        <v>#REF!</v>
      </c>
      <c r="BX1634" s="198" t="e">
        <f>IF(AND(State_LOB_Code=18,LEFT(BW1634,4)&lt;"2009"),81,State_LOB_Code)&amp;"|361"</f>
        <v>#REF!</v>
      </c>
      <c r="BY1634" s="215"/>
      <c r="BZ1634" s="216"/>
    </row>
    <row r="1635" spans="72:78">
      <c r="BT1635" s="187"/>
      <c r="BU1635" s="187" t="s">
        <v>73</v>
      </c>
      <c r="BV1635" s="196">
        <v>120036</v>
      </c>
      <c r="BW1635" s="197" t="e">
        <f t="shared" si="180"/>
        <v>#REF!</v>
      </c>
      <c r="BX1635" s="198" t="e">
        <f>IF(AND(State_LOB_Code=18,LEFT(BW1635,4)&lt;"2009"),81,State_LOB_Code)&amp;"|362"</f>
        <v>#REF!</v>
      </c>
      <c r="BY1635" s="215"/>
      <c r="BZ1635" s="216"/>
    </row>
    <row r="1636" spans="72:78">
      <c r="BT1636" s="187"/>
      <c r="BU1636" s="187" t="s">
        <v>74</v>
      </c>
      <c r="BV1636" s="196">
        <v>120036</v>
      </c>
      <c r="BW1636" s="197" t="e">
        <f t="shared" si="180"/>
        <v>#REF!</v>
      </c>
      <c r="BX1636" s="198" t="e">
        <f>IF(AND(State_LOB_Code=18,LEFT(BW1636,4)&lt;"2009"),81,State_LOB_Code)&amp;"|363"</f>
        <v>#REF!</v>
      </c>
      <c r="BY1636" s="215"/>
      <c r="BZ1636" s="216"/>
    </row>
    <row r="1637" spans="72:78">
      <c r="BT1637" s="187"/>
      <c r="BU1637" s="187" t="s">
        <v>75</v>
      </c>
      <c r="BV1637" s="196">
        <v>120036</v>
      </c>
      <c r="BW1637" s="197" t="e">
        <f t="shared" si="180"/>
        <v>#REF!</v>
      </c>
      <c r="BX1637" s="198" t="e">
        <f>IF(AND(State_LOB_Code=18,LEFT(BW1637,4)&lt;"2009"),81,State_LOB_Code)&amp;"|364"</f>
        <v>#REF!</v>
      </c>
      <c r="BY1637" s="215"/>
      <c r="BZ1637" s="216"/>
    </row>
    <row r="1638" spans="72:78">
      <c r="BT1638" s="187"/>
      <c r="BU1638" s="187" t="s">
        <v>76</v>
      </c>
      <c r="BV1638" s="196">
        <v>120036</v>
      </c>
      <c r="BW1638" s="197" t="e">
        <f t="shared" si="180"/>
        <v>#REF!</v>
      </c>
      <c r="BX1638" s="198" t="e">
        <f>IF(AND(State_LOB_Code=18,LEFT(BW1638,4)&lt;"2009"),81,State_LOB_Code)&amp;"|365"</f>
        <v>#REF!</v>
      </c>
      <c r="BY1638" s="215"/>
      <c r="BZ1638" s="216"/>
    </row>
    <row r="1639" spans="72:78">
      <c r="BT1639" s="187"/>
      <c r="BU1639" s="187" t="s">
        <v>77</v>
      </c>
      <c r="BV1639" s="196">
        <v>120036</v>
      </c>
      <c r="BW1639" s="197" t="e">
        <f t="shared" si="180"/>
        <v>#REF!</v>
      </c>
      <c r="BX1639" s="198" t="e">
        <f>IF(AND(State_LOB_Code=18,LEFT(BW1639,4)&lt;"2009"),81,State_LOB_Code)&amp;"|366"</f>
        <v>#REF!</v>
      </c>
      <c r="BY1639" s="215"/>
      <c r="BZ1639" s="216"/>
    </row>
    <row r="1640" spans="72:78">
      <c r="BT1640" s="187"/>
      <c r="BU1640" s="187" t="s">
        <v>78</v>
      </c>
      <c r="BV1640" s="196">
        <v>120036</v>
      </c>
      <c r="BW1640" s="197" t="e">
        <f t="shared" si="180"/>
        <v>#REF!</v>
      </c>
      <c r="BX1640" s="198" t="e">
        <f>IF(AND(State_LOB_Code=18,LEFT(BW1640,4)&lt;"2009"),81,State_LOB_Code)&amp;"|367"</f>
        <v>#REF!</v>
      </c>
      <c r="BY1640" s="215"/>
      <c r="BZ1640" s="216"/>
    </row>
    <row r="1641" spans="72:78">
      <c r="BT1641" s="187"/>
      <c r="BU1641" s="187" t="s">
        <v>79</v>
      </c>
      <c r="BV1641" s="196">
        <v>120036</v>
      </c>
      <c r="BW1641" s="197" t="e">
        <f t="shared" ref="BW1641:BW1668" si="181">LEFT(BW1580,4)-1&amp;"Y"</f>
        <v>#REF!</v>
      </c>
      <c r="BX1641" s="198" t="e">
        <f>IF(AND(State_LOB_Code=18,LEFT(BW1641,4)&lt;"2009"),81,State_LOB_Code)&amp;"|368"</f>
        <v>#REF!</v>
      </c>
      <c r="BY1641" s="215"/>
      <c r="BZ1641" s="216"/>
    </row>
    <row r="1642" spans="72:78">
      <c r="BT1642" s="187"/>
      <c r="BU1642" s="187" t="s">
        <v>80</v>
      </c>
      <c r="BV1642" s="196">
        <v>120036</v>
      </c>
      <c r="BW1642" s="197" t="e">
        <f t="shared" si="181"/>
        <v>#REF!</v>
      </c>
      <c r="BX1642" s="198" t="e">
        <f>IF(AND(State_LOB_Code=18,LEFT(BW1642,4)&lt;"2009"),81,State_LOB_Code)&amp;"|369"</f>
        <v>#REF!</v>
      </c>
      <c r="BY1642" s="215"/>
      <c r="BZ1642" s="216"/>
    </row>
    <row r="1643" spans="72:78">
      <c r="BT1643" s="187"/>
      <c r="BU1643" s="187" t="s">
        <v>81</v>
      </c>
      <c r="BV1643" s="196">
        <v>120036</v>
      </c>
      <c r="BW1643" s="197" t="e">
        <f t="shared" si="181"/>
        <v>#REF!</v>
      </c>
      <c r="BX1643" s="198" t="e">
        <f>IF(AND(State_LOB_Code=18,LEFT(BW1643,4)&lt;"2009"),81,State_LOB_Code)&amp;"|370"</f>
        <v>#REF!</v>
      </c>
      <c r="BY1643" s="215"/>
      <c r="BZ1643" s="216"/>
    </row>
    <row r="1644" spans="72:78">
      <c r="BT1644" s="187"/>
      <c r="BU1644" s="187" t="s">
        <v>82</v>
      </c>
      <c r="BV1644" s="196">
        <v>120036</v>
      </c>
      <c r="BW1644" s="197" t="e">
        <f t="shared" si="181"/>
        <v>#REF!</v>
      </c>
      <c r="BX1644" s="198" t="e">
        <f>IF(AND(State_LOB_Code=18,LEFT(BW1644,4)&lt;"2009"),81,State_LOB_Code)&amp;"|371"</f>
        <v>#REF!</v>
      </c>
      <c r="BY1644" s="215"/>
      <c r="BZ1644" s="216"/>
    </row>
    <row r="1645" spans="72:78">
      <c r="BT1645" s="187"/>
      <c r="BU1645" s="187" t="s">
        <v>83</v>
      </c>
      <c r="BV1645" s="196">
        <v>120036</v>
      </c>
      <c r="BW1645" s="197" t="e">
        <f t="shared" si="181"/>
        <v>#REF!</v>
      </c>
      <c r="BX1645" s="198" t="e">
        <f>IF(AND(State_LOB_Code=18,LEFT(BW1645,4)&lt;"2009"),81,State_LOB_Code)&amp;"|372"</f>
        <v>#REF!</v>
      </c>
      <c r="BY1645" s="215"/>
      <c r="BZ1645" s="216"/>
    </row>
    <row r="1646" spans="72:78">
      <c r="BT1646" s="187"/>
      <c r="BU1646" s="187" t="s">
        <v>84</v>
      </c>
      <c r="BV1646" s="196">
        <v>120036</v>
      </c>
      <c r="BW1646" s="197" t="e">
        <f t="shared" si="181"/>
        <v>#REF!</v>
      </c>
      <c r="BX1646" s="198" t="e">
        <f>IF(AND(State_LOB_Code=18,LEFT(BW1646,4)&lt;"2009"),81,State_LOB_Code)&amp;"|373"</f>
        <v>#REF!</v>
      </c>
      <c r="BY1646" s="215"/>
      <c r="BZ1646" s="216"/>
    </row>
    <row r="1647" spans="72:78">
      <c r="BT1647" s="187"/>
      <c r="BU1647" s="187" t="s">
        <v>85</v>
      </c>
      <c r="BV1647" s="196">
        <v>120036</v>
      </c>
      <c r="BW1647" s="197" t="e">
        <f t="shared" si="181"/>
        <v>#REF!</v>
      </c>
      <c r="BX1647" s="198" t="e">
        <f>IF(AND(State_LOB_Code=18,LEFT(BW1647,4)&lt;"2009"),81,State_LOB_Code)&amp;"|374"</f>
        <v>#REF!</v>
      </c>
      <c r="BY1647" s="215"/>
      <c r="BZ1647" s="216"/>
    </row>
    <row r="1648" spans="72:78">
      <c r="BT1648" s="187"/>
      <c r="BU1648" s="187" t="s">
        <v>86</v>
      </c>
      <c r="BV1648" s="196">
        <v>120036</v>
      </c>
      <c r="BW1648" s="197" t="e">
        <f t="shared" si="181"/>
        <v>#REF!</v>
      </c>
      <c r="BX1648" s="198" t="e">
        <f>IF(AND(State_LOB_Code=18,LEFT(BW1648,4)&lt;"2009"),81,State_LOB_Code)&amp;"|376"</f>
        <v>#REF!</v>
      </c>
      <c r="BY1648" s="215"/>
      <c r="BZ1648" s="216"/>
    </row>
    <row r="1649" spans="72:78">
      <c r="BT1649" s="187"/>
      <c r="BU1649" s="187" t="s">
        <v>87</v>
      </c>
      <c r="BV1649" s="196">
        <v>120036</v>
      </c>
      <c r="BW1649" s="197" t="e">
        <f t="shared" si="181"/>
        <v>#REF!</v>
      </c>
      <c r="BX1649" s="198" t="e">
        <f>IF(AND(State_LOB_Code=18,LEFT(BW1649,4)&lt;"2009"),81,State_LOB_Code)&amp;"|377"</f>
        <v>#REF!</v>
      </c>
      <c r="BY1649" s="215"/>
      <c r="BZ1649" s="216"/>
    </row>
    <row r="1650" spans="72:78">
      <c r="BT1650" s="187"/>
      <c r="BU1650" s="187" t="s">
        <v>88</v>
      </c>
      <c r="BV1650" s="196">
        <v>120036</v>
      </c>
      <c r="BW1650" s="197" t="e">
        <f t="shared" si="181"/>
        <v>#REF!</v>
      </c>
      <c r="BX1650" s="198" t="e">
        <f>IF(AND(State_LOB_Code=18,LEFT(BW1650,4)&lt;"2009"),81,State_LOB_Code)&amp;"|378"</f>
        <v>#REF!</v>
      </c>
      <c r="BY1650" s="215"/>
      <c r="BZ1650" s="216"/>
    </row>
    <row r="1651" spans="72:78">
      <c r="BT1651" s="187"/>
      <c r="BU1651" s="187" t="s">
        <v>89</v>
      </c>
      <c r="BV1651" s="196">
        <v>120036</v>
      </c>
      <c r="BW1651" s="197" t="e">
        <f t="shared" si="181"/>
        <v>#REF!</v>
      </c>
      <c r="BX1651" s="198" t="e">
        <f>IF(AND(State_LOB_Code=18,LEFT(BW1651,4)&lt;"2009"),81,State_LOB_Code)&amp;"|379"</f>
        <v>#REF!</v>
      </c>
      <c r="BY1651" s="215"/>
      <c r="BZ1651" s="216"/>
    </row>
    <row r="1652" spans="72:78">
      <c r="BT1652" s="187"/>
      <c r="BU1652" s="187" t="s">
        <v>90</v>
      </c>
      <c r="BV1652" s="196">
        <v>120036</v>
      </c>
      <c r="BW1652" s="197" t="e">
        <f t="shared" si="181"/>
        <v>#REF!</v>
      </c>
      <c r="BX1652" s="198" t="e">
        <f>IF(AND(State_LOB_Code=18,LEFT(BW1652,4)&lt;"2009"),81,State_LOB_Code)&amp;"|380"</f>
        <v>#REF!</v>
      </c>
      <c r="BY1652" s="215"/>
      <c r="BZ1652" s="216"/>
    </row>
    <row r="1653" spans="72:78">
      <c r="BT1653" s="187"/>
      <c r="BU1653" s="187" t="s">
        <v>91</v>
      </c>
      <c r="BV1653" s="196">
        <v>120036</v>
      </c>
      <c r="BW1653" s="197" t="e">
        <f t="shared" si="181"/>
        <v>#REF!</v>
      </c>
      <c r="BX1653" s="198" t="e">
        <f>IF(AND(State_LOB_Code=18,LEFT(BW1653,4)&lt;"2009"),81,State_LOB_Code)&amp;"|381"</f>
        <v>#REF!</v>
      </c>
      <c r="BY1653" s="215"/>
      <c r="BZ1653" s="216"/>
    </row>
    <row r="1654" spans="72:78">
      <c r="BT1654" s="187"/>
      <c r="BU1654" s="187" t="s">
        <v>92</v>
      </c>
      <c r="BV1654" s="196">
        <v>120036</v>
      </c>
      <c r="BW1654" s="197" t="e">
        <f t="shared" si="181"/>
        <v>#REF!</v>
      </c>
      <c r="BX1654" s="198" t="e">
        <f>IF(AND(State_LOB_Code=18,LEFT(BW1654,4)&lt;"2009"),81,State_LOB_Code)&amp;"|382"</f>
        <v>#REF!</v>
      </c>
      <c r="BY1654" s="215"/>
      <c r="BZ1654" s="216"/>
    </row>
    <row r="1655" spans="72:78">
      <c r="BT1655" s="187"/>
      <c r="BU1655" s="187" t="s">
        <v>93</v>
      </c>
      <c r="BV1655" s="196">
        <v>120036</v>
      </c>
      <c r="BW1655" s="197" t="e">
        <f t="shared" si="181"/>
        <v>#REF!</v>
      </c>
      <c r="BX1655" s="198" t="e">
        <f>IF(AND(State_LOB_Code=18,LEFT(BW1655,4)&lt;"2009"),81,State_LOB_Code)&amp;"|384"</f>
        <v>#REF!</v>
      </c>
      <c r="BY1655" s="215"/>
      <c r="BZ1655" s="216"/>
    </row>
    <row r="1656" spans="72:78">
      <c r="BT1656" s="187"/>
      <c r="BU1656" s="187" t="s">
        <v>94</v>
      </c>
      <c r="BV1656" s="196">
        <v>120036</v>
      </c>
      <c r="BW1656" s="197" t="e">
        <f t="shared" si="181"/>
        <v>#REF!</v>
      </c>
      <c r="BX1656" s="198" t="e">
        <f>IF(AND(State_LOB_Code=18,LEFT(BW1656,4)&lt;"2009"),81,State_LOB_Code)&amp;"|385"</f>
        <v>#REF!</v>
      </c>
      <c r="BY1656" s="215"/>
      <c r="BZ1656" s="216"/>
    </row>
    <row r="1657" spans="72:78">
      <c r="BT1657" s="187"/>
      <c r="BU1657" s="187" t="s">
        <v>95</v>
      </c>
      <c r="BV1657" s="196">
        <v>120036</v>
      </c>
      <c r="BW1657" s="197" t="e">
        <f t="shared" si="181"/>
        <v>#REF!</v>
      </c>
      <c r="BX1657" s="198" t="e">
        <f>IF(AND(State_LOB_Code=18,LEFT(BW1657,4)&lt;"2009"),81,State_LOB_Code)&amp;"|386"</f>
        <v>#REF!</v>
      </c>
      <c r="BY1657" s="215"/>
      <c r="BZ1657" s="216"/>
    </row>
    <row r="1658" spans="72:78">
      <c r="BT1658" s="187"/>
      <c r="BU1658" s="187" t="s">
        <v>96</v>
      </c>
      <c r="BV1658" s="196">
        <v>120036</v>
      </c>
      <c r="BW1658" s="197" t="e">
        <f t="shared" si="181"/>
        <v>#REF!</v>
      </c>
      <c r="BX1658" s="198" t="e">
        <f>IF(AND(State_LOB_Code=18,LEFT(BW1658,4)&lt;"2009"),81,State_LOB_Code)&amp;"|387"</f>
        <v>#REF!</v>
      </c>
      <c r="BY1658" s="215"/>
      <c r="BZ1658" s="216"/>
    </row>
    <row r="1659" spans="72:78">
      <c r="BT1659" s="187"/>
      <c r="BU1659" s="187" t="s">
        <v>97</v>
      </c>
      <c r="BV1659" s="196">
        <v>120036</v>
      </c>
      <c r="BW1659" s="197" t="e">
        <f t="shared" si="181"/>
        <v>#REF!</v>
      </c>
      <c r="BX1659" s="198" t="e">
        <f>IF(AND(State_LOB_Code=18,LEFT(BW1659,4)&lt;"2009"),81,State_LOB_Code)&amp;"|388"</f>
        <v>#REF!</v>
      </c>
      <c r="BY1659" s="215"/>
      <c r="BZ1659" s="216"/>
    </row>
    <row r="1660" spans="72:78">
      <c r="BT1660" s="187"/>
      <c r="BU1660" s="189" t="s">
        <v>137</v>
      </c>
      <c r="BV1660" s="199">
        <v>120036</v>
      </c>
      <c r="BW1660" s="200" t="e">
        <f t="shared" si="181"/>
        <v>#REF!</v>
      </c>
      <c r="BX1660" s="201" t="e">
        <f>IF(AND(State_LOB_Code=18,LEFT(BW1660,4)&lt;"2009"),81,State_LOB_Code)&amp;"|600"</f>
        <v>#REF!</v>
      </c>
      <c r="BY1660" s="217"/>
      <c r="BZ1660" s="218"/>
    </row>
    <row r="1661" spans="72:78">
      <c r="BT1661" s="187"/>
      <c r="BU1661" s="187" t="s">
        <v>98</v>
      </c>
      <c r="BV1661" s="196">
        <v>120036</v>
      </c>
      <c r="BW1661" s="197" t="e">
        <f t="shared" si="181"/>
        <v>#REF!</v>
      </c>
      <c r="BX1661" s="198" t="e">
        <f>IF(AND(State_LOB_Code=18,LEFT(BW1661,4)&lt;"2009"),81,State_LOB_Code)&amp;"|336"</f>
        <v>#REF!</v>
      </c>
      <c r="BY1661" s="215"/>
      <c r="BZ1661" s="216"/>
    </row>
    <row r="1662" spans="72:78">
      <c r="BT1662" s="187"/>
      <c r="BU1662" s="187" t="s">
        <v>99</v>
      </c>
      <c r="BV1662" s="196">
        <v>120036</v>
      </c>
      <c r="BW1662" s="197" t="e">
        <f t="shared" si="181"/>
        <v>#REF!</v>
      </c>
      <c r="BX1662" s="198" t="e">
        <f>IF(AND(State_LOB_Code=18,LEFT(BW1662,4)&lt;"2009"),81,State_LOB_Code)&amp;"|345"</f>
        <v>#REF!</v>
      </c>
      <c r="BY1662" s="215"/>
      <c r="BZ1662" s="216"/>
    </row>
    <row r="1663" spans="72:78">
      <c r="BT1663" s="187"/>
      <c r="BU1663" s="187" t="s">
        <v>100</v>
      </c>
      <c r="BV1663" s="196">
        <v>120036</v>
      </c>
      <c r="BW1663" s="197" t="e">
        <f t="shared" si="181"/>
        <v>#REF!</v>
      </c>
      <c r="BX1663" s="198" t="e">
        <f>IF(AND(State_LOB_Code=18,LEFT(BW1663,4)&lt;"2009"),81,State_LOB_Code)&amp;"|360"</f>
        <v>#REF!</v>
      </c>
      <c r="BY1663" s="215"/>
      <c r="BZ1663" s="216"/>
    </row>
    <row r="1664" spans="72:78">
      <c r="BT1664" s="187"/>
      <c r="BU1664" s="187" t="s">
        <v>101</v>
      </c>
      <c r="BV1664" s="196">
        <v>120036</v>
      </c>
      <c r="BW1664" s="197" t="e">
        <f t="shared" si="181"/>
        <v>#REF!</v>
      </c>
      <c r="BX1664" s="198" t="e">
        <f>IF(AND(State_LOB_Code=18,LEFT(BW1664,4)&lt;"2009"),81,State_LOB_Code)&amp;"|375"</f>
        <v>#REF!</v>
      </c>
      <c r="BY1664" s="215"/>
      <c r="BZ1664" s="216"/>
    </row>
    <row r="1665" spans="72:78">
      <c r="BT1665" s="187"/>
      <c r="BU1665" s="187" t="s">
        <v>102</v>
      </c>
      <c r="BV1665" s="196">
        <v>120036</v>
      </c>
      <c r="BW1665" s="197" t="e">
        <f t="shared" si="181"/>
        <v>#REF!</v>
      </c>
      <c r="BX1665" s="198" t="e">
        <f>IF(AND(State_LOB_Code=18,LEFT(BW1665,4)&lt;"2009"),81,State_LOB_Code)&amp;"|383"</f>
        <v>#REF!</v>
      </c>
      <c r="BY1665" s="215"/>
      <c r="BZ1665" s="216"/>
    </row>
    <row r="1666" spans="72:78">
      <c r="BT1666" s="187"/>
      <c r="BU1666" s="187" t="s">
        <v>103</v>
      </c>
      <c r="BV1666" s="196">
        <v>120036</v>
      </c>
      <c r="BW1666" s="197" t="e">
        <f t="shared" si="181"/>
        <v>#REF!</v>
      </c>
      <c r="BX1666" s="198" t="e">
        <f>IF(AND(State_LOB_Code=18,LEFT(BW1666,4)&lt;"2009"),81,State_LOB_Code)&amp;"|332"</f>
        <v>#REF!</v>
      </c>
      <c r="BY1666" s="215"/>
      <c r="BZ1666" s="216"/>
    </row>
    <row r="1667" spans="72:78">
      <c r="BT1667" s="187"/>
      <c r="BU1667" s="187" t="s">
        <v>104</v>
      </c>
      <c r="BV1667" s="196">
        <v>120036</v>
      </c>
      <c r="BW1667" s="197" t="e">
        <f t="shared" si="181"/>
        <v>#REF!</v>
      </c>
      <c r="BX1667" s="198" t="e">
        <f>IF(AND(State_LOB_Code=18,LEFT(BW1667,4)&lt;"2009"),81,State_LOB_Code)&amp;"|330"</f>
        <v>#REF!</v>
      </c>
      <c r="BY1667" s="215"/>
      <c r="BZ1667" s="216"/>
    </row>
    <row r="1668" spans="72:78">
      <c r="BT1668" s="187"/>
      <c r="BU1668" s="190" t="s">
        <v>46</v>
      </c>
      <c r="BV1668" s="202">
        <v>120056</v>
      </c>
      <c r="BW1668" s="203" t="e">
        <f t="shared" si="181"/>
        <v>#REF!</v>
      </c>
      <c r="BX1668" s="204" t="e">
        <f>IF(AND(State_LOB_Code=18,LEFT(BW1668,4)&lt;"2009"),81,State_LOB_Code)</f>
        <v>#REF!</v>
      </c>
      <c r="BY1668" s="219"/>
      <c r="BZ1668" s="220"/>
    </row>
    <row r="1669" spans="72:78">
      <c r="BT1669" s="187"/>
      <c r="BU1669" s="187"/>
      <c r="BV1669" s="188"/>
      <c r="BW1669" s="188"/>
      <c r="BX1669" s="188"/>
      <c r="BY1669" s="215"/>
      <c r="BZ1669" s="216"/>
    </row>
    <row r="1670" spans="72:78">
      <c r="BT1670" s="187"/>
      <c r="BU1670" s="184" t="s">
        <v>47</v>
      </c>
      <c r="BV1670" s="193">
        <v>120036</v>
      </c>
      <c r="BW1670" s="194" t="e">
        <f t="shared" ref="BW1670:BW1701" si="182">LEFT(BW1609,4)-1&amp;"Y"</f>
        <v>#REF!</v>
      </c>
      <c r="BX1670" s="195" t="e">
        <f>IF(AND(State_LOB_Code=18,LEFT(BW1670,4)&lt;"2009"),81,State_LOB_Code)&amp;"|333"</f>
        <v>#REF!</v>
      </c>
      <c r="BY1670" s="213"/>
      <c r="BZ1670" s="214"/>
    </row>
    <row r="1671" spans="72:78">
      <c r="BT1671" s="187"/>
      <c r="BU1671" s="187" t="s">
        <v>48</v>
      </c>
      <c r="BV1671" s="196">
        <v>120036</v>
      </c>
      <c r="BW1671" s="197" t="e">
        <f t="shared" si="182"/>
        <v>#REF!</v>
      </c>
      <c r="BX1671" s="198" t="e">
        <f>IF(AND(State_LOB_Code=18,LEFT(BW1671,4)&lt;"2009"),81,State_LOB_Code)&amp;"|334"</f>
        <v>#REF!</v>
      </c>
      <c r="BY1671" s="215"/>
      <c r="BZ1671" s="216"/>
    </row>
    <row r="1672" spans="72:78">
      <c r="BT1672" s="187"/>
      <c r="BU1672" s="187" t="s">
        <v>49</v>
      </c>
      <c r="BV1672" s="196">
        <v>120036</v>
      </c>
      <c r="BW1672" s="197" t="e">
        <f t="shared" si="182"/>
        <v>#REF!</v>
      </c>
      <c r="BX1672" s="198" t="e">
        <f>IF(AND(State_LOB_Code=18,LEFT(BW1672,4)&lt;"2009"),81,State_LOB_Code)&amp;"|335"</f>
        <v>#REF!</v>
      </c>
      <c r="BY1672" s="215"/>
      <c r="BZ1672" s="216"/>
    </row>
    <row r="1673" spans="72:78">
      <c r="BT1673" s="187"/>
      <c r="BU1673" s="187" t="s">
        <v>50</v>
      </c>
      <c r="BV1673" s="196">
        <v>120036</v>
      </c>
      <c r="BW1673" s="197" t="e">
        <f t="shared" si="182"/>
        <v>#REF!</v>
      </c>
      <c r="BX1673" s="198" t="e">
        <f>IF(AND(State_LOB_Code=18,LEFT(BW1673,4)&lt;"2009"),81,State_LOB_Code)&amp;"|337"</f>
        <v>#REF!</v>
      </c>
      <c r="BY1673" s="215"/>
      <c r="BZ1673" s="216"/>
    </row>
    <row r="1674" spans="72:78">
      <c r="BT1674" s="187"/>
      <c r="BU1674" s="187" t="s">
        <v>51</v>
      </c>
      <c r="BV1674" s="196">
        <v>120036</v>
      </c>
      <c r="BW1674" s="197" t="e">
        <f t="shared" si="182"/>
        <v>#REF!</v>
      </c>
      <c r="BX1674" s="198" t="e">
        <f>IF(AND(State_LOB_Code=18,LEFT(BW1674,4)&lt;"2009"),81,State_LOB_Code)&amp;"|338"</f>
        <v>#REF!</v>
      </c>
      <c r="BY1674" s="215"/>
      <c r="BZ1674" s="216"/>
    </row>
    <row r="1675" spans="72:78">
      <c r="BT1675" s="187"/>
      <c r="BU1675" s="187" t="s">
        <v>52</v>
      </c>
      <c r="BV1675" s="196">
        <v>120036</v>
      </c>
      <c r="BW1675" s="197" t="e">
        <f t="shared" si="182"/>
        <v>#REF!</v>
      </c>
      <c r="BX1675" s="198" t="e">
        <f>IF(AND(State_LOB_Code=18,LEFT(BW1675,4)&lt;"2009"),81,State_LOB_Code)&amp;"|339"</f>
        <v>#REF!</v>
      </c>
      <c r="BY1675" s="215"/>
      <c r="BZ1675" s="216"/>
    </row>
    <row r="1676" spans="72:78">
      <c r="BT1676" s="187"/>
      <c r="BU1676" s="187" t="s">
        <v>53</v>
      </c>
      <c r="BV1676" s="196">
        <v>120036</v>
      </c>
      <c r="BW1676" s="197" t="e">
        <f t="shared" si="182"/>
        <v>#REF!</v>
      </c>
      <c r="BX1676" s="198" t="e">
        <f>IF(AND(State_LOB_Code=18,LEFT(BW1676,4)&lt;"2009"),81,State_LOB_Code)&amp;"|340"</f>
        <v>#REF!</v>
      </c>
      <c r="BY1676" s="215"/>
      <c r="BZ1676" s="216"/>
    </row>
    <row r="1677" spans="72:78">
      <c r="BT1677" s="187"/>
      <c r="BU1677" s="187" t="s">
        <v>54</v>
      </c>
      <c r="BV1677" s="196">
        <v>120036</v>
      </c>
      <c r="BW1677" s="197" t="e">
        <f t="shared" si="182"/>
        <v>#REF!</v>
      </c>
      <c r="BX1677" s="198" t="e">
        <f>IF(AND(State_LOB_Code=18,LEFT(BW1677,4)&lt;"2009"),81,State_LOB_Code)&amp;"|341"</f>
        <v>#REF!</v>
      </c>
      <c r="BY1677" s="215"/>
      <c r="BZ1677" s="216"/>
    </row>
    <row r="1678" spans="72:78">
      <c r="BT1678" s="187"/>
      <c r="BU1678" s="187" t="s">
        <v>55</v>
      </c>
      <c r="BV1678" s="196">
        <v>120036</v>
      </c>
      <c r="BW1678" s="197" t="e">
        <f t="shared" si="182"/>
        <v>#REF!</v>
      </c>
      <c r="BX1678" s="198" t="e">
        <f>IF(AND(State_LOB_Code=18,LEFT(BW1678,4)&lt;"2009"),81,State_LOB_Code)&amp;"|342"</f>
        <v>#REF!</v>
      </c>
      <c r="BY1678" s="215"/>
      <c r="BZ1678" s="216"/>
    </row>
    <row r="1679" spans="72:78">
      <c r="BT1679" s="187"/>
      <c r="BU1679" s="187" t="s">
        <v>56</v>
      </c>
      <c r="BV1679" s="196">
        <v>120036</v>
      </c>
      <c r="BW1679" s="197" t="e">
        <f t="shared" si="182"/>
        <v>#REF!</v>
      </c>
      <c r="BX1679" s="198" t="e">
        <f>IF(AND(State_LOB_Code=18,LEFT(BW1679,4)&lt;"2009"),81,State_LOB_Code)&amp;"|343"</f>
        <v>#REF!</v>
      </c>
      <c r="BY1679" s="215"/>
      <c r="BZ1679" s="216"/>
    </row>
    <row r="1680" spans="72:78">
      <c r="BT1680" s="187"/>
      <c r="BU1680" s="187" t="s">
        <v>57</v>
      </c>
      <c r="BV1680" s="196">
        <v>120036</v>
      </c>
      <c r="BW1680" s="197" t="e">
        <f t="shared" si="182"/>
        <v>#REF!</v>
      </c>
      <c r="BX1680" s="198" t="e">
        <f>IF(AND(State_LOB_Code=18,LEFT(BW1680,4)&lt;"2009"),81,State_LOB_Code)&amp;"|344"</f>
        <v>#REF!</v>
      </c>
      <c r="BY1680" s="215"/>
      <c r="BZ1680" s="216"/>
    </row>
    <row r="1681" spans="72:78">
      <c r="BT1681" s="187"/>
      <c r="BU1681" s="187" t="s">
        <v>58</v>
      </c>
      <c r="BV1681" s="196">
        <v>120036</v>
      </c>
      <c r="BW1681" s="197" t="e">
        <f t="shared" si="182"/>
        <v>#REF!</v>
      </c>
      <c r="BX1681" s="198" t="e">
        <f>IF(AND(State_LOB_Code=18,LEFT(BW1681,4)&lt;"2009"),81,State_LOB_Code)&amp;"|346"</f>
        <v>#REF!</v>
      </c>
      <c r="BY1681" s="215"/>
      <c r="BZ1681" s="216"/>
    </row>
    <row r="1682" spans="72:78">
      <c r="BT1682" s="187"/>
      <c r="BU1682" s="187" t="s">
        <v>59</v>
      </c>
      <c r="BV1682" s="196">
        <v>120036</v>
      </c>
      <c r="BW1682" s="197" t="e">
        <f t="shared" si="182"/>
        <v>#REF!</v>
      </c>
      <c r="BX1682" s="198" t="e">
        <f>IF(AND(State_LOB_Code=18,LEFT(BW1682,4)&lt;"2009"),81,State_LOB_Code)&amp;"|347"</f>
        <v>#REF!</v>
      </c>
      <c r="BY1682" s="215"/>
      <c r="BZ1682" s="216"/>
    </row>
    <row r="1683" spans="72:78">
      <c r="BT1683" s="187"/>
      <c r="BU1683" s="187" t="s">
        <v>60</v>
      </c>
      <c r="BV1683" s="196">
        <v>120036</v>
      </c>
      <c r="BW1683" s="197" t="e">
        <f t="shared" si="182"/>
        <v>#REF!</v>
      </c>
      <c r="BX1683" s="198" t="e">
        <f>IF(AND(State_LOB_Code=18,LEFT(BW1683,4)&lt;"2009"),81,State_LOB_Code)&amp;"|348"</f>
        <v>#REF!</v>
      </c>
      <c r="BY1683" s="215"/>
      <c r="BZ1683" s="216"/>
    </row>
    <row r="1684" spans="72:78">
      <c r="BT1684" s="187"/>
      <c r="BU1684" s="187" t="s">
        <v>61</v>
      </c>
      <c r="BV1684" s="196">
        <v>120036</v>
      </c>
      <c r="BW1684" s="197" t="e">
        <f t="shared" si="182"/>
        <v>#REF!</v>
      </c>
      <c r="BX1684" s="198" t="e">
        <f>IF(AND(State_LOB_Code=18,LEFT(BW1684,4)&lt;"2009"),81,State_LOB_Code)&amp;"|349"</f>
        <v>#REF!</v>
      </c>
      <c r="BY1684" s="215"/>
      <c r="BZ1684" s="216"/>
    </row>
    <row r="1685" spans="72:78">
      <c r="BT1685" s="187"/>
      <c r="BU1685" s="187" t="s">
        <v>62</v>
      </c>
      <c r="BV1685" s="196">
        <v>120036</v>
      </c>
      <c r="BW1685" s="197" t="e">
        <f t="shared" si="182"/>
        <v>#REF!</v>
      </c>
      <c r="BX1685" s="198" t="e">
        <f>IF(AND(State_LOB_Code=18,LEFT(BW1685,4)&lt;"2009"),81,State_LOB_Code)&amp;"|350"</f>
        <v>#REF!</v>
      </c>
      <c r="BY1685" s="215"/>
      <c r="BZ1685" s="216"/>
    </row>
    <row r="1686" spans="72:78">
      <c r="BT1686" s="187"/>
      <c r="BU1686" s="187" t="s">
        <v>63</v>
      </c>
      <c r="BV1686" s="196">
        <v>120036</v>
      </c>
      <c r="BW1686" s="197" t="e">
        <f t="shared" si="182"/>
        <v>#REF!</v>
      </c>
      <c r="BX1686" s="198" t="e">
        <f>IF(AND(State_LOB_Code=18,LEFT(BW1686,4)&lt;"2009"),81,State_LOB_Code)&amp;"|351"</f>
        <v>#REF!</v>
      </c>
      <c r="BY1686" s="215"/>
      <c r="BZ1686" s="216"/>
    </row>
    <row r="1687" spans="72:78">
      <c r="BT1687" s="187"/>
      <c r="BU1687" s="187" t="s">
        <v>64</v>
      </c>
      <c r="BV1687" s="196">
        <v>120036</v>
      </c>
      <c r="BW1687" s="197" t="e">
        <f t="shared" si="182"/>
        <v>#REF!</v>
      </c>
      <c r="BX1687" s="198" t="e">
        <f>IF(AND(State_LOB_Code=18,LEFT(BW1687,4)&lt;"2009"),81,State_LOB_Code)&amp;"|352"</f>
        <v>#REF!</v>
      </c>
      <c r="BY1687" s="215"/>
      <c r="BZ1687" s="216"/>
    </row>
    <row r="1688" spans="72:78">
      <c r="BT1688" s="187"/>
      <c r="BU1688" s="187" t="s">
        <v>65</v>
      </c>
      <c r="BV1688" s="196">
        <v>120036</v>
      </c>
      <c r="BW1688" s="197" t="e">
        <f t="shared" si="182"/>
        <v>#REF!</v>
      </c>
      <c r="BX1688" s="198" t="e">
        <f>IF(AND(State_LOB_Code=18,LEFT(BW1688,4)&lt;"2009"),81,State_LOB_Code)&amp;"|353"</f>
        <v>#REF!</v>
      </c>
      <c r="BY1688" s="215"/>
      <c r="BZ1688" s="216"/>
    </row>
    <row r="1689" spans="72:78">
      <c r="BT1689" s="187"/>
      <c r="BU1689" s="187" t="s">
        <v>66</v>
      </c>
      <c r="BV1689" s="196">
        <v>120036</v>
      </c>
      <c r="BW1689" s="197" t="e">
        <f t="shared" si="182"/>
        <v>#REF!</v>
      </c>
      <c r="BX1689" s="198" t="e">
        <f>IF(AND(State_LOB_Code=18,LEFT(BW1689,4)&lt;"2009"),81,State_LOB_Code)&amp;"|354"</f>
        <v>#REF!</v>
      </c>
      <c r="BY1689" s="215"/>
      <c r="BZ1689" s="216"/>
    </row>
    <row r="1690" spans="72:78">
      <c r="BT1690" s="187"/>
      <c r="BU1690" s="187" t="s">
        <v>67</v>
      </c>
      <c r="BV1690" s="196">
        <v>120036</v>
      </c>
      <c r="BW1690" s="197" t="e">
        <f t="shared" si="182"/>
        <v>#REF!</v>
      </c>
      <c r="BX1690" s="198" t="e">
        <f>IF(AND(State_LOB_Code=18,LEFT(BW1690,4)&lt;"2009"),81,State_LOB_Code)&amp;"|355"</f>
        <v>#REF!</v>
      </c>
      <c r="BY1690" s="215"/>
      <c r="BZ1690" s="216"/>
    </row>
    <row r="1691" spans="72:78">
      <c r="BT1691" s="187"/>
      <c r="BU1691" s="187" t="s">
        <v>68</v>
      </c>
      <c r="BV1691" s="196">
        <v>120036</v>
      </c>
      <c r="BW1691" s="197" t="e">
        <f t="shared" si="182"/>
        <v>#REF!</v>
      </c>
      <c r="BX1691" s="198" t="e">
        <f>IF(AND(State_LOB_Code=18,LEFT(BW1691,4)&lt;"2009"),81,State_LOB_Code)&amp;"|356"</f>
        <v>#REF!</v>
      </c>
      <c r="BY1691" s="215"/>
      <c r="BZ1691" s="216"/>
    </row>
    <row r="1692" spans="72:78">
      <c r="BT1692" s="187"/>
      <c r="BU1692" s="187" t="s">
        <v>69</v>
      </c>
      <c r="BV1692" s="196">
        <v>120036</v>
      </c>
      <c r="BW1692" s="197" t="e">
        <f t="shared" si="182"/>
        <v>#REF!</v>
      </c>
      <c r="BX1692" s="198" t="e">
        <f>IF(AND(State_LOB_Code=18,LEFT(BW1692,4)&lt;"2009"),81,State_LOB_Code)&amp;"|357"</f>
        <v>#REF!</v>
      </c>
      <c r="BY1692" s="215"/>
      <c r="BZ1692" s="216"/>
    </row>
    <row r="1693" spans="72:78">
      <c r="BT1693" s="187"/>
      <c r="BU1693" s="187" t="s">
        <v>70</v>
      </c>
      <c r="BV1693" s="196">
        <v>120036</v>
      </c>
      <c r="BW1693" s="197" t="e">
        <f t="shared" si="182"/>
        <v>#REF!</v>
      </c>
      <c r="BX1693" s="198" t="e">
        <f>IF(AND(State_LOB_Code=18,LEFT(BW1693,4)&lt;"2009"),81,State_LOB_Code)&amp;"|358"</f>
        <v>#REF!</v>
      </c>
      <c r="BY1693" s="215"/>
      <c r="BZ1693" s="216"/>
    </row>
    <row r="1694" spans="72:78">
      <c r="BT1694" s="187"/>
      <c r="BU1694" s="187" t="s">
        <v>71</v>
      </c>
      <c r="BV1694" s="196">
        <v>120036</v>
      </c>
      <c r="BW1694" s="197" t="e">
        <f t="shared" si="182"/>
        <v>#REF!</v>
      </c>
      <c r="BX1694" s="198" t="e">
        <f>IF(AND(State_LOB_Code=18,LEFT(BW1694,4)&lt;"2009"),81,State_LOB_Code)&amp;"|359"</f>
        <v>#REF!</v>
      </c>
      <c r="BY1694" s="215"/>
      <c r="BZ1694" s="216"/>
    </row>
    <row r="1695" spans="72:78">
      <c r="BT1695" s="187"/>
      <c r="BU1695" s="187" t="s">
        <v>72</v>
      </c>
      <c r="BV1695" s="196">
        <v>120036</v>
      </c>
      <c r="BW1695" s="197" t="e">
        <f t="shared" si="182"/>
        <v>#REF!</v>
      </c>
      <c r="BX1695" s="198" t="e">
        <f>IF(AND(State_LOB_Code=18,LEFT(BW1695,4)&lt;"2009"),81,State_LOB_Code)&amp;"|361"</f>
        <v>#REF!</v>
      </c>
      <c r="BY1695" s="215"/>
      <c r="BZ1695" s="216"/>
    </row>
    <row r="1696" spans="72:78">
      <c r="BT1696" s="187"/>
      <c r="BU1696" s="187" t="s">
        <v>73</v>
      </c>
      <c r="BV1696" s="196">
        <v>120036</v>
      </c>
      <c r="BW1696" s="197" t="e">
        <f t="shared" si="182"/>
        <v>#REF!</v>
      </c>
      <c r="BX1696" s="198" t="e">
        <f>IF(AND(State_LOB_Code=18,LEFT(BW1696,4)&lt;"2009"),81,State_LOB_Code)&amp;"|362"</f>
        <v>#REF!</v>
      </c>
      <c r="BY1696" s="215"/>
      <c r="BZ1696" s="216"/>
    </row>
    <row r="1697" spans="72:78">
      <c r="BT1697" s="187"/>
      <c r="BU1697" s="187" t="s">
        <v>74</v>
      </c>
      <c r="BV1697" s="196">
        <v>120036</v>
      </c>
      <c r="BW1697" s="197" t="e">
        <f t="shared" si="182"/>
        <v>#REF!</v>
      </c>
      <c r="BX1697" s="198" t="e">
        <f>IF(AND(State_LOB_Code=18,LEFT(BW1697,4)&lt;"2009"),81,State_LOB_Code)&amp;"|363"</f>
        <v>#REF!</v>
      </c>
      <c r="BY1697" s="215"/>
      <c r="BZ1697" s="216"/>
    </row>
    <row r="1698" spans="72:78">
      <c r="BT1698" s="187"/>
      <c r="BU1698" s="187" t="s">
        <v>75</v>
      </c>
      <c r="BV1698" s="196">
        <v>120036</v>
      </c>
      <c r="BW1698" s="197" t="e">
        <f t="shared" si="182"/>
        <v>#REF!</v>
      </c>
      <c r="BX1698" s="198" t="e">
        <f>IF(AND(State_LOB_Code=18,LEFT(BW1698,4)&lt;"2009"),81,State_LOB_Code)&amp;"|364"</f>
        <v>#REF!</v>
      </c>
      <c r="BY1698" s="215"/>
      <c r="BZ1698" s="216"/>
    </row>
    <row r="1699" spans="72:78">
      <c r="BT1699" s="187"/>
      <c r="BU1699" s="187" t="s">
        <v>76</v>
      </c>
      <c r="BV1699" s="196">
        <v>120036</v>
      </c>
      <c r="BW1699" s="197" t="e">
        <f t="shared" si="182"/>
        <v>#REF!</v>
      </c>
      <c r="BX1699" s="198" t="e">
        <f>IF(AND(State_LOB_Code=18,LEFT(BW1699,4)&lt;"2009"),81,State_LOB_Code)&amp;"|365"</f>
        <v>#REF!</v>
      </c>
      <c r="BY1699" s="215"/>
      <c r="BZ1699" s="216"/>
    </row>
    <row r="1700" spans="72:78">
      <c r="BT1700" s="187"/>
      <c r="BU1700" s="187" t="s">
        <v>77</v>
      </c>
      <c r="BV1700" s="196">
        <v>120036</v>
      </c>
      <c r="BW1700" s="197" t="e">
        <f t="shared" si="182"/>
        <v>#REF!</v>
      </c>
      <c r="BX1700" s="198" t="e">
        <f>IF(AND(State_LOB_Code=18,LEFT(BW1700,4)&lt;"2009"),81,State_LOB_Code)&amp;"|366"</f>
        <v>#REF!</v>
      </c>
      <c r="BY1700" s="215"/>
      <c r="BZ1700" s="216"/>
    </row>
    <row r="1701" spans="72:78">
      <c r="BT1701" s="187"/>
      <c r="BU1701" s="187" t="s">
        <v>78</v>
      </c>
      <c r="BV1701" s="196">
        <v>120036</v>
      </c>
      <c r="BW1701" s="197" t="e">
        <f t="shared" si="182"/>
        <v>#REF!</v>
      </c>
      <c r="BX1701" s="198" t="e">
        <f>IF(AND(State_LOB_Code=18,LEFT(BW1701,4)&lt;"2009"),81,State_LOB_Code)&amp;"|367"</f>
        <v>#REF!</v>
      </c>
      <c r="BY1701" s="215"/>
      <c r="BZ1701" s="216"/>
    </row>
    <row r="1702" spans="72:78">
      <c r="BT1702" s="187"/>
      <c r="BU1702" s="187" t="s">
        <v>79</v>
      </c>
      <c r="BV1702" s="196">
        <v>120036</v>
      </c>
      <c r="BW1702" s="197" t="e">
        <f t="shared" ref="BW1702:BW1729" si="183">LEFT(BW1641,4)-1&amp;"Y"</f>
        <v>#REF!</v>
      </c>
      <c r="BX1702" s="198" t="e">
        <f>IF(AND(State_LOB_Code=18,LEFT(BW1702,4)&lt;"2009"),81,State_LOB_Code)&amp;"|368"</f>
        <v>#REF!</v>
      </c>
      <c r="BY1702" s="215"/>
      <c r="BZ1702" s="216"/>
    </row>
    <row r="1703" spans="72:78">
      <c r="BT1703" s="187"/>
      <c r="BU1703" s="187" t="s">
        <v>80</v>
      </c>
      <c r="BV1703" s="196">
        <v>120036</v>
      </c>
      <c r="BW1703" s="197" t="e">
        <f t="shared" si="183"/>
        <v>#REF!</v>
      </c>
      <c r="BX1703" s="198" t="e">
        <f>IF(AND(State_LOB_Code=18,LEFT(BW1703,4)&lt;"2009"),81,State_LOB_Code)&amp;"|369"</f>
        <v>#REF!</v>
      </c>
      <c r="BY1703" s="215"/>
      <c r="BZ1703" s="216"/>
    </row>
    <row r="1704" spans="72:78">
      <c r="BT1704" s="187"/>
      <c r="BU1704" s="187" t="s">
        <v>81</v>
      </c>
      <c r="BV1704" s="196">
        <v>120036</v>
      </c>
      <c r="BW1704" s="197" t="e">
        <f t="shared" si="183"/>
        <v>#REF!</v>
      </c>
      <c r="BX1704" s="198" t="e">
        <f>IF(AND(State_LOB_Code=18,LEFT(BW1704,4)&lt;"2009"),81,State_LOB_Code)&amp;"|370"</f>
        <v>#REF!</v>
      </c>
      <c r="BY1704" s="215"/>
      <c r="BZ1704" s="216"/>
    </row>
    <row r="1705" spans="72:78">
      <c r="BT1705" s="187"/>
      <c r="BU1705" s="187" t="s">
        <v>82</v>
      </c>
      <c r="BV1705" s="196">
        <v>120036</v>
      </c>
      <c r="BW1705" s="197" t="e">
        <f t="shared" si="183"/>
        <v>#REF!</v>
      </c>
      <c r="BX1705" s="198" t="e">
        <f>IF(AND(State_LOB_Code=18,LEFT(BW1705,4)&lt;"2009"),81,State_LOB_Code)&amp;"|371"</f>
        <v>#REF!</v>
      </c>
      <c r="BY1705" s="215"/>
      <c r="BZ1705" s="216"/>
    </row>
    <row r="1706" spans="72:78">
      <c r="BT1706" s="187"/>
      <c r="BU1706" s="187" t="s">
        <v>83</v>
      </c>
      <c r="BV1706" s="196">
        <v>120036</v>
      </c>
      <c r="BW1706" s="197" t="e">
        <f t="shared" si="183"/>
        <v>#REF!</v>
      </c>
      <c r="BX1706" s="198" t="e">
        <f>IF(AND(State_LOB_Code=18,LEFT(BW1706,4)&lt;"2009"),81,State_LOB_Code)&amp;"|372"</f>
        <v>#REF!</v>
      </c>
      <c r="BY1706" s="215"/>
      <c r="BZ1706" s="216"/>
    </row>
    <row r="1707" spans="72:78">
      <c r="BT1707" s="187"/>
      <c r="BU1707" s="187" t="s">
        <v>84</v>
      </c>
      <c r="BV1707" s="196">
        <v>120036</v>
      </c>
      <c r="BW1707" s="197" t="e">
        <f t="shared" si="183"/>
        <v>#REF!</v>
      </c>
      <c r="BX1707" s="198" t="e">
        <f>IF(AND(State_LOB_Code=18,LEFT(BW1707,4)&lt;"2009"),81,State_LOB_Code)&amp;"|373"</f>
        <v>#REF!</v>
      </c>
      <c r="BY1707" s="215"/>
      <c r="BZ1707" s="216"/>
    </row>
    <row r="1708" spans="72:78">
      <c r="BT1708" s="187"/>
      <c r="BU1708" s="187" t="s">
        <v>85</v>
      </c>
      <c r="BV1708" s="196">
        <v>120036</v>
      </c>
      <c r="BW1708" s="197" t="e">
        <f t="shared" si="183"/>
        <v>#REF!</v>
      </c>
      <c r="BX1708" s="198" t="e">
        <f>IF(AND(State_LOB_Code=18,LEFT(BW1708,4)&lt;"2009"),81,State_LOB_Code)&amp;"|374"</f>
        <v>#REF!</v>
      </c>
      <c r="BY1708" s="215"/>
      <c r="BZ1708" s="216"/>
    </row>
    <row r="1709" spans="72:78">
      <c r="BT1709" s="187"/>
      <c r="BU1709" s="187" t="s">
        <v>86</v>
      </c>
      <c r="BV1709" s="196">
        <v>120036</v>
      </c>
      <c r="BW1709" s="197" t="e">
        <f t="shared" si="183"/>
        <v>#REF!</v>
      </c>
      <c r="BX1709" s="198" t="e">
        <f>IF(AND(State_LOB_Code=18,LEFT(BW1709,4)&lt;"2009"),81,State_LOB_Code)&amp;"|376"</f>
        <v>#REF!</v>
      </c>
      <c r="BY1709" s="215"/>
      <c r="BZ1709" s="216"/>
    </row>
    <row r="1710" spans="72:78">
      <c r="BT1710" s="187"/>
      <c r="BU1710" s="187" t="s">
        <v>87</v>
      </c>
      <c r="BV1710" s="196">
        <v>120036</v>
      </c>
      <c r="BW1710" s="197" t="e">
        <f t="shared" si="183"/>
        <v>#REF!</v>
      </c>
      <c r="BX1710" s="198" t="e">
        <f>IF(AND(State_LOB_Code=18,LEFT(BW1710,4)&lt;"2009"),81,State_LOB_Code)&amp;"|377"</f>
        <v>#REF!</v>
      </c>
      <c r="BY1710" s="215"/>
      <c r="BZ1710" s="216"/>
    </row>
    <row r="1711" spans="72:78">
      <c r="BT1711" s="187"/>
      <c r="BU1711" s="187" t="s">
        <v>88</v>
      </c>
      <c r="BV1711" s="196">
        <v>120036</v>
      </c>
      <c r="BW1711" s="197" t="e">
        <f t="shared" si="183"/>
        <v>#REF!</v>
      </c>
      <c r="BX1711" s="198" t="e">
        <f>IF(AND(State_LOB_Code=18,LEFT(BW1711,4)&lt;"2009"),81,State_LOB_Code)&amp;"|378"</f>
        <v>#REF!</v>
      </c>
      <c r="BY1711" s="215"/>
      <c r="BZ1711" s="216"/>
    </row>
    <row r="1712" spans="72:78">
      <c r="BT1712" s="187"/>
      <c r="BU1712" s="187" t="s">
        <v>89</v>
      </c>
      <c r="BV1712" s="196">
        <v>120036</v>
      </c>
      <c r="BW1712" s="197" t="e">
        <f t="shared" si="183"/>
        <v>#REF!</v>
      </c>
      <c r="BX1712" s="198" t="e">
        <f>IF(AND(State_LOB_Code=18,LEFT(BW1712,4)&lt;"2009"),81,State_LOB_Code)&amp;"|379"</f>
        <v>#REF!</v>
      </c>
      <c r="BY1712" s="215"/>
      <c r="BZ1712" s="216"/>
    </row>
    <row r="1713" spans="72:78">
      <c r="BT1713" s="187"/>
      <c r="BU1713" s="187" t="s">
        <v>90</v>
      </c>
      <c r="BV1713" s="196">
        <v>120036</v>
      </c>
      <c r="BW1713" s="197" t="e">
        <f t="shared" si="183"/>
        <v>#REF!</v>
      </c>
      <c r="BX1713" s="198" t="e">
        <f>IF(AND(State_LOB_Code=18,LEFT(BW1713,4)&lt;"2009"),81,State_LOB_Code)&amp;"|380"</f>
        <v>#REF!</v>
      </c>
      <c r="BY1713" s="215"/>
      <c r="BZ1713" s="216"/>
    </row>
    <row r="1714" spans="72:78">
      <c r="BT1714" s="187"/>
      <c r="BU1714" s="187" t="s">
        <v>91</v>
      </c>
      <c r="BV1714" s="196">
        <v>120036</v>
      </c>
      <c r="BW1714" s="197" t="e">
        <f t="shared" si="183"/>
        <v>#REF!</v>
      </c>
      <c r="BX1714" s="198" t="e">
        <f>IF(AND(State_LOB_Code=18,LEFT(BW1714,4)&lt;"2009"),81,State_LOB_Code)&amp;"|381"</f>
        <v>#REF!</v>
      </c>
      <c r="BY1714" s="215"/>
      <c r="BZ1714" s="216"/>
    </row>
    <row r="1715" spans="72:78">
      <c r="BT1715" s="187"/>
      <c r="BU1715" s="187" t="s">
        <v>92</v>
      </c>
      <c r="BV1715" s="196">
        <v>120036</v>
      </c>
      <c r="BW1715" s="197" t="e">
        <f t="shared" si="183"/>
        <v>#REF!</v>
      </c>
      <c r="BX1715" s="198" t="e">
        <f>IF(AND(State_LOB_Code=18,LEFT(BW1715,4)&lt;"2009"),81,State_LOB_Code)&amp;"|382"</f>
        <v>#REF!</v>
      </c>
      <c r="BY1715" s="215"/>
      <c r="BZ1715" s="216"/>
    </row>
    <row r="1716" spans="72:78">
      <c r="BT1716" s="187"/>
      <c r="BU1716" s="187" t="s">
        <v>93</v>
      </c>
      <c r="BV1716" s="196">
        <v>120036</v>
      </c>
      <c r="BW1716" s="197" t="e">
        <f t="shared" si="183"/>
        <v>#REF!</v>
      </c>
      <c r="BX1716" s="198" t="e">
        <f>IF(AND(State_LOB_Code=18,LEFT(BW1716,4)&lt;"2009"),81,State_LOB_Code)&amp;"|384"</f>
        <v>#REF!</v>
      </c>
      <c r="BY1716" s="215"/>
      <c r="BZ1716" s="216"/>
    </row>
    <row r="1717" spans="72:78">
      <c r="BT1717" s="187"/>
      <c r="BU1717" s="187" t="s">
        <v>94</v>
      </c>
      <c r="BV1717" s="196">
        <v>120036</v>
      </c>
      <c r="BW1717" s="197" t="e">
        <f t="shared" si="183"/>
        <v>#REF!</v>
      </c>
      <c r="BX1717" s="198" t="e">
        <f>IF(AND(State_LOB_Code=18,LEFT(BW1717,4)&lt;"2009"),81,State_LOB_Code)&amp;"|385"</f>
        <v>#REF!</v>
      </c>
      <c r="BY1717" s="215"/>
      <c r="BZ1717" s="216"/>
    </row>
    <row r="1718" spans="72:78">
      <c r="BT1718" s="187"/>
      <c r="BU1718" s="187" t="s">
        <v>95</v>
      </c>
      <c r="BV1718" s="196">
        <v>120036</v>
      </c>
      <c r="BW1718" s="197" t="e">
        <f t="shared" si="183"/>
        <v>#REF!</v>
      </c>
      <c r="BX1718" s="198" t="e">
        <f>IF(AND(State_LOB_Code=18,LEFT(BW1718,4)&lt;"2009"),81,State_LOB_Code)&amp;"|386"</f>
        <v>#REF!</v>
      </c>
      <c r="BY1718" s="215"/>
      <c r="BZ1718" s="216"/>
    </row>
    <row r="1719" spans="72:78">
      <c r="BT1719" s="187"/>
      <c r="BU1719" s="187" t="s">
        <v>96</v>
      </c>
      <c r="BV1719" s="196">
        <v>120036</v>
      </c>
      <c r="BW1719" s="197" t="e">
        <f t="shared" si="183"/>
        <v>#REF!</v>
      </c>
      <c r="BX1719" s="198" t="e">
        <f>IF(AND(State_LOB_Code=18,LEFT(BW1719,4)&lt;"2009"),81,State_LOB_Code)&amp;"|387"</f>
        <v>#REF!</v>
      </c>
      <c r="BY1719" s="215"/>
      <c r="BZ1719" s="216"/>
    </row>
    <row r="1720" spans="72:78">
      <c r="BT1720" s="187"/>
      <c r="BU1720" s="187" t="s">
        <v>97</v>
      </c>
      <c r="BV1720" s="196">
        <v>120036</v>
      </c>
      <c r="BW1720" s="197" t="e">
        <f t="shared" si="183"/>
        <v>#REF!</v>
      </c>
      <c r="BX1720" s="198" t="e">
        <f>IF(AND(State_LOB_Code=18,LEFT(BW1720,4)&lt;"2009"),81,State_LOB_Code)&amp;"|388"</f>
        <v>#REF!</v>
      </c>
      <c r="BY1720" s="215"/>
      <c r="BZ1720" s="216"/>
    </row>
    <row r="1721" spans="72:78">
      <c r="BT1721" s="187"/>
      <c r="BU1721" s="189" t="s">
        <v>137</v>
      </c>
      <c r="BV1721" s="199">
        <v>120036</v>
      </c>
      <c r="BW1721" s="200" t="e">
        <f t="shared" si="183"/>
        <v>#REF!</v>
      </c>
      <c r="BX1721" s="201" t="e">
        <f>IF(AND(State_LOB_Code=18,LEFT(BW1721,4)&lt;"2009"),81,State_LOB_Code)&amp;"|600"</f>
        <v>#REF!</v>
      </c>
      <c r="BY1721" s="217"/>
      <c r="BZ1721" s="218"/>
    </row>
    <row r="1722" spans="72:78">
      <c r="BT1722" s="187"/>
      <c r="BU1722" s="187" t="s">
        <v>98</v>
      </c>
      <c r="BV1722" s="196">
        <v>120036</v>
      </c>
      <c r="BW1722" s="197" t="e">
        <f t="shared" si="183"/>
        <v>#REF!</v>
      </c>
      <c r="BX1722" s="198" t="e">
        <f>IF(AND(State_LOB_Code=18,LEFT(BW1722,4)&lt;"2009"),81,State_LOB_Code)&amp;"|336"</f>
        <v>#REF!</v>
      </c>
      <c r="BY1722" s="215"/>
      <c r="BZ1722" s="216"/>
    </row>
    <row r="1723" spans="72:78">
      <c r="BT1723" s="187"/>
      <c r="BU1723" s="187" t="s">
        <v>99</v>
      </c>
      <c r="BV1723" s="196">
        <v>120036</v>
      </c>
      <c r="BW1723" s="197" t="e">
        <f t="shared" si="183"/>
        <v>#REF!</v>
      </c>
      <c r="BX1723" s="198" t="e">
        <f>IF(AND(State_LOB_Code=18,LEFT(BW1723,4)&lt;"2009"),81,State_LOB_Code)&amp;"|345"</f>
        <v>#REF!</v>
      </c>
      <c r="BY1723" s="215"/>
      <c r="BZ1723" s="216"/>
    </row>
    <row r="1724" spans="72:78">
      <c r="BT1724" s="187"/>
      <c r="BU1724" s="187" t="s">
        <v>100</v>
      </c>
      <c r="BV1724" s="196">
        <v>120036</v>
      </c>
      <c r="BW1724" s="197" t="e">
        <f t="shared" si="183"/>
        <v>#REF!</v>
      </c>
      <c r="BX1724" s="198" t="e">
        <f>IF(AND(State_LOB_Code=18,LEFT(BW1724,4)&lt;"2009"),81,State_LOB_Code)&amp;"|360"</f>
        <v>#REF!</v>
      </c>
      <c r="BY1724" s="215"/>
      <c r="BZ1724" s="216"/>
    </row>
    <row r="1725" spans="72:78">
      <c r="BT1725" s="187"/>
      <c r="BU1725" s="187" t="s">
        <v>101</v>
      </c>
      <c r="BV1725" s="196">
        <v>120036</v>
      </c>
      <c r="BW1725" s="197" t="e">
        <f t="shared" si="183"/>
        <v>#REF!</v>
      </c>
      <c r="BX1725" s="198" t="e">
        <f>IF(AND(State_LOB_Code=18,LEFT(BW1725,4)&lt;"2009"),81,State_LOB_Code)&amp;"|375"</f>
        <v>#REF!</v>
      </c>
      <c r="BY1725" s="215"/>
      <c r="BZ1725" s="216"/>
    </row>
    <row r="1726" spans="72:78">
      <c r="BT1726" s="187"/>
      <c r="BU1726" s="187" t="s">
        <v>102</v>
      </c>
      <c r="BV1726" s="196">
        <v>120036</v>
      </c>
      <c r="BW1726" s="197" t="e">
        <f t="shared" si="183"/>
        <v>#REF!</v>
      </c>
      <c r="BX1726" s="198" t="e">
        <f>IF(AND(State_LOB_Code=18,LEFT(BW1726,4)&lt;"2009"),81,State_LOB_Code)&amp;"|383"</f>
        <v>#REF!</v>
      </c>
      <c r="BY1726" s="215"/>
      <c r="BZ1726" s="216"/>
    </row>
    <row r="1727" spans="72:78">
      <c r="BT1727" s="187"/>
      <c r="BU1727" s="187" t="s">
        <v>103</v>
      </c>
      <c r="BV1727" s="196">
        <v>120036</v>
      </c>
      <c r="BW1727" s="197" t="e">
        <f t="shared" si="183"/>
        <v>#REF!</v>
      </c>
      <c r="BX1727" s="198" t="e">
        <f>IF(AND(State_LOB_Code=18,LEFT(BW1727,4)&lt;"2009"),81,State_LOB_Code)&amp;"|332"</f>
        <v>#REF!</v>
      </c>
      <c r="BY1727" s="215"/>
      <c r="BZ1727" s="216"/>
    </row>
    <row r="1728" spans="72:78">
      <c r="BT1728" s="187"/>
      <c r="BU1728" s="187" t="s">
        <v>104</v>
      </c>
      <c r="BV1728" s="196">
        <v>120036</v>
      </c>
      <c r="BW1728" s="197" t="e">
        <f t="shared" si="183"/>
        <v>#REF!</v>
      </c>
      <c r="BX1728" s="198" t="e">
        <f>IF(AND(State_LOB_Code=18,LEFT(BW1728,4)&lt;"2009"),81,State_LOB_Code)&amp;"|330"</f>
        <v>#REF!</v>
      </c>
      <c r="BY1728" s="215"/>
      <c r="BZ1728" s="216"/>
    </row>
    <row r="1729" spans="72:78">
      <c r="BT1729" s="187"/>
      <c r="BU1729" s="190" t="s">
        <v>46</v>
      </c>
      <c r="BV1729" s="202">
        <v>120056</v>
      </c>
      <c r="BW1729" s="203" t="e">
        <f t="shared" si="183"/>
        <v>#REF!</v>
      </c>
      <c r="BX1729" s="204" t="e">
        <f>IF(AND(State_LOB_Code=18,LEFT(BW1729,4)&lt;"2009"),81,State_LOB_Code)</f>
        <v>#REF!</v>
      </c>
      <c r="BY1729" s="219"/>
      <c r="BZ1729" s="220"/>
    </row>
    <row r="1730" spans="72:78">
      <c r="BT1730" s="187"/>
      <c r="BU1730" s="187"/>
      <c r="BV1730" s="188"/>
      <c r="BW1730" s="188"/>
      <c r="BX1730" s="188"/>
      <c r="BY1730" s="215"/>
      <c r="BZ1730" s="216"/>
    </row>
    <row r="1731" spans="72:78">
      <c r="BT1731" s="187"/>
      <c r="BU1731" s="184" t="s">
        <v>47</v>
      </c>
      <c r="BV1731" s="193">
        <v>120036</v>
      </c>
      <c r="BW1731" s="194" t="e">
        <f t="shared" ref="BW1731:BW1762" si="184">LEFT(BW1670,4)-1&amp;"Y"</f>
        <v>#REF!</v>
      </c>
      <c r="BX1731" s="195" t="e">
        <f>IF(AND(State_LOB_Code=18,LEFT(BW1731,4)&lt;"2009"),81,State_LOB_Code)&amp;"|333"</f>
        <v>#REF!</v>
      </c>
      <c r="BY1731" s="213"/>
      <c r="BZ1731" s="214"/>
    </row>
    <row r="1732" spans="72:78">
      <c r="BT1732" s="187"/>
      <c r="BU1732" s="187" t="s">
        <v>48</v>
      </c>
      <c r="BV1732" s="196">
        <v>120036</v>
      </c>
      <c r="BW1732" s="197" t="e">
        <f t="shared" si="184"/>
        <v>#REF!</v>
      </c>
      <c r="BX1732" s="198" t="e">
        <f>IF(AND(State_LOB_Code=18,LEFT(BW1732,4)&lt;"2009"),81,State_LOB_Code)&amp;"|334"</f>
        <v>#REF!</v>
      </c>
      <c r="BY1732" s="215"/>
      <c r="BZ1732" s="216"/>
    </row>
    <row r="1733" spans="72:78">
      <c r="BT1733" s="187"/>
      <c r="BU1733" s="187" t="s">
        <v>49</v>
      </c>
      <c r="BV1733" s="196">
        <v>120036</v>
      </c>
      <c r="BW1733" s="197" t="e">
        <f t="shared" si="184"/>
        <v>#REF!</v>
      </c>
      <c r="BX1733" s="198" t="e">
        <f>IF(AND(State_LOB_Code=18,LEFT(BW1733,4)&lt;"2009"),81,State_LOB_Code)&amp;"|335"</f>
        <v>#REF!</v>
      </c>
      <c r="BY1733" s="215"/>
      <c r="BZ1733" s="216"/>
    </row>
    <row r="1734" spans="72:78">
      <c r="BT1734" s="187"/>
      <c r="BU1734" s="187" t="s">
        <v>50</v>
      </c>
      <c r="BV1734" s="196">
        <v>120036</v>
      </c>
      <c r="BW1734" s="197" t="e">
        <f t="shared" si="184"/>
        <v>#REF!</v>
      </c>
      <c r="BX1734" s="198" t="e">
        <f>IF(AND(State_LOB_Code=18,LEFT(BW1734,4)&lt;"2009"),81,State_LOB_Code)&amp;"|337"</f>
        <v>#REF!</v>
      </c>
      <c r="BY1734" s="215"/>
      <c r="BZ1734" s="216"/>
    </row>
    <row r="1735" spans="72:78">
      <c r="BT1735" s="187"/>
      <c r="BU1735" s="187" t="s">
        <v>51</v>
      </c>
      <c r="BV1735" s="196">
        <v>120036</v>
      </c>
      <c r="BW1735" s="197" t="e">
        <f t="shared" si="184"/>
        <v>#REF!</v>
      </c>
      <c r="BX1735" s="198" t="e">
        <f>IF(AND(State_LOB_Code=18,LEFT(BW1735,4)&lt;"2009"),81,State_LOB_Code)&amp;"|338"</f>
        <v>#REF!</v>
      </c>
      <c r="BY1735" s="215"/>
      <c r="BZ1735" s="216"/>
    </row>
    <row r="1736" spans="72:78">
      <c r="BT1736" s="187"/>
      <c r="BU1736" s="187" t="s">
        <v>52</v>
      </c>
      <c r="BV1736" s="196">
        <v>120036</v>
      </c>
      <c r="BW1736" s="197" t="e">
        <f t="shared" si="184"/>
        <v>#REF!</v>
      </c>
      <c r="BX1736" s="198" t="e">
        <f>IF(AND(State_LOB_Code=18,LEFT(BW1736,4)&lt;"2009"),81,State_LOB_Code)&amp;"|339"</f>
        <v>#REF!</v>
      </c>
      <c r="BY1736" s="215"/>
      <c r="BZ1736" s="216"/>
    </row>
    <row r="1737" spans="72:78">
      <c r="BT1737" s="187"/>
      <c r="BU1737" s="187" t="s">
        <v>53</v>
      </c>
      <c r="BV1737" s="196">
        <v>120036</v>
      </c>
      <c r="BW1737" s="197" t="e">
        <f t="shared" si="184"/>
        <v>#REF!</v>
      </c>
      <c r="BX1737" s="198" t="e">
        <f>IF(AND(State_LOB_Code=18,LEFT(BW1737,4)&lt;"2009"),81,State_LOB_Code)&amp;"|340"</f>
        <v>#REF!</v>
      </c>
      <c r="BY1737" s="215"/>
      <c r="BZ1737" s="216"/>
    </row>
    <row r="1738" spans="72:78">
      <c r="BT1738" s="187"/>
      <c r="BU1738" s="187" t="s">
        <v>54</v>
      </c>
      <c r="BV1738" s="196">
        <v>120036</v>
      </c>
      <c r="BW1738" s="197" t="e">
        <f t="shared" si="184"/>
        <v>#REF!</v>
      </c>
      <c r="BX1738" s="198" t="e">
        <f>IF(AND(State_LOB_Code=18,LEFT(BW1738,4)&lt;"2009"),81,State_LOB_Code)&amp;"|341"</f>
        <v>#REF!</v>
      </c>
      <c r="BY1738" s="215"/>
      <c r="BZ1738" s="216"/>
    </row>
    <row r="1739" spans="72:78">
      <c r="BT1739" s="187"/>
      <c r="BU1739" s="187" t="s">
        <v>55</v>
      </c>
      <c r="BV1739" s="196">
        <v>120036</v>
      </c>
      <c r="BW1739" s="197" t="e">
        <f t="shared" si="184"/>
        <v>#REF!</v>
      </c>
      <c r="BX1739" s="198" t="e">
        <f>IF(AND(State_LOB_Code=18,LEFT(BW1739,4)&lt;"2009"),81,State_LOB_Code)&amp;"|342"</f>
        <v>#REF!</v>
      </c>
      <c r="BY1739" s="215"/>
      <c r="BZ1739" s="216"/>
    </row>
    <row r="1740" spans="72:78">
      <c r="BT1740" s="187"/>
      <c r="BU1740" s="187" t="s">
        <v>56</v>
      </c>
      <c r="BV1740" s="196">
        <v>120036</v>
      </c>
      <c r="BW1740" s="197" t="e">
        <f t="shared" si="184"/>
        <v>#REF!</v>
      </c>
      <c r="BX1740" s="198" t="e">
        <f>IF(AND(State_LOB_Code=18,LEFT(BW1740,4)&lt;"2009"),81,State_LOB_Code)&amp;"|343"</f>
        <v>#REF!</v>
      </c>
      <c r="BY1740" s="215"/>
      <c r="BZ1740" s="216"/>
    </row>
    <row r="1741" spans="72:78">
      <c r="BT1741" s="187"/>
      <c r="BU1741" s="187" t="s">
        <v>57</v>
      </c>
      <c r="BV1741" s="196">
        <v>120036</v>
      </c>
      <c r="BW1741" s="197" t="e">
        <f t="shared" si="184"/>
        <v>#REF!</v>
      </c>
      <c r="BX1741" s="198" t="e">
        <f>IF(AND(State_LOB_Code=18,LEFT(BW1741,4)&lt;"2009"),81,State_LOB_Code)&amp;"|344"</f>
        <v>#REF!</v>
      </c>
      <c r="BY1741" s="215"/>
      <c r="BZ1741" s="216"/>
    </row>
    <row r="1742" spans="72:78">
      <c r="BT1742" s="187"/>
      <c r="BU1742" s="187" t="s">
        <v>58</v>
      </c>
      <c r="BV1742" s="196">
        <v>120036</v>
      </c>
      <c r="BW1742" s="197" t="e">
        <f t="shared" si="184"/>
        <v>#REF!</v>
      </c>
      <c r="BX1742" s="198" t="e">
        <f>IF(AND(State_LOB_Code=18,LEFT(BW1742,4)&lt;"2009"),81,State_LOB_Code)&amp;"|346"</f>
        <v>#REF!</v>
      </c>
      <c r="BY1742" s="215"/>
      <c r="BZ1742" s="216"/>
    </row>
    <row r="1743" spans="72:78">
      <c r="BT1743" s="187"/>
      <c r="BU1743" s="187" t="s">
        <v>59</v>
      </c>
      <c r="BV1743" s="196">
        <v>120036</v>
      </c>
      <c r="BW1743" s="197" t="e">
        <f t="shared" si="184"/>
        <v>#REF!</v>
      </c>
      <c r="BX1743" s="198" t="e">
        <f>IF(AND(State_LOB_Code=18,LEFT(BW1743,4)&lt;"2009"),81,State_LOB_Code)&amp;"|347"</f>
        <v>#REF!</v>
      </c>
      <c r="BY1743" s="215"/>
      <c r="BZ1743" s="216"/>
    </row>
    <row r="1744" spans="72:78">
      <c r="BT1744" s="187"/>
      <c r="BU1744" s="187" t="s">
        <v>60</v>
      </c>
      <c r="BV1744" s="196">
        <v>120036</v>
      </c>
      <c r="BW1744" s="197" t="e">
        <f t="shared" si="184"/>
        <v>#REF!</v>
      </c>
      <c r="BX1744" s="198" t="e">
        <f>IF(AND(State_LOB_Code=18,LEFT(BW1744,4)&lt;"2009"),81,State_LOB_Code)&amp;"|348"</f>
        <v>#REF!</v>
      </c>
      <c r="BY1744" s="215"/>
      <c r="BZ1744" s="216"/>
    </row>
    <row r="1745" spans="72:78">
      <c r="BT1745" s="187"/>
      <c r="BU1745" s="187" t="s">
        <v>61</v>
      </c>
      <c r="BV1745" s="196">
        <v>120036</v>
      </c>
      <c r="BW1745" s="197" t="e">
        <f t="shared" si="184"/>
        <v>#REF!</v>
      </c>
      <c r="BX1745" s="198" t="e">
        <f>IF(AND(State_LOB_Code=18,LEFT(BW1745,4)&lt;"2009"),81,State_LOB_Code)&amp;"|349"</f>
        <v>#REF!</v>
      </c>
      <c r="BY1745" s="215"/>
      <c r="BZ1745" s="216"/>
    </row>
    <row r="1746" spans="72:78">
      <c r="BT1746" s="187"/>
      <c r="BU1746" s="187" t="s">
        <v>62</v>
      </c>
      <c r="BV1746" s="196">
        <v>120036</v>
      </c>
      <c r="BW1746" s="197" t="e">
        <f t="shared" si="184"/>
        <v>#REF!</v>
      </c>
      <c r="BX1746" s="198" t="e">
        <f>IF(AND(State_LOB_Code=18,LEFT(BW1746,4)&lt;"2009"),81,State_LOB_Code)&amp;"|350"</f>
        <v>#REF!</v>
      </c>
      <c r="BY1746" s="215"/>
      <c r="BZ1746" s="216"/>
    </row>
    <row r="1747" spans="72:78">
      <c r="BT1747" s="187"/>
      <c r="BU1747" s="187" t="s">
        <v>63</v>
      </c>
      <c r="BV1747" s="196">
        <v>120036</v>
      </c>
      <c r="BW1747" s="197" t="e">
        <f t="shared" si="184"/>
        <v>#REF!</v>
      </c>
      <c r="BX1747" s="198" t="e">
        <f>IF(AND(State_LOB_Code=18,LEFT(BW1747,4)&lt;"2009"),81,State_LOB_Code)&amp;"|351"</f>
        <v>#REF!</v>
      </c>
      <c r="BY1747" s="215"/>
      <c r="BZ1747" s="216"/>
    </row>
    <row r="1748" spans="72:78">
      <c r="BT1748" s="187"/>
      <c r="BU1748" s="187" t="s">
        <v>64</v>
      </c>
      <c r="BV1748" s="196">
        <v>120036</v>
      </c>
      <c r="BW1748" s="197" t="e">
        <f t="shared" si="184"/>
        <v>#REF!</v>
      </c>
      <c r="BX1748" s="198" t="e">
        <f>IF(AND(State_LOB_Code=18,LEFT(BW1748,4)&lt;"2009"),81,State_LOB_Code)&amp;"|352"</f>
        <v>#REF!</v>
      </c>
      <c r="BY1748" s="215"/>
      <c r="BZ1748" s="216"/>
    </row>
    <row r="1749" spans="72:78">
      <c r="BT1749" s="187"/>
      <c r="BU1749" s="187" t="s">
        <v>65</v>
      </c>
      <c r="BV1749" s="196">
        <v>120036</v>
      </c>
      <c r="BW1749" s="197" t="e">
        <f t="shared" si="184"/>
        <v>#REF!</v>
      </c>
      <c r="BX1749" s="198" t="e">
        <f>IF(AND(State_LOB_Code=18,LEFT(BW1749,4)&lt;"2009"),81,State_LOB_Code)&amp;"|353"</f>
        <v>#REF!</v>
      </c>
      <c r="BY1749" s="215"/>
      <c r="BZ1749" s="216"/>
    </row>
    <row r="1750" spans="72:78">
      <c r="BT1750" s="187"/>
      <c r="BU1750" s="187" t="s">
        <v>66</v>
      </c>
      <c r="BV1750" s="196">
        <v>120036</v>
      </c>
      <c r="BW1750" s="197" t="e">
        <f t="shared" si="184"/>
        <v>#REF!</v>
      </c>
      <c r="BX1750" s="198" t="e">
        <f>IF(AND(State_LOB_Code=18,LEFT(BW1750,4)&lt;"2009"),81,State_LOB_Code)&amp;"|354"</f>
        <v>#REF!</v>
      </c>
      <c r="BY1750" s="215"/>
      <c r="BZ1750" s="216"/>
    </row>
    <row r="1751" spans="72:78">
      <c r="BT1751" s="187"/>
      <c r="BU1751" s="187" t="s">
        <v>67</v>
      </c>
      <c r="BV1751" s="196">
        <v>120036</v>
      </c>
      <c r="BW1751" s="197" t="e">
        <f t="shared" si="184"/>
        <v>#REF!</v>
      </c>
      <c r="BX1751" s="198" t="e">
        <f>IF(AND(State_LOB_Code=18,LEFT(BW1751,4)&lt;"2009"),81,State_LOB_Code)&amp;"|355"</f>
        <v>#REF!</v>
      </c>
      <c r="BY1751" s="215"/>
      <c r="BZ1751" s="216"/>
    </row>
    <row r="1752" spans="72:78">
      <c r="BT1752" s="187"/>
      <c r="BU1752" s="187" t="s">
        <v>68</v>
      </c>
      <c r="BV1752" s="196">
        <v>120036</v>
      </c>
      <c r="BW1752" s="197" t="e">
        <f t="shared" si="184"/>
        <v>#REF!</v>
      </c>
      <c r="BX1752" s="198" t="e">
        <f>IF(AND(State_LOB_Code=18,LEFT(BW1752,4)&lt;"2009"),81,State_LOB_Code)&amp;"|356"</f>
        <v>#REF!</v>
      </c>
      <c r="BY1752" s="215"/>
      <c r="BZ1752" s="216"/>
    </row>
    <row r="1753" spans="72:78">
      <c r="BT1753" s="187"/>
      <c r="BU1753" s="187" t="s">
        <v>69</v>
      </c>
      <c r="BV1753" s="196">
        <v>120036</v>
      </c>
      <c r="BW1753" s="197" t="e">
        <f t="shared" si="184"/>
        <v>#REF!</v>
      </c>
      <c r="BX1753" s="198" t="e">
        <f>IF(AND(State_LOB_Code=18,LEFT(BW1753,4)&lt;"2009"),81,State_LOB_Code)&amp;"|357"</f>
        <v>#REF!</v>
      </c>
      <c r="BY1753" s="215"/>
      <c r="BZ1753" s="216"/>
    </row>
    <row r="1754" spans="72:78">
      <c r="BT1754" s="187"/>
      <c r="BU1754" s="187" t="s">
        <v>70</v>
      </c>
      <c r="BV1754" s="196">
        <v>120036</v>
      </c>
      <c r="BW1754" s="197" t="e">
        <f t="shared" si="184"/>
        <v>#REF!</v>
      </c>
      <c r="BX1754" s="198" t="e">
        <f>IF(AND(State_LOB_Code=18,LEFT(BW1754,4)&lt;"2009"),81,State_LOB_Code)&amp;"|358"</f>
        <v>#REF!</v>
      </c>
      <c r="BY1754" s="215"/>
      <c r="BZ1754" s="216"/>
    </row>
    <row r="1755" spans="72:78">
      <c r="BT1755" s="187"/>
      <c r="BU1755" s="187" t="s">
        <v>71</v>
      </c>
      <c r="BV1755" s="196">
        <v>120036</v>
      </c>
      <c r="BW1755" s="197" t="e">
        <f t="shared" si="184"/>
        <v>#REF!</v>
      </c>
      <c r="BX1755" s="198" t="e">
        <f>IF(AND(State_LOB_Code=18,LEFT(BW1755,4)&lt;"2009"),81,State_LOB_Code)&amp;"|359"</f>
        <v>#REF!</v>
      </c>
      <c r="BY1755" s="215"/>
      <c r="BZ1755" s="216"/>
    </row>
    <row r="1756" spans="72:78">
      <c r="BT1756" s="187"/>
      <c r="BU1756" s="187" t="s">
        <v>72</v>
      </c>
      <c r="BV1756" s="196">
        <v>120036</v>
      </c>
      <c r="BW1756" s="197" t="e">
        <f t="shared" si="184"/>
        <v>#REF!</v>
      </c>
      <c r="BX1756" s="198" t="e">
        <f>IF(AND(State_LOB_Code=18,LEFT(BW1756,4)&lt;"2009"),81,State_LOB_Code)&amp;"|361"</f>
        <v>#REF!</v>
      </c>
      <c r="BY1756" s="215"/>
      <c r="BZ1756" s="216"/>
    </row>
    <row r="1757" spans="72:78">
      <c r="BT1757" s="187"/>
      <c r="BU1757" s="187" t="s">
        <v>73</v>
      </c>
      <c r="BV1757" s="196">
        <v>120036</v>
      </c>
      <c r="BW1757" s="197" t="e">
        <f t="shared" si="184"/>
        <v>#REF!</v>
      </c>
      <c r="BX1757" s="198" t="e">
        <f>IF(AND(State_LOB_Code=18,LEFT(BW1757,4)&lt;"2009"),81,State_LOB_Code)&amp;"|362"</f>
        <v>#REF!</v>
      </c>
      <c r="BY1757" s="215"/>
      <c r="BZ1757" s="216"/>
    </row>
    <row r="1758" spans="72:78">
      <c r="BT1758" s="187"/>
      <c r="BU1758" s="187" t="s">
        <v>74</v>
      </c>
      <c r="BV1758" s="196">
        <v>120036</v>
      </c>
      <c r="BW1758" s="197" t="e">
        <f t="shared" si="184"/>
        <v>#REF!</v>
      </c>
      <c r="BX1758" s="198" t="e">
        <f>IF(AND(State_LOB_Code=18,LEFT(BW1758,4)&lt;"2009"),81,State_LOB_Code)&amp;"|363"</f>
        <v>#REF!</v>
      </c>
      <c r="BY1758" s="215"/>
      <c r="BZ1758" s="216"/>
    </row>
    <row r="1759" spans="72:78">
      <c r="BT1759" s="187"/>
      <c r="BU1759" s="187" t="s">
        <v>75</v>
      </c>
      <c r="BV1759" s="196">
        <v>120036</v>
      </c>
      <c r="BW1759" s="197" t="e">
        <f t="shared" si="184"/>
        <v>#REF!</v>
      </c>
      <c r="BX1759" s="198" t="e">
        <f>IF(AND(State_LOB_Code=18,LEFT(BW1759,4)&lt;"2009"),81,State_LOB_Code)&amp;"|364"</f>
        <v>#REF!</v>
      </c>
      <c r="BY1759" s="215"/>
      <c r="BZ1759" s="216"/>
    </row>
    <row r="1760" spans="72:78">
      <c r="BT1760" s="187"/>
      <c r="BU1760" s="187" t="s">
        <v>76</v>
      </c>
      <c r="BV1760" s="196">
        <v>120036</v>
      </c>
      <c r="BW1760" s="197" t="e">
        <f t="shared" si="184"/>
        <v>#REF!</v>
      </c>
      <c r="BX1760" s="198" t="e">
        <f>IF(AND(State_LOB_Code=18,LEFT(BW1760,4)&lt;"2009"),81,State_LOB_Code)&amp;"|365"</f>
        <v>#REF!</v>
      </c>
      <c r="BY1760" s="215"/>
      <c r="BZ1760" s="216"/>
    </row>
    <row r="1761" spans="72:78">
      <c r="BT1761" s="187"/>
      <c r="BU1761" s="187" t="s">
        <v>77</v>
      </c>
      <c r="BV1761" s="196">
        <v>120036</v>
      </c>
      <c r="BW1761" s="197" t="e">
        <f t="shared" si="184"/>
        <v>#REF!</v>
      </c>
      <c r="BX1761" s="198" t="e">
        <f>IF(AND(State_LOB_Code=18,LEFT(BW1761,4)&lt;"2009"),81,State_LOB_Code)&amp;"|366"</f>
        <v>#REF!</v>
      </c>
      <c r="BY1761" s="215"/>
      <c r="BZ1761" s="216"/>
    </row>
    <row r="1762" spans="72:78">
      <c r="BT1762" s="187"/>
      <c r="BU1762" s="187" t="s">
        <v>78</v>
      </c>
      <c r="BV1762" s="196">
        <v>120036</v>
      </c>
      <c r="BW1762" s="197" t="e">
        <f t="shared" si="184"/>
        <v>#REF!</v>
      </c>
      <c r="BX1762" s="198" t="e">
        <f>IF(AND(State_LOB_Code=18,LEFT(BW1762,4)&lt;"2009"),81,State_LOB_Code)&amp;"|367"</f>
        <v>#REF!</v>
      </c>
      <c r="BY1762" s="215"/>
      <c r="BZ1762" s="216"/>
    </row>
    <row r="1763" spans="72:78">
      <c r="BT1763" s="187"/>
      <c r="BU1763" s="187" t="s">
        <v>79</v>
      </c>
      <c r="BV1763" s="196">
        <v>120036</v>
      </c>
      <c r="BW1763" s="197" t="e">
        <f t="shared" ref="BW1763:BW1790" si="185">LEFT(BW1702,4)-1&amp;"Y"</f>
        <v>#REF!</v>
      </c>
      <c r="BX1763" s="198" t="e">
        <f>IF(AND(State_LOB_Code=18,LEFT(BW1763,4)&lt;"2009"),81,State_LOB_Code)&amp;"|368"</f>
        <v>#REF!</v>
      </c>
      <c r="BY1763" s="215"/>
      <c r="BZ1763" s="216"/>
    </row>
    <row r="1764" spans="72:78">
      <c r="BT1764" s="187"/>
      <c r="BU1764" s="187" t="s">
        <v>80</v>
      </c>
      <c r="BV1764" s="196">
        <v>120036</v>
      </c>
      <c r="BW1764" s="197" t="e">
        <f t="shared" si="185"/>
        <v>#REF!</v>
      </c>
      <c r="BX1764" s="198" t="e">
        <f>IF(AND(State_LOB_Code=18,LEFT(BW1764,4)&lt;"2009"),81,State_LOB_Code)&amp;"|369"</f>
        <v>#REF!</v>
      </c>
      <c r="BY1764" s="215"/>
      <c r="BZ1764" s="216"/>
    </row>
    <row r="1765" spans="72:78">
      <c r="BT1765" s="187"/>
      <c r="BU1765" s="187" t="s">
        <v>81</v>
      </c>
      <c r="BV1765" s="196">
        <v>120036</v>
      </c>
      <c r="BW1765" s="197" t="e">
        <f t="shared" si="185"/>
        <v>#REF!</v>
      </c>
      <c r="BX1765" s="198" t="e">
        <f>IF(AND(State_LOB_Code=18,LEFT(BW1765,4)&lt;"2009"),81,State_LOB_Code)&amp;"|370"</f>
        <v>#REF!</v>
      </c>
      <c r="BY1765" s="215"/>
      <c r="BZ1765" s="216"/>
    </row>
    <row r="1766" spans="72:78">
      <c r="BT1766" s="187"/>
      <c r="BU1766" s="187" t="s">
        <v>82</v>
      </c>
      <c r="BV1766" s="196">
        <v>120036</v>
      </c>
      <c r="BW1766" s="197" t="e">
        <f t="shared" si="185"/>
        <v>#REF!</v>
      </c>
      <c r="BX1766" s="198" t="e">
        <f>IF(AND(State_LOB_Code=18,LEFT(BW1766,4)&lt;"2009"),81,State_LOB_Code)&amp;"|371"</f>
        <v>#REF!</v>
      </c>
      <c r="BY1766" s="215"/>
      <c r="BZ1766" s="216"/>
    </row>
    <row r="1767" spans="72:78">
      <c r="BT1767" s="187"/>
      <c r="BU1767" s="187" t="s">
        <v>83</v>
      </c>
      <c r="BV1767" s="196">
        <v>120036</v>
      </c>
      <c r="BW1767" s="197" t="e">
        <f t="shared" si="185"/>
        <v>#REF!</v>
      </c>
      <c r="BX1767" s="198" t="e">
        <f>IF(AND(State_LOB_Code=18,LEFT(BW1767,4)&lt;"2009"),81,State_LOB_Code)&amp;"|372"</f>
        <v>#REF!</v>
      </c>
      <c r="BY1767" s="215"/>
      <c r="BZ1767" s="216"/>
    </row>
    <row r="1768" spans="72:78">
      <c r="BT1768" s="187"/>
      <c r="BU1768" s="187" t="s">
        <v>84</v>
      </c>
      <c r="BV1768" s="196">
        <v>120036</v>
      </c>
      <c r="BW1768" s="197" t="e">
        <f t="shared" si="185"/>
        <v>#REF!</v>
      </c>
      <c r="BX1768" s="198" t="e">
        <f>IF(AND(State_LOB_Code=18,LEFT(BW1768,4)&lt;"2009"),81,State_LOB_Code)&amp;"|373"</f>
        <v>#REF!</v>
      </c>
      <c r="BY1768" s="215"/>
      <c r="BZ1768" s="216"/>
    </row>
    <row r="1769" spans="72:78">
      <c r="BT1769" s="187"/>
      <c r="BU1769" s="187" t="s">
        <v>85</v>
      </c>
      <c r="BV1769" s="196">
        <v>120036</v>
      </c>
      <c r="BW1769" s="197" t="e">
        <f t="shared" si="185"/>
        <v>#REF!</v>
      </c>
      <c r="BX1769" s="198" t="e">
        <f>IF(AND(State_LOB_Code=18,LEFT(BW1769,4)&lt;"2009"),81,State_LOB_Code)&amp;"|374"</f>
        <v>#REF!</v>
      </c>
      <c r="BY1769" s="215"/>
      <c r="BZ1769" s="216"/>
    </row>
    <row r="1770" spans="72:78">
      <c r="BT1770" s="187"/>
      <c r="BU1770" s="187" t="s">
        <v>86</v>
      </c>
      <c r="BV1770" s="196">
        <v>120036</v>
      </c>
      <c r="BW1770" s="197" t="e">
        <f t="shared" si="185"/>
        <v>#REF!</v>
      </c>
      <c r="BX1770" s="198" t="e">
        <f>IF(AND(State_LOB_Code=18,LEFT(BW1770,4)&lt;"2009"),81,State_LOB_Code)&amp;"|376"</f>
        <v>#REF!</v>
      </c>
      <c r="BY1770" s="215"/>
      <c r="BZ1770" s="216"/>
    </row>
    <row r="1771" spans="72:78">
      <c r="BT1771" s="187"/>
      <c r="BU1771" s="187" t="s">
        <v>87</v>
      </c>
      <c r="BV1771" s="196">
        <v>120036</v>
      </c>
      <c r="BW1771" s="197" t="e">
        <f t="shared" si="185"/>
        <v>#REF!</v>
      </c>
      <c r="BX1771" s="198" t="e">
        <f>IF(AND(State_LOB_Code=18,LEFT(BW1771,4)&lt;"2009"),81,State_LOB_Code)&amp;"|377"</f>
        <v>#REF!</v>
      </c>
      <c r="BY1771" s="215"/>
      <c r="BZ1771" s="216"/>
    </row>
    <row r="1772" spans="72:78">
      <c r="BT1772" s="187"/>
      <c r="BU1772" s="187" t="s">
        <v>88</v>
      </c>
      <c r="BV1772" s="196">
        <v>120036</v>
      </c>
      <c r="BW1772" s="197" t="e">
        <f t="shared" si="185"/>
        <v>#REF!</v>
      </c>
      <c r="BX1772" s="198" t="e">
        <f>IF(AND(State_LOB_Code=18,LEFT(BW1772,4)&lt;"2009"),81,State_LOB_Code)&amp;"|378"</f>
        <v>#REF!</v>
      </c>
      <c r="BY1772" s="215"/>
      <c r="BZ1772" s="216"/>
    </row>
    <row r="1773" spans="72:78">
      <c r="BT1773" s="187"/>
      <c r="BU1773" s="187" t="s">
        <v>89</v>
      </c>
      <c r="BV1773" s="196">
        <v>120036</v>
      </c>
      <c r="BW1773" s="197" t="e">
        <f t="shared" si="185"/>
        <v>#REF!</v>
      </c>
      <c r="BX1773" s="198" t="e">
        <f>IF(AND(State_LOB_Code=18,LEFT(BW1773,4)&lt;"2009"),81,State_LOB_Code)&amp;"|379"</f>
        <v>#REF!</v>
      </c>
      <c r="BY1773" s="215"/>
      <c r="BZ1773" s="216"/>
    </row>
    <row r="1774" spans="72:78">
      <c r="BT1774" s="187"/>
      <c r="BU1774" s="187" t="s">
        <v>90</v>
      </c>
      <c r="BV1774" s="196">
        <v>120036</v>
      </c>
      <c r="BW1774" s="197" t="e">
        <f t="shared" si="185"/>
        <v>#REF!</v>
      </c>
      <c r="BX1774" s="198" t="e">
        <f>IF(AND(State_LOB_Code=18,LEFT(BW1774,4)&lt;"2009"),81,State_LOB_Code)&amp;"|380"</f>
        <v>#REF!</v>
      </c>
      <c r="BY1774" s="215"/>
      <c r="BZ1774" s="216"/>
    </row>
    <row r="1775" spans="72:78">
      <c r="BT1775" s="187"/>
      <c r="BU1775" s="187" t="s">
        <v>91</v>
      </c>
      <c r="BV1775" s="196">
        <v>120036</v>
      </c>
      <c r="BW1775" s="197" t="e">
        <f t="shared" si="185"/>
        <v>#REF!</v>
      </c>
      <c r="BX1775" s="198" t="e">
        <f>IF(AND(State_LOB_Code=18,LEFT(BW1775,4)&lt;"2009"),81,State_LOB_Code)&amp;"|381"</f>
        <v>#REF!</v>
      </c>
      <c r="BY1775" s="215"/>
      <c r="BZ1775" s="216"/>
    </row>
    <row r="1776" spans="72:78">
      <c r="BT1776" s="187"/>
      <c r="BU1776" s="187" t="s">
        <v>92</v>
      </c>
      <c r="BV1776" s="196">
        <v>120036</v>
      </c>
      <c r="BW1776" s="197" t="e">
        <f t="shared" si="185"/>
        <v>#REF!</v>
      </c>
      <c r="BX1776" s="198" t="e">
        <f>IF(AND(State_LOB_Code=18,LEFT(BW1776,4)&lt;"2009"),81,State_LOB_Code)&amp;"|382"</f>
        <v>#REF!</v>
      </c>
      <c r="BY1776" s="215"/>
      <c r="BZ1776" s="216"/>
    </row>
    <row r="1777" spans="72:78">
      <c r="BT1777" s="187"/>
      <c r="BU1777" s="187" t="s">
        <v>93</v>
      </c>
      <c r="BV1777" s="196">
        <v>120036</v>
      </c>
      <c r="BW1777" s="197" t="e">
        <f t="shared" si="185"/>
        <v>#REF!</v>
      </c>
      <c r="BX1777" s="198" t="e">
        <f>IF(AND(State_LOB_Code=18,LEFT(BW1777,4)&lt;"2009"),81,State_LOB_Code)&amp;"|384"</f>
        <v>#REF!</v>
      </c>
      <c r="BY1777" s="215"/>
      <c r="BZ1777" s="216"/>
    </row>
    <row r="1778" spans="72:78">
      <c r="BT1778" s="187"/>
      <c r="BU1778" s="187" t="s">
        <v>94</v>
      </c>
      <c r="BV1778" s="196">
        <v>120036</v>
      </c>
      <c r="BW1778" s="197" t="e">
        <f t="shared" si="185"/>
        <v>#REF!</v>
      </c>
      <c r="BX1778" s="198" t="e">
        <f>IF(AND(State_LOB_Code=18,LEFT(BW1778,4)&lt;"2009"),81,State_LOB_Code)&amp;"|385"</f>
        <v>#REF!</v>
      </c>
      <c r="BY1778" s="215"/>
      <c r="BZ1778" s="216"/>
    </row>
    <row r="1779" spans="72:78">
      <c r="BT1779" s="187"/>
      <c r="BU1779" s="187" t="s">
        <v>95</v>
      </c>
      <c r="BV1779" s="196">
        <v>120036</v>
      </c>
      <c r="BW1779" s="197" t="e">
        <f t="shared" si="185"/>
        <v>#REF!</v>
      </c>
      <c r="BX1779" s="198" t="e">
        <f>IF(AND(State_LOB_Code=18,LEFT(BW1779,4)&lt;"2009"),81,State_LOB_Code)&amp;"|386"</f>
        <v>#REF!</v>
      </c>
      <c r="BY1779" s="215"/>
      <c r="BZ1779" s="216"/>
    </row>
    <row r="1780" spans="72:78">
      <c r="BT1780" s="187"/>
      <c r="BU1780" s="187" t="s">
        <v>96</v>
      </c>
      <c r="BV1780" s="196">
        <v>120036</v>
      </c>
      <c r="BW1780" s="197" t="e">
        <f t="shared" si="185"/>
        <v>#REF!</v>
      </c>
      <c r="BX1780" s="198" t="e">
        <f>IF(AND(State_LOB_Code=18,LEFT(BW1780,4)&lt;"2009"),81,State_LOB_Code)&amp;"|387"</f>
        <v>#REF!</v>
      </c>
      <c r="BY1780" s="215"/>
      <c r="BZ1780" s="216"/>
    </row>
    <row r="1781" spans="72:78">
      <c r="BT1781" s="187"/>
      <c r="BU1781" s="187" t="s">
        <v>97</v>
      </c>
      <c r="BV1781" s="196">
        <v>120036</v>
      </c>
      <c r="BW1781" s="197" t="e">
        <f t="shared" si="185"/>
        <v>#REF!</v>
      </c>
      <c r="BX1781" s="198" t="e">
        <f>IF(AND(State_LOB_Code=18,LEFT(BW1781,4)&lt;"2009"),81,State_LOB_Code)&amp;"|388"</f>
        <v>#REF!</v>
      </c>
      <c r="BY1781" s="215"/>
      <c r="BZ1781" s="216"/>
    </row>
    <row r="1782" spans="72:78">
      <c r="BT1782" s="187"/>
      <c r="BU1782" s="189" t="s">
        <v>137</v>
      </c>
      <c r="BV1782" s="199">
        <v>120036</v>
      </c>
      <c r="BW1782" s="200" t="e">
        <f t="shared" si="185"/>
        <v>#REF!</v>
      </c>
      <c r="BX1782" s="201" t="e">
        <f>IF(AND(State_LOB_Code=18,LEFT(BW1782,4)&lt;"2009"),81,State_LOB_Code)&amp;"|600"</f>
        <v>#REF!</v>
      </c>
      <c r="BY1782" s="217"/>
      <c r="BZ1782" s="218"/>
    </row>
    <row r="1783" spans="72:78">
      <c r="BT1783" s="187"/>
      <c r="BU1783" s="187" t="s">
        <v>98</v>
      </c>
      <c r="BV1783" s="196">
        <v>120036</v>
      </c>
      <c r="BW1783" s="197" t="e">
        <f t="shared" si="185"/>
        <v>#REF!</v>
      </c>
      <c r="BX1783" s="198" t="e">
        <f>IF(AND(State_LOB_Code=18,LEFT(BW1783,4)&lt;"2009"),81,State_LOB_Code)&amp;"|336"</f>
        <v>#REF!</v>
      </c>
      <c r="BY1783" s="215"/>
      <c r="BZ1783" s="216"/>
    </row>
    <row r="1784" spans="72:78">
      <c r="BT1784" s="187"/>
      <c r="BU1784" s="187" t="s">
        <v>99</v>
      </c>
      <c r="BV1784" s="196">
        <v>120036</v>
      </c>
      <c r="BW1784" s="197" t="e">
        <f t="shared" si="185"/>
        <v>#REF!</v>
      </c>
      <c r="BX1784" s="198" t="e">
        <f>IF(AND(State_LOB_Code=18,LEFT(BW1784,4)&lt;"2009"),81,State_LOB_Code)&amp;"|345"</f>
        <v>#REF!</v>
      </c>
      <c r="BY1784" s="215"/>
      <c r="BZ1784" s="216"/>
    </row>
    <row r="1785" spans="72:78">
      <c r="BT1785" s="187"/>
      <c r="BU1785" s="187" t="s">
        <v>100</v>
      </c>
      <c r="BV1785" s="196">
        <v>120036</v>
      </c>
      <c r="BW1785" s="197" t="e">
        <f t="shared" si="185"/>
        <v>#REF!</v>
      </c>
      <c r="BX1785" s="198" t="e">
        <f>IF(AND(State_LOB_Code=18,LEFT(BW1785,4)&lt;"2009"),81,State_LOB_Code)&amp;"|360"</f>
        <v>#REF!</v>
      </c>
      <c r="BY1785" s="215"/>
      <c r="BZ1785" s="216"/>
    </row>
    <row r="1786" spans="72:78">
      <c r="BT1786" s="187"/>
      <c r="BU1786" s="187" t="s">
        <v>101</v>
      </c>
      <c r="BV1786" s="196">
        <v>120036</v>
      </c>
      <c r="BW1786" s="197" t="e">
        <f t="shared" si="185"/>
        <v>#REF!</v>
      </c>
      <c r="BX1786" s="198" t="e">
        <f>IF(AND(State_LOB_Code=18,LEFT(BW1786,4)&lt;"2009"),81,State_LOB_Code)&amp;"|375"</f>
        <v>#REF!</v>
      </c>
      <c r="BY1786" s="215"/>
      <c r="BZ1786" s="216"/>
    </row>
    <row r="1787" spans="72:78">
      <c r="BT1787" s="187"/>
      <c r="BU1787" s="187" t="s">
        <v>102</v>
      </c>
      <c r="BV1787" s="196">
        <v>120036</v>
      </c>
      <c r="BW1787" s="197" t="e">
        <f t="shared" si="185"/>
        <v>#REF!</v>
      </c>
      <c r="BX1787" s="198" t="e">
        <f>IF(AND(State_LOB_Code=18,LEFT(BW1787,4)&lt;"2009"),81,State_LOB_Code)&amp;"|383"</f>
        <v>#REF!</v>
      </c>
      <c r="BY1787" s="215"/>
      <c r="BZ1787" s="216"/>
    </row>
    <row r="1788" spans="72:78">
      <c r="BT1788" s="187"/>
      <c r="BU1788" s="187" t="s">
        <v>103</v>
      </c>
      <c r="BV1788" s="196">
        <v>120036</v>
      </c>
      <c r="BW1788" s="197" t="e">
        <f t="shared" si="185"/>
        <v>#REF!</v>
      </c>
      <c r="BX1788" s="198" t="e">
        <f>IF(AND(State_LOB_Code=18,LEFT(BW1788,4)&lt;"2009"),81,State_LOB_Code)&amp;"|332"</f>
        <v>#REF!</v>
      </c>
      <c r="BY1788" s="215"/>
      <c r="BZ1788" s="216"/>
    </row>
    <row r="1789" spans="72:78">
      <c r="BT1789" s="187"/>
      <c r="BU1789" s="187" t="s">
        <v>104</v>
      </c>
      <c r="BV1789" s="196">
        <v>120036</v>
      </c>
      <c r="BW1789" s="197" t="e">
        <f t="shared" si="185"/>
        <v>#REF!</v>
      </c>
      <c r="BX1789" s="198" t="e">
        <f>IF(AND(State_LOB_Code=18,LEFT(BW1789,4)&lt;"2009"),81,State_LOB_Code)&amp;"|330"</f>
        <v>#REF!</v>
      </c>
      <c r="BY1789" s="215"/>
      <c r="BZ1789" s="216"/>
    </row>
    <row r="1790" spans="72:78">
      <c r="BT1790" s="187"/>
      <c r="BU1790" s="190" t="s">
        <v>46</v>
      </c>
      <c r="BV1790" s="202">
        <v>120056</v>
      </c>
      <c r="BW1790" s="203" t="e">
        <f t="shared" si="185"/>
        <v>#REF!</v>
      </c>
      <c r="BX1790" s="204" t="e">
        <f>IF(AND(State_LOB_Code=18,LEFT(BW1790,4)&lt;"2009"),81,State_LOB_Code)</f>
        <v>#REF!</v>
      </c>
      <c r="BY1790" s="219"/>
      <c r="BZ1790" s="220"/>
    </row>
    <row r="1791" spans="72:78">
      <c r="BT1791" s="187"/>
      <c r="BU1791" s="187"/>
      <c r="BV1791" s="188"/>
      <c r="BW1791" s="188"/>
      <c r="BX1791" s="188"/>
      <c r="BY1791" s="215"/>
      <c r="BZ1791" s="216"/>
    </row>
    <row r="1792" spans="72:78">
      <c r="BT1792" s="187"/>
      <c r="BU1792" s="184" t="s">
        <v>47</v>
      </c>
      <c r="BV1792" s="193">
        <v>120036</v>
      </c>
      <c r="BW1792" s="194" t="e">
        <f t="shared" ref="BW1792:BW1823" si="186">LEFT(BW1731,4)-1&amp;"Y"</f>
        <v>#REF!</v>
      </c>
      <c r="BX1792" s="195" t="e">
        <f>IF(AND(State_LOB_Code=18,LEFT(BW1792,4)&lt;"2009"),81,State_LOB_Code)&amp;"|333"</f>
        <v>#REF!</v>
      </c>
      <c r="BY1792" s="213"/>
      <c r="BZ1792" s="214"/>
    </row>
    <row r="1793" spans="72:78">
      <c r="BT1793" s="187"/>
      <c r="BU1793" s="187" t="s">
        <v>48</v>
      </c>
      <c r="BV1793" s="196">
        <v>120036</v>
      </c>
      <c r="BW1793" s="197" t="e">
        <f t="shared" si="186"/>
        <v>#REF!</v>
      </c>
      <c r="BX1793" s="198" t="e">
        <f>IF(AND(State_LOB_Code=18,LEFT(BW1793,4)&lt;"2009"),81,State_LOB_Code)&amp;"|334"</f>
        <v>#REF!</v>
      </c>
      <c r="BY1793" s="215"/>
      <c r="BZ1793" s="216"/>
    </row>
    <row r="1794" spans="72:78">
      <c r="BT1794" s="187"/>
      <c r="BU1794" s="187" t="s">
        <v>49</v>
      </c>
      <c r="BV1794" s="196">
        <v>120036</v>
      </c>
      <c r="BW1794" s="197" t="e">
        <f t="shared" si="186"/>
        <v>#REF!</v>
      </c>
      <c r="BX1794" s="198" t="e">
        <f>IF(AND(State_LOB_Code=18,LEFT(BW1794,4)&lt;"2009"),81,State_LOB_Code)&amp;"|335"</f>
        <v>#REF!</v>
      </c>
      <c r="BY1794" s="215"/>
      <c r="BZ1794" s="216"/>
    </row>
    <row r="1795" spans="72:78">
      <c r="BT1795" s="187"/>
      <c r="BU1795" s="187" t="s">
        <v>50</v>
      </c>
      <c r="BV1795" s="196">
        <v>120036</v>
      </c>
      <c r="BW1795" s="197" t="e">
        <f t="shared" si="186"/>
        <v>#REF!</v>
      </c>
      <c r="BX1795" s="198" t="e">
        <f>IF(AND(State_LOB_Code=18,LEFT(BW1795,4)&lt;"2009"),81,State_LOB_Code)&amp;"|337"</f>
        <v>#REF!</v>
      </c>
      <c r="BY1795" s="215"/>
      <c r="BZ1795" s="216"/>
    </row>
    <row r="1796" spans="72:78">
      <c r="BT1796" s="187"/>
      <c r="BU1796" s="187" t="s">
        <v>51</v>
      </c>
      <c r="BV1796" s="196">
        <v>120036</v>
      </c>
      <c r="BW1796" s="197" t="e">
        <f t="shared" si="186"/>
        <v>#REF!</v>
      </c>
      <c r="BX1796" s="198" t="e">
        <f>IF(AND(State_LOB_Code=18,LEFT(BW1796,4)&lt;"2009"),81,State_LOB_Code)&amp;"|338"</f>
        <v>#REF!</v>
      </c>
      <c r="BY1796" s="215"/>
      <c r="BZ1796" s="216"/>
    </row>
    <row r="1797" spans="72:78">
      <c r="BT1797" s="187"/>
      <c r="BU1797" s="187" t="s">
        <v>52</v>
      </c>
      <c r="BV1797" s="196">
        <v>120036</v>
      </c>
      <c r="BW1797" s="197" t="e">
        <f t="shared" si="186"/>
        <v>#REF!</v>
      </c>
      <c r="BX1797" s="198" t="e">
        <f>IF(AND(State_LOB_Code=18,LEFT(BW1797,4)&lt;"2009"),81,State_LOB_Code)&amp;"|339"</f>
        <v>#REF!</v>
      </c>
      <c r="BY1797" s="215"/>
      <c r="BZ1797" s="216"/>
    </row>
    <row r="1798" spans="72:78">
      <c r="BT1798" s="187"/>
      <c r="BU1798" s="187" t="s">
        <v>53</v>
      </c>
      <c r="BV1798" s="196">
        <v>120036</v>
      </c>
      <c r="BW1798" s="197" t="e">
        <f t="shared" si="186"/>
        <v>#REF!</v>
      </c>
      <c r="BX1798" s="198" t="e">
        <f>IF(AND(State_LOB_Code=18,LEFT(BW1798,4)&lt;"2009"),81,State_LOB_Code)&amp;"|340"</f>
        <v>#REF!</v>
      </c>
      <c r="BY1798" s="215"/>
      <c r="BZ1798" s="216"/>
    </row>
    <row r="1799" spans="72:78">
      <c r="BT1799" s="187"/>
      <c r="BU1799" s="187" t="s">
        <v>54</v>
      </c>
      <c r="BV1799" s="196">
        <v>120036</v>
      </c>
      <c r="BW1799" s="197" t="e">
        <f t="shared" si="186"/>
        <v>#REF!</v>
      </c>
      <c r="BX1799" s="198" t="e">
        <f>IF(AND(State_LOB_Code=18,LEFT(BW1799,4)&lt;"2009"),81,State_LOB_Code)&amp;"|341"</f>
        <v>#REF!</v>
      </c>
      <c r="BY1799" s="215"/>
      <c r="BZ1799" s="216"/>
    </row>
    <row r="1800" spans="72:78">
      <c r="BT1800" s="187"/>
      <c r="BU1800" s="187" t="s">
        <v>55</v>
      </c>
      <c r="BV1800" s="196">
        <v>120036</v>
      </c>
      <c r="BW1800" s="197" t="e">
        <f t="shared" si="186"/>
        <v>#REF!</v>
      </c>
      <c r="BX1800" s="198" t="e">
        <f>IF(AND(State_LOB_Code=18,LEFT(BW1800,4)&lt;"2009"),81,State_LOB_Code)&amp;"|342"</f>
        <v>#REF!</v>
      </c>
      <c r="BY1800" s="215"/>
      <c r="BZ1800" s="216"/>
    </row>
    <row r="1801" spans="72:78">
      <c r="BT1801" s="187"/>
      <c r="BU1801" s="187" t="s">
        <v>56</v>
      </c>
      <c r="BV1801" s="196">
        <v>120036</v>
      </c>
      <c r="BW1801" s="197" t="e">
        <f t="shared" si="186"/>
        <v>#REF!</v>
      </c>
      <c r="BX1801" s="198" t="e">
        <f>IF(AND(State_LOB_Code=18,LEFT(BW1801,4)&lt;"2009"),81,State_LOB_Code)&amp;"|343"</f>
        <v>#REF!</v>
      </c>
      <c r="BY1801" s="215"/>
      <c r="BZ1801" s="216"/>
    </row>
    <row r="1802" spans="72:78">
      <c r="BT1802" s="187"/>
      <c r="BU1802" s="187" t="s">
        <v>57</v>
      </c>
      <c r="BV1802" s="196">
        <v>120036</v>
      </c>
      <c r="BW1802" s="197" t="e">
        <f t="shared" si="186"/>
        <v>#REF!</v>
      </c>
      <c r="BX1802" s="198" t="e">
        <f>IF(AND(State_LOB_Code=18,LEFT(BW1802,4)&lt;"2009"),81,State_LOB_Code)&amp;"|344"</f>
        <v>#REF!</v>
      </c>
      <c r="BY1802" s="215"/>
      <c r="BZ1802" s="216"/>
    </row>
    <row r="1803" spans="72:78">
      <c r="BT1803" s="187"/>
      <c r="BU1803" s="187" t="s">
        <v>58</v>
      </c>
      <c r="BV1803" s="196">
        <v>120036</v>
      </c>
      <c r="BW1803" s="197" t="e">
        <f t="shared" si="186"/>
        <v>#REF!</v>
      </c>
      <c r="BX1803" s="198" t="e">
        <f>IF(AND(State_LOB_Code=18,LEFT(BW1803,4)&lt;"2009"),81,State_LOB_Code)&amp;"|346"</f>
        <v>#REF!</v>
      </c>
      <c r="BY1803" s="215"/>
      <c r="BZ1803" s="216"/>
    </row>
    <row r="1804" spans="72:78">
      <c r="BT1804" s="187"/>
      <c r="BU1804" s="187" t="s">
        <v>59</v>
      </c>
      <c r="BV1804" s="196">
        <v>120036</v>
      </c>
      <c r="BW1804" s="197" t="e">
        <f t="shared" si="186"/>
        <v>#REF!</v>
      </c>
      <c r="BX1804" s="198" t="e">
        <f>IF(AND(State_LOB_Code=18,LEFT(BW1804,4)&lt;"2009"),81,State_LOB_Code)&amp;"|347"</f>
        <v>#REF!</v>
      </c>
      <c r="BY1804" s="215"/>
      <c r="BZ1804" s="216"/>
    </row>
    <row r="1805" spans="72:78">
      <c r="BT1805" s="187"/>
      <c r="BU1805" s="187" t="s">
        <v>60</v>
      </c>
      <c r="BV1805" s="196">
        <v>120036</v>
      </c>
      <c r="BW1805" s="197" t="e">
        <f t="shared" si="186"/>
        <v>#REF!</v>
      </c>
      <c r="BX1805" s="198" t="e">
        <f>IF(AND(State_LOB_Code=18,LEFT(BW1805,4)&lt;"2009"),81,State_LOB_Code)&amp;"|348"</f>
        <v>#REF!</v>
      </c>
      <c r="BY1805" s="215"/>
      <c r="BZ1805" s="216"/>
    </row>
    <row r="1806" spans="72:78">
      <c r="BT1806" s="187"/>
      <c r="BU1806" s="187" t="s">
        <v>61</v>
      </c>
      <c r="BV1806" s="196">
        <v>120036</v>
      </c>
      <c r="BW1806" s="197" t="e">
        <f t="shared" si="186"/>
        <v>#REF!</v>
      </c>
      <c r="BX1806" s="198" t="e">
        <f>IF(AND(State_LOB_Code=18,LEFT(BW1806,4)&lt;"2009"),81,State_LOB_Code)&amp;"|349"</f>
        <v>#REF!</v>
      </c>
      <c r="BY1806" s="215"/>
      <c r="BZ1806" s="216"/>
    </row>
    <row r="1807" spans="72:78">
      <c r="BT1807" s="187"/>
      <c r="BU1807" s="187" t="s">
        <v>62</v>
      </c>
      <c r="BV1807" s="196">
        <v>120036</v>
      </c>
      <c r="BW1807" s="197" t="e">
        <f t="shared" si="186"/>
        <v>#REF!</v>
      </c>
      <c r="BX1807" s="198" t="e">
        <f>IF(AND(State_LOB_Code=18,LEFT(BW1807,4)&lt;"2009"),81,State_LOB_Code)&amp;"|350"</f>
        <v>#REF!</v>
      </c>
      <c r="BY1807" s="215"/>
      <c r="BZ1807" s="216"/>
    </row>
    <row r="1808" spans="72:78">
      <c r="BT1808" s="187"/>
      <c r="BU1808" s="187" t="s">
        <v>63</v>
      </c>
      <c r="BV1808" s="196">
        <v>120036</v>
      </c>
      <c r="BW1808" s="197" t="e">
        <f t="shared" si="186"/>
        <v>#REF!</v>
      </c>
      <c r="BX1808" s="198" t="e">
        <f>IF(AND(State_LOB_Code=18,LEFT(BW1808,4)&lt;"2009"),81,State_LOB_Code)&amp;"|351"</f>
        <v>#REF!</v>
      </c>
      <c r="BY1808" s="215"/>
      <c r="BZ1808" s="216"/>
    </row>
    <row r="1809" spans="72:78">
      <c r="BT1809" s="187"/>
      <c r="BU1809" s="187" t="s">
        <v>64</v>
      </c>
      <c r="BV1809" s="196">
        <v>120036</v>
      </c>
      <c r="BW1809" s="197" t="e">
        <f t="shared" si="186"/>
        <v>#REF!</v>
      </c>
      <c r="BX1809" s="198" t="e">
        <f>IF(AND(State_LOB_Code=18,LEFT(BW1809,4)&lt;"2009"),81,State_LOB_Code)&amp;"|352"</f>
        <v>#REF!</v>
      </c>
      <c r="BY1809" s="215"/>
      <c r="BZ1809" s="216"/>
    </row>
    <row r="1810" spans="72:78">
      <c r="BT1810" s="187"/>
      <c r="BU1810" s="187" t="s">
        <v>65</v>
      </c>
      <c r="BV1810" s="196">
        <v>120036</v>
      </c>
      <c r="BW1810" s="197" t="e">
        <f t="shared" si="186"/>
        <v>#REF!</v>
      </c>
      <c r="BX1810" s="198" t="e">
        <f>IF(AND(State_LOB_Code=18,LEFT(BW1810,4)&lt;"2009"),81,State_LOB_Code)&amp;"|353"</f>
        <v>#REF!</v>
      </c>
      <c r="BY1810" s="215"/>
      <c r="BZ1810" s="216"/>
    </row>
    <row r="1811" spans="72:78">
      <c r="BT1811" s="187"/>
      <c r="BU1811" s="187" t="s">
        <v>66</v>
      </c>
      <c r="BV1811" s="196">
        <v>120036</v>
      </c>
      <c r="BW1811" s="197" t="e">
        <f t="shared" si="186"/>
        <v>#REF!</v>
      </c>
      <c r="BX1811" s="198" t="e">
        <f>IF(AND(State_LOB_Code=18,LEFT(BW1811,4)&lt;"2009"),81,State_LOB_Code)&amp;"|354"</f>
        <v>#REF!</v>
      </c>
      <c r="BY1811" s="215"/>
      <c r="BZ1811" s="216"/>
    </row>
    <row r="1812" spans="72:78">
      <c r="BT1812" s="187"/>
      <c r="BU1812" s="187" t="s">
        <v>67</v>
      </c>
      <c r="BV1812" s="196">
        <v>120036</v>
      </c>
      <c r="BW1812" s="197" t="e">
        <f t="shared" si="186"/>
        <v>#REF!</v>
      </c>
      <c r="BX1812" s="198" t="e">
        <f>IF(AND(State_LOB_Code=18,LEFT(BW1812,4)&lt;"2009"),81,State_LOB_Code)&amp;"|355"</f>
        <v>#REF!</v>
      </c>
      <c r="BY1812" s="215"/>
      <c r="BZ1812" s="216"/>
    </row>
    <row r="1813" spans="72:78">
      <c r="BT1813" s="187"/>
      <c r="BU1813" s="187" t="s">
        <v>68</v>
      </c>
      <c r="BV1813" s="196">
        <v>120036</v>
      </c>
      <c r="BW1813" s="197" t="e">
        <f t="shared" si="186"/>
        <v>#REF!</v>
      </c>
      <c r="BX1813" s="198" t="e">
        <f>IF(AND(State_LOB_Code=18,LEFT(BW1813,4)&lt;"2009"),81,State_LOB_Code)&amp;"|356"</f>
        <v>#REF!</v>
      </c>
      <c r="BY1813" s="215"/>
      <c r="BZ1813" s="216"/>
    </row>
    <row r="1814" spans="72:78">
      <c r="BT1814" s="187"/>
      <c r="BU1814" s="187" t="s">
        <v>69</v>
      </c>
      <c r="BV1814" s="196">
        <v>120036</v>
      </c>
      <c r="BW1814" s="197" t="e">
        <f t="shared" si="186"/>
        <v>#REF!</v>
      </c>
      <c r="BX1814" s="198" t="e">
        <f>IF(AND(State_LOB_Code=18,LEFT(BW1814,4)&lt;"2009"),81,State_LOB_Code)&amp;"|357"</f>
        <v>#REF!</v>
      </c>
      <c r="BY1814" s="215"/>
      <c r="BZ1814" s="216"/>
    </row>
    <row r="1815" spans="72:78">
      <c r="BT1815" s="187"/>
      <c r="BU1815" s="187" t="s">
        <v>70</v>
      </c>
      <c r="BV1815" s="196">
        <v>120036</v>
      </c>
      <c r="BW1815" s="197" t="e">
        <f t="shared" si="186"/>
        <v>#REF!</v>
      </c>
      <c r="BX1815" s="198" t="e">
        <f>IF(AND(State_LOB_Code=18,LEFT(BW1815,4)&lt;"2009"),81,State_LOB_Code)&amp;"|358"</f>
        <v>#REF!</v>
      </c>
      <c r="BY1815" s="215"/>
      <c r="BZ1815" s="216"/>
    </row>
    <row r="1816" spans="72:78">
      <c r="BT1816" s="187"/>
      <c r="BU1816" s="187" t="s">
        <v>71</v>
      </c>
      <c r="BV1816" s="196">
        <v>120036</v>
      </c>
      <c r="BW1816" s="197" t="e">
        <f t="shared" si="186"/>
        <v>#REF!</v>
      </c>
      <c r="BX1816" s="198" t="e">
        <f>IF(AND(State_LOB_Code=18,LEFT(BW1816,4)&lt;"2009"),81,State_LOB_Code)&amp;"|359"</f>
        <v>#REF!</v>
      </c>
      <c r="BY1816" s="215"/>
      <c r="BZ1816" s="216"/>
    </row>
    <row r="1817" spans="72:78">
      <c r="BT1817" s="187"/>
      <c r="BU1817" s="187" t="s">
        <v>72</v>
      </c>
      <c r="BV1817" s="196">
        <v>120036</v>
      </c>
      <c r="BW1817" s="197" t="e">
        <f t="shared" si="186"/>
        <v>#REF!</v>
      </c>
      <c r="BX1817" s="198" t="e">
        <f>IF(AND(State_LOB_Code=18,LEFT(BW1817,4)&lt;"2009"),81,State_LOB_Code)&amp;"|361"</f>
        <v>#REF!</v>
      </c>
      <c r="BY1817" s="215"/>
      <c r="BZ1817" s="216"/>
    </row>
    <row r="1818" spans="72:78">
      <c r="BT1818" s="187"/>
      <c r="BU1818" s="187" t="s">
        <v>73</v>
      </c>
      <c r="BV1818" s="196">
        <v>120036</v>
      </c>
      <c r="BW1818" s="197" t="e">
        <f t="shared" si="186"/>
        <v>#REF!</v>
      </c>
      <c r="BX1818" s="198" t="e">
        <f>IF(AND(State_LOB_Code=18,LEFT(BW1818,4)&lt;"2009"),81,State_LOB_Code)&amp;"|362"</f>
        <v>#REF!</v>
      </c>
      <c r="BY1818" s="215"/>
      <c r="BZ1818" s="216"/>
    </row>
    <row r="1819" spans="72:78">
      <c r="BT1819" s="187"/>
      <c r="BU1819" s="187" t="s">
        <v>74</v>
      </c>
      <c r="BV1819" s="196">
        <v>120036</v>
      </c>
      <c r="BW1819" s="197" t="e">
        <f t="shared" si="186"/>
        <v>#REF!</v>
      </c>
      <c r="BX1819" s="198" t="e">
        <f>IF(AND(State_LOB_Code=18,LEFT(BW1819,4)&lt;"2009"),81,State_LOB_Code)&amp;"|363"</f>
        <v>#REF!</v>
      </c>
      <c r="BY1819" s="215"/>
      <c r="BZ1819" s="216"/>
    </row>
    <row r="1820" spans="72:78">
      <c r="BT1820" s="187"/>
      <c r="BU1820" s="187" t="s">
        <v>75</v>
      </c>
      <c r="BV1820" s="196">
        <v>120036</v>
      </c>
      <c r="BW1820" s="197" t="e">
        <f t="shared" si="186"/>
        <v>#REF!</v>
      </c>
      <c r="BX1820" s="198" t="e">
        <f>IF(AND(State_LOB_Code=18,LEFT(BW1820,4)&lt;"2009"),81,State_LOB_Code)&amp;"|364"</f>
        <v>#REF!</v>
      </c>
      <c r="BY1820" s="215"/>
      <c r="BZ1820" s="216"/>
    </row>
    <row r="1821" spans="72:78">
      <c r="BT1821" s="187"/>
      <c r="BU1821" s="187" t="s">
        <v>76</v>
      </c>
      <c r="BV1821" s="196">
        <v>120036</v>
      </c>
      <c r="BW1821" s="197" t="e">
        <f t="shared" si="186"/>
        <v>#REF!</v>
      </c>
      <c r="BX1821" s="198" t="e">
        <f>IF(AND(State_LOB_Code=18,LEFT(BW1821,4)&lt;"2009"),81,State_LOB_Code)&amp;"|365"</f>
        <v>#REF!</v>
      </c>
      <c r="BY1821" s="215"/>
      <c r="BZ1821" s="216"/>
    </row>
    <row r="1822" spans="72:78">
      <c r="BT1822" s="187"/>
      <c r="BU1822" s="187" t="s">
        <v>77</v>
      </c>
      <c r="BV1822" s="196">
        <v>120036</v>
      </c>
      <c r="BW1822" s="197" t="e">
        <f t="shared" si="186"/>
        <v>#REF!</v>
      </c>
      <c r="BX1822" s="198" t="e">
        <f>IF(AND(State_LOB_Code=18,LEFT(BW1822,4)&lt;"2009"),81,State_LOB_Code)&amp;"|366"</f>
        <v>#REF!</v>
      </c>
      <c r="BY1822" s="215"/>
      <c r="BZ1822" s="216"/>
    </row>
    <row r="1823" spans="72:78">
      <c r="BT1823" s="187"/>
      <c r="BU1823" s="187" t="s">
        <v>78</v>
      </c>
      <c r="BV1823" s="196">
        <v>120036</v>
      </c>
      <c r="BW1823" s="197" t="e">
        <f t="shared" si="186"/>
        <v>#REF!</v>
      </c>
      <c r="BX1823" s="198" t="e">
        <f>IF(AND(State_LOB_Code=18,LEFT(BW1823,4)&lt;"2009"),81,State_LOB_Code)&amp;"|367"</f>
        <v>#REF!</v>
      </c>
      <c r="BY1823" s="215"/>
      <c r="BZ1823" s="216"/>
    </row>
    <row r="1824" spans="72:78">
      <c r="BT1824" s="187"/>
      <c r="BU1824" s="187" t="s">
        <v>79</v>
      </c>
      <c r="BV1824" s="196">
        <v>120036</v>
      </c>
      <c r="BW1824" s="197" t="e">
        <f t="shared" ref="BW1824:BW1851" si="187">LEFT(BW1763,4)-1&amp;"Y"</f>
        <v>#REF!</v>
      </c>
      <c r="BX1824" s="198" t="e">
        <f>IF(AND(State_LOB_Code=18,LEFT(BW1824,4)&lt;"2009"),81,State_LOB_Code)&amp;"|368"</f>
        <v>#REF!</v>
      </c>
      <c r="BY1824" s="215"/>
      <c r="BZ1824" s="216"/>
    </row>
    <row r="1825" spans="72:78">
      <c r="BT1825" s="187"/>
      <c r="BU1825" s="187" t="s">
        <v>80</v>
      </c>
      <c r="BV1825" s="196">
        <v>120036</v>
      </c>
      <c r="BW1825" s="197" t="e">
        <f t="shared" si="187"/>
        <v>#REF!</v>
      </c>
      <c r="BX1825" s="198" t="e">
        <f>IF(AND(State_LOB_Code=18,LEFT(BW1825,4)&lt;"2009"),81,State_LOB_Code)&amp;"|369"</f>
        <v>#REF!</v>
      </c>
      <c r="BY1825" s="215"/>
      <c r="BZ1825" s="216"/>
    </row>
    <row r="1826" spans="72:78">
      <c r="BT1826" s="187"/>
      <c r="BU1826" s="187" t="s">
        <v>81</v>
      </c>
      <c r="BV1826" s="196">
        <v>120036</v>
      </c>
      <c r="BW1826" s="197" t="e">
        <f t="shared" si="187"/>
        <v>#REF!</v>
      </c>
      <c r="BX1826" s="198" t="e">
        <f>IF(AND(State_LOB_Code=18,LEFT(BW1826,4)&lt;"2009"),81,State_LOB_Code)&amp;"|370"</f>
        <v>#REF!</v>
      </c>
      <c r="BY1826" s="215"/>
      <c r="BZ1826" s="216"/>
    </row>
    <row r="1827" spans="72:78">
      <c r="BT1827" s="187"/>
      <c r="BU1827" s="187" t="s">
        <v>82</v>
      </c>
      <c r="BV1827" s="196">
        <v>120036</v>
      </c>
      <c r="BW1827" s="197" t="e">
        <f t="shared" si="187"/>
        <v>#REF!</v>
      </c>
      <c r="BX1827" s="198" t="e">
        <f>IF(AND(State_LOB_Code=18,LEFT(BW1827,4)&lt;"2009"),81,State_LOB_Code)&amp;"|371"</f>
        <v>#REF!</v>
      </c>
      <c r="BY1827" s="215"/>
      <c r="BZ1827" s="216"/>
    </row>
    <row r="1828" spans="72:78">
      <c r="BT1828" s="187"/>
      <c r="BU1828" s="187" t="s">
        <v>83</v>
      </c>
      <c r="BV1828" s="196">
        <v>120036</v>
      </c>
      <c r="BW1828" s="197" t="e">
        <f t="shared" si="187"/>
        <v>#REF!</v>
      </c>
      <c r="BX1828" s="198" t="e">
        <f>IF(AND(State_LOB_Code=18,LEFT(BW1828,4)&lt;"2009"),81,State_LOB_Code)&amp;"|372"</f>
        <v>#REF!</v>
      </c>
      <c r="BY1828" s="215"/>
      <c r="BZ1828" s="216"/>
    </row>
    <row r="1829" spans="72:78">
      <c r="BT1829" s="187"/>
      <c r="BU1829" s="187" t="s">
        <v>84</v>
      </c>
      <c r="BV1829" s="196">
        <v>120036</v>
      </c>
      <c r="BW1829" s="197" t="e">
        <f t="shared" si="187"/>
        <v>#REF!</v>
      </c>
      <c r="BX1829" s="198" t="e">
        <f>IF(AND(State_LOB_Code=18,LEFT(BW1829,4)&lt;"2009"),81,State_LOB_Code)&amp;"|373"</f>
        <v>#REF!</v>
      </c>
      <c r="BY1829" s="215"/>
      <c r="BZ1829" s="216"/>
    </row>
    <row r="1830" spans="72:78">
      <c r="BT1830" s="187"/>
      <c r="BU1830" s="187" t="s">
        <v>85</v>
      </c>
      <c r="BV1830" s="196">
        <v>120036</v>
      </c>
      <c r="BW1830" s="197" t="e">
        <f t="shared" si="187"/>
        <v>#REF!</v>
      </c>
      <c r="BX1830" s="198" t="e">
        <f>IF(AND(State_LOB_Code=18,LEFT(BW1830,4)&lt;"2009"),81,State_LOB_Code)&amp;"|374"</f>
        <v>#REF!</v>
      </c>
      <c r="BY1830" s="215"/>
      <c r="BZ1830" s="216"/>
    </row>
    <row r="1831" spans="72:78">
      <c r="BT1831" s="187"/>
      <c r="BU1831" s="187" t="s">
        <v>86</v>
      </c>
      <c r="BV1831" s="196">
        <v>120036</v>
      </c>
      <c r="BW1831" s="197" t="e">
        <f t="shared" si="187"/>
        <v>#REF!</v>
      </c>
      <c r="BX1831" s="198" t="e">
        <f>IF(AND(State_LOB_Code=18,LEFT(BW1831,4)&lt;"2009"),81,State_LOB_Code)&amp;"|376"</f>
        <v>#REF!</v>
      </c>
      <c r="BY1831" s="215"/>
      <c r="BZ1831" s="216"/>
    </row>
    <row r="1832" spans="72:78">
      <c r="BT1832" s="187"/>
      <c r="BU1832" s="187" t="s">
        <v>87</v>
      </c>
      <c r="BV1832" s="196">
        <v>120036</v>
      </c>
      <c r="BW1832" s="197" t="e">
        <f t="shared" si="187"/>
        <v>#REF!</v>
      </c>
      <c r="BX1832" s="198" t="e">
        <f>IF(AND(State_LOB_Code=18,LEFT(BW1832,4)&lt;"2009"),81,State_LOB_Code)&amp;"|377"</f>
        <v>#REF!</v>
      </c>
      <c r="BY1832" s="215"/>
      <c r="BZ1832" s="216"/>
    </row>
    <row r="1833" spans="72:78">
      <c r="BT1833" s="187"/>
      <c r="BU1833" s="187" t="s">
        <v>88</v>
      </c>
      <c r="BV1833" s="196">
        <v>120036</v>
      </c>
      <c r="BW1833" s="197" t="e">
        <f t="shared" si="187"/>
        <v>#REF!</v>
      </c>
      <c r="BX1833" s="198" t="e">
        <f>IF(AND(State_LOB_Code=18,LEFT(BW1833,4)&lt;"2009"),81,State_LOB_Code)&amp;"|378"</f>
        <v>#REF!</v>
      </c>
      <c r="BY1833" s="215"/>
      <c r="BZ1833" s="216"/>
    </row>
    <row r="1834" spans="72:78">
      <c r="BT1834" s="187"/>
      <c r="BU1834" s="187" t="s">
        <v>89</v>
      </c>
      <c r="BV1834" s="196">
        <v>120036</v>
      </c>
      <c r="BW1834" s="197" t="e">
        <f t="shared" si="187"/>
        <v>#REF!</v>
      </c>
      <c r="BX1834" s="198" t="e">
        <f>IF(AND(State_LOB_Code=18,LEFT(BW1834,4)&lt;"2009"),81,State_LOB_Code)&amp;"|379"</f>
        <v>#REF!</v>
      </c>
      <c r="BY1834" s="215"/>
      <c r="BZ1834" s="216"/>
    </row>
    <row r="1835" spans="72:78">
      <c r="BT1835" s="187"/>
      <c r="BU1835" s="187" t="s">
        <v>90</v>
      </c>
      <c r="BV1835" s="196">
        <v>120036</v>
      </c>
      <c r="BW1835" s="197" t="e">
        <f t="shared" si="187"/>
        <v>#REF!</v>
      </c>
      <c r="BX1835" s="198" t="e">
        <f>IF(AND(State_LOB_Code=18,LEFT(BW1835,4)&lt;"2009"),81,State_LOB_Code)&amp;"|380"</f>
        <v>#REF!</v>
      </c>
      <c r="BY1835" s="215"/>
      <c r="BZ1835" s="216"/>
    </row>
    <row r="1836" spans="72:78">
      <c r="BT1836" s="187"/>
      <c r="BU1836" s="187" t="s">
        <v>91</v>
      </c>
      <c r="BV1836" s="196">
        <v>120036</v>
      </c>
      <c r="BW1836" s="197" t="e">
        <f t="shared" si="187"/>
        <v>#REF!</v>
      </c>
      <c r="BX1836" s="198" t="e">
        <f>IF(AND(State_LOB_Code=18,LEFT(BW1836,4)&lt;"2009"),81,State_LOB_Code)&amp;"|381"</f>
        <v>#REF!</v>
      </c>
      <c r="BY1836" s="215"/>
      <c r="BZ1836" s="216"/>
    </row>
    <row r="1837" spans="72:78">
      <c r="BT1837" s="187"/>
      <c r="BU1837" s="187" t="s">
        <v>92</v>
      </c>
      <c r="BV1837" s="196">
        <v>120036</v>
      </c>
      <c r="BW1837" s="197" t="e">
        <f t="shared" si="187"/>
        <v>#REF!</v>
      </c>
      <c r="BX1837" s="198" t="e">
        <f>IF(AND(State_LOB_Code=18,LEFT(BW1837,4)&lt;"2009"),81,State_LOB_Code)&amp;"|382"</f>
        <v>#REF!</v>
      </c>
      <c r="BY1837" s="215"/>
      <c r="BZ1837" s="216"/>
    </row>
    <row r="1838" spans="72:78">
      <c r="BT1838" s="187"/>
      <c r="BU1838" s="187" t="s">
        <v>93</v>
      </c>
      <c r="BV1838" s="196">
        <v>120036</v>
      </c>
      <c r="BW1838" s="197" t="e">
        <f t="shared" si="187"/>
        <v>#REF!</v>
      </c>
      <c r="BX1838" s="198" t="e">
        <f>IF(AND(State_LOB_Code=18,LEFT(BW1838,4)&lt;"2009"),81,State_LOB_Code)&amp;"|384"</f>
        <v>#REF!</v>
      </c>
      <c r="BY1838" s="215"/>
      <c r="BZ1838" s="216"/>
    </row>
    <row r="1839" spans="72:78">
      <c r="BT1839" s="187"/>
      <c r="BU1839" s="187" t="s">
        <v>94</v>
      </c>
      <c r="BV1839" s="196">
        <v>120036</v>
      </c>
      <c r="BW1839" s="197" t="e">
        <f t="shared" si="187"/>
        <v>#REF!</v>
      </c>
      <c r="BX1839" s="198" t="e">
        <f>IF(AND(State_LOB_Code=18,LEFT(BW1839,4)&lt;"2009"),81,State_LOB_Code)&amp;"|385"</f>
        <v>#REF!</v>
      </c>
      <c r="BY1839" s="215"/>
      <c r="BZ1839" s="216"/>
    </row>
    <row r="1840" spans="72:78">
      <c r="BT1840" s="187"/>
      <c r="BU1840" s="187" t="s">
        <v>95</v>
      </c>
      <c r="BV1840" s="196">
        <v>120036</v>
      </c>
      <c r="BW1840" s="197" t="e">
        <f t="shared" si="187"/>
        <v>#REF!</v>
      </c>
      <c r="BX1840" s="198" t="e">
        <f>IF(AND(State_LOB_Code=18,LEFT(BW1840,4)&lt;"2009"),81,State_LOB_Code)&amp;"|386"</f>
        <v>#REF!</v>
      </c>
      <c r="BY1840" s="215"/>
      <c r="BZ1840" s="216"/>
    </row>
    <row r="1841" spans="72:78">
      <c r="BT1841" s="187"/>
      <c r="BU1841" s="187" t="s">
        <v>96</v>
      </c>
      <c r="BV1841" s="196">
        <v>120036</v>
      </c>
      <c r="BW1841" s="197" t="e">
        <f t="shared" si="187"/>
        <v>#REF!</v>
      </c>
      <c r="BX1841" s="198" t="e">
        <f>IF(AND(State_LOB_Code=18,LEFT(BW1841,4)&lt;"2009"),81,State_LOB_Code)&amp;"|387"</f>
        <v>#REF!</v>
      </c>
      <c r="BY1841" s="215"/>
      <c r="BZ1841" s="216"/>
    </row>
    <row r="1842" spans="72:78">
      <c r="BT1842" s="187"/>
      <c r="BU1842" s="187" t="s">
        <v>97</v>
      </c>
      <c r="BV1842" s="196">
        <v>120036</v>
      </c>
      <c r="BW1842" s="197" t="e">
        <f t="shared" si="187"/>
        <v>#REF!</v>
      </c>
      <c r="BX1842" s="198" t="e">
        <f>IF(AND(State_LOB_Code=18,LEFT(BW1842,4)&lt;"2009"),81,State_LOB_Code)&amp;"|388"</f>
        <v>#REF!</v>
      </c>
      <c r="BY1842" s="215"/>
      <c r="BZ1842" s="216"/>
    </row>
    <row r="1843" spans="72:78">
      <c r="BT1843" s="187"/>
      <c r="BU1843" s="189" t="s">
        <v>137</v>
      </c>
      <c r="BV1843" s="199">
        <v>120036</v>
      </c>
      <c r="BW1843" s="200" t="e">
        <f t="shared" si="187"/>
        <v>#REF!</v>
      </c>
      <c r="BX1843" s="201" t="e">
        <f>IF(AND(State_LOB_Code=18,LEFT(BW1843,4)&lt;"2009"),81,State_LOB_Code)&amp;"|600"</f>
        <v>#REF!</v>
      </c>
      <c r="BY1843" s="217"/>
      <c r="BZ1843" s="218"/>
    </row>
    <row r="1844" spans="72:78">
      <c r="BT1844" s="187"/>
      <c r="BU1844" s="187" t="s">
        <v>98</v>
      </c>
      <c r="BV1844" s="196">
        <v>120036</v>
      </c>
      <c r="BW1844" s="197" t="e">
        <f t="shared" si="187"/>
        <v>#REF!</v>
      </c>
      <c r="BX1844" s="198" t="e">
        <f>IF(AND(State_LOB_Code=18,LEFT(BW1844,4)&lt;"2009"),81,State_LOB_Code)&amp;"|336"</f>
        <v>#REF!</v>
      </c>
      <c r="BY1844" s="215"/>
      <c r="BZ1844" s="216"/>
    </row>
    <row r="1845" spans="72:78">
      <c r="BT1845" s="187"/>
      <c r="BU1845" s="187" t="s">
        <v>99</v>
      </c>
      <c r="BV1845" s="196">
        <v>120036</v>
      </c>
      <c r="BW1845" s="197" t="e">
        <f t="shared" si="187"/>
        <v>#REF!</v>
      </c>
      <c r="BX1845" s="198" t="e">
        <f>IF(AND(State_LOB_Code=18,LEFT(BW1845,4)&lt;"2009"),81,State_LOB_Code)&amp;"|345"</f>
        <v>#REF!</v>
      </c>
      <c r="BY1845" s="215"/>
      <c r="BZ1845" s="216"/>
    </row>
    <row r="1846" spans="72:78">
      <c r="BT1846" s="187"/>
      <c r="BU1846" s="187" t="s">
        <v>100</v>
      </c>
      <c r="BV1846" s="196">
        <v>120036</v>
      </c>
      <c r="BW1846" s="197" t="e">
        <f t="shared" si="187"/>
        <v>#REF!</v>
      </c>
      <c r="BX1846" s="198" t="e">
        <f>IF(AND(State_LOB_Code=18,LEFT(BW1846,4)&lt;"2009"),81,State_LOB_Code)&amp;"|360"</f>
        <v>#REF!</v>
      </c>
      <c r="BY1846" s="215"/>
      <c r="BZ1846" s="216"/>
    </row>
    <row r="1847" spans="72:78">
      <c r="BT1847" s="187"/>
      <c r="BU1847" s="187" t="s">
        <v>101</v>
      </c>
      <c r="BV1847" s="196">
        <v>120036</v>
      </c>
      <c r="BW1847" s="197" t="e">
        <f t="shared" si="187"/>
        <v>#REF!</v>
      </c>
      <c r="BX1847" s="198" t="e">
        <f>IF(AND(State_LOB_Code=18,LEFT(BW1847,4)&lt;"2009"),81,State_LOB_Code)&amp;"|375"</f>
        <v>#REF!</v>
      </c>
      <c r="BY1847" s="215"/>
      <c r="BZ1847" s="216"/>
    </row>
    <row r="1848" spans="72:78">
      <c r="BT1848" s="187"/>
      <c r="BU1848" s="187" t="s">
        <v>102</v>
      </c>
      <c r="BV1848" s="196">
        <v>120036</v>
      </c>
      <c r="BW1848" s="197" t="e">
        <f t="shared" si="187"/>
        <v>#REF!</v>
      </c>
      <c r="BX1848" s="198" t="e">
        <f>IF(AND(State_LOB_Code=18,LEFT(BW1848,4)&lt;"2009"),81,State_LOB_Code)&amp;"|383"</f>
        <v>#REF!</v>
      </c>
      <c r="BY1848" s="215"/>
      <c r="BZ1848" s="216"/>
    </row>
    <row r="1849" spans="72:78">
      <c r="BT1849" s="187"/>
      <c r="BU1849" s="187" t="s">
        <v>103</v>
      </c>
      <c r="BV1849" s="196">
        <v>120036</v>
      </c>
      <c r="BW1849" s="197" t="e">
        <f t="shared" si="187"/>
        <v>#REF!</v>
      </c>
      <c r="BX1849" s="198" t="e">
        <f>IF(AND(State_LOB_Code=18,LEFT(BW1849,4)&lt;"2009"),81,State_LOB_Code)&amp;"|332"</f>
        <v>#REF!</v>
      </c>
      <c r="BY1849" s="215"/>
      <c r="BZ1849" s="216"/>
    </row>
    <row r="1850" spans="72:78">
      <c r="BT1850" s="187"/>
      <c r="BU1850" s="187" t="s">
        <v>104</v>
      </c>
      <c r="BV1850" s="196">
        <v>120036</v>
      </c>
      <c r="BW1850" s="197" t="e">
        <f t="shared" si="187"/>
        <v>#REF!</v>
      </c>
      <c r="BX1850" s="198" t="e">
        <f>IF(AND(State_LOB_Code=18,LEFT(BW1850,4)&lt;"2009"),81,State_LOB_Code)&amp;"|330"</f>
        <v>#REF!</v>
      </c>
      <c r="BY1850" s="215"/>
      <c r="BZ1850" s="216"/>
    </row>
    <row r="1851" spans="72:78">
      <c r="BT1851" s="180" t="s">
        <v>34</v>
      </c>
      <c r="BU1851" s="190" t="s">
        <v>46</v>
      </c>
      <c r="BV1851" s="202">
        <v>120056</v>
      </c>
      <c r="BW1851" s="203" t="e">
        <f t="shared" si="187"/>
        <v>#REF!</v>
      </c>
      <c r="BX1851" s="204" t="e">
        <f>IF(AND(State_LOB_Code=18,LEFT(BW1851,4)&lt;"2009"),81,State_LOB_Code)</f>
        <v>#REF!</v>
      </c>
      <c r="BY1851" s="219"/>
      <c r="BZ1851" s="220"/>
    </row>
  </sheetData>
  <phoneticPr fontId="0" type="noConversion"/>
  <hyperlinks>
    <hyperlink ref="V1" location="Instructions!A1" tooltip="Back to Instructions tab" display="Instructions"/>
  </hyperlinks>
  <pageMargins left="0.5" right="0.5" top="0.25" bottom="0.5" header="0.5" footer="0.25"/>
  <pageSetup scale="74" orientation="landscape" r:id="rId1"/>
  <headerFooter alignWithMargins="0">
    <oddFooter>&amp;LCopyright (C) SNL Financial, LC. 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indexed="56"/>
    <pageSetUpPr autoPageBreaks="0"/>
  </sheetPr>
  <dimension ref="A1:FU49"/>
  <sheetViews>
    <sheetView showGridLines="0" zoomScaleNormal="100" workbookViewId="0"/>
  </sheetViews>
  <sheetFormatPr defaultColWidth="9.33203125" defaultRowHeight="11.25" outlineLevelCol="1"/>
  <cols>
    <col min="1" max="1" width="2.83203125" style="1" customWidth="1"/>
    <col min="2" max="2" width="5.83203125" style="1" customWidth="1"/>
    <col min="3" max="3" width="45.83203125" style="1" customWidth="1"/>
    <col min="4" max="8" width="12.83203125" style="4" customWidth="1" outlineLevel="1"/>
    <col min="9" max="11" width="12.83203125" style="2" customWidth="1"/>
    <col min="12" max="16" width="6.83203125" style="2" customWidth="1"/>
    <col min="17" max="17" width="9.83203125" style="2" customWidth="1" outlineLevel="1"/>
    <col min="18" max="22" width="10.83203125" style="2" customWidth="1"/>
    <col min="23" max="30" width="6.83203125" style="2" customWidth="1"/>
    <col min="31" max="45" width="9.83203125" style="2" customWidth="1" outlineLevel="1"/>
    <col min="46" max="55" width="9.33203125" style="1"/>
    <col min="56" max="56" width="11.83203125" style="409" customWidth="1"/>
    <col min="57" max="57" width="9.33203125" style="1"/>
    <col min="58" max="58" width="43.5" style="1" customWidth="1"/>
    <col min="59" max="63" width="10.5" style="1" customWidth="1"/>
    <col min="64" max="66" width="12.83203125" style="1" customWidth="1"/>
    <col min="67" max="71" width="6.83203125" style="1" customWidth="1"/>
    <col min="72" max="77" width="9.83203125" style="1" customWidth="1"/>
    <col min="78" max="85" width="6.83203125" style="1" customWidth="1"/>
    <col min="86" max="100" width="9.83203125" style="1" customWidth="1"/>
    <col min="101" max="103" width="2.83203125" style="1" customWidth="1"/>
    <col min="104" max="106" width="9.33203125" style="1"/>
    <col min="107" max="107" width="2.83203125" style="1" customWidth="1"/>
    <col min="108" max="108" width="5.1640625" style="493" bestFit="1" customWidth="1"/>
    <col min="109" max="109" width="47" style="1" customWidth="1"/>
    <col min="110" max="110" width="11.33203125" style="4" customWidth="1"/>
    <col min="111" max="117" width="12.83203125" style="1" customWidth="1"/>
    <col min="118" max="118" width="11.83203125" style="415" customWidth="1"/>
    <col min="119" max="176" width="11.83203125" style="1" customWidth="1"/>
    <col min="177" max="16384" width="9.33203125" style="1"/>
  </cols>
  <sheetData>
    <row r="1" spans="1:177">
      <c r="R1" s="123" t="s">
        <v>33</v>
      </c>
      <c r="BD1" s="1"/>
      <c r="DN1" s="1"/>
    </row>
    <row r="2" spans="1:177" s="10" customFormat="1" ht="20.25">
      <c r="B2" s="10" t="s">
        <v>121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BD2" s="477"/>
      <c r="CZ2" s="336"/>
      <c r="DA2" s="336"/>
      <c r="DB2" s="336"/>
      <c r="DC2" s="336"/>
      <c r="DD2" s="494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s="482" customFormat="1" ht="15">
      <c r="A3" s="12"/>
      <c r="B3" s="12" t="e">
        <f>"Rollup = "&amp;IF(Check_Rollup=0,"Custom",Rollup_Name)</f>
        <v>#REF!</v>
      </c>
      <c r="C3" s="12"/>
      <c r="D3" s="12"/>
      <c r="E3" s="12"/>
      <c r="F3" s="12"/>
      <c r="G3" s="12"/>
      <c r="H3" s="12"/>
      <c r="I3" s="703" t="e">
        <f>"Geographies included:  "&amp;CONCATENATE(#REF!,#REF!,#REF!)</f>
        <v>#REF!</v>
      </c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BD3" s="482" t="s">
        <v>113</v>
      </c>
      <c r="BE3" s="483">
        <f>COLUMNS(BE7:CV7)</f>
        <v>44</v>
      </c>
      <c r="DA3" s="484">
        <v>120036</v>
      </c>
      <c r="DB3" s="484" t="s">
        <v>7</v>
      </c>
      <c r="DD3" s="495"/>
      <c r="DE3" s="485"/>
      <c r="DF3" s="486">
        <f>COLUMNS($DD$4:$FT$4)</f>
        <v>69</v>
      </c>
      <c r="DG3" s="487"/>
      <c r="DH3" s="487"/>
      <c r="DI3" s="487"/>
      <c r="DJ3" s="487"/>
      <c r="DK3" s="487"/>
      <c r="DL3" s="487"/>
      <c r="DM3" s="488"/>
      <c r="DN3" s="485"/>
      <c r="DO3" s="489" t="e">
        <f>IF(Check_3=TRUE,DO$4,0)</f>
        <v>#REF!</v>
      </c>
      <c r="DP3" s="490" t="e">
        <f>IF(Check_4=TRUE,DP$4,0)</f>
        <v>#REF!</v>
      </c>
      <c r="DQ3" s="490" t="e">
        <f>IF(Check_5=TRUE,DQ$4,0)</f>
        <v>#REF!</v>
      </c>
      <c r="DR3" s="490" t="e">
        <f>IF(Check_6=TRUE,DR$4,0)</f>
        <v>#REF!</v>
      </c>
      <c r="DS3" s="490" t="e">
        <f>IF(Check_7=TRUE,DS$4,0)</f>
        <v>#REF!</v>
      </c>
      <c r="DT3" s="490" t="e">
        <f>IF(Check_8=TRUE,DT$4,0)</f>
        <v>#REF!</v>
      </c>
      <c r="DU3" s="490" t="e">
        <f>IF(Check_9=TRUE,DU$4,0)</f>
        <v>#REF!</v>
      </c>
      <c r="DV3" s="490" t="e">
        <f>IF(Check_10=TRUE,DV$4,0)</f>
        <v>#REF!</v>
      </c>
      <c r="DW3" s="490" t="e">
        <f>IF(Check_11=TRUE,DW$4,0)</f>
        <v>#REF!</v>
      </c>
      <c r="DX3" s="490" t="e">
        <f>IF(Check_12=TRUE,DX$4,0)</f>
        <v>#REF!</v>
      </c>
      <c r="DY3" s="490" t="e">
        <f>IF(Check_13=TRUE,DY$4,0)</f>
        <v>#REF!</v>
      </c>
      <c r="DZ3" s="490" t="e">
        <f>IF(Check_14=TRUE,DZ$4,0)</f>
        <v>#REF!</v>
      </c>
      <c r="EA3" s="490" t="e">
        <f>IF(Check_15=TRUE,EA$4,0)</f>
        <v>#REF!</v>
      </c>
      <c r="EB3" s="490" t="e">
        <f>IF(Check_16=TRUE,EB$4,0)</f>
        <v>#REF!</v>
      </c>
      <c r="EC3" s="490" t="e">
        <f>IF(Check_17=TRUE,EC$4,0)</f>
        <v>#REF!</v>
      </c>
      <c r="ED3" s="490" t="e">
        <f>IF(Check_18=TRUE,ED$4,0)</f>
        <v>#REF!</v>
      </c>
      <c r="EE3" s="490" t="e">
        <f>IF(Check_19=TRUE,EE$4,0)</f>
        <v>#REF!</v>
      </c>
      <c r="EF3" s="490" t="e">
        <f>IF(Check_20=TRUE,EF$4,0)</f>
        <v>#REF!</v>
      </c>
      <c r="EG3" s="490" t="e">
        <f>IF(Check_21=TRUE,EG$4,0)</f>
        <v>#REF!</v>
      </c>
      <c r="EH3" s="490" t="e">
        <f>IF(Check_22=TRUE,EH$4,0)</f>
        <v>#REF!</v>
      </c>
      <c r="EI3" s="490" t="e">
        <f>IF(Check_23=TRUE,EI$4,0)</f>
        <v>#REF!</v>
      </c>
      <c r="EJ3" s="490" t="e">
        <f>IF(Check_24=TRUE,EJ$4,0)</f>
        <v>#REF!</v>
      </c>
      <c r="EK3" s="490" t="e">
        <f>IF(Check_25=TRUE,EK$4,0)</f>
        <v>#REF!</v>
      </c>
      <c r="EL3" s="490" t="e">
        <f>IF(Check_26=TRUE,EL$4,0)</f>
        <v>#REF!</v>
      </c>
      <c r="EM3" s="490" t="e">
        <f>IF(Check_27=TRUE,EM$4,0)</f>
        <v>#REF!</v>
      </c>
      <c r="EN3" s="490" t="e">
        <f>IF(Check_28=TRUE,EN$4,0)</f>
        <v>#REF!</v>
      </c>
      <c r="EO3" s="490" t="e">
        <f>IF(Check_29=TRUE,EO$4,0)</f>
        <v>#REF!</v>
      </c>
      <c r="EP3" s="490" t="e">
        <f>IF(Check_30=TRUE,EP$4,0)</f>
        <v>#REF!</v>
      </c>
      <c r="EQ3" s="490" t="e">
        <f>IF(Check_31=TRUE,EQ$4,0)</f>
        <v>#REF!</v>
      </c>
      <c r="ER3" s="490" t="e">
        <f>IF(Check_32=TRUE,ER$4,0)</f>
        <v>#REF!</v>
      </c>
      <c r="ES3" s="490" t="e">
        <f>IF(Check_33=TRUE,ES$4,0)</f>
        <v>#REF!</v>
      </c>
      <c r="ET3" s="490" t="e">
        <f>IF(Check_34=TRUE,ET$4,0)</f>
        <v>#REF!</v>
      </c>
      <c r="EU3" s="490" t="e">
        <f>IF(Check_35=TRUE,EU$4,0)</f>
        <v>#REF!</v>
      </c>
      <c r="EV3" s="490" t="e">
        <f>IF(Check_36=TRUE,EV$4,0)</f>
        <v>#REF!</v>
      </c>
      <c r="EW3" s="490" t="e">
        <f>IF(Check_37=TRUE,EW$4,0)</f>
        <v>#REF!</v>
      </c>
      <c r="EX3" s="490" t="e">
        <f>IF(Check_38=TRUE,EX$4,0)</f>
        <v>#REF!</v>
      </c>
      <c r="EY3" s="490" t="e">
        <f>IF(Check_39=TRUE,EY$4,0)</f>
        <v>#REF!</v>
      </c>
      <c r="EZ3" s="490" t="e">
        <f>IF(Check_40=TRUE,EZ$4,0)</f>
        <v>#REF!</v>
      </c>
      <c r="FA3" s="490" t="e">
        <f>IF(Check_41=TRUE,FA$4,0)</f>
        <v>#REF!</v>
      </c>
      <c r="FB3" s="490" t="e">
        <f>IF(Check_42=TRUE,FB$4,0)</f>
        <v>#REF!</v>
      </c>
      <c r="FC3" s="490" t="e">
        <f>IF(Check_43=TRUE,FC$4,0)</f>
        <v>#REF!</v>
      </c>
      <c r="FD3" s="490" t="e">
        <f>IF(Check_44=TRUE,FD$4,0)</f>
        <v>#REF!</v>
      </c>
      <c r="FE3" s="490" t="e">
        <f>IF(Check_45=TRUE,FE$4,0)</f>
        <v>#REF!</v>
      </c>
      <c r="FF3" s="490" t="e">
        <f>IF(Check_46=TRUE,FF$4,0)</f>
        <v>#REF!</v>
      </c>
      <c r="FG3" s="490" t="e">
        <f>IF(Check_47=TRUE,FG$4,0)</f>
        <v>#REF!</v>
      </c>
      <c r="FH3" s="490" t="e">
        <f>IF(Check_48=TRUE,FH$4,0)</f>
        <v>#REF!</v>
      </c>
      <c r="FI3" s="490" t="e">
        <f>IF(Check_49=TRUE,FI$4,0)</f>
        <v>#REF!</v>
      </c>
      <c r="FJ3" s="490" t="e">
        <f>IF(Check_50=TRUE,FJ$4,0)</f>
        <v>#REF!</v>
      </c>
      <c r="FK3" s="490" t="e">
        <f>IF(Check_51=TRUE,FK$4,0)</f>
        <v>#REF!</v>
      </c>
      <c r="FL3" s="490" t="e">
        <f>IF(Check_52=TRUE,FL$4,0)</f>
        <v>#REF!</v>
      </c>
      <c r="FM3" s="490" t="e">
        <f>IF(Check_53=TRUE,FM$4,0)</f>
        <v>#REF!</v>
      </c>
      <c r="FN3" s="490" t="e">
        <f>IF(Check_54=TRUE,FN$4,0)</f>
        <v>#REF!</v>
      </c>
      <c r="FO3" s="490" t="e">
        <f>IF(Check_55=TRUE,FO$4,0)</f>
        <v>#REF!</v>
      </c>
      <c r="FP3" s="490" t="e">
        <f>IF(Check_56=TRUE,FP$4,0)</f>
        <v>#REF!</v>
      </c>
      <c r="FQ3" s="490" t="e">
        <f>IF(Check_57=TRUE,FQ$4,0)</f>
        <v>#REF!</v>
      </c>
      <c r="FR3" s="490" t="e">
        <f>IF(Check_58=TRUE,FR$4,0)</f>
        <v>#REF!</v>
      </c>
      <c r="FS3" s="490" t="e">
        <f>IF(Check_59=TRUE,FS$4,0)</f>
        <v>#REF!</v>
      </c>
      <c r="FT3" s="491" t="e">
        <f>IF(Check_60=TRUE,FT$4,0)</f>
        <v>#REF!</v>
      </c>
      <c r="FU3" s="492"/>
    </row>
    <row r="4" spans="1:177" s="12" customFormat="1" ht="15.75" thickBot="1">
      <c r="B4" s="14" t="e">
        <f>"Line of Business:  "&amp;State_LOB_Name</f>
        <v>#REF!</v>
      </c>
      <c r="C4" s="14"/>
      <c r="D4" s="14"/>
      <c r="E4" s="14"/>
      <c r="F4" s="14"/>
      <c r="G4" s="14"/>
      <c r="H4" s="1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BD4" s="477" t="s">
        <v>112</v>
      </c>
      <c r="BE4" s="100">
        <f ca="1">IF(COUNTA(OFFSET(BE7,5,0,5000,1))=0,1,COUNTA(OFFSET(BE7,5,0,5000,1)))</f>
        <v>1</v>
      </c>
      <c r="BO4" s="470"/>
      <c r="BP4" s="471"/>
      <c r="BQ4" s="471"/>
      <c r="BR4" s="471"/>
      <c r="BS4" s="472"/>
      <c r="BZ4" s="470"/>
      <c r="CA4" s="471"/>
      <c r="CB4" s="471"/>
      <c r="CC4" s="471"/>
      <c r="CD4" s="471"/>
      <c r="CE4" s="471"/>
      <c r="CF4" s="471"/>
      <c r="CG4" s="472"/>
      <c r="CZ4" s="473" t="s">
        <v>129</v>
      </c>
      <c r="DA4" s="442">
        <v>120034</v>
      </c>
      <c r="DB4" s="442" t="e">
        <f>Period_Y</f>
        <v>#REF!</v>
      </c>
      <c r="DD4" s="464" t="s">
        <v>122</v>
      </c>
      <c r="DE4" s="464" t="s">
        <v>34</v>
      </c>
      <c r="DF4" s="424">
        <f ca="1">IF(COUNTA(OFFSET($DE$13,0,0,5000,1))=0,1,COUNTA(OFFSET($DE$13,0,0,5000,1)))</f>
        <v>1</v>
      </c>
      <c r="DG4" s="503"/>
      <c r="DH4" s="503"/>
      <c r="DI4" s="503"/>
      <c r="DJ4" s="503"/>
      <c r="DK4" s="443" t="s">
        <v>9</v>
      </c>
      <c r="DL4" s="444" t="s">
        <v>10</v>
      </c>
      <c r="DM4" s="445" t="s">
        <v>129</v>
      </c>
      <c r="DN4" s="445" t="s">
        <v>116</v>
      </c>
      <c r="DO4" s="109" t="s">
        <v>47</v>
      </c>
      <c r="DP4" s="105" t="s">
        <v>48</v>
      </c>
      <c r="DQ4" s="105" t="s">
        <v>49</v>
      </c>
      <c r="DR4" s="105" t="s">
        <v>50</v>
      </c>
      <c r="DS4" s="105" t="s">
        <v>51</v>
      </c>
      <c r="DT4" s="105" t="s">
        <v>52</v>
      </c>
      <c r="DU4" s="105" t="s">
        <v>53</v>
      </c>
      <c r="DV4" s="105" t="s">
        <v>54</v>
      </c>
      <c r="DW4" s="105" t="s">
        <v>55</v>
      </c>
      <c r="DX4" s="105" t="s">
        <v>56</v>
      </c>
      <c r="DY4" s="105" t="s">
        <v>57</v>
      </c>
      <c r="DZ4" s="105" t="s">
        <v>58</v>
      </c>
      <c r="EA4" s="105" t="s">
        <v>59</v>
      </c>
      <c r="EB4" s="105" t="s">
        <v>60</v>
      </c>
      <c r="EC4" s="105" t="s">
        <v>61</v>
      </c>
      <c r="ED4" s="105" t="s">
        <v>62</v>
      </c>
      <c r="EE4" s="105" t="s">
        <v>63</v>
      </c>
      <c r="EF4" s="105" t="s">
        <v>64</v>
      </c>
      <c r="EG4" s="105" t="s">
        <v>65</v>
      </c>
      <c r="EH4" s="105" t="s">
        <v>66</v>
      </c>
      <c r="EI4" s="105" t="s">
        <v>67</v>
      </c>
      <c r="EJ4" s="105" t="s">
        <v>68</v>
      </c>
      <c r="EK4" s="105" t="s">
        <v>69</v>
      </c>
      <c r="EL4" s="105" t="s">
        <v>70</v>
      </c>
      <c r="EM4" s="105" t="s">
        <v>71</v>
      </c>
      <c r="EN4" s="105" t="s">
        <v>72</v>
      </c>
      <c r="EO4" s="105" t="s">
        <v>73</v>
      </c>
      <c r="EP4" s="105" t="s">
        <v>74</v>
      </c>
      <c r="EQ4" s="105" t="s">
        <v>75</v>
      </c>
      <c r="ER4" s="105" t="s">
        <v>76</v>
      </c>
      <c r="ES4" s="105" t="s">
        <v>77</v>
      </c>
      <c r="ET4" s="105" t="s">
        <v>78</v>
      </c>
      <c r="EU4" s="105" t="s">
        <v>79</v>
      </c>
      <c r="EV4" s="105" t="s">
        <v>80</v>
      </c>
      <c r="EW4" s="105" t="s">
        <v>81</v>
      </c>
      <c r="EX4" s="105" t="s">
        <v>82</v>
      </c>
      <c r="EY4" s="105" t="s">
        <v>83</v>
      </c>
      <c r="EZ4" s="105" t="s">
        <v>84</v>
      </c>
      <c r="FA4" s="105" t="s">
        <v>85</v>
      </c>
      <c r="FB4" s="105" t="s">
        <v>86</v>
      </c>
      <c r="FC4" s="105" t="s">
        <v>87</v>
      </c>
      <c r="FD4" s="105" t="s">
        <v>88</v>
      </c>
      <c r="FE4" s="105" t="s">
        <v>89</v>
      </c>
      <c r="FF4" s="105" t="s">
        <v>90</v>
      </c>
      <c r="FG4" s="105" t="s">
        <v>91</v>
      </c>
      <c r="FH4" s="105" t="s">
        <v>92</v>
      </c>
      <c r="FI4" s="105" t="s">
        <v>93</v>
      </c>
      <c r="FJ4" s="105" t="s">
        <v>94</v>
      </c>
      <c r="FK4" s="105" t="s">
        <v>95</v>
      </c>
      <c r="FL4" s="105" t="s">
        <v>96</v>
      </c>
      <c r="FM4" s="106" t="s">
        <v>97</v>
      </c>
      <c r="FN4" s="107" t="s">
        <v>98</v>
      </c>
      <c r="FO4" s="105" t="s">
        <v>99</v>
      </c>
      <c r="FP4" s="105" t="s">
        <v>100</v>
      </c>
      <c r="FQ4" s="105" t="s">
        <v>101</v>
      </c>
      <c r="FR4" s="105" t="s">
        <v>102</v>
      </c>
      <c r="FS4" s="105" t="s">
        <v>103</v>
      </c>
      <c r="FT4" s="108" t="s">
        <v>104</v>
      </c>
      <c r="FU4" s="1"/>
    </row>
    <row r="5" spans="1:177">
      <c r="B5" s="16" t="s">
        <v>123</v>
      </c>
      <c r="AD5" s="101" t="str">
        <f ca="1">IF($B$9="#","# = Company does not write any "&amp;State_LOB_Name&amp;" in this geography, or they do not appear in this geography's top "&amp;COUNTA(OFFSET($B$7,6,1,5000,1))&amp;".","")</f>
        <v/>
      </c>
      <c r="CZ5" s="473" t="s">
        <v>106</v>
      </c>
      <c r="DA5" s="442">
        <v>120035</v>
      </c>
      <c r="DB5" s="442" t="e">
        <f>LEFT(DB4,4)-1&amp;"Y"</f>
        <v>#REF!</v>
      </c>
      <c r="DD5" s="496"/>
      <c r="DE5" s="448"/>
      <c r="DF5" s="423" t="s">
        <v>109</v>
      </c>
      <c r="DG5" s="504"/>
      <c r="DH5" s="504"/>
      <c r="DI5" s="504"/>
      <c r="DJ5" s="504"/>
      <c r="DK5" s="356">
        <v>122915</v>
      </c>
      <c r="DL5" s="353">
        <v>122923</v>
      </c>
      <c r="DM5" s="417">
        <v>123073</v>
      </c>
      <c r="DN5" s="417"/>
      <c r="DO5" s="440" t="e">
        <f t="shared" ref="DO5:ET5" si="0">IF(DO3=0,"",KF_Roll)</f>
        <v>#REF!</v>
      </c>
      <c r="DP5" s="353" t="e">
        <f t="shared" si="0"/>
        <v>#REF!</v>
      </c>
      <c r="DQ5" s="353" t="e">
        <f t="shared" si="0"/>
        <v>#REF!</v>
      </c>
      <c r="DR5" s="353" t="e">
        <f t="shared" si="0"/>
        <v>#REF!</v>
      </c>
      <c r="DS5" s="353" t="e">
        <f t="shared" si="0"/>
        <v>#REF!</v>
      </c>
      <c r="DT5" s="353" t="e">
        <f t="shared" si="0"/>
        <v>#REF!</v>
      </c>
      <c r="DU5" s="353" t="e">
        <f t="shared" si="0"/>
        <v>#REF!</v>
      </c>
      <c r="DV5" s="353" t="e">
        <f t="shared" si="0"/>
        <v>#REF!</v>
      </c>
      <c r="DW5" s="353" t="e">
        <f t="shared" si="0"/>
        <v>#REF!</v>
      </c>
      <c r="DX5" s="353" t="e">
        <f t="shared" si="0"/>
        <v>#REF!</v>
      </c>
      <c r="DY5" s="353" t="e">
        <f t="shared" si="0"/>
        <v>#REF!</v>
      </c>
      <c r="DZ5" s="353" t="e">
        <f t="shared" si="0"/>
        <v>#REF!</v>
      </c>
      <c r="EA5" s="353" t="e">
        <f t="shared" si="0"/>
        <v>#REF!</v>
      </c>
      <c r="EB5" s="353" t="e">
        <f t="shared" si="0"/>
        <v>#REF!</v>
      </c>
      <c r="EC5" s="353" t="e">
        <f t="shared" si="0"/>
        <v>#REF!</v>
      </c>
      <c r="ED5" s="353" t="e">
        <f t="shared" si="0"/>
        <v>#REF!</v>
      </c>
      <c r="EE5" s="353" t="e">
        <f t="shared" si="0"/>
        <v>#REF!</v>
      </c>
      <c r="EF5" s="353" t="e">
        <f t="shared" si="0"/>
        <v>#REF!</v>
      </c>
      <c r="EG5" s="353" t="e">
        <f t="shared" si="0"/>
        <v>#REF!</v>
      </c>
      <c r="EH5" s="353" t="e">
        <f t="shared" si="0"/>
        <v>#REF!</v>
      </c>
      <c r="EI5" s="353" t="e">
        <f t="shared" si="0"/>
        <v>#REF!</v>
      </c>
      <c r="EJ5" s="353" t="e">
        <f t="shared" si="0"/>
        <v>#REF!</v>
      </c>
      <c r="EK5" s="353" t="e">
        <f t="shared" si="0"/>
        <v>#REF!</v>
      </c>
      <c r="EL5" s="353" t="e">
        <f t="shared" si="0"/>
        <v>#REF!</v>
      </c>
      <c r="EM5" s="353" t="e">
        <f t="shared" si="0"/>
        <v>#REF!</v>
      </c>
      <c r="EN5" s="353" t="e">
        <f t="shared" si="0"/>
        <v>#REF!</v>
      </c>
      <c r="EO5" s="353" t="e">
        <f t="shared" si="0"/>
        <v>#REF!</v>
      </c>
      <c r="EP5" s="353" t="e">
        <f t="shared" si="0"/>
        <v>#REF!</v>
      </c>
      <c r="EQ5" s="353" t="e">
        <f t="shared" si="0"/>
        <v>#REF!</v>
      </c>
      <c r="ER5" s="353" t="e">
        <f t="shared" si="0"/>
        <v>#REF!</v>
      </c>
      <c r="ES5" s="353" t="e">
        <f t="shared" si="0"/>
        <v>#REF!</v>
      </c>
      <c r="ET5" s="353" t="e">
        <f t="shared" si="0"/>
        <v>#REF!</v>
      </c>
      <c r="EU5" s="353" t="e">
        <f t="shared" ref="EU5:FT5" si="1">IF(EU3=0,"",KF_Roll)</f>
        <v>#REF!</v>
      </c>
      <c r="EV5" s="353" t="e">
        <f t="shared" si="1"/>
        <v>#REF!</v>
      </c>
      <c r="EW5" s="353" t="e">
        <f t="shared" si="1"/>
        <v>#REF!</v>
      </c>
      <c r="EX5" s="353" t="e">
        <f t="shared" si="1"/>
        <v>#REF!</v>
      </c>
      <c r="EY5" s="353" t="e">
        <f t="shared" si="1"/>
        <v>#REF!</v>
      </c>
      <c r="EZ5" s="353" t="e">
        <f t="shared" si="1"/>
        <v>#REF!</v>
      </c>
      <c r="FA5" s="353" t="e">
        <f t="shared" si="1"/>
        <v>#REF!</v>
      </c>
      <c r="FB5" s="353" t="e">
        <f t="shared" si="1"/>
        <v>#REF!</v>
      </c>
      <c r="FC5" s="353" t="e">
        <f t="shared" si="1"/>
        <v>#REF!</v>
      </c>
      <c r="FD5" s="353" t="e">
        <f t="shared" si="1"/>
        <v>#REF!</v>
      </c>
      <c r="FE5" s="353" t="e">
        <f t="shared" si="1"/>
        <v>#REF!</v>
      </c>
      <c r="FF5" s="353" t="e">
        <f t="shared" si="1"/>
        <v>#REF!</v>
      </c>
      <c r="FG5" s="353" t="e">
        <f t="shared" si="1"/>
        <v>#REF!</v>
      </c>
      <c r="FH5" s="353" t="e">
        <f t="shared" si="1"/>
        <v>#REF!</v>
      </c>
      <c r="FI5" s="353" t="e">
        <f t="shared" si="1"/>
        <v>#REF!</v>
      </c>
      <c r="FJ5" s="353" t="e">
        <f t="shared" si="1"/>
        <v>#REF!</v>
      </c>
      <c r="FK5" s="353" t="e">
        <f t="shared" si="1"/>
        <v>#REF!</v>
      </c>
      <c r="FL5" s="353" t="e">
        <f t="shared" si="1"/>
        <v>#REF!</v>
      </c>
      <c r="FM5" s="414" t="e">
        <f t="shared" si="1"/>
        <v>#REF!</v>
      </c>
      <c r="FN5" s="356" t="e">
        <f t="shared" si="1"/>
        <v>#REF!</v>
      </c>
      <c r="FO5" s="353" t="e">
        <f t="shared" si="1"/>
        <v>#REF!</v>
      </c>
      <c r="FP5" s="353" t="e">
        <f t="shared" si="1"/>
        <v>#REF!</v>
      </c>
      <c r="FQ5" s="353" t="e">
        <f t="shared" si="1"/>
        <v>#REF!</v>
      </c>
      <c r="FR5" s="353" t="e">
        <f t="shared" si="1"/>
        <v>#REF!</v>
      </c>
      <c r="FS5" s="353" t="e">
        <f t="shared" si="1"/>
        <v>#REF!</v>
      </c>
      <c r="FT5" s="417" t="e">
        <f t="shared" si="1"/>
        <v>#REF!</v>
      </c>
    </row>
    <row r="6" spans="1:177" s="3" customFormat="1" ht="22.5">
      <c r="B6" s="89"/>
      <c r="C6" s="94"/>
      <c r="D6" s="17" t="s">
        <v>127</v>
      </c>
      <c r="E6" s="501" t="s">
        <v>3</v>
      </c>
      <c r="F6" s="501" t="s">
        <v>6</v>
      </c>
      <c r="G6" s="501" t="s">
        <v>4</v>
      </c>
      <c r="H6" s="501" t="s">
        <v>5</v>
      </c>
      <c r="I6" s="21" t="s">
        <v>124</v>
      </c>
      <c r="J6" s="23" t="s">
        <v>125</v>
      </c>
      <c r="K6" s="22" t="s">
        <v>126</v>
      </c>
      <c r="L6" s="18" t="s">
        <v>128</v>
      </c>
      <c r="M6" s="19"/>
      <c r="N6" s="19"/>
      <c r="O6" s="19"/>
      <c r="P6" s="20"/>
      <c r="Q6" s="46" t="s">
        <v>129</v>
      </c>
      <c r="R6" s="88" t="s">
        <v>130</v>
      </c>
      <c r="S6" s="19"/>
      <c r="T6" s="19"/>
      <c r="U6" s="19"/>
      <c r="V6" s="19"/>
      <c r="W6" s="20"/>
      <c r="X6" s="18" t="s">
        <v>24</v>
      </c>
      <c r="Y6" s="19"/>
      <c r="Z6" s="19"/>
      <c r="AA6" s="19"/>
      <c r="AB6" s="19"/>
      <c r="AC6" s="19"/>
      <c r="AD6" s="20"/>
      <c r="AE6" s="18" t="s">
        <v>133</v>
      </c>
      <c r="AF6" s="19"/>
      <c r="AG6" s="19"/>
      <c r="AH6" s="19"/>
      <c r="AI6" s="20"/>
      <c r="AJ6" s="18" t="s">
        <v>132</v>
      </c>
      <c r="AK6" s="19"/>
      <c r="AL6" s="19"/>
      <c r="AM6" s="19"/>
      <c r="AN6" s="20"/>
      <c r="AO6" s="18" t="s">
        <v>131</v>
      </c>
      <c r="AP6" s="19"/>
      <c r="AQ6" s="19"/>
      <c r="AR6" s="19"/>
      <c r="AS6" s="20"/>
      <c r="BD6" s="478"/>
      <c r="BE6" s="89"/>
      <c r="BF6" s="94"/>
      <c r="BG6" s="17" t="s">
        <v>110</v>
      </c>
      <c r="BH6" s="501"/>
      <c r="BI6" s="501"/>
      <c r="BJ6" s="501"/>
      <c r="BK6" s="501"/>
      <c r="BL6" s="21" t="s">
        <v>124</v>
      </c>
      <c r="BM6" s="23" t="s">
        <v>125</v>
      </c>
      <c r="BN6" s="22" t="s">
        <v>126</v>
      </c>
      <c r="BO6" s="18" t="s">
        <v>128</v>
      </c>
      <c r="BP6" s="19"/>
      <c r="BQ6" s="19"/>
      <c r="BR6" s="19"/>
      <c r="BS6" s="20"/>
      <c r="BT6" s="46" t="s">
        <v>129</v>
      </c>
      <c r="BU6" s="88" t="s">
        <v>130</v>
      </c>
      <c r="BV6" s="19"/>
      <c r="BW6" s="19"/>
      <c r="BX6" s="19"/>
      <c r="BY6" s="19"/>
      <c r="BZ6" s="20"/>
      <c r="CA6" s="18" t="s">
        <v>24</v>
      </c>
      <c r="CB6" s="19"/>
      <c r="CC6" s="19"/>
      <c r="CD6" s="19"/>
      <c r="CE6" s="19"/>
      <c r="CF6" s="19"/>
      <c r="CG6" s="20"/>
      <c r="CH6" s="18" t="s">
        <v>133</v>
      </c>
      <c r="CI6" s="19"/>
      <c r="CJ6" s="19"/>
      <c r="CK6" s="19"/>
      <c r="CL6" s="20"/>
      <c r="CM6" s="18" t="s">
        <v>132</v>
      </c>
      <c r="CN6" s="19"/>
      <c r="CO6" s="19"/>
      <c r="CP6" s="19"/>
      <c r="CQ6" s="20"/>
      <c r="CR6" s="18" t="s">
        <v>131</v>
      </c>
      <c r="CS6" s="19"/>
      <c r="CT6" s="19"/>
      <c r="CU6" s="19"/>
      <c r="CV6" s="20"/>
      <c r="CZ6" s="473" t="s">
        <v>107</v>
      </c>
      <c r="DA6" s="442">
        <v>120038</v>
      </c>
      <c r="DB6" s="442" t="e">
        <f>LEFT(DB5,4)-1&amp;"Y"</f>
        <v>#REF!</v>
      </c>
      <c r="DD6" s="476">
        <f>DD5+1</f>
        <v>1</v>
      </c>
      <c r="DE6" s="448"/>
      <c r="DF6" s="446"/>
      <c r="DG6" s="505"/>
      <c r="DH6" s="505"/>
      <c r="DI6" s="505"/>
      <c r="DJ6" s="505"/>
      <c r="DK6" s="356" t="e">
        <f>Period_Y</f>
        <v>#REF!</v>
      </c>
      <c r="DL6" s="353" t="e">
        <f>Period_Y</f>
        <v>#REF!</v>
      </c>
      <c r="DM6" s="417" t="e">
        <f>Period_Y</f>
        <v>#REF!</v>
      </c>
      <c r="DN6" s="447" t="e">
        <f>SUM(DO6:FT6)</f>
        <v>#REF!</v>
      </c>
      <c r="DO6" s="440" t="e">
        <f t="shared" ref="DO6:ET6" si="2">IF(DO3=0,"",Period_Roll)</f>
        <v>#REF!</v>
      </c>
      <c r="DP6" s="353" t="e">
        <f t="shared" si="2"/>
        <v>#REF!</v>
      </c>
      <c r="DQ6" s="353" t="e">
        <f t="shared" si="2"/>
        <v>#REF!</v>
      </c>
      <c r="DR6" s="353" t="e">
        <f t="shared" si="2"/>
        <v>#REF!</v>
      </c>
      <c r="DS6" s="353" t="e">
        <f t="shared" si="2"/>
        <v>#REF!</v>
      </c>
      <c r="DT6" s="353" t="e">
        <f t="shared" si="2"/>
        <v>#REF!</v>
      </c>
      <c r="DU6" s="353" t="e">
        <f t="shared" si="2"/>
        <v>#REF!</v>
      </c>
      <c r="DV6" s="353" t="e">
        <f t="shared" si="2"/>
        <v>#REF!</v>
      </c>
      <c r="DW6" s="353" t="e">
        <f t="shared" si="2"/>
        <v>#REF!</v>
      </c>
      <c r="DX6" s="353" t="e">
        <f t="shared" si="2"/>
        <v>#REF!</v>
      </c>
      <c r="DY6" s="353" t="e">
        <f t="shared" si="2"/>
        <v>#REF!</v>
      </c>
      <c r="DZ6" s="353" t="e">
        <f t="shared" si="2"/>
        <v>#REF!</v>
      </c>
      <c r="EA6" s="353" t="e">
        <f t="shared" si="2"/>
        <v>#REF!</v>
      </c>
      <c r="EB6" s="353" t="e">
        <f t="shared" si="2"/>
        <v>#REF!</v>
      </c>
      <c r="EC6" s="353" t="e">
        <f t="shared" si="2"/>
        <v>#REF!</v>
      </c>
      <c r="ED6" s="353" t="e">
        <f t="shared" si="2"/>
        <v>#REF!</v>
      </c>
      <c r="EE6" s="353" t="e">
        <f t="shared" si="2"/>
        <v>#REF!</v>
      </c>
      <c r="EF6" s="353" t="e">
        <f t="shared" si="2"/>
        <v>#REF!</v>
      </c>
      <c r="EG6" s="353" t="e">
        <f t="shared" si="2"/>
        <v>#REF!</v>
      </c>
      <c r="EH6" s="353" t="e">
        <f t="shared" si="2"/>
        <v>#REF!</v>
      </c>
      <c r="EI6" s="353" t="e">
        <f t="shared" si="2"/>
        <v>#REF!</v>
      </c>
      <c r="EJ6" s="353" t="e">
        <f t="shared" si="2"/>
        <v>#REF!</v>
      </c>
      <c r="EK6" s="353" t="e">
        <f t="shared" si="2"/>
        <v>#REF!</v>
      </c>
      <c r="EL6" s="353" t="e">
        <f t="shared" si="2"/>
        <v>#REF!</v>
      </c>
      <c r="EM6" s="353" t="e">
        <f t="shared" si="2"/>
        <v>#REF!</v>
      </c>
      <c r="EN6" s="353" t="e">
        <f t="shared" si="2"/>
        <v>#REF!</v>
      </c>
      <c r="EO6" s="353" t="e">
        <f t="shared" si="2"/>
        <v>#REF!</v>
      </c>
      <c r="EP6" s="353" t="e">
        <f t="shared" si="2"/>
        <v>#REF!</v>
      </c>
      <c r="EQ6" s="353" t="e">
        <f t="shared" si="2"/>
        <v>#REF!</v>
      </c>
      <c r="ER6" s="353" t="e">
        <f t="shared" si="2"/>
        <v>#REF!</v>
      </c>
      <c r="ES6" s="353" t="e">
        <f t="shared" si="2"/>
        <v>#REF!</v>
      </c>
      <c r="ET6" s="353" t="e">
        <f t="shared" si="2"/>
        <v>#REF!</v>
      </c>
      <c r="EU6" s="353" t="e">
        <f t="shared" ref="EU6:FT6" si="3">IF(EU3=0,"",Period_Roll)</f>
        <v>#REF!</v>
      </c>
      <c r="EV6" s="353" t="e">
        <f t="shared" si="3"/>
        <v>#REF!</v>
      </c>
      <c r="EW6" s="353" t="e">
        <f t="shared" si="3"/>
        <v>#REF!</v>
      </c>
      <c r="EX6" s="353" t="e">
        <f t="shared" si="3"/>
        <v>#REF!</v>
      </c>
      <c r="EY6" s="353" t="e">
        <f t="shared" si="3"/>
        <v>#REF!</v>
      </c>
      <c r="EZ6" s="353" t="e">
        <f t="shared" si="3"/>
        <v>#REF!</v>
      </c>
      <c r="FA6" s="353" t="e">
        <f t="shared" si="3"/>
        <v>#REF!</v>
      </c>
      <c r="FB6" s="353" t="e">
        <f t="shared" si="3"/>
        <v>#REF!</v>
      </c>
      <c r="FC6" s="353" t="e">
        <f t="shared" si="3"/>
        <v>#REF!</v>
      </c>
      <c r="FD6" s="353" t="e">
        <f t="shared" si="3"/>
        <v>#REF!</v>
      </c>
      <c r="FE6" s="353" t="e">
        <f t="shared" si="3"/>
        <v>#REF!</v>
      </c>
      <c r="FF6" s="353" t="e">
        <f t="shared" si="3"/>
        <v>#REF!</v>
      </c>
      <c r="FG6" s="353" t="e">
        <f t="shared" si="3"/>
        <v>#REF!</v>
      </c>
      <c r="FH6" s="353" t="e">
        <f t="shared" si="3"/>
        <v>#REF!</v>
      </c>
      <c r="FI6" s="353" t="e">
        <f t="shared" si="3"/>
        <v>#REF!</v>
      </c>
      <c r="FJ6" s="353" t="e">
        <f t="shared" si="3"/>
        <v>#REF!</v>
      </c>
      <c r="FK6" s="353" t="e">
        <f t="shared" si="3"/>
        <v>#REF!</v>
      </c>
      <c r="FL6" s="353" t="e">
        <f t="shared" si="3"/>
        <v>#REF!</v>
      </c>
      <c r="FM6" s="414" t="e">
        <f t="shared" si="3"/>
        <v>#REF!</v>
      </c>
      <c r="FN6" s="356" t="e">
        <f t="shared" si="3"/>
        <v>#REF!</v>
      </c>
      <c r="FO6" s="353" t="e">
        <f t="shared" si="3"/>
        <v>#REF!</v>
      </c>
      <c r="FP6" s="353" t="e">
        <f t="shared" si="3"/>
        <v>#REF!</v>
      </c>
      <c r="FQ6" s="353" t="e">
        <f t="shared" si="3"/>
        <v>#REF!</v>
      </c>
      <c r="FR6" s="353" t="e">
        <f t="shared" si="3"/>
        <v>#REF!</v>
      </c>
      <c r="FS6" s="353" t="e">
        <f t="shared" si="3"/>
        <v>#REF!</v>
      </c>
      <c r="FT6" s="417" t="e">
        <f t="shared" si="3"/>
        <v>#REF!</v>
      </c>
      <c r="FU6" s="1"/>
    </row>
    <row r="7" spans="1:177" s="3" customFormat="1" ht="34.5" thickBot="1">
      <c r="B7" s="93" t="s">
        <v>122</v>
      </c>
      <c r="C7" s="95" t="s">
        <v>11</v>
      </c>
      <c r="D7" s="28"/>
      <c r="E7" s="502"/>
      <c r="F7" s="502"/>
      <c r="G7" s="502"/>
      <c r="H7" s="502"/>
      <c r="I7" s="90" t="e">
        <f>Period_Y&amp;" Company Level Data"</f>
        <v>#REF!</v>
      </c>
      <c r="J7" s="91"/>
      <c r="K7" s="92"/>
      <c r="L7" s="29" t="e">
        <f>LEFT(M7,4)-1&amp;"Y"</f>
        <v>#REF!</v>
      </c>
      <c r="M7" s="30" t="e">
        <f>LEFT(N7,4)-1&amp;"Y"</f>
        <v>#REF!</v>
      </c>
      <c r="N7" s="30" t="e">
        <f>LEFT(O7,4)-1&amp;"Y"</f>
        <v>#REF!</v>
      </c>
      <c r="O7" s="30" t="e">
        <f>LEFT(P7,4)-1&amp;"Y"</f>
        <v>#REF!</v>
      </c>
      <c r="P7" s="31" t="e">
        <f>Period_Y</f>
        <v>#REF!</v>
      </c>
      <c r="Q7" s="47" t="e">
        <f>LEFT(R7,4)-1&amp;"Y"</f>
        <v>#REF!</v>
      </c>
      <c r="R7" s="32" t="e">
        <f>LEFT(S7,4)-1&amp;"Y"</f>
        <v>#REF!</v>
      </c>
      <c r="S7" s="30" t="e">
        <f>LEFT(T7,4)-1&amp;"Y"</f>
        <v>#REF!</v>
      </c>
      <c r="T7" s="30" t="e">
        <f>LEFT(U7,4)-1&amp;"Y"</f>
        <v>#REF!</v>
      </c>
      <c r="U7" s="30" t="e">
        <f>LEFT(V7,4)-1&amp;"Y"</f>
        <v>#REF!</v>
      </c>
      <c r="V7" s="50" t="e">
        <f>Period_Y</f>
        <v>#REF!</v>
      </c>
      <c r="W7" s="51" t="s">
        <v>118</v>
      </c>
      <c r="X7" s="29" t="e">
        <f>LEFT(Y7,4)-1&amp;"Y"</f>
        <v>#REF!</v>
      </c>
      <c r="Y7" s="30" t="e">
        <f>LEFT(Z7,4)-1&amp;"Y"</f>
        <v>#REF!</v>
      </c>
      <c r="Z7" s="30" t="e">
        <f>LEFT(AA7,4)-1&amp;"Y"</f>
        <v>#REF!</v>
      </c>
      <c r="AA7" s="30" t="e">
        <f>LEFT(AB7,4)-1&amp;"Y"</f>
        <v>#REF!</v>
      </c>
      <c r="AB7" s="50" t="e">
        <f>Period_Y</f>
        <v>#REF!</v>
      </c>
      <c r="AC7" s="52" t="s">
        <v>134</v>
      </c>
      <c r="AD7" s="31" t="s">
        <v>135</v>
      </c>
      <c r="AE7" s="29" t="e">
        <f>LEFT(AF7,4)-1&amp;"Y"</f>
        <v>#REF!</v>
      </c>
      <c r="AF7" s="30" t="e">
        <f>LEFT(AG7,4)-1&amp;"Y"</f>
        <v>#REF!</v>
      </c>
      <c r="AG7" s="30" t="e">
        <f>LEFT(AH7,4)-1&amp;"Y"</f>
        <v>#REF!</v>
      </c>
      <c r="AH7" s="30" t="e">
        <f>LEFT(AI7,4)-1&amp;"Y"</f>
        <v>#REF!</v>
      </c>
      <c r="AI7" s="31" t="e">
        <f>Period_Y</f>
        <v>#REF!</v>
      </c>
      <c r="AJ7" s="29" t="e">
        <f>LEFT(AK7,4)-1&amp;"Y"</f>
        <v>#REF!</v>
      </c>
      <c r="AK7" s="30" t="e">
        <f>LEFT(AL7,4)-1&amp;"Y"</f>
        <v>#REF!</v>
      </c>
      <c r="AL7" s="30" t="e">
        <f>LEFT(AM7,4)-1&amp;"Y"</f>
        <v>#REF!</v>
      </c>
      <c r="AM7" s="30" t="e">
        <f>LEFT(AN7,4)-1&amp;"Y"</f>
        <v>#REF!</v>
      </c>
      <c r="AN7" s="31" t="e">
        <f>Period_Y</f>
        <v>#REF!</v>
      </c>
      <c r="AO7" s="32" t="e">
        <f>LEFT(AP7,4)-1&amp;"Y"</f>
        <v>#REF!</v>
      </c>
      <c r="AP7" s="30" t="e">
        <f>LEFT(AQ7,4)-1&amp;"Y"</f>
        <v>#REF!</v>
      </c>
      <c r="AQ7" s="30" t="e">
        <f>LEFT(AR7,4)-1&amp;"Y"</f>
        <v>#REF!</v>
      </c>
      <c r="AR7" s="30" t="e">
        <f>LEFT(AS7,4)-1&amp;"Y"</f>
        <v>#REF!</v>
      </c>
      <c r="AS7" s="31" t="e">
        <f>Period_Y</f>
        <v>#REF!</v>
      </c>
      <c r="BD7" s="478"/>
      <c r="BE7" s="93" t="s">
        <v>122</v>
      </c>
      <c r="BF7" s="95" t="s">
        <v>11</v>
      </c>
      <c r="BG7" s="28" t="s">
        <v>111</v>
      </c>
      <c r="BH7" s="502"/>
      <c r="BI7" s="502"/>
      <c r="BJ7" s="502"/>
      <c r="BK7" s="502"/>
      <c r="BL7" s="90" t="e">
        <f>Period_Y&amp;" Company Level Data"</f>
        <v>#REF!</v>
      </c>
      <c r="BM7" s="91"/>
      <c r="BN7" s="92"/>
      <c r="BO7" s="29" t="e">
        <f>LEFT(BP7,4)-1&amp;"Y"</f>
        <v>#REF!</v>
      </c>
      <c r="BP7" s="30" t="e">
        <f>LEFT(BQ7,4)-1&amp;"Y"</f>
        <v>#REF!</v>
      </c>
      <c r="BQ7" s="30" t="e">
        <f>LEFT(BR7,4)-1&amp;"Y"</f>
        <v>#REF!</v>
      </c>
      <c r="BR7" s="30" t="e">
        <f>LEFT(BS7,4)-1&amp;"Y"</f>
        <v>#REF!</v>
      </c>
      <c r="BS7" s="31" t="e">
        <f>Period_Y</f>
        <v>#REF!</v>
      </c>
      <c r="BT7" s="47" t="e">
        <f>LEFT(BU7,4)-1&amp;"Y"</f>
        <v>#REF!</v>
      </c>
      <c r="BU7" s="32" t="e">
        <f>LEFT(BV7,4)-1&amp;"Y"</f>
        <v>#REF!</v>
      </c>
      <c r="BV7" s="30" t="e">
        <f>LEFT(BW7,4)-1&amp;"Y"</f>
        <v>#REF!</v>
      </c>
      <c r="BW7" s="30" t="e">
        <f>LEFT(BX7,4)-1&amp;"Y"</f>
        <v>#REF!</v>
      </c>
      <c r="BX7" s="30" t="e">
        <f>LEFT(BY7,4)-1&amp;"Y"</f>
        <v>#REF!</v>
      </c>
      <c r="BY7" s="50" t="e">
        <f>Period_Y</f>
        <v>#REF!</v>
      </c>
      <c r="BZ7" s="51" t="s">
        <v>118</v>
      </c>
      <c r="CA7" s="29" t="e">
        <f>LEFT(CB7,4)-1&amp;"Y"</f>
        <v>#REF!</v>
      </c>
      <c r="CB7" s="30" t="e">
        <f>LEFT(CC7,4)-1&amp;"Y"</f>
        <v>#REF!</v>
      </c>
      <c r="CC7" s="30" t="e">
        <f>LEFT(CD7,4)-1&amp;"Y"</f>
        <v>#REF!</v>
      </c>
      <c r="CD7" s="30" t="e">
        <f>LEFT(CE7,4)-1&amp;"Y"</f>
        <v>#REF!</v>
      </c>
      <c r="CE7" s="50" t="e">
        <f>Period_Y</f>
        <v>#REF!</v>
      </c>
      <c r="CF7" s="52" t="s">
        <v>134</v>
      </c>
      <c r="CG7" s="31" t="s">
        <v>135</v>
      </c>
      <c r="CH7" s="29" t="e">
        <f>LEFT(CI7,4)-1&amp;"Y"</f>
        <v>#REF!</v>
      </c>
      <c r="CI7" s="30" t="e">
        <f>LEFT(CJ7,4)-1&amp;"Y"</f>
        <v>#REF!</v>
      </c>
      <c r="CJ7" s="30" t="e">
        <f>LEFT(CK7,4)-1&amp;"Y"</f>
        <v>#REF!</v>
      </c>
      <c r="CK7" s="30" t="e">
        <f>LEFT(CL7,4)-1&amp;"Y"</f>
        <v>#REF!</v>
      </c>
      <c r="CL7" s="31" t="e">
        <f>Period_Y</f>
        <v>#REF!</v>
      </c>
      <c r="CM7" s="29" t="e">
        <f>LEFT(CN7,4)-1&amp;"Y"</f>
        <v>#REF!</v>
      </c>
      <c r="CN7" s="30" t="e">
        <f>LEFT(CO7,4)-1&amp;"Y"</f>
        <v>#REF!</v>
      </c>
      <c r="CO7" s="30" t="e">
        <f>LEFT(CP7,4)-1&amp;"Y"</f>
        <v>#REF!</v>
      </c>
      <c r="CP7" s="30" t="e">
        <f>LEFT(CQ7,4)-1&amp;"Y"</f>
        <v>#REF!</v>
      </c>
      <c r="CQ7" s="31" t="e">
        <f>Period_Y</f>
        <v>#REF!</v>
      </c>
      <c r="CR7" s="32" t="e">
        <f>LEFT(CS7,4)-1&amp;"Y"</f>
        <v>#REF!</v>
      </c>
      <c r="CS7" s="30" t="e">
        <f>LEFT(CT7,4)-1&amp;"Y"</f>
        <v>#REF!</v>
      </c>
      <c r="CT7" s="30" t="e">
        <f>LEFT(CU7,4)-1&amp;"Y"</f>
        <v>#REF!</v>
      </c>
      <c r="CU7" s="30" t="e">
        <f>LEFT(CV7,4)-1&amp;"Y"</f>
        <v>#REF!</v>
      </c>
      <c r="CV7" s="31" t="e">
        <f>Period_Y</f>
        <v>#REF!</v>
      </c>
      <c r="CZ7" s="473" t="s">
        <v>108</v>
      </c>
      <c r="DA7" s="442">
        <v>120036</v>
      </c>
      <c r="DB7" s="442" t="e">
        <f>LEFT(DB6,4)-1&amp;"Y"</f>
        <v>#REF!</v>
      </c>
      <c r="DD7" s="497"/>
      <c r="DE7" s="449"/>
      <c r="DF7" s="422"/>
      <c r="DG7" s="420"/>
      <c r="DH7" s="420"/>
      <c r="DI7" s="420"/>
      <c r="DJ7" s="420"/>
      <c r="DK7" s="420"/>
      <c r="DL7" s="418"/>
      <c r="DM7" s="421"/>
      <c r="DN7" s="421"/>
      <c r="DO7" s="441" t="e">
        <f>IF(AND(State_LOB_Code=18,LEFT(DO6,4)&lt;"2009"),81,State_LOB_Code)&amp;"|333"</f>
        <v>#REF!</v>
      </c>
      <c r="DP7" s="418" t="e">
        <f>IF(AND(State_LOB_Code=18,LEFT(DP6,4)&lt;"2009"),81,State_LOB_Code)&amp;"|334"</f>
        <v>#REF!</v>
      </c>
      <c r="DQ7" s="418" t="e">
        <f>IF(AND(State_LOB_Code=18,LEFT(DQ6,4)&lt;"2009"),81,State_LOB_Code)&amp;"|335"</f>
        <v>#REF!</v>
      </c>
      <c r="DR7" s="418" t="e">
        <f>IF(AND(State_LOB_Code=18,LEFT(DR6,4)&lt;"2009"),81,State_LOB_Code)&amp;"|337"</f>
        <v>#REF!</v>
      </c>
      <c r="DS7" s="418" t="e">
        <f>IF(AND(State_LOB_Code=18,LEFT(DS6,4)&lt;"2009"),81,State_LOB_Code)&amp;"|338"</f>
        <v>#REF!</v>
      </c>
      <c r="DT7" s="418" t="e">
        <f>IF(AND(State_LOB_Code=18,LEFT(DT6,4)&lt;"2009"),81,State_LOB_Code)&amp;"|339"</f>
        <v>#REF!</v>
      </c>
      <c r="DU7" s="418" t="e">
        <f>IF(AND(State_LOB_Code=18,LEFT(DU6,4)&lt;"2009"),81,State_LOB_Code)&amp;"|340"</f>
        <v>#REF!</v>
      </c>
      <c r="DV7" s="418" t="e">
        <f>IF(AND(State_LOB_Code=18,LEFT(DV6,4)&lt;"2009"),81,State_LOB_Code)&amp;"|341"</f>
        <v>#REF!</v>
      </c>
      <c r="DW7" s="418" t="e">
        <f>IF(AND(State_LOB_Code=18,LEFT(DW6,4)&lt;"2009"),81,State_LOB_Code)&amp;"|342"</f>
        <v>#REF!</v>
      </c>
      <c r="DX7" s="418" t="e">
        <f>IF(AND(State_LOB_Code=18,LEFT(DX6,4)&lt;"2009"),81,State_LOB_Code)&amp;"|343"</f>
        <v>#REF!</v>
      </c>
      <c r="DY7" s="418" t="e">
        <f>IF(AND(State_LOB_Code=18,LEFT(DY6,4)&lt;"2009"),81,State_LOB_Code)&amp;"|344"</f>
        <v>#REF!</v>
      </c>
      <c r="DZ7" s="418" t="e">
        <f>IF(AND(State_LOB_Code=18,LEFT(DZ6,4)&lt;"2009"),81,State_LOB_Code)&amp;"|346"</f>
        <v>#REF!</v>
      </c>
      <c r="EA7" s="418" t="e">
        <f>IF(AND(State_LOB_Code=18,LEFT(EA6,4)&lt;"2009"),81,State_LOB_Code)&amp;"|347"</f>
        <v>#REF!</v>
      </c>
      <c r="EB7" s="418" t="e">
        <f>IF(AND(State_LOB_Code=18,LEFT(EB6,4)&lt;"2009"),81,State_LOB_Code)&amp;"|348"</f>
        <v>#REF!</v>
      </c>
      <c r="EC7" s="418" t="e">
        <f>IF(AND(State_LOB_Code=18,LEFT(EC6,4)&lt;"2009"),81,State_LOB_Code)&amp;"|349"</f>
        <v>#REF!</v>
      </c>
      <c r="ED7" s="418" t="e">
        <f>IF(AND(State_LOB_Code=18,LEFT(ED6,4)&lt;"2009"),81,State_LOB_Code)&amp;"|350"</f>
        <v>#REF!</v>
      </c>
      <c r="EE7" s="418" t="e">
        <f>IF(AND(State_LOB_Code=18,LEFT(EE6,4)&lt;"2009"),81,State_LOB_Code)&amp;"|351"</f>
        <v>#REF!</v>
      </c>
      <c r="EF7" s="418" t="e">
        <f>IF(AND(State_LOB_Code=18,LEFT(EF6,4)&lt;"2009"),81,State_LOB_Code)&amp;"|352"</f>
        <v>#REF!</v>
      </c>
      <c r="EG7" s="418" t="e">
        <f>IF(AND(State_LOB_Code=18,LEFT(EG6,4)&lt;"2009"),81,State_LOB_Code)&amp;"|353"</f>
        <v>#REF!</v>
      </c>
      <c r="EH7" s="418" t="e">
        <f>IF(AND(State_LOB_Code=18,LEFT(EH6,4)&lt;"2009"),81,State_LOB_Code)&amp;"|354"</f>
        <v>#REF!</v>
      </c>
      <c r="EI7" s="418" t="e">
        <f>IF(AND(State_LOB_Code=18,LEFT(EI6,4)&lt;"2009"),81,State_LOB_Code)&amp;"|355"</f>
        <v>#REF!</v>
      </c>
      <c r="EJ7" s="418" t="e">
        <f>IF(AND(State_LOB_Code=18,LEFT(EJ6,4)&lt;"2009"),81,State_LOB_Code)&amp;"|356"</f>
        <v>#REF!</v>
      </c>
      <c r="EK7" s="418" t="e">
        <f>IF(AND(State_LOB_Code=18,LEFT(EK6,4)&lt;"2009"),81,State_LOB_Code)&amp;"|357"</f>
        <v>#REF!</v>
      </c>
      <c r="EL7" s="418" t="e">
        <f>IF(AND(State_LOB_Code=18,LEFT(EL6,4)&lt;"2009"),81,State_LOB_Code)&amp;"|358"</f>
        <v>#REF!</v>
      </c>
      <c r="EM7" s="418" t="e">
        <f>IF(AND(State_LOB_Code=18,LEFT(EM6,4)&lt;"2009"),81,State_LOB_Code)&amp;"|359"</f>
        <v>#REF!</v>
      </c>
      <c r="EN7" s="418" t="e">
        <f>IF(AND(State_LOB_Code=18,LEFT(EN6,4)&lt;"2009"),81,State_LOB_Code)&amp;"|361"</f>
        <v>#REF!</v>
      </c>
      <c r="EO7" s="418" t="e">
        <f>IF(AND(State_LOB_Code=18,LEFT(EO6,4)&lt;"2009"),81,State_LOB_Code)&amp;"|362"</f>
        <v>#REF!</v>
      </c>
      <c r="EP7" s="418" t="e">
        <f>IF(AND(State_LOB_Code=18,LEFT(EP6,4)&lt;"2009"),81,State_LOB_Code)&amp;"|363"</f>
        <v>#REF!</v>
      </c>
      <c r="EQ7" s="418" t="e">
        <f>IF(AND(State_LOB_Code=18,LEFT(EQ6,4)&lt;"2009"),81,State_LOB_Code)&amp;"|364"</f>
        <v>#REF!</v>
      </c>
      <c r="ER7" s="418" t="e">
        <f>IF(AND(State_LOB_Code=18,LEFT(ER6,4)&lt;"2009"),81,State_LOB_Code)&amp;"|365"</f>
        <v>#REF!</v>
      </c>
      <c r="ES7" s="418" t="e">
        <f>IF(AND(State_LOB_Code=18,LEFT(ES6,4)&lt;"2009"),81,State_LOB_Code)&amp;"|366"</f>
        <v>#REF!</v>
      </c>
      <c r="ET7" s="418" t="e">
        <f>IF(AND(State_LOB_Code=18,LEFT(ET6,4)&lt;"2009"),81,State_LOB_Code)&amp;"|367"</f>
        <v>#REF!</v>
      </c>
      <c r="EU7" s="418" t="e">
        <f>IF(AND(State_LOB_Code=18,LEFT(EU6,4)&lt;"2009"),81,State_LOB_Code)&amp;"|368"</f>
        <v>#REF!</v>
      </c>
      <c r="EV7" s="418" t="e">
        <f>IF(AND(State_LOB_Code=18,LEFT(EV6,4)&lt;"2009"),81,State_LOB_Code)&amp;"|369"</f>
        <v>#REF!</v>
      </c>
      <c r="EW7" s="418" t="e">
        <f>IF(AND(State_LOB_Code=18,LEFT(EW6,4)&lt;"2009"),81,State_LOB_Code)&amp;"|370"</f>
        <v>#REF!</v>
      </c>
      <c r="EX7" s="418" t="e">
        <f>IF(AND(State_LOB_Code=18,LEFT(EX6,4)&lt;"2009"),81,State_LOB_Code)&amp;"|371"</f>
        <v>#REF!</v>
      </c>
      <c r="EY7" s="418" t="e">
        <f>IF(AND(State_LOB_Code=18,LEFT(EY6,4)&lt;"2009"),81,State_LOB_Code)&amp;"|372"</f>
        <v>#REF!</v>
      </c>
      <c r="EZ7" s="418" t="e">
        <f>IF(AND(State_LOB_Code=18,LEFT(EZ6,4)&lt;"2009"),81,State_LOB_Code)&amp;"|373"</f>
        <v>#REF!</v>
      </c>
      <c r="FA7" s="418" t="e">
        <f>IF(AND(State_LOB_Code=18,LEFT(FA6,4)&lt;"2009"),81,State_LOB_Code)&amp;"|374"</f>
        <v>#REF!</v>
      </c>
      <c r="FB7" s="418" t="e">
        <f>IF(AND(State_LOB_Code=18,LEFT(FB6,4)&lt;"2009"),81,State_LOB_Code)&amp;"|376"</f>
        <v>#REF!</v>
      </c>
      <c r="FC7" s="418" t="e">
        <f>IF(AND(State_LOB_Code=18,LEFT(FC6,4)&lt;"2009"),81,State_LOB_Code)&amp;"|377"</f>
        <v>#REF!</v>
      </c>
      <c r="FD7" s="418" t="e">
        <f>IF(AND(State_LOB_Code=18,LEFT(FD6,4)&lt;"2009"),81,State_LOB_Code)&amp;"|378"</f>
        <v>#REF!</v>
      </c>
      <c r="FE7" s="418" t="e">
        <f>IF(AND(State_LOB_Code=18,LEFT(FE6,4)&lt;"2009"),81,State_LOB_Code)&amp;"|379"</f>
        <v>#REF!</v>
      </c>
      <c r="FF7" s="418" t="e">
        <f>IF(AND(State_LOB_Code=18,LEFT(FF6,4)&lt;"2009"),81,State_LOB_Code)&amp;"|380"</f>
        <v>#REF!</v>
      </c>
      <c r="FG7" s="418" t="e">
        <f>IF(AND(State_LOB_Code=18,LEFT(FG6,4)&lt;"2009"),81,State_LOB_Code)&amp;"|381"</f>
        <v>#REF!</v>
      </c>
      <c r="FH7" s="418" t="e">
        <f>IF(AND(State_LOB_Code=18,LEFT(FH6,4)&lt;"2009"),81,State_LOB_Code)&amp;"|382"</f>
        <v>#REF!</v>
      </c>
      <c r="FI7" s="418" t="e">
        <f>IF(AND(State_LOB_Code=18,LEFT(FI6,4)&lt;"2009"),81,State_LOB_Code)&amp;"|384"</f>
        <v>#REF!</v>
      </c>
      <c r="FJ7" s="418" t="e">
        <f>IF(AND(State_LOB_Code=18,LEFT(FJ6,4)&lt;"2009"),81,State_LOB_Code)&amp;"|385"</f>
        <v>#REF!</v>
      </c>
      <c r="FK7" s="418" t="e">
        <f>IF(AND(State_LOB_Code=18,LEFT(FK6,4)&lt;"2009"),81,State_LOB_Code)&amp;"|386"</f>
        <v>#REF!</v>
      </c>
      <c r="FL7" s="418" t="e">
        <f>IF(AND(State_LOB_Code=18,LEFT(FL6,4)&lt;"2009"),81,State_LOB_Code)&amp;"|387"</f>
        <v>#REF!</v>
      </c>
      <c r="FM7" s="419" t="e">
        <f>IF(AND(State_LOB_Code=18,LEFT(FM6,4)&lt;"2009"),81,State_LOB_Code)&amp;"|388"</f>
        <v>#REF!</v>
      </c>
      <c r="FN7" s="420" t="e">
        <f>IF(AND(State_LOB_Code=18,LEFT(FN6,4)&lt;"2009"),81,State_LOB_Code)&amp;"|336"</f>
        <v>#REF!</v>
      </c>
      <c r="FO7" s="418" t="e">
        <f>IF(AND(State_LOB_Code=18,LEFT(FO6,4)&lt;"2009"),81,State_LOB_Code)&amp;"|345"</f>
        <v>#REF!</v>
      </c>
      <c r="FP7" s="418" t="e">
        <f>IF(AND(State_LOB_Code=18,LEFT(FP6,4)&lt;"2009"),81,State_LOB_Code)&amp;"|360"</f>
        <v>#REF!</v>
      </c>
      <c r="FQ7" s="418" t="e">
        <f>IF(AND(State_LOB_Code=18,LEFT(FQ6,4)&lt;"2009"),81,State_LOB_Code)&amp;"|375"</f>
        <v>#REF!</v>
      </c>
      <c r="FR7" s="418" t="e">
        <f>IF(AND(State_LOB_Code=18,LEFT(FR6,4)&lt;"2009"),81,State_LOB_Code)&amp;"|383"</f>
        <v>#REF!</v>
      </c>
      <c r="FS7" s="418" t="e">
        <f>IF(AND(State_LOB_Code=18,LEFT(FS6,4)&lt;"2009"),81,State_LOB_Code)&amp;"|332"</f>
        <v>#REF!</v>
      </c>
      <c r="FT7" s="421" t="e">
        <f>IF(AND(State_LOB_Code=18,LEFT(FT6,4)&lt;"2009"),81,State_LOB_Code)&amp;"|330"</f>
        <v>#REF!</v>
      </c>
      <c r="FU7" s="1"/>
    </row>
    <row r="8" spans="1:177" s="27" customFormat="1" ht="8.1" customHeight="1" thickTop="1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BD8" s="479"/>
      <c r="BE8" s="68"/>
      <c r="BF8" s="68"/>
      <c r="BG8" s="68"/>
      <c r="BH8" s="506"/>
      <c r="BI8" s="506"/>
      <c r="BJ8" s="506"/>
      <c r="BK8" s="506"/>
      <c r="BL8" s="114"/>
      <c r="BM8" s="26"/>
      <c r="BN8" s="26"/>
      <c r="BO8" s="114"/>
      <c r="BP8" s="426"/>
      <c r="BQ8" s="426"/>
      <c r="BR8" s="429"/>
      <c r="BS8" s="426"/>
      <c r="BT8" s="432"/>
      <c r="BU8" s="432"/>
      <c r="BV8" s="434"/>
      <c r="BW8" s="434"/>
      <c r="BX8" s="434"/>
      <c r="BY8" s="434"/>
      <c r="BZ8" s="434"/>
      <c r="CA8" s="437"/>
      <c r="CB8" s="434"/>
      <c r="CC8" s="434"/>
      <c r="CD8" s="434"/>
      <c r="CE8" s="434"/>
      <c r="CF8" s="434"/>
      <c r="CG8" s="439"/>
      <c r="CH8" s="437"/>
      <c r="CI8" s="434"/>
      <c r="CJ8" s="434"/>
      <c r="CK8" s="434"/>
      <c r="CL8" s="434"/>
      <c r="CM8" s="437"/>
      <c r="CN8" s="434"/>
      <c r="CO8" s="434"/>
      <c r="CP8" s="26"/>
      <c r="CQ8" s="26"/>
      <c r="CR8" s="114"/>
      <c r="CS8" s="26"/>
      <c r="CT8" s="26"/>
      <c r="CU8" s="26"/>
      <c r="CV8" s="115"/>
      <c r="CZ8" s="3"/>
      <c r="DA8" s="455"/>
      <c r="DB8" s="442" t="e">
        <f>LEFT(DB7,4)-1&amp;"Y"</f>
        <v>#REF!</v>
      </c>
      <c r="DD8" s="498"/>
      <c r="DE8" s="450"/>
      <c r="DF8" s="451"/>
      <c r="DG8" s="451"/>
      <c r="DH8" s="451"/>
      <c r="DI8" s="451"/>
      <c r="DJ8" s="451"/>
      <c r="DK8" s="451"/>
      <c r="DL8" s="451"/>
      <c r="DM8" s="451"/>
      <c r="DN8" s="451"/>
      <c r="DO8" s="451"/>
      <c r="DP8" s="451"/>
      <c r="DQ8" s="451"/>
      <c r="DR8" s="451"/>
      <c r="DS8" s="451"/>
      <c r="DT8" s="451"/>
      <c r="DU8" s="451"/>
      <c r="DV8" s="451"/>
      <c r="DW8" s="451"/>
      <c r="DX8" s="451"/>
      <c r="DY8" s="451"/>
      <c r="DZ8" s="451"/>
      <c r="EA8" s="451"/>
      <c r="EB8" s="451"/>
      <c r="EC8" s="451"/>
      <c r="ED8" s="451"/>
      <c r="EE8" s="451"/>
      <c r="EF8" s="451"/>
      <c r="EG8" s="451"/>
      <c r="EH8" s="451"/>
      <c r="EI8" s="451"/>
      <c r="EJ8" s="451"/>
      <c r="EK8" s="451"/>
      <c r="EL8" s="451"/>
      <c r="EM8" s="451"/>
      <c r="EN8" s="451"/>
      <c r="EO8" s="451"/>
      <c r="EP8" s="451"/>
      <c r="EQ8" s="451"/>
      <c r="ER8" s="451"/>
      <c r="ES8" s="451"/>
      <c r="ET8" s="451"/>
      <c r="EU8" s="451"/>
      <c r="EV8" s="451"/>
      <c r="EW8" s="451"/>
      <c r="EX8" s="451"/>
      <c r="EY8" s="451"/>
      <c r="EZ8" s="451"/>
      <c r="FA8" s="451"/>
      <c r="FB8" s="451"/>
      <c r="FC8" s="451"/>
      <c r="FD8" s="451"/>
      <c r="FE8" s="451"/>
      <c r="FF8" s="451"/>
      <c r="FG8" s="451"/>
      <c r="FH8" s="451"/>
      <c r="FI8" s="451"/>
      <c r="FJ8" s="451"/>
      <c r="FK8" s="451"/>
      <c r="FL8" s="451"/>
      <c r="FM8" s="451"/>
      <c r="FN8" s="451"/>
      <c r="FO8" s="451"/>
      <c r="FP8" s="451"/>
      <c r="FQ8" s="451"/>
      <c r="FR8" s="451"/>
      <c r="FS8" s="451"/>
      <c r="FT8" s="452"/>
      <c r="FU8" s="1"/>
    </row>
    <row r="9" spans="1:177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BE9" s="96"/>
      <c r="BF9" s="24"/>
      <c r="BG9" s="44"/>
      <c r="BH9" s="507"/>
      <c r="BI9" s="507"/>
      <c r="BJ9" s="507"/>
      <c r="BK9" s="507"/>
      <c r="BL9" s="54"/>
      <c r="BM9" s="55"/>
      <c r="BN9" s="56"/>
      <c r="BO9" s="150" t="str">
        <f t="shared" ref="BO9:BQ11" si="4">IF(ISERROR(BU9/BU$11),"NA",100*BU9/BU$11)</f>
        <v>NA</v>
      </c>
      <c r="BP9" s="151" t="str">
        <f t="shared" si="4"/>
        <v>NA</v>
      </c>
      <c r="BQ9" s="151" t="str">
        <f t="shared" si="4"/>
        <v>NA</v>
      </c>
      <c r="BR9" s="151" t="str">
        <f t="shared" ref="BR9:BS11" si="5">IF(ISERROR(BX9/BX$11),"NA",100*BX9/BX$11)</f>
        <v>NA</v>
      </c>
      <c r="BS9" s="152" t="str">
        <f t="shared" si="5"/>
        <v>NA</v>
      </c>
      <c r="BT9" s="48"/>
      <c r="BU9" s="57"/>
      <c r="BV9" s="55"/>
      <c r="BW9" s="55"/>
      <c r="BX9" s="55"/>
      <c r="BY9" s="73"/>
      <c r="BZ9" s="156" t="str">
        <f>IF(ISERROR((BY9/BT9)^(1/5)-1),"NA",IF(ABS(100*((BY9/BT9)^(1/5)-1))&gt;999,"NM",100*((BY9/BT9)^(1/5)-1)))</f>
        <v>NA</v>
      </c>
      <c r="CA9" s="150" t="str">
        <f t="shared" ref="CA9:CC11" si="6">IF(ISERROR(CM9/(CH9-CR9)),"NA",100*CM9/(CH9-CR9))</f>
        <v>NA</v>
      </c>
      <c r="CB9" s="151" t="str">
        <f t="shared" si="6"/>
        <v>NA</v>
      </c>
      <c r="CC9" s="151" t="str">
        <f t="shared" si="6"/>
        <v>NA</v>
      </c>
      <c r="CD9" s="151" t="str">
        <f t="shared" ref="CD9:CE11" si="7">IF(ISERROR(CP9/(CK9-CU9)),"NA",100*CP9/(CK9-CU9))</f>
        <v>NA</v>
      </c>
      <c r="CE9" s="157" t="str">
        <f t="shared" si="7"/>
        <v>NA</v>
      </c>
      <c r="CF9" s="158" t="str">
        <f>IF(ISERROR(SUM(CO9:CQ9)/(SUM(CJ9:CL9)-SUM(CT9:CV9))),"NA",100*SUM(CO9:CQ9)/(SUM(CJ9:CL9)-SUM(CT9:CV9)))</f>
        <v>NA</v>
      </c>
      <c r="CG9" s="152" t="str">
        <f>IF(ISERROR(SUM(CM9:CQ9)/(SUM(CH9:CL9)-SUM(CR9:CV9))),"NA",100*SUM(CM9:CQ9)/(SUM(CH9:CL9)-SUM(CR9:CV9)))</f>
        <v>NA</v>
      </c>
      <c r="CH9" s="54"/>
      <c r="CI9" s="55"/>
      <c r="CJ9" s="55"/>
      <c r="CK9" s="55"/>
      <c r="CL9" s="56"/>
      <c r="CM9" s="54"/>
      <c r="CN9" s="55"/>
      <c r="CO9" s="55"/>
      <c r="CP9" s="55"/>
      <c r="CQ9" s="56"/>
      <c r="CR9" s="54"/>
      <c r="CS9" s="55"/>
      <c r="CT9" s="55"/>
      <c r="CU9" s="55"/>
      <c r="CV9" s="56"/>
      <c r="CZ9" s="3"/>
      <c r="DA9" s="455"/>
      <c r="DB9" s="442" t="e">
        <f>LEFT(DB8,4)-1&amp;"Y"</f>
        <v>#REF!</v>
      </c>
      <c r="DD9" s="96" t="str">
        <f ca="1">IF(ISERROR(MATCH($DN$9,OFFSET($DN$13,0,0,$DF$4,1),0)),"--",MATCH($DN$9,OFFSET($DN$13,0,0,$DF$4,1),0))</f>
        <v>--</v>
      </c>
      <c r="DE9" s="24" t="e">
        <f>Entity_Name</f>
        <v>#REF!</v>
      </c>
      <c r="DF9" s="44" t="s">
        <v>117</v>
      </c>
      <c r="DG9" s="456"/>
      <c r="DH9" s="456"/>
      <c r="DI9" s="456"/>
      <c r="DJ9" s="456"/>
      <c r="DK9" s="456"/>
      <c r="DL9" s="456"/>
      <c r="DM9" s="456"/>
      <c r="DN9" s="466">
        <f>SUM(DO9:FT9)</f>
        <v>0</v>
      </c>
      <c r="DO9" s="456"/>
      <c r="DP9" s="456"/>
      <c r="DQ9" s="456"/>
      <c r="DR9" s="459"/>
      <c r="DS9" s="459"/>
      <c r="DT9" s="459"/>
      <c r="DU9" s="459"/>
      <c r="DV9" s="456"/>
      <c r="DW9" s="456"/>
      <c r="DX9" s="459"/>
      <c r="DY9" s="459"/>
      <c r="DZ9" s="459"/>
      <c r="EA9" s="456"/>
      <c r="EB9" s="459"/>
      <c r="EC9" s="456"/>
      <c r="ED9" s="456"/>
      <c r="EE9" s="456"/>
      <c r="EF9" s="456"/>
      <c r="EG9" s="459"/>
      <c r="EH9" s="459"/>
      <c r="EI9" s="456"/>
      <c r="EJ9" s="459"/>
      <c r="EK9" s="456"/>
      <c r="EL9" s="456"/>
      <c r="EM9" s="456"/>
      <c r="EN9" s="459"/>
      <c r="EO9" s="459"/>
      <c r="EP9" s="459"/>
      <c r="EQ9" s="456"/>
      <c r="ER9" s="456"/>
      <c r="ES9" s="459"/>
      <c r="ET9" s="456"/>
      <c r="EU9" s="459"/>
      <c r="EV9" s="459"/>
      <c r="EW9" s="456"/>
      <c r="EX9" s="456"/>
      <c r="EY9" s="459"/>
      <c r="EZ9" s="459"/>
      <c r="FA9" s="456"/>
      <c r="FB9" s="459"/>
      <c r="FC9" s="459"/>
      <c r="FD9" s="456"/>
      <c r="FE9" s="459"/>
      <c r="FF9" s="459"/>
      <c r="FG9" s="459"/>
      <c r="FH9" s="459"/>
      <c r="FI9" s="459"/>
      <c r="FJ9" s="459"/>
      <c r="FK9" s="456"/>
      <c r="FL9" s="456"/>
      <c r="FM9" s="459"/>
      <c r="FN9" s="459"/>
      <c r="FO9" s="459"/>
      <c r="FP9" s="459"/>
      <c r="FQ9" s="459"/>
      <c r="FR9" s="459"/>
      <c r="FS9" s="459"/>
      <c r="FT9" s="460"/>
    </row>
    <row r="10" spans="1:177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BE10" s="86"/>
      <c r="BF10" s="34"/>
      <c r="BG10" s="62"/>
      <c r="BH10" s="508"/>
      <c r="BI10" s="508"/>
      <c r="BJ10" s="508"/>
      <c r="BK10" s="508"/>
      <c r="BL10" s="69"/>
      <c r="BM10" s="70"/>
      <c r="BN10" s="71"/>
      <c r="BO10" s="132" t="str">
        <f t="shared" si="4"/>
        <v>NA</v>
      </c>
      <c r="BP10" s="133" t="str">
        <f t="shared" si="4"/>
        <v>NA</v>
      </c>
      <c r="BQ10" s="133" t="str">
        <f t="shared" si="4"/>
        <v>NA</v>
      </c>
      <c r="BR10" s="133" t="str">
        <f t="shared" si="5"/>
        <v>NA</v>
      </c>
      <c r="BS10" s="134" t="str">
        <f t="shared" si="5"/>
        <v>NA</v>
      </c>
      <c r="BT10" s="63"/>
      <c r="BU10" s="72"/>
      <c r="BV10" s="70"/>
      <c r="BW10" s="70"/>
      <c r="BX10" s="70"/>
      <c r="BY10" s="74"/>
      <c r="BZ10" s="143" t="str">
        <f>IF(ISERROR((BY10/BT10)^(1/5)-1),"NA",IF(ABS(100*((BY10/BT10)^(1/5)-1))&gt;999,"NM",100*((BY10/BT10)^(1/5)-1)))</f>
        <v>NA</v>
      </c>
      <c r="CA10" s="132" t="str">
        <f t="shared" si="6"/>
        <v>NA</v>
      </c>
      <c r="CB10" s="133" t="str">
        <f t="shared" si="6"/>
        <v>NA</v>
      </c>
      <c r="CC10" s="133" t="str">
        <f t="shared" si="6"/>
        <v>NA</v>
      </c>
      <c r="CD10" s="133" t="str">
        <f t="shared" si="7"/>
        <v>NA</v>
      </c>
      <c r="CE10" s="144" t="str">
        <f t="shared" si="7"/>
        <v>NA</v>
      </c>
      <c r="CF10" s="145" t="str">
        <f>IF(ISERROR(SUM(CO10:CQ10)/(SUM(CJ10:CL10)-SUM(CT10:CV10))),"NA",100*SUM(CO10:CQ10)/(SUM(CJ10:CL10)-SUM(CT10:CV10)))</f>
        <v>NA</v>
      </c>
      <c r="CG10" s="134" t="str">
        <f>IF(ISERROR(SUM(CM10:CQ10)/(SUM(CH10:CL10)-SUM(CR10:CV10))),"NA",100*SUM(CM10:CQ10)/(SUM(CH10:CL10)-SUM(CR10:CV10)))</f>
        <v>NA</v>
      </c>
      <c r="CH10" s="69"/>
      <c r="CI10" s="70"/>
      <c r="CJ10" s="70"/>
      <c r="CK10" s="70"/>
      <c r="CL10" s="71"/>
      <c r="CM10" s="69"/>
      <c r="CN10" s="70"/>
      <c r="CO10" s="70"/>
      <c r="CP10" s="70"/>
      <c r="CQ10" s="71"/>
      <c r="CR10" s="69"/>
      <c r="CS10" s="70"/>
      <c r="CT10" s="70"/>
      <c r="CU10" s="70"/>
      <c r="CV10" s="71"/>
      <c r="CZ10" s="3"/>
      <c r="DA10" s="3"/>
      <c r="DB10" s="3"/>
      <c r="DC10" s="425"/>
      <c r="DD10" s="86" t="s">
        <v>136</v>
      </c>
      <c r="DE10" s="34" t="str">
        <f ca="1">"Top "&amp;COUNTA(OFFSET($DE$13,0,0,50,1))&amp;" Companies"</f>
        <v>Top 0 Companies</v>
      </c>
      <c r="DF10" s="62"/>
      <c r="DG10" s="467"/>
      <c r="DH10" s="467"/>
      <c r="DI10" s="467"/>
      <c r="DJ10" s="467"/>
      <c r="DK10" s="467">
        <f ca="1">SUM(OFFSET(DK$13,0,0,50,1))</f>
        <v>0</v>
      </c>
      <c r="DL10" s="468">
        <f ca="1">SUM(OFFSET(DL$13,0,0,50,1))</f>
        <v>0</v>
      </c>
      <c r="DM10" s="468">
        <f ca="1">SUM(OFFSET(DM$13,0,0,50,1))</f>
        <v>0</v>
      </c>
      <c r="DN10" s="468">
        <f ca="1">SUM(DO10:FT10)</f>
        <v>0</v>
      </c>
      <c r="DO10" s="467">
        <f t="shared" ref="DO10:ET10" ca="1" si="8">SUM(OFFSET(DO$13,0,0,50,1))</f>
        <v>0</v>
      </c>
      <c r="DP10" s="467">
        <f t="shared" ca="1" si="8"/>
        <v>0</v>
      </c>
      <c r="DQ10" s="467">
        <f t="shared" ca="1" si="8"/>
        <v>0</v>
      </c>
      <c r="DR10" s="467">
        <f t="shared" ca="1" si="8"/>
        <v>0</v>
      </c>
      <c r="DS10" s="467">
        <f t="shared" ca="1" si="8"/>
        <v>0</v>
      </c>
      <c r="DT10" s="467">
        <f t="shared" ca="1" si="8"/>
        <v>0</v>
      </c>
      <c r="DU10" s="467">
        <f t="shared" ca="1" si="8"/>
        <v>0</v>
      </c>
      <c r="DV10" s="467">
        <f t="shared" ca="1" si="8"/>
        <v>0</v>
      </c>
      <c r="DW10" s="467">
        <f t="shared" ca="1" si="8"/>
        <v>0</v>
      </c>
      <c r="DX10" s="467">
        <f t="shared" ca="1" si="8"/>
        <v>0</v>
      </c>
      <c r="DY10" s="467">
        <f t="shared" ca="1" si="8"/>
        <v>0</v>
      </c>
      <c r="DZ10" s="467">
        <f t="shared" ca="1" si="8"/>
        <v>0</v>
      </c>
      <c r="EA10" s="467">
        <f t="shared" ca="1" si="8"/>
        <v>0</v>
      </c>
      <c r="EB10" s="467">
        <f t="shared" ca="1" si="8"/>
        <v>0</v>
      </c>
      <c r="EC10" s="467">
        <f t="shared" ca="1" si="8"/>
        <v>0</v>
      </c>
      <c r="ED10" s="467">
        <f t="shared" ca="1" si="8"/>
        <v>0</v>
      </c>
      <c r="EE10" s="467">
        <f t="shared" ca="1" si="8"/>
        <v>0</v>
      </c>
      <c r="EF10" s="467">
        <f t="shared" ca="1" si="8"/>
        <v>0</v>
      </c>
      <c r="EG10" s="467">
        <f t="shared" ca="1" si="8"/>
        <v>0</v>
      </c>
      <c r="EH10" s="467">
        <f t="shared" ca="1" si="8"/>
        <v>0</v>
      </c>
      <c r="EI10" s="467">
        <f t="shared" ca="1" si="8"/>
        <v>0</v>
      </c>
      <c r="EJ10" s="467">
        <f t="shared" ca="1" si="8"/>
        <v>0</v>
      </c>
      <c r="EK10" s="467">
        <f t="shared" ca="1" si="8"/>
        <v>0</v>
      </c>
      <c r="EL10" s="467">
        <f t="shared" ca="1" si="8"/>
        <v>0</v>
      </c>
      <c r="EM10" s="467">
        <f t="shared" ca="1" si="8"/>
        <v>0</v>
      </c>
      <c r="EN10" s="467">
        <f t="shared" ca="1" si="8"/>
        <v>0</v>
      </c>
      <c r="EO10" s="467">
        <f t="shared" ca="1" si="8"/>
        <v>0</v>
      </c>
      <c r="EP10" s="467">
        <f t="shared" ca="1" si="8"/>
        <v>0</v>
      </c>
      <c r="EQ10" s="467">
        <f t="shared" ca="1" si="8"/>
        <v>0</v>
      </c>
      <c r="ER10" s="467">
        <f t="shared" ca="1" si="8"/>
        <v>0</v>
      </c>
      <c r="ES10" s="467">
        <f t="shared" ca="1" si="8"/>
        <v>0</v>
      </c>
      <c r="ET10" s="467">
        <f t="shared" ca="1" si="8"/>
        <v>0</v>
      </c>
      <c r="EU10" s="467">
        <f t="shared" ref="EU10:FT10" ca="1" si="9">SUM(OFFSET(EU$13,0,0,50,1))</f>
        <v>0</v>
      </c>
      <c r="EV10" s="467">
        <f t="shared" ca="1" si="9"/>
        <v>0</v>
      </c>
      <c r="EW10" s="467">
        <f t="shared" ca="1" si="9"/>
        <v>0</v>
      </c>
      <c r="EX10" s="467">
        <f t="shared" ca="1" si="9"/>
        <v>0</v>
      </c>
      <c r="EY10" s="467">
        <f t="shared" ca="1" si="9"/>
        <v>0</v>
      </c>
      <c r="EZ10" s="467">
        <f t="shared" ca="1" si="9"/>
        <v>0</v>
      </c>
      <c r="FA10" s="467">
        <f t="shared" ca="1" si="9"/>
        <v>0</v>
      </c>
      <c r="FB10" s="467">
        <f t="shared" ca="1" si="9"/>
        <v>0</v>
      </c>
      <c r="FC10" s="467">
        <f t="shared" ca="1" si="9"/>
        <v>0</v>
      </c>
      <c r="FD10" s="467">
        <f t="shared" ca="1" si="9"/>
        <v>0</v>
      </c>
      <c r="FE10" s="467">
        <f t="shared" ca="1" si="9"/>
        <v>0</v>
      </c>
      <c r="FF10" s="467">
        <f t="shared" ca="1" si="9"/>
        <v>0</v>
      </c>
      <c r="FG10" s="467">
        <f t="shared" ca="1" si="9"/>
        <v>0</v>
      </c>
      <c r="FH10" s="467">
        <f t="shared" ca="1" si="9"/>
        <v>0</v>
      </c>
      <c r="FI10" s="467">
        <f t="shared" ca="1" si="9"/>
        <v>0</v>
      </c>
      <c r="FJ10" s="467">
        <f t="shared" ca="1" si="9"/>
        <v>0</v>
      </c>
      <c r="FK10" s="467">
        <f t="shared" ca="1" si="9"/>
        <v>0</v>
      </c>
      <c r="FL10" s="467">
        <f t="shared" ca="1" si="9"/>
        <v>0</v>
      </c>
      <c r="FM10" s="467">
        <f t="shared" ca="1" si="9"/>
        <v>0</v>
      </c>
      <c r="FN10" s="467">
        <f t="shared" ca="1" si="9"/>
        <v>0</v>
      </c>
      <c r="FO10" s="467">
        <f t="shared" ca="1" si="9"/>
        <v>0</v>
      </c>
      <c r="FP10" s="467">
        <f t="shared" ca="1" si="9"/>
        <v>0</v>
      </c>
      <c r="FQ10" s="467">
        <f t="shared" ca="1" si="9"/>
        <v>0</v>
      </c>
      <c r="FR10" s="467">
        <f t="shared" ca="1" si="9"/>
        <v>0</v>
      </c>
      <c r="FS10" s="467">
        <f t="shared" ca="1" si="9"/>
        <v>0</v>
      </c>
      <c r="FT10" s="469">
        <f t="shared" ca="1" si="9"/>
        <v>0</v>
      </c>
    </row>
    <row r="11" spans="1:177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BE11" s="102"/>
      <c r="BF11" s="25"/>
      <c r="BG11" s="45"/>
      <c r="BH11" s="509"/>
      <c r="BI11" s="509"/>
      <c r="BJ11" s="509"/>
      <c r="BK11" s="509"/>
      <c r="BL11" s="58"/>
      <c r="BM11" s="59"/>
      <c r="BN11" s="60"/>
      <c r="BO11" s="153" t="str">
        <f t="shared" si="4"/>
        <v>NA</v>
      </c>
      <c r="BP11" s="154" t="str">
        <f t="shared" si="4"/>
        <v>NA</v>
      </c>
      <c r="BQ11" s="154" t="str">
        <f t="shared" si="4"/>
        <v>NA</v>
      </c>
      <c r="BR11" s="154" t="str">
        <f t="shared" si="5"/>
        <v>NA</v>
      </c>
      <c r="BS11" s="155" t="str">
        <f t="shared" si="5"/>
        <v>NA</v>
      </c>
      <c r="BT11" s="49"/>
      <c r="BU11" s="61"/>
      <c r="BV11" s="59"/>
      <c r="BW11" s="59"/>
      <c r="BX11" s="59"/>
      <c r="BY11" s="75"/>
      <c r="BZ11" s="159" t="str">
        <f>IF(ISERROR((BY11/BT11)^(1/5)-1),"NA",IF(ABS(100*((BY11/BT11)^(1/5)-1))&gt;999,"NM",100*((BY11/BT11)^(1/5)-1)))</f>
        <v>NA</v>
      </c>
      <c r="CA11" s="153" t="str">
        <f t="shared" si="6"/>
        <v>NA</v>
      </c>
      <c r="CB11" s="154" t="str">
        <f t="shared" si="6"/>
        <v>NA</v>
      </c>
      <c r="CC11" s="154" t="str">
        <f t="shared" si="6"/>
        <v>NA</v>
      </c>
      <c r="CD11" s="154" t="str">
        <f t="shared" si="7"/>
        <v>NA</v>
      </c>
      <c r="CE11" s="160" t="str">
        <f t="shared" si="7"/>
        <v>NA</v>
      </c>
      <c r="CF11" s="161" t="str">
        <f>IF(ISERROR(SUM(CO11:CQ11)/(SUM(CJ11:CL11)-SUM(CT11:CV11))),"NA",100*SUM(CO11:CQ11)/(SUM(CJ11:CL11)-SUM(CT11:CV11)))</f>
        <v>NA</v>
      </c>
      <c r="CG11" s="155" t="str">
        <f>IF(ISERROR(SUM(CM11:CQ11)/(SUM(CH11:CL11)-SUM(CR11:CV11))),"NA",100*SUM(CM11:CQ11)/(SUM(CH11:CL11)-SUM(CR11:CV11)))</f>
        <v>NA</v>
      </c>
      <c r="CH11" s="58"/>
      <c r="CI11" s="59"/>
      <c r="CJ11" s="59"/>
      <c r="CK11" s="59"/>
      <c r="CL11" s="60"/>
      <c r="CM11" s="58"/>
      <c r="CN11" s="59"/>
      <c r="CO11" s="59"/>
      <c r="CP11" s="59"/>
      <c r="CQ11" s="60"/>
      <c r="CR11" s="58"/>
      <c r="CS11" s="59"/>
      <c r="CT11" s="59"/>
      <c r="CU11" s="59"/>
      <c r="CV11" s="60"/>
      <c r="CZ11" s="465"/>
      <c r="DA11" s="3"/>
      <c r="DB11" s="3"/>
      <c r="DC11" s="425"/>
      <c r="DD11" s="102" t="s">
        <v>136</v>
      </c>
      <c r="DE11" s="25" t="s">
        <v>114</v>
      </c>
      <c r="DF11" s="45" t="s">
        <v>115</v>
      </c>
      <c r="DG11" s="456"/>
      <c r="DH11" s="456"/>
      <c r="DI11" s="456"/>
      <c r="DJ11" s="456"/>
      <c r="DK11" s="456"/>
      <c r="DL11" s="456"/>
      <c r="DM11" s="456"/>
      <c r="DN11" s="466">
        <f>SUM(DO11:FT11)</f>
        <v>0</v>
      </c>
      <c r="DO11" s="456"/>
      <c r="DP11" s="456"/>
      <c r="DQ11" s="456"/>
      <c r="DR11" s="457"/>
      <c r="DS11" s="457"/>
      <c r="DT11" s="457"/>
      <c r="DU11" s="457"/>
      <c r="DV11" s="456"/>
      <c r="DW11" s="456"/>
      <c r="DX11" s="457"/>
      <c r="DY11" s="457"/>
      <c r="DZ11" s="457"/>
      <c r="EA11" s="456"/>
      <c r="EB11" s="457"/>
      <c r="EC11" s="456"/>
      <c r="ED11" s="456"/>
      <c r="EE11" s="456"/>
      <c r="EF11" s="456"/>
      <c r="EG11" s="457"/>
      <c r="EH11" s="457"/>
      <c r="EI11" s="456"/>
      <c r="EJ11" s="457"/>
      <c r="EK11" s="456"/>
      <c r="EL11" s="456"/>
      <c r="EM11" s="456"/>
      <c r="EN11" s="457"/>
      <c r="EO11" s="457"/>
      <c r="EP11" s="457"/>
      <c r="EQ11" s="456"/>
      <c r="ER11" s="456"/>
      <c r="ES11" s="457"/>
      <c r="ET11" s="456"/>
      <c r="EU11" s="457"/>
      <c r="EV11" s="457"/>
      <c r="EW11" s="456"/>
      <c r="EX11" s="456"/>
      <c r="EY11" s="457"/>
      <c r="EZ11" s="457"/>
      <c r="FA11" s="456"/>
      <c r="FB11" s="457"/>
      <c r="FC11" s="457"/>
      <c r="FD11" s="456"/>
      <c r="FE11" s="457"/>
      <c r="FF11" s="457"/>
      <c r="FG11" s="457"/>
      <c r="FH11" s="457"/>
      <c r="FI11" s="457"/>
      <c r="FJ11" s="457"/>
      <c r="FK11" s="456"/>
      <c r="FL11" s="456"/>
      <c r="FM11" s="457"/>
      <c r="FN11" s="457"/>
      <c r="FO11" s="457"/>
      <c r="FP11" s="457"/>
      <c r="FQ11" s="457"/>
      <c r="FR11" s="457"/>
      <c r="FS11" s="457"/>
      <c r="FT11" s="458"/>
    </row>
    <row r="12" spans="1:177" ht="8.1" customHeight="1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BE12" s="64"/>
      <c r="BF12" s="64"/>
      <c r="BG12" s="64"/>
      <c r="BH12" s="510"/>
      <c r="BI12" s="510"/>
      <c r="BJ12" s="510"/>
      <c r="BK12" s="510"/>
      <c r="BL12" s="65"/>
      <c r="BM12" s="66"/>
      <c r="BN12" s="67"/>
      <c r="BO12" s="66"/>
      <c r="BP12" s="427"/>
      <c r="BQ12" s="427"/>
      <c r="BR12" s="430"/>
      <c r="BS12" s="431"/>
      <c r="BT12" s="433"/>
      <c r="BU12" s="427"/>
      <c r="BV12" s="435"/>
      <c r="BW12" s="435"/>
      <c r="BX12" s="435"/>
      <c r="BY12" s="435"/>
      <c r="BZ12" s="436"/>
      <c r="CA12" s="438"/>
      <c r="CB12" s="435"/>
      <c r="CC12" s="435"/>
      <c r="CD12" s="435"/>
      <c r="CE12" s="435"/>
      <c r="CF12" s="435"/>
      <c r="CG12" s="436"/>
      <c r="CH12" s="438"/>
      <c r="CI12" s="435"/>
      <c r="CJ12" s="435"/>
      <c r="CK12" s="435"/>
      <c r="CL12" s="436"/>
      <c r="CM12" s="438"/>
      <c r="CN12" s="435"/>
      <c r="CO12" s="435"/>
      <c r="CP12" s="66"/>
      <c r="CQ12" s="67"/>
      <c r="CR12" s="66"/>
      <c r="CS12" s="66"/>
      <c r="CT12" s="66"/>
      <c r="CU12" s="66"/>
      <c r="CV12" s="67"/>
      <c r="CZ12" s="3"/>
      <c r="DA12" s="3"/>
      <c r="DB12" s="3"/>
      <c r="DC12" s="425"/>
      <c r="DD12" s="499"/>
      <c r="DE12" s="453"/>
      <c r="DF12" s="454"/>
      <c r="DG12" s="461"/>
      <c r="DH12" s="461"/>
      <c r="DI12" s="461"/>
      <c r="DJ12" s="461"/>
      <c r="DK12" s="461"/>
      <c r="DL12" s="461"/>
      <c r="DM12" s="461"/>
      <c r="DN12" s="480"/>
      <c r="DO12" s="462"/>
      <c r="DP12" s="462"/>
      <c r="DQ12" s="462"/>
      <c r="DR12" s="462"/>
      <c r="DS12" s="462"/>
      <c r="DT12" s="462"/>
      <c r="DU12" s="462"/>
      <c r="DV12" s="461"/>
      <c r="DW12" s="461"/>
      <c r="DX12" s="462"/>
      <c r="DY12" s="462"/>
      <c r="DZ12" s="462"/>
      <c r="EA12" s="462"/>
      <c r="EB12" s="462"/>
      <c r="EC12" s="462"/>
      <c r="ED12" s="462"/>
      <c r="EE12" s="462"/>
      <c r="EF12" s="462"/>
      <c r="EG12" s="462"/>
      <c r="EH12" s="462"/>
      <c r="EI12" s="461"/>
      <c r="EJ12" s="462"/>
      <c r="EK12" s="462"/>
      <c r="EL12" s="462"/>
      <c r="EM12" s="462"/>
      <c r="EN12" s="462"/>
      <c r="EO12" s="462"/>
      <c r="EP12" s="462"/>
      <c r="EQ12" s="462"/>
      <c r="ER12" s="462"/>
      <c r="ES12" s="462"/>
      <c r="ET12" s="461"/>
      <c r="EU12" s="462"/>
      <c r="EV12" s="462"/>
      <c r="EW12" s="461"/>
      <c r="EX12" s="462"/>
      <c r="EY12" s="462"/>
      <c r="EZ12" s="462"/>
      <c r="FA12" s="461"/>
      <c r="FB12" s="462"/>
      <c r="FC12" s="462"/>
      <c r="FD12" s="462"/>
      <c r="FE12" s="462"/>
      <c r="FF12" s="462"/>
      <c r="FG12" s="462"/>
      <c r="FH12" s="462"/>
      <c r="FI12" s="462"/>
      <c r="FJ12" s="462"/>
      <c r="FK12" s="462"/>
      <c r="FL12" s="461"/>
      <c r="FM12" s="462"/>
      <c r="FN12" s="462"/>
      <c r="FO12" s="462"/>
      <c r="FP12" s="462"/>
      <c r="FQ12" s="462"/>
      <c r="FR12" s="462"/>
      <c r="FS12" s="462"/>
      <c r="FT12" s="463"/>
    </row>
    <row r="13" spans="1:177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DA13" s="27"/>
      <c r="DB13" s="27"/>
      <c r="DC13" s="27"/>
      <c r="DK13" s="416"/>
      <c r="DL13" s="416"/>
      <c r="DM13" s="416"/>
      <c r="DO13" s="428"/>
      <c r="DP13" s="428"/>
      <c r="DQ13" s="428"/>
      <c r="DR13" s="428"/>
      <c r="DS13" s="428"/>
      <c r="DT13" s="428"/>
      <c r="DU13" s="428"/>
      <c r="DV13" s="416"/>
      <c r="DW13" s="416"/>
      <c r="DX13" s="428"/>
      <c r="DY13" s="428"/>
      <c r="DZ13" s="428"/>
      <c r="EA13" s="428"/>
      <c r="EB13" s="428"/>
      <c r="EC13" s="428"/>
      <c r="ED13" s="428"/>
      <c r="EE13" s="428"/>
      <c r="EF13" s="428"/>
      <c r="EG13" s="428"/>
      <c r="EH13" s="428"/>
      <c r="EI13" s="416"/>
      <c r="EJ13" s="428"/>
      <c r="EK13" s="428"/>
      <c r="EL13" s="428"/>
      <c r="EM13" s="428"/>
      <c r="EN13" s="428"/>
      <c r="EO13" s="428"/>
      <c r="EP13" s="428"/>
      <c r="EQ13" s="428"/>
      <c r="ER13" s="428"/>
      <c r="ES13" s="428"/>
      <c r="ET13" s="416"/>
      <c r="EU13" s="428"/>
      <c r="EV13" s="428"/>
      <c r="EW13" s="416"/>
      <c r="EX13" s="428"/>
      <c r="EY13" s="428"/>
      <c r="EZ13" s="428"/>
      <c r="FA13" s="416"/>
      <c r="FB13" s="428"/>
      <c r="FC13" s="428"/>
      <c r="FD13" s="428"/>
      <c r="FE13" s="428"/>
      <c r="FF13" s="428"/>
      <c r="FG13" s="428"/>
      <c r="FH13" s="428"/>
      <c r="FI13" s="428"/>
      <c r="FJ13" s="428"/>
      <c r="FK13" s="428"/>
      <c r="FL13" s="416"/>
      <c r="FM13" s="428"/>
      <c r="FN13" s="428"/>
      <c r="FO13" s="428"/>
      <c r="FP13" s="428"/>
      <c r="FQ13" s="428"/>
      <c r="FR13" s="428"/>
      <c r="FS13" s="428"/>
      <c r="FT13" s="428"/>
    </row>
    <row r="14" spans="1:177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DK14" s="416"/>
      <c r="DL14" s="416"/>
      <c r="DM14" s="416"/>
      <c r="DO14" s="428"/>
      <c r="DP14" s="428"/>
      <c r="DQ14" s="428"/>
      <c r="DR14" s="428"/>
      <c r="DS14" s="428"/>
      <c r="DT14" s="428"/>
      <c r="DU14" s="428"/>
      <c r="DV14" s="416"/>
      <c r="DW14" s="416"/>
      <c r="DX14" s="428"/>
      <c r="DY14" s="428"/>
      <c r="DZ14" s="428"/>
      <c r="EA14" s="428"/>
      <c r="EB14" s="428"/>
      <c r="EC14" s="428"/>
      <c r="ED14" s="428"/>
      <c r="EE14" s="428"/>
      <c r="EF14" s="428"/>
      <c r="EG14" s="428"/>
      <c r="EH14" s="428"/>
      <c r="EI14" s="416"/>
      <c r="EJ14" s="428"/>
      <c r="EK14" s="428"/>
      <c r="EL14" s="428"/>
      <c r="EM14" s="428"/>
      <c r="EN14" s="428"/>
      <c r="EO14" s="428"/>
      <c r="EP14" s="428"/>
      <c r="EQ14" s="428"/>
      <c r="ER14" s="428"/>
      <c r="ES14" s="428"/>
      <c r="ET14" s="416"/>
      <c r="EU14" s="428"/>
      <c r="EV14" s="428"/>
      <c r="EW14" s="416"/>
      <c r="EX14" s="428"/>
      <c r="EY14" s="428"/>
      <c r="EZ14" s="428"/>
      <c r="FA14" s="416"/>
      <c r="FB14" s="428"/>
      <c r="FC14" s="428"/>
      <c r="FD14" s="428"/>
      <c r="FE14" s="428"/>
      <c r="FF14" s="428"/>
      <c r="FG14" s="428"/>
      <c r="FH14" s="428"/>
      <c r="FI14" s="428"/>
      <c r="FJ14" s="428"/>
      <c r="FK14" s="428"/>
      <c r="FL14" s="416"/>
      <c r="FM14" s="428"/>
      <c r="FN14" s="428"/>
      <c r="FO14" s="428"/>
      <c r="FP14" s="428"/>
      <c r="FQ14" s="428"/>
      <c r="FR14" s="428"/>
      <c r="FS14" s="428"/>
      <c r="FT14" s="428"/>
    </row>
    <row r="15" spans="1:177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Z15" s="474"/>
      <c r="DK15" s="416"/>
      <c r="DL15" s="416"/>
      <c r="DM15" s="416"/>
      <c r="DO15" s="428"/>
      <c r="DP15" s="428"/>
      <c r="DQ15" s="428"/>
      <c r="DR15" s="428"/>
      <c r="DS15" s="428"/>
      <c r="DT15" s="428"/>
      <c r="DU15" s="428"/>
      <c r="DV15" s="416"/>
      <c r="DW15" s="416"/>
      <c r="DX15" s="428"/>
      <c r="DY15" s="428"/>
      <c r="DZ15" s="428"/>
      <c r="EA15" s="428"/>
      <c r="EB15" s="428"/>
      <c r="EC15" s="428"/>
      <c r="ED15" s="428"/>
      <c r="EE15" s="428"/>
      <c r="EF15" s="428"/>
      <c r="EG15" s="428"/>
      <c r="EH15" s="428"/>
      <c r="EI15" s="416"/>
      <c r="EJ15" s="428"/>
      <c r="EK15" s="428"/>
      <c r="EL15" s="428"/>
      <c r="EM15" s="428"/>
      <c r="EN15" s="428"/>
      <c r="EO15" s="428"/>
      <c r="EP15" s="428"/>
      <c r="EQ15" s="428"/>
      <c r="ER15" s="428"/>
      <c r="ES15" s="428"/>
      <c r="ET15" s="416"/>
      <c r="EU15" s="428"/>
      <c r="EV15" s="428"/>
      <c r="EW15" s="416"/>
      <c r="EX15" s="428"/>
      <c r="EY15" s="428"/>
      <c r="EZ15" s="428"/>
      <c r="FA15" s="416"/>
      <c r="FB15" s="428"/>
      <c r="FC15" s="428"/>
      <c r="FD15" s="428"/>
      <c r="FE15" s="428"/>
      <c r="FF15" s="428"/>
      <c r="FG15" s="428"/>
      <c r="FH15" s="428"/>
      <c r="FI15" s="428"/>
      <c r="FJ15" s="428"/>
      <c r="FK15" s="428"/>
      <c r="FL15" s="416"/>
      <c r="FM15" s="428"/>
      <c r="FN15" s="428"/>
      <c r="FO15" s="428"/>
      <c r="FP15" s="428"/>
      <c r="FQ15" s="428"/>
      <c r="FR15" s="428"/>
      <c r="FS15" s="428"/>
      <c r="FT15" s="428"/>
    </row>
    <row r="16" spans="1:177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DK16" s="416"/>
      <c r="DL16" s="416"/>
      <c r="DM16" s="416"/>
      <c r="DO16" s="428"/>
      <c r="DP16" s="428"/>
      <c r="DQ16" s="428"/>
      <c r="DR16" s="428"/>
      <c r="DS16" s="428"/>
      <c r="DT16" s="428"/>
      <c r="DU16" s="428"/>
      <c r="DV16" s="416"/>
      <c r="DW16" s="416"/>
      <c r="DX16" s="428"/>
      <c r="DY16" s="428"/>
      <c r="DZ16" s="428"/>
      <c r="EA16" s="428"/>
      <c r="EB16" s="428"/>
      <c r="EC16" s="428"/>
      <c r="ED16" s="428"/>
      <c r="EE16" s="428"/>
      <c r="EF16" s="428"/>
      <c r="EG16" s="428"/>
      <c r="EH16" s="428"/>
      <c r="EI16" s="416"/>
      <c r="EJ16" s="428"/>
      <c r="EK16" s="428"/>
      <c r="EL16" s="428"/>
      <c r="EM16" s="428"/>
      <c r="EN16" s="428"/>
      <c r="EO16" s="428"/>
      <c r="EP16" s="428"/>
      <c r="EQ16" s="428"/>
      <c r="ER16" s="428"/>
      <c r="ES16" s="428"/>
      <c r="ET16" s="416"/>
      <c r="EU16" s="428"/>
      <c r="EV16" s="428"/>
      <c r="EW16" s="416"/>
      <c r="EX16" s="428"/>
      <c r="EY16" s="428"/>
      <c r="EZ16" s="428"/>
      <c r="FA16" s="416"/>
      <c r="FB16" s="428"/>
      <c r="FC16" s="428"/>
      <c r="FD16" s="428"/>
      <c r="FE16" s="428"/>
      <c r="FF16" s="428"/>
      <c r="FG16" s="428"/>
      <c r="FH16" s="428"/>
      <c r="FI16" s="428"/>
      <c r="FJ16" s="428"/>
      <c r="FK16" s="428"/>
      <c r="FL16" s="416"/>
      <c r="FM16" s="428"/>
      <c r="FN16" s="428"/>
      <c r="FO16" s="428"/>
      <c r="FP16" s="428"/>
      <c r="FQ16" s="428"/>
      <c r="FR16" s="428"/>
      <c r="FS16" s="428"/>
      <c r="FT16" s="428"/>
    </row>
    <row r="17" spans="2:176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DK17" s="416"/>
      <c r="DL17" s="416"/>
      <c r="DM17" s="416"/>
      <c r="DO17" s="428"/>
      <c r="DP17" s="428"/>
      <c r="DQ17" s="428"/>
      <c r="DR17" s="428"/>
      <c r="DS17" s="428"/>
      <c r="DT17" s="428"/>
      <c r="DU17" s="428"/>
      <c r="DV17" s="416"/>
      <c r="DW17" s="416"/>
      <c r="DX17" s="428"/>
      <c r="DY17" s="428"/>
      <c r="DZ17" s="428"/>
      <c r="EA17" s="428"/>
      <c r="EB17" s="428"/>
      <c r="EC17" s="428"/>
      <c r="ED17" s="428"/>
      <c r="EE17" s="428"/>
      <c r="EF17" s="428"/>
      <c r="EG17" s="428"/>
      <c r="EH17" s="428"/>
      <c r="EI17" s="416"/>
      <c r="EJ17" s="428"/>
      <c r="EK17" s="428"/>
      <c r="EL17" s="428"/>
      <c r="EM17" s="428"/>
      <c r="EN17" s="428"/>
      <c r="EO17" s="428"/>
      <c r="EP17" s="428"/>
      <c r="EQ17" s="428"/>
      <c r="ER17" s="428"/>
      <c r="ES17" s="428"/>
      <c r="ET17" s="416"/>
      <c r="EU17" s="428"/>
      <c r="EV17" s="428"/>
      <c r="EW17" s="416"/>
      <c r="EX17" s="428"/>
      <c r="EY17" s="428"/>
      <c r="EZ17" s="428"/>
      <c r="FA17" s="416"/>
      <c r="FB17" s="428"/>
      <c r="FC17" s="428"/>
      <c r="FD17" s="428"/>
      <c r="FE17" s="428"/>
      <c r="FF17" s="428"/>
      <c r="FG17" s="428"/>
      <c r="FH17" s="428"/>
      <c r="FI17" s="428"/>
      <c r="FJ17" s="428"/>
      <c r="FK17" s="428"/>
      <c r="FL17" s="416"/>
      <c r="FM17" s="428"/>
      <c r="FN17" s="428"/>
      <c r="FO17" s="428"/>
      <c r="FP17" s="428"/>
      <c r="FQ17" s="428"/>
      <c r="FR17" s="428"/>
      <c r="FS17" s="428"/>
      <c r="FT17" s="428"/>
    </row>
    <row r="18" spans="2:176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DK18" s="416"/>
      <c r="DL18" s="416"/>
      <c r="DM18" s="416"/>
      <c r="DO18" s="428"/>
      <c r="DP18" s="428"/>
      <c r="DQ18" s="428"/>
      <c r="DR18" s="428"/>
      <c r="DS18" s="428"/>
      <c r="DT18" s="428"/>
      <c r="DU18" s="428"/>
      <c r="DV18" s="416"/>
      <c r="DW18" s="416"/>
      <c r="DX18" s="428"/>
      <c r="DY18" s="428"/>
      <c r="DZ18" s="428"/>
      <c r="EA18" s="428"/>
      <c r="EB18" s="428"/>
      <c r="EC18" s="428"/>
      <c r="ED18" s="428"/>
      <c r="EE18" s="428"/>
      <c r="EF18" s="428"/>
      <c r="EG18" s="428"/>
      <c r="EH18" s="428"/>
      <c r="EI18" s="416"/>
      <c r="EJ18" s="428"/>
      <c r="EK18" s="428"/>
      <c r="EL18" s="428"/>
      <c r="EM18" s="428"/>
      <c r="EN18" s="428"/>
      <c r="EO18" s="428"/>
      <c r="EP18" s="428"/>
      <c r="EQ18" s="428"/>
      <c r="ER18" s="428"/>
      <c r="ES18" s="428"/>
      <c r="ET18" s="416"/>
      <c r="EU18" s="428"/>
      <c r="EV18" s="428"/>
      <c r="EW18" s="416"/>
      <c r="EX18" s="428"/>
      <c r="EY18" s="428"/>
      <c r="EZ18" s="428"/>
      <c r="FA18" s="416"/>
      <c r="FB18" s="428"/>
      <c r="FC18" s="428"/>
      <c r="FD18" s="428"/>
      <c r="FE18" s="428"/>
      <c r="FF18" s="428"/>
      <c r="FG18" s="428"/>
      <c r="FH18" s="428"/>
      <c r="FI18" s="428"/>
      <c r="FJ18" s="428"/>
      <c r="FK18" s="428"/>
      <c r="FL18" s="416"/>
      <c r="FM18" s="428"/>
      <c r="FN18" s="428"/>
      <c r="FO18" s="428"/>
      <c r="FP18" s="428"/>
      <c r="FQ18" s="428"/>
      <c r="FR18" s="428"/>
      <c r="FS18" s="428"/>
      <c r="FT18" s="428"/>
    </row>
    <row r="19" spans="2:176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DA19" s="80"/>
      <c r="DB19" s="425"/>
      <c r="DC19" s="80"/>
      <c r="DK19" s="416"/>
      <c r="DL19" s="416"/>
      <c r="DM19" s="416"/>
      <c r="DO19" s="428"/>
      <c r="DP19" s="428"/>
      <c r="DQ19" s="428"/>
      <c r="DR19" s="428"/>
      <c r="DS19" s="428"/>
      <c r="DT19" s="428"/>
      <c r="DU19" s="428"/>
      <c r="DV19" s="416"/>
      <c r="DW19" s="416"/>
      <c r="DX19" s="428"/>
      <c r="DY19" s="428"/>
      <c r="DZ19" s="428"/>
      <c r="EA19" s="428"/>
      <c r="EB19" s="428"/>
      <c r="EC19" s="428"/>
      <c r="ED19" s="428"/>
      <c r="EE19" s="428"/>
      <c r="EF19" s="428"/>
      <c r="EG19" s="428"/>
      <c r="EH19" s="428"/>
      <c r="EI19" s="416"/>
      <c r="EJ19" s="428"/>
      <c r="EK19" s="428"/>
      <c r="EL19" s="428"/>
      <c r="EM19" s="428"/>
      <c r="EN19" s="428"/>
      <c r="EO19" s="428"/>
      <c r="EP19" s="428"/>
      <c r="EQ19" s="428"/>
      <c r="ER19" s="428"/>
      <c r="ES19" s="428"/>
      <c r="ET19" s="416"/>
      <c r="EU19" s="428"/>
      <c r="EV19" s="428"/>
      <c r="EW19" s="416"/>
      <c r="EX19" s="428"/>
      <c r="EY19" s="428"/>
      <c r="EZ19" s="428"/>
      <c r="FA19" s="416"/>
      <c r="FB19" s="428"/>
      <c r="FC19" s="428"/>
      <c r="FD19" s="428"/>
      <c r="FE19" s="428"/>
      <c r="FF19" s="428"/>
      <c r="FG19" s="428"/>
      <c r="FH19" s="428"/>
      <c r="FI19" s="428"/>
      <c r="FJ19" s="428"/>
      <c r="FK19" s="428"/>
      <c r="FL19" s="416"/>
      <c r="FM19" s="428"/>
      <c r="FN19" s="428"/>
      <c r="FO19" s="428"/>
      <c r="FP19" s="428"/>
      <c r="FQ19" s="428"/>
      <c r="FR19" s="428"/>
      <c r="FS19" s="428"/>
      <c r="FT19" s="428"/>
    </row>
    <row r="20" spans="2:176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DA20" s="80"/>
      <c r="DB20" s="425"/>
      <c r="DC20" s="80"/>
      <c r="DK20" s="416"/>
      <c r="DL20" s="416"/>
      <c r="DM20" s="416"/>
      <c r="DO20" s="428"/>
      <c r="DP20" s="428"/>
      <c r="DQ20" s="428"/>
      <c r="DR20" s="428"/>
      <c r="DS20" s="428"/>
      <c r="DT20" s="428"/>
      <c r="DU20" s="428"/>
      <c r="DV20" s="416"/>
      <c r="DW20" s="416"/>
      <c r="DX20" s="428"/>
      <c r="DY20" s="428"/>
      <c r="DZ20" s="428"/>
      <c r="EA20" s="428"/>
      <c r="EB20" s="428"/>
      <c r="EC20" s="428"/>
      <c r="ED20" s="428"/>
      <c r="EE20" s="428"/>
      <c r="EF20" s="428"/>
      <c r="EG20" s="428"/>
      <c r="EH20" s="428"/>
      <c r="EI20" s="416"/>
      <c r="EJ20" s="428"/>
      <c r="EK20" s="428"/>
      <c r="EL20" s="428"/>
      <c r="EM20" s="428"/>
      <c r="EN20" s="428"/>
      <c r="EO20" s="428"/>
      <c r="EP20" s="428"/>
      <c r="EQ20" s="428"/>
      <c r="ER20" s="428"/>
      <c r="ES20" s="428"/>
      <c r="ET20" s="416"/>
      <c r="EU20" s="428"/>
      <c r="EV20" s="428"/>
      <c r="EW20" s="416"/>
      <c r="EX20" s="428"/>
      <c r="EY20" s="428"/>
      <c r="EZ20" s="428"/>
      <c r="FA20" s="416"/>
      <c r="FB20" s="428"/>
      <c r="FC20" s="428"/>
      <c r="FD20" s="428"/>
      <c r="FE20" s="428"/>
      <c r="FF20" s="428"/>
      <c r="FG20" s="428"/>
      <c r="FH20" s="428"/>
      <c r="FI20" s="428"/>
      <c r="FJ20" s="428"/>
      <c r="FK20" s="428"/>
      <c r="FL20" s="416"/>
      <c r="FM20" s="428"/>
      <c r="FN20" s="428"/>
      <c r="FO20" s="428"/>
      <c r="FP20" s="428"/>
      <c r="FQ20" s="428"/>
      <c r="FR20" s="428"/>
      <c r="FS20" s="428"/>
      <c r="FT20" s="428"/>
    </row>
    <row r="21" spans="2:176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DA21" s="80"/>
      <c r="DB21" s="425"/>
      <c r="DC21" s="80"/>
      <c r="DK21" s="416"/>
      <c r="DL21" s="416"/>
      <c r="DM21" s="416"/>
      <c r="DO21" s="428"/>
      <c r="DP21" s="428"/>
      <c r="DQ21" s="428"/>
      <c r="DR21" s="428"/>
      <c r="DS21" s="428"/>
      <c r="DT21" s="428"/>
      <c r="DU21" s="428"/>
      <c r="DV21" s="416"/>
      <c r="DW21" s="416"/>
      <c r="DX21" s="428"/>
      <c r="DY21" s="428"/>
      <c r="DZ21" s="428"/>
      <c r="EA21" s="428"/>
      <c r="EB21" s="428"/>
      <c r="EC21" s="428"/>
      <c r="ED21" s="428"/>
      <c r="EE21" s="428"/>
      <c r="EF21" s="428"/>
      <c r="EG21" s="428"/>
      <c r="EH21" s="428"/>
      <c r="EI21" s="416"/>
      <c r="EJ21" s="428"/>
      <c r="EK21" s="428"/>
      <c r="EL21" s="428"/>
      <c r="EM21" s="428"/>
      <c r="EN21" s="428"/>
      <c r="EO21" s="428"/>
      <c r="EP21" s="428"/>
      <c r="EQ21" s="428"/>
      <c r="ER21" s="428"/>
      <c r="ES21" s="428"/>
      <c r="ET21" s="416"/>
      <c r="EU21" s="428"/>
      <c r="EV21" s="428"/>
      <c r="EW21" s="416"/>
      <c r="EX21" s="428"/>
      <c r="EY21" s="428"/>
      <c r="EZ21" s="428"/>
      <c r="FA21" s="416"/>
      <c r="FB21" s="428"/>
      <c r="FC21" s="428"/>
      <c r="FD21" s="428"/>
      <c r="FE21" s="428"/>
      <c r="FF21" s="428"/>
      <c r="FG21" s="428"/>
      <c r="FH21" s="428"/>
      <c r="FI21" s="428"/>
      <c r="FJ21" s="428"/>
      <c r="FK21" s="428"/>
      <c r="FL21" s="416"/>
      <c r="FM21" s="428"/>
      <c r="FN21" s="428"/>
      <c r="FO21" s="428"/>
      <c r="FP21" s="428"/>
      <c r="FQ21" s="428"/>
      <c r="FR21" s="428"/>
      <c r="FS21" s="428"/>
      <c r="FT21" s="428"/>
    </row>
    <row r="22" spans="2:176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Z22" s="80"/>
      <c r="DA22" s="80"/>
      <c r="DB22" s="80"/>
      <c r="DC22" s="80"/>
      <c r="DK22" s="416"/>
      <c r="DL22" s="416"/>
      <c r="DM22" s="416"/>
      <c r="DO22" s="428"/>
      <c r="DP22" s="428"/>
      <c r="DQ22" s="428"/>
      <c r="DR22" s="428"/>
      <c r="DS22" s="428"/>
      <c r="DT22" s="428"/>
      <c r="DU22" s="428"/>
      <c r="DV22" s="416"/>
      <c r="DW22" s="416"/>
      <c r="DX22" s="428"/>
      <c r="DY22" s="428"/>
      <c r="DZ22" s="428"/>
      <c r="EA22" s="428"/>
      <c r="EB22" s="428"/>
      <c r="EC22" s="428"/>
      <c r="ED22" s="428"/>
      <c r="EE22" s="428"/>
      <c r="EF22" s="428"/>
      <c r="EG22" s="428"/>
      <c r="EH22" s="428"/>
      <c r="EI22" s="416"/>
      <c r="EJ22" s="428"/>
      <c r="EK22" s="428"/>
      <c r="EL22" s="428"/>
      <c r="EM22" s="428"/>
      <c r="EN22" s="428"/>
      <c r="EO22" s="428"/>
      <c r="EP22" s="428"/>
      <c r="EQ22" s="428"/>
      <c r="ER22" s="428"/>
      <c r="ES22" s="428"/>
      <c r="ET22" s="416"/>
      <c r="EU22" s="428"/>
      <c r="EV22" s="428"/>
      <c r="EW22" s="416"/>
      <c r="EX22" s="428"/>
      <c r="EY22" s="428"/>
      <c r="EZ22" s="428"/>
      <c r="FA22" s="416"/>
      <c r="FB22" s="428"/>
      <c r="FC22" s="428"/>
      <c r="FD22" s="428"/>
      <c r="FE22" s="428"/>
      <c r="FF22" s="428"/>
      <c r="FG22" s="428"/>
      <c r="FH22" s="428"/>
      <c r="FI22" s="428"/>
      <c r="FJ22" s="428"/>
      <c r="FK22" s="428"/>
      <c r="FL22" s="416"/>
      <c r="FM22" s="428"/>
      <c r="FN22" s="428"/>
      <c r="FO22" s="428"/>
      <c r="FP22" s="428"/>
      <c r="FQ22" s="428"/>
      <c r="FR22" s="428"/>
      <c r="FS22" s="428"/>
      <c r="FT22" s="428"/>
    </row>
    <row r="23" spans="2:176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Z23" s="80"/>
      <c r="DA23" s="80"/>
      <c r="DB23" s="425"/>
      <c r="DC23" s="80"/>
      <c r="DK23" s="416"/>
      <c r="DL23" s="416"/>
      <c r="DM23" s="416"/>
      <c r="DO23" s="428"/>
      <c r="DP23" s="428"/>
      <c r="DQ23" s="428"/>
      <c r="DR23" s="428"/>
      <c r="DS23" s="428"/>
      <c r="DT23" s="428"/>
      <c r="DU23" s="428"/>
      <c r="DV23" s="416"/>
      <c r="DW23" s="416"/>
      <c r="DX23" s="428"/>
      <c r="DY23" s="428"/>
      <c r="DZ23" s="428"/>
      <c r="EA23" s="428"/>
      <c r="EB23" s="428"/>
      <c r="EC23" s="428"/>
      <c r="ED23" s="428"/>
      <c r="EE23" s="428"/>
      <c r="EF23" s="428"/>
      <c r="EG23" s="428"/>
      <c r="EH23" s="428"/>
      <c r="EI23" s="416"/>
      <c r="EJ23" s="428"/>
      <c r="EK23" s="428"/>
      <c r="EL23" s="428"/>
      <c r="EM23" s="428"/>
      <c r="EN23" s="428"/>
      <c r="EO23" s="428"/>
      <c r="EP23" s="428"/>
      <c r="EQ23" s="428"/>
      <c r="ER23" s="428"/>
      <c r="ES23" s="428"/>
      <c r="ET23" s="416"/>
      <c r="EU23" s="428"/>
      <c r="EV23" s="428"/>
      <c r="EW23" s="416"/>
      <c r="EX23" s="428"/>
      <c r="EY23" s="428"/>
      <c r="EZ23" s="428"/>
      <c r="FA23" s="416"/>
      <c r="FB23" s="428"/>
      <c r="FC23" s="428"/>
      <c r="FD23" s="428"/>
      <c r="FE23" s="428"/>
      <c r="FF23" s="428"/>
      <c r="FG23" s="428"/>
      <c r="FH23" s="428"/>
      <c r="FI23" s="428"/>
      <c r="FJ23" s="428"/>
      <c r="FK23" s="428"/>
      <c r="FL23" s="416"/>
      <c r="FM23" s="428"/>
      <c r="FN23" s="428"/>
      <c r="FO23" s="428"/>
      <c r="FP23" s="428"/>
      <c r="FQ23" s="428"/>
      <c r="FR23" s="428"/>
      <c r="FS23" s="428"/>
      <c r="FT23" s="428"/>
    </row>
    <row r="24" spans="2:176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Z24" s="80"/>
      <c r="DA24" s="80"/>
      <c r="DB24" s="425"/>
      <c r="DC24" s="80"/>
      <c r="DK24" s="416"/>
      <c r="DL24" s="416"/>
      <c r="DM24" s="416"/>
      <c r="DO24" s="428"/>
      <c r="DP24" s="428"/>
      <c r="DQ24" s="428"/>
      <c r="DR24" s="428"/>
      <c r="DS24" s="428"/>
      <c r="DT24" s="428"/>
      <c r="DU24" s="428"/>
      <c r="DV24" s="416"/>
      <c r="DW24" s="416"/>
      <c r="DX24" s="428"/>
      <c r="DY24" s="428"/>
      <c r="DZ24" s="428"/>
      <c r="EA24" s="428"/>
      <c r="EB24" s="428"/>
      <c r="EC24" s="428"/>
      <c r="ED24" s="428"/>
      <c r="EE24" s="428"/>
      <c r="EF24" s="428"/>
      <c r="EG24" s="428"/>
      <c r="EH24" s="428"/>
      <c r="EI24" s="416"/>
      <c r="EJ24" s="428"/>
      <c r="EK24" s="428"/>
      <c r="EL24" s="428"/>
      <c r="EM24" s="428"/>
      <c r="EN24" s="428"/>
      <c r="EO24" s="428"/>
      <c r="EP24" s="428"/>
      <c r="EQ24" s="428"/>
      <c r="ER24" s="428"/>
      <c r="ES24" s="428"/>
      <c r="ET24" s="416"/>
      <c r="EU24" s="428"/>
      <c r="EV24" s="428"/>
      <c r="EW24" s="416"/>
      <c r="EX24" s="428"/>
      <c r="EY24" s="428"/>
      <c r="EZ24" s="428"/>
      <c r="FA24" s="416"/>
      <c r="FB24" s="428"/>
      <c r="FC24" s="428"/>
      <c r="FD24" s="428"/>
      <c r="FE24" s="428"/>
      <c r="FF24" s="428"/>
      <c r="FG24" s="428"/>
      <c r="FH24" s="428"/>
      <c r="FI24" s="428"/>
      <c r="FJ24" s="428"/>
      <c r="FK24" s="428"/>
      <c r="FL24" s="416"/>
      <c r="FM24" s="428"/>
      <c r="FN24" s="428"/>
      <c r="FO24" s="428"/>
      <c r="FP24" s="428"/>
      <c r="FQ24" s="428"/>
      <c r="FR24" s="428"/>
      <c r="FS24" s="428"/>
      <c r="FT24" s="428"/>
    </row>
    <row r="25" spans="2:176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Z25" s="475"/>
      <c r="DB25" s="425"/>
      <c r="DK25" s="416"/>
      <c r="DL25" s="416"/>
      <c r="DM25" s="416"/>
      <c r="DO25" s="428"/>
      <c r="DP25" s="428"/>
      <c r="DQ25" s="428"/>
      <c r="DR25" s="428"/>
      <c r="DS25" s="428"/>
      <c r="DT25" s="428"/>
      <c r="DU25" s="428"/>
      <c r="DV25" s="416"/>
      <c r="DW25" s="416"/>
      <c r="DX25" s="428"/>
      <c r="DY25" s="428"/>
      <c r="DZ25" s="428"/>
      <c r="EA25" s="428"/>
      <c r="EB25" s="428"/>
      <c r="EC25" s="428"/>
      <c r="ED25" s="428"/>
      <c r="EE25" s="428"/>
      <c r="EF25" s="428"/>
      <c r="EG25" s="428"/>
      <c r="EH25" s="428"/>
      <c r="EI25" s="416"/>
      <c r="EJ25" s="428"/>
      <c r="EK25" s="428"/>
      <c r="EL25" s="428"/>
      <c r="EM25" s="428"/>
      <c r="EN25" s="428"/>
      <c r="EO25" s="428"/>
      <c r="EP25" s="428"/>
      <c r="EQ25" s="428"/>
      <c r="ER25" s="428"/>
      <c r="ES25" s="428"/>
      <c r="ET25" s="416"/>
      <c r="EU25" s="428"/>
      <c r="EV25" s="428"/>
      <c r="EW25" s="416"/>
      <c r="EX25" s="428"/>
      <c r="EY25" s="428"/>
      <c r="EZ25" s="428"/>
      <c r="FA25" s="416"/>
      <c r="FB25" s="428"/>
      <c r="FC25" s="428"/>
      <c r="FD25" s="428"/>
      <c r="FE25" s="428"/>
      <c r="FF25" s="428"/>
      <c r="FG25" s="428"/>
      <c r="FH25" s="428"/>
      <c r="FI25" s="428"/>
      <c r="FJ25" s="428"/>
      <c r="FK25" s="428"/>
      <c r="FL25" s="416"/>
      <c r="FM25" s="428"/>
      <c r="FN25" s="428"/>
      <c r="FO25" s="428"/>
      <c r="FP25" s="428"/>
      <c r="FQ25" s="428"/>
      <c r="FR25" s="428"/>
      <c r="FS25" s="428"/>
      <c r="FT25" s="428"/>
    </row>
    <row r="26" spans="2:176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Z26" s="80"/>
      <c r="DA26" s="80"/>
      <c r="DB26" s="425"/>
      <c r="DC26" s="80"/>
      <c r="DK26" s="416"/>
      <c r="DL26" s="416"/>
      <c r="DM26" s="416"/>
      <c r="DO26" s="428"/>
      <c r="DP26" s="428"/>
      <c r="DQ26" s="428"/>
      <c r="DR26" s="428"/>
      <c r="DS26" s="428"/>
      <c r="DT26" s="428"/>
      <c r="DU26" s="428"/>
      <c r="DV26" s="416"/>
      <c r="DW26" s="416"/>
      <c r="DX26" s="428"/>
      <c r="DY26" s="428"/>
      <c r="DZ26" s="428"/>
      <c r="EA26" s="428"/>
      <c r="EB26" s="428"/>
      <c r="EC26" s="428"/>
      <c r="ED26" s="428"/>
      <c r="EE26" s="428"/>
      <c r="EF26" s="428"/>
      <c r="EG26" s="428"/>
      <c r="EH26" s="428"/>
      <c r="EI26" s="416"/>
      <c r="EJ26" s="428"/>
      <c r="EK26" s="428"/>
      <c r="EL26" s="428"/>
      <c r="EM26" s="428"/>
      <c r="EN26" s="428"/>
      <c r="EO26" s="428"/>
      <c r="EP26" s="428"/>
      <c r="EQ26" s="428"/>
      <c r="ER26" s="428"/>
      <c r="ES26" s="428"/>
      <c r="ET26" s="416"/>
      <c r="EU26" s="428"/>
      <c r="EV26" s="428"/>
      <c r="EW26" s="416"/>
      <c r="EX26" s="428"/>
      <c r="EY26" s="428"/>
      <c r="EZ26" s="428"/>
      <c r="FA26" s="416"/>
      <c r="FB26" s="428"/>
      <c r="FC26" s="428"/>
      <c r="FD26" s="428"/>
      <c r="FE26" s="428"/>
      <c r="FF26" s="428"/>
      <c r="FG26" s="428"/>
      <c r="FH26" s="428"/>
      <c r="FI26" s="428"/>
      <c r="FJ26" s="428"/>
      <c r="FK26" s="428"/>
      <c r="FL26" s="416"/>
      <c r="FM26" s="428"/>
      <c r="FN26" s="428"/>
      <c r="FO26" s="428"/>
      <c r="FP26" s="428"/>
      <c r="FQ26" s="428"/>
      <c r="FR26" s="428"/>
      <c r="FS26" s="428"/>
      <c r="FT26" s="428"/>
    </row>
    <row r="27" spans="2:176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Z27" s="80"/>
      <c r="DK27" s="416"/>
      <c r="DL27" s="416"/>
      <c r="DM27" s="416"/>
      <c r="DO27" s="428"/>
      <c r="DP27" s="428"/>
      <c r="DQ27" s="428"/>
      <c r="DR27" s="428"/>
      <c r="DS27" s="428"/>
      <c r="DT27" s="428"/>
      <c r="DU27" s="428"/>
      <c r="DV27" s="416"/>
      <c r="DW27" s="416"/>
      <c r="DX27" s="428"/>
      <c r="DY27" s="428"/>
      <c r="DZ27" s="428"/>
      <c r="EA27" s="428"/>
      <c r="EB27" s="428"/>
      <c r="EC27" s="428"/>
      <c r="ED27" s="428"/>
      <c r="EE27" s="428"/>
      <c r="EF27" s="428"/>
      <c r="EG27" s="428"/>
      <c r="EH27" s="428"/>
      <c r="EI27" s="416"/>
      <c r="EJ27" s="428"/>
      <c r="EK27" s="428"/>
      <c r="EL27" s="428"/>
      <c r="EM27" s="428"/>
      <c r="EN27" s="428"/>
      <c r="EO27" s="428"/>
      <c r="EP27" s="428"/>
      <c r="EQ27" s="428"/>
      <c r="ER27" s="428"/>
      <c r="ES27" s="428"/>
      <c r="ET27" s="416"/>
      <c r="EU27" s="428"/>
      <c r="EV27" s="428"/>
      <c r="EW27" s="416"/>
      <c r="EX27" s="428"/>
      <c r="EY27" s="428"/>
      <c r="EZ27" s="428"/>
      <c r="FA27" s="416"/>
      <c r="FB27" s="428"/>
      <c r="FC27" s="428"/>
      <c r="FD27" s="428"/>
      <c r="FE27" s="428"/>
      <c r="FF27" s="428"/>
      <c r="FG27" s="428"/>
      <c r="FH27" s="428"/>
      <c r="FI27" s="428"/>
      <c r="FJ27" s="428"/>
      <c r="FK27" s="428"/>
      <c r="FL27" s="416"/>
      <c r="FM27" s="428"/>
      <c r="FN27" s="428"/>
      <c r="FO27" s="428"/>
      <c r="FP27" s="428"/>
      <c r="FQ27" s="428"/>
      <c r="FR27" s="428"/>
      <c r="FS27" s="428"/>
      <c r="FT27" s="428"/>
    </row>
    <row r="28" spans="2:176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Z28" s="80"/>
      <c r="DA28" s="111"/>
      <c r="DB28" s="111"/>
      <c r="DC28" s="111"/>
      <c r="DK28" s="416"/>
      <c r="DL28" s="416"/>
      <c r="DM28" s="416"/>
      <c r="DO28" s="428"/>
      <c r="DP28" s="428"/>
      <c r="DQ28" s="428"/>
      <c r="DR28" s="428"/>
      <c r="DS28" s="428"/>
      <c r="DT28" s="428"/>
      <c r="DU28" s="428"/>
      <c r="DV28" s="416"/>
      <c r="DW28" s="416"/>
      <c r="DX28" s="428"/>
      <c r="DY28" s="428"/>
      <c r="DZ28" s="428"/>
      <c r="EA28" s="428"/>
      <c r="EB28" s="428"/>
      <c r="EC28" s="428"/>
      <c r="ED28" s="428"/>
      <c r="EE28" s="428"/>
      <c r="EF28" s="428"/>
      <c r="EG28" s="428"/>
      <c r="EH28" s="428"/>
      <c r="EI28" s="416"/>
      <c r="EJ28" s="428"/>
      <c r="EK28" s="428"/>
      <c r="EL28" s="428"/>
      <c r="EM28" s="428"/>
      <c r="EN28" s="428"/>
      <c r="EO28" s="428"/>
      <c r="EP28" s="428"/>
      <c r="EQ28" s="428"/>
      <c r="ER28" s="428"/>
      <c r="ES28" s="428"/>
      <c r="ET28" s="416"/>
      <c r="EU28" s="428"/>
      <c r="EV28" s="428"/>
      <c r="EW28" s="416"/>
      <c r="EX28" s="428"/>
      <c r="EY28" s="428"/>
      <c r="EZ28" s="428"/>
      <c r="FA28" s="416"/>
      <c r="FB28" s="428"/>
      <c r="FC28" s="428"/>
      <c r="FD28" s="428"/>
      <c r="FE28" s="428"/>
      <c r="FF28" s="428"/>
      <c r="FG28" s="428"/>
      <c r="FH28" s="428"/>
      <c r="FI28" s="428"/>
      <c r="FJ28" s="428"/>
      <c r="FK28" s="428"/>
      <c r="FL28" s="416"/>
      <c r="FM28" s="428"/>
      <c r="FN28" s="428"/>
      <c r="FO28" s="428"/>
      <c r="FP28" s="428"/>
      <c r="FQ28" s="428"/>
      <c r="FR28" s="428"/>
      <c r="FS28" s="428"/>
      <c r="FT28" s="428"/>
    </row>
    <row r="29" spans="2:176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Z29" s="80"/>
      <c r="DA29" s="3"/>
      <c r="DB29" s="3"/>
      <c r="DC29" s="3"/>
      <c r="DK29" s="416"/>
      <c r="DL29" s="416"/>
      <c r="DM29" s="416"/>
      <c r="DO29" s="428"/>
      <c r="DP29" s="428"/>
      <c r="DQ29" s="428"/>
      <c r="DR29" s="428"/>
      <c r="DS29" s="428"/>
      <c r="DT29" s="428"/>
      <c r="DU29" s="428"/>
      <c r="DV29" s="416"/>
      <c r="DW29" s="416"/>
      <c r="DX29" s="428"/>
      <c r="DY29" s="428"/>
      <c r="DZ29" s="428"/>
      <c r="EA29" s="428"/>
      <c r="EB29" s="428"/>
      <c r="EC29" s="428"/>
      <c r="ED29" s="428"/>
      <c r="EE29" s="428"/>
      <c r="EF29" s="428"/>
      <c r="EG29" s="428"/>
      <c r="EH29" s="428"/>
      <c r="EI29" s="416"/>
      <c r="EJ29" s="428"/>
      <c r="EK29" s="428"/>
      <c r="EL29" s="428"/>
      <c r="EM29" s="428"/>
      <c r="EN29" s="428"/>
      <c r="EO29" s="428"/>
      <c r="EP29" s="428"/>
      <c r="EQ29" s="428"/>
      <c r="ER29" s="428"/>
      <c r="ES29" s="428"/>
      <c r="ET29" s="416"/>
      <c r="EU29" s="428"/>
      <c r="EV29" s="428"/>
      <c r="EW29" s="416"/>
      <c r="EX29" s="428"/>
      <c r="EY29" s="428"/>
      <c r="EZ29" s="428"/>
      <c r="FA29" s="416"/>
      <c r="FB29" s="428"/>
      <c r="FC29" s="428"/>
      <c r="FD29" s="428"/>
      <c r="FE29" s="428"/>
      <c r="FF29" s="428"/>
      <c r="FG29" s="428"/>
      <c r="FH29" s="428"/>
      <c r="FI29" s="428"/>
      <c r="FJ29" s="428"/>
      <c r="FK29" s="428"/>
      <c r="FL29" s="416"/>
      <c r="FM29" s="428"/>
      <c r="FN29" s="428"/>
      <c r="FO29" s="428"/>
      <c r="FP29" s="428"/>
      <c r="FQ29" s="428"/>
      <c r="FR29" s="428"/>
      <c r="FS29" s="428"/>
      <c r="FT29" s="428"/>
    </row>
    <row r="30" spans="2:176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Z30" s="3"/>
      <c r="DA30" s="3"/>
      <c r="DB30" s="3"/>
      <c r="DC30" s="3"/>
      <c r="DK30" s="416"/>
      <c r="DL30" s="416"/>
      <c r="DM30" s="416"/>
      <c r="DO30" s="428"/>
      <c r="DP30" s="428"/>
      <c r="DQ30" s="428"/>
      <c r="DR30" s="428"/>
      <c r="DS30" s="428"/>
      <c r="DT30" s="428"/>
      <c r="DU30" s="428"/>
      <c r="DV30" s="416"/>
      <c r="DW30" s="416"/>
      <c r="DX30" s="428"/>
      <c r="DY30" s="428"/>
      <c r="DZ30" s="428"/>
      <c r="EA30" s="428"/>
      <c r="EB30" s="428"/>
      <c r="EC30" s="428"/>
      <c r="ED30" s="428"/>
      <c r="EE30" s="428"/>
      <c r="EF30" s="428"/>
      <c r="EG30" s="428"/>
      <c r="EH30" s="428"/>
      <c r="EI30" s="416"/>
      <c r="EJ30" s="428"/>
      <c r="EK30" s="428"/>
      <c r="EL30" s="428"/>
      <c r="EM30" s="428"/>
      <c r="EN30" s="428"/>
      <c r="EO30" s="428"/>
      <c r="EP30" s="428"/>
      <c r="EQ30" s="428"/>
      <c r="ER30" s="428"/>
      <c r="ES30" s="428"/>
      <c r="ET30" s="416"/>
      <c r="EU30" s="428"/>
      <c r="EV30" s="428"/>
      <c r="EW30" s="416"/>
      <c r="EX30" s="428"/>
      <c r="EY30" s="428"/>
      <c r="EZ30" s="428"/>
      <c r="FA30" s="416"/>
      <c r="FB30" s="428"/>
      <c r="FC30" s="428"/>
      <c r="FD30" s="428"/>
      <c r="FE30" s="428"/>
      <c r="FF30" s="428"/>
      <c r="FG30" s="428"/>
      <c r="FH30" s="428"/>
      <c r="FI30" s="428"/>
      <c r="FJ30" s="428"/>
      <c r="FK30" s="428"/>
      <c r="FL30" s="416"/>
      <c r="FM30" s="428"/>
      <c r="FN30" s="428"/>
      <c r="FO30" s="428"/>
      <c r="FP30" s="428"/>
      <c r="FQ30" s="428"/>
      <c r="FR30" s="428"/>
      <c r="FS30" s="428"/>
      <c r="FT30" s="428"/>
    </row>
    <row r="31" spans="2:176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Z31" s="3"/>
      <c r="DA31" s="3"/>
      <c r="DB31" s="3"/>
      <c r="DC31" s="3"/>
      <c r="DK31" s="416"/>
      <c r="DL31" s="416"/>
      <c r="DM31" s="416"/>
      <c r="DO31" s="428"/>
      <c r="DP31" s="428"/>
      <c r="DQ31" s="428"/>
      <c r="DR31" s="428"/>
      <c r="DS31" s="428"/>
      <c r="DT31" s="428"/>
      <c r="DU31" s="428"/>
      <c r="DV31" s="416"/>
      <c r="DW31" s="416"/>
      <c r="DX31" s="428"/>
      <c r="DY31" s="428"/>
      <c r="DZ31" s="428"/>
      <c r="EA31" s="428"/>
      <c r="EB31" s="428"/>
      <c r="EC31" s="428"/>
      <c r="ED31" s="428"/>
      <c r="EE31" s="428"/>
      <c r="EF31" s="428"/>
      <c r="EG31" s="428"/>
      <c r="EH31" s="428"/>
      <c r="EI31" s="416"/>
      <c r="EJ31" s="428"/>
      <c r="EK31" s="428"/>
      <c r="EL31" s="428"/>
      <c r="EM31" s="428"/>
      <c r="EN31" s="428"/>
      <c r="EO31" s="428"/>
      <c r="EP31" s="428"/>
      <c r="EQ31" s="428"/>
      <c r="ER31" s="428"/>
      <c r="ES31" s="428"/>
      <c r="ET31" s="416"/>
      <c r="EU31" s="428"/>
      <c r="EV31" s="428"/>
      <c r="EW31" s="416"/>
      <c r="EX31" s="428"/>
      <c r="EY31" s="428"/>
      <c r="EZ31" s="428"/>
      <c r="FA31" s="416"/>
      <c r="FB31" s="428"/>
      <c r="FC31" s="428"/>
      <c r="FD31" s="428"/>
      <c r="FE31" s="428"/>
      <c r="FF31" s="428"/>
      <c r="FG31" s="428"/>
      <c r="FH31" s="428"/>
      <c r="FI31" s="428"/>
      <c r="FJ31" s="428"/>
      <c r="FK31" s="428"/>
      <c r="FL31" s="416"/>
      <c r="FM31" s="428"/>
      <c r="FN31" s="428"/>
      <c r="FO31" s="428"/>
      <c r="FP31" s="428"/>
      <c r="FQ31" s="428"/>
      <c r="FR31" s="428"/>
      <c r="FS31" s="428"/>
      <c r="FT31" s="428"/>
    </row>
    <row r="32" spans="2:176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Z32" s="3"/>
      <c r="DA32" s="3"/>
      <c r="DB32" s="3"/>
      <c r="DC32" s="3"/>
      <c r="DK32" s="416"/>
      <c r="DL32" s="416"/>
      <c r="DM32" s="416"/>
      <c r="DO32" s="428"/>
      <c r="DP32" s="428"/>
      <c r="DQ32" s="428"/>
      <c r="DR32" s="428"/>
      <c r="DS32" s="428"/>
      <c r="DT32" s="428"/>
      <c r="DU32" s="428"/>
      <c r="DV32" s="416"/>
      <c r="DW32" s="416"/>
      <c r="DX32" s="428"/>
      <c r="DY32" s="428"/>
      <c r="DZ32" s="428"/>
      <c r="EA32" s="428"/>
      <c r="EB32" s="428"/>
      <c r="EC32" s="428"/>
      <c r="ED32" s="428"/>
      <c r="EE32" s="428"/>
      <c r="EF32" s="428"/>
      <c r="EG32" s="428"/>
      <c r="EH32" s="428"/>
      <c r="EI32" s="416"/>
      <c r="EJ32" s="428"/>
      <c r="EK32" s="428"/>
      <c r="EL32" s="428"/>
      <c r="EM32" s="428"/>
      <c r="EN32" s="428"/>
      <c r="EO32" s="428"/>
      <c r="EP32" s="428"/>
      <c r="EQ32" s="428"/>
      <c r="ER32" s="428"/>
      <c r="ES32" s="428"/>
      <c r="ET32" s="416"/>
      <c r="EU32" s="428"/>
      <c r="EV32" s="428"/>
      <c r="EW32" s="416"/>
      <c r="EX32" s="428"/>
      <c r="EY32" s="428"/>
      <c r="EZ32" s="428"/>
      <c r="FA32" s="416"/>
      <c r="FB32" s="428"/>
      <c r="FC32" s="428"/>
      <c r="FD32" s="428"/>
      <c r="FE32" s="428"/>
      <c r="FF32" s="428"/>
      <c r="FG32" s="428"/>
      <c r="FH32" s="428"/>
      <c r="FI32" s="428"/>
      <c r="FJ32" s="428"/>
      <c r="FK32" s="428"/>
      <c r="FL32" s="416"/>
      <c r="FM32" s="428"/>
      <c r="FN32" s="428"/>
      <c r="FO32" s="428"/>
      <c r="FP32" s="428"/>
      <c r="FQ32" s="428"/>
      <c r="FR32" s="428"/>
      <c r="FS32" s="428"/>
      <c r="FT32" s="428"/>
    </row>
    <row r="33" spans="2:176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DK33" s="416"/>
      <c r="DL33" s="416"/>
      <c r="DM33" s="416"/>
      <c r="DO33" s="428"/>
      <c r="DP33" s="428"/>
      <c r="DQ33" s="428"/>
      <c r="DR33" s="428"/>
      <c r="DS33" s="428"/>
      <c r="DT33" s="428"/>
      <c r="DU33" s="428"/>
      <c r="DV33" s="416"/>
      <c r="DW33" s="416"/>
      <c r="DX33" s="428"/>
      <c r="DY33" s="428"/>
      <c r="DZ33" s="428"/>
      <c r="EA33" s="428"/>
      <c r="EB33" s="428"/>
      <c r="EC33" s="428"/>
      <c r="ED33" s="428"/>
      <c r="EE33" s="428"/>
      <c r="EF33" s="428"/>
      <c r="EG33" s="428"/>
      <c r="EH33" s="428"/>
      <c r="EI33" s="416"/>
      <c r="EJ33" s="428"/>
      <c r="EK33" s="428"/>
      <c r="EL33" s="428"/>
      <c r="EM33" s="428"/>
      <c r="EN33" s="428"/>
      <c r="EO33" s="428"/>
      <c r="EP33" s="428"/>
      <c r="EQ33" s="428"/>
      <c r="ER33" s="428"/>
      <c r="ES33" s="428"/>
      <c r="ET33" s="416"/>
      <c r="EU33" s="428"/>
      <c r="EV33" s="428"/>
      <c r="EW33" s="416"/>
      <c r="EX33" s="428"/>
      <c r="EY33" s="428"/>
      <c r="EZ33" s="428"/>
      <c r="FA33" s="416"/>
      <c r="FB33" s="428"/>
      <c r="FC33" s="428"/>
      <c r="FD33" s="428"/>
      <c r="FE33" s="428"/>
      <c r="FF33" s="428"/>
      <c r="FG33" s="428"/>
      <c r="FH33" s="428"/>
      <c r="FI33" s="428"/>
      <c r="FJ33" s="428"/>
      <c r="FK33" s="428"/>
      <c r="FL33" s="416"/>
      <c r="FM33" s="428"/>
      <c r="FN33" s="428"/>
      <c r="FO33" s="428"/>
      <c r="FP33" s="428"/>
      <c r="FQ33" s="428"/>
      <c r="FR33" s="428"/>
      <c r="FS33" s="428"/>
      <c r="FT33" s="428"/>
    </row>
    <row r="34" spans="2:176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DK34" s="416"/>
      <c r="DL34" s="416"/>
      <c r="DM34" s="416"/>
      <c r="DO34" s="428"/>
      <c r="DP34" s="428"/>
      <c r="DQ34" s="428"/>
      <c r="DR34" s="428"/>
      <c r="DS34" s="428"/>
      <c r="DT34" s="428"/>
      <c r="DU34" s="428"/>
      <c r="DV34" s="416"/>
      <c r="DW34" s="416"/>
      <c r="DX34" s="428"/>
      <c r="DY34" s="428"/>
      <c r="DZ34" s="428"/>
      <c r="EA34" s="428"/>
      <c r="EB34" s="428"/>
      <c r="EC34" s="428"/>
      <c r="ED34" s="428"/>
      <c r="EE34" s="428"/>
      <c r="EF34" s="428"/>
      <c r="EG34" s="428"/>
      <c r="EH34" s="428"/>
      <c r="EI34" s="416"/>
      <c r="EJ34" s="428"/>
      <c r="EK34" s="428"/>
      <c r="EL34" s="428"/>
      <c r="EM34" s="428"/>
      <c r="EN34" s="428"/>
      <c r="EO34" s="428"/>
      <c r="EP34" s="428"/>
      <c r="EQ34" s="428"/>
      <c r="ER34" s="428"/>
      <c r="ES34" s="428"/>
      <c r="ET34" s="416"/>
      <c r="EU34" s="428"/>
      <c r="EV34" s="428"/>
      <c r="EW34" s="416"/>
      <c r="EX34" s="428"/>
      <c r="EY34" s="428"/>
      <c r="EZ34" s="428"/>
      <c r="FA34" s="416"/>
      <c r="FB34" s="428"/>
      <c r="FC34" s="428"/>
      <c r="FD34" s="428"/>
      <c r="FE34" s="428"/>
      <c r="FF34" s="428"/>
      <c r="FG34" s="428"/>
      <c r="FH34" s="428"/>
      <c r="FI34" s="428"/>
      <c r="FJ34" s="428"/>
      <c r="FK34" s="428"/>
      <c r="FL34" s="416"/>
      <c r="FM34" s="428"/>
      <c r="FN34" s="428"/>
      <c r="FO34" s="428"/>
      <c r="FP34" s="428"/>
      <c r="FQ34" s="428"/>
      <c r="FR34" s="428"/>
      <c r="FS34" s="428"/>
      <c r="FT34" s="428"/>
    </row>
    <row r="35" spans="2:176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DK35" s="416"/>
      <c r="DL35" s="416"/>
      <c r="DM35" s="416"/>
      <c r="DO35" s="428"/>
      <c r="DP35" s="428"/>
      <c r="DQ35" s="428"/>
      <c r="DR35" s="428"/>
      <c r="DS35" s="428"/>
      <c r="DT35" s="428"/>
      <c r="DU35" s="428"/>
      <c r="DV35" s="416"/>
      <c r="DW35" s="416"/>
      <c r="DX35" s="428"/>
      <c r="DY35" s="428"/>
      <c r="DZ35" s="428"/>
      <c r="EA35" s="428"/>
      <c r="EB35" s="428"/>
      <c r="EC35" s="428"/>
      <c r="ED35" s="428"/>
      <c r="EE35" s="428"/>
      <c r="EF35" s="428"/>
      <c r="EG35" s="428"/>
      <c r="EH35" s="428"/>
      <c r="EI35" s="416"/>
      <c r="EJ35" s="428"/>
      <c r="EK35" s="428"/>
      <c r="EL35" s="428"/>
      <c r="EM35" s="428"/>
      <c r="EN35" s="428"/>
      <c r="EO35" s="428"/>
      <c r="EP35" s="428"/>
      <c r="EQ35" s="428"/>
      <c r="ER35" s="428"/>
      <c r="ES35" s="428"/>
      <c r="ET35" s="416"/>
      <c r="EU35" s="428"/>
      <c r="EV35" s="428"/>
      <c r="EW35" s="416"/>
      <c r="EX35" s="428"/>
      <c r="EY35" s="428"/>
      <c r="EZ35" s="428"/>
      <c r="FA35" s="416"/>
      <c r="FB35" s="428"/>
      <c r="FC35" s="428"/>
      <c r="FD35" s="428"/>
      <c r="FE35" s="428"/>
      <c r="FF35" s="428"/>
      <c r="FG35" s="428"/>
      <c r="FH35" s="428"/>
      <c r="FI35" s="428"/>
      <c r="FJ35" s="428"/>
      <c r="FK35" s="428"/>
      <c r="FL35" s="416"/>
      <c r="FM35" s="428"/>
      <c r="FN35" s="428"/>
      <c r="FO35" s="428"/>
      <c r="FP35" s="428"/>
      <c r="FQ35" s="428"/>
      <c r="FR35" s="428"/>
      <c r="FS35" s="428"/>
      <c r="FT35" s="428"/>
    </row>
    <row r="36" spans="2:176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DK36" s="416"/>
      <c r="DL36" s="416"/>
      <c r="DM36" s="416"/>
      <c r="DO36" s="428"/>
      <c r="DP36" s="428"/>
      <c r="DQ36" s="428"/>
      <c r="DR36" s="428"/>
      <c r="DS36" s="428"/>
      <c r="DT36" s="428"/>
      <c r="DU36" s="428"/>
      <c r="DV36" s="416"/>
      <c r="DW36" s="416"/>
      <c r="DX36" s="428"/>
      <c r="DY36" s="428"/>
      <c r="DZ36" s="428"/>
      <c r="EA36" s="428"/>
      <c r="EB36" s="428"/>
      <c r="EC36" s="428"/>
      <c r="ED36" s="428"/>
      <c r="EE36" s="428"/>
      <c r="EF36" s="428"/>
      <c r="EG36" s="428"/>
      <c r="EH36" s="428"/>
      <c r="EI36" s="416"/>
      <c r="EJ36" s="428"/>
      <c r="EK36" s="428"/>
      <c r="EL36" s="428"/>
      <c r="EM36" s="428"/>
      <c r="EN36" s="428"/>
      <c r="EO36" s="428"/>
      <c r="EP36" s="428"/>
      <c r="EQ36" s="428"/>
      <c r="ER36" s="428"/>
      <c r="ES36" s="428"/>
      <c r="ET36" s="416"/>
      <c r="EU36" s="428"/>
      <c r="EV36" s="428"/>
      <c r="EW36" s="416"/>
      <c r="EX36" s="428"/>
      <c r="EY36" s="428"/>
      <c r="EZ36" s="428"/>
      <c r="FA36" s="416"/>
      <c r="FB36" s="428"/>
      <c r="FC36" s="428"/>
      <c r="FD36" s="428"/>
      <c r="FE36" s="428"/>
      <c r="FF36" s="428"/>
      <c r="FG36" s="428"/>
      <c r="FH36" s="428"/>
      <c r="FI36" s="428"/>
      <c r="FJ36" s="428"/>
      <c r="FK36" s="428"/>
      <c r="FL36" s="416"/>
      <c r="FM36" s="428"/>
      <c r="FN36" s="428"/>
      <c r="FO36" s="428"/>
      <c r="FP36" s="428"/>
      <c r="FQ36" s="428"/>
      <c r="FR36" s="428"/>
      <c r="FS36" s="428"/>
      <c r="FT36" s="428"/>
    </row>
    <row r="37" spans="2:176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DK37" s="416"/>
      <c r="DL37" s="416"/>
      <c r="DM37" s="416"/>
      <c r="DO37" s="428"/>
      <c r="DP37" s="428"/>
      <c r="DQ37" s="428"/>
      <c r="DR37" s="428"/>
      <c r="DS37" s="428"/>
      <c r="DT37" s="428"/>
      <c r="DU37" s="428"/>
      <c r="DV37" s="416"/>
      <c r="DW37" s="416"/>
      <c r="DX37" s="428"/>
      <c r="DY37" s="428"/>
      <c r="DZ37" s="428"/>
      <c r="EA37" s="428"/>
      <c r="EB37" s="428"/>
      <c r="EC37" s="428"/>
      <c r="ED37" s="428"/>
      <c r="EE37" s="428"/>
      <c r="EF37" s="428"/>
      <c r="EG37" s="428"/>
      <c r="EH37" s="428"/>
      <c r="EI37" s="416"/>
      <c r="EJ37" s="428"/>
      <c r="EK37" s="428"/>
      <c r="EL37" s="428"/>
      <c r="EM37" s="428"/>
      <c r="EN37" s="428"/>
      <c r="EO37" s="428"/>
      <c r="EP37" s="428"/>
      <c r="EQ37" s="428"/>
      <c r="ER37" s="428"/>
      <c r="ES37" s="428"/>
      <c r="ET37" s="416"/>
      <c r="EU37" s="428"/>
      <c r="EV37" s="428"/>
      <c r="EW37" s="416"/>
      <c r="EX37" s="428"/>
      <c r="EY37" s="428"/>
      <c r="EZ37" s="428"/>
      <c r="FA37" s="416"/>
      <c r="FB37" s="428"/>
      <c r="FC37" s="428"/>
      <c r="FD37" s="428"/>
      <c r="FE37" s="428"/>
      <c r="FF37" s="428"/>
      <c r="FG37" s="428"/>
      <c r="FH37" s="428"/>
      <c r="FI37" s="428"/>
      <c r="FJ37" s="428"/>
      <c r="FK37" s="428"/>
      <c r="FL37" s="416"/>
      <c r="FM37" s="428"/>
      <c r="FN37" s="428"/>
      <c r="FO37" s="428"/>
      <c r="FP37" s="428"/>
      <c r="FQ37" s="428"/>
      <c r="FR37" s="428"/>
      <c r="FS37" s="428"/>
      <c r="FT37" s="428"/>
    </row>
    <row r="38" spans="2:176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DK38" s="416"/>
      <c r="DL38" s="416"/>
      <c r="DM38" s="416"/>
      <c r="DO38" s="428"/>
      <c r="DP38" s="428"/>
      <c r="DQ38" s="428"/>
      <c r="DR38" s="428"/>
      <c r="DS38" s="428"/>
      <c r="DT38" s="428"/>
      <c r="DU38" s="428"/>
      <c r="DV38" s="416"/>
      <c r="DW38" s="416"/>
      <c r="DX38" s="428"/>
      <c r="DY38" s="428"/>
      <c r="DZ38" s="428"/>
      <c r="EA38" s="428"/>
      <c r="EB38" s="428"/>
      <c r="EC38" s="428"/>
      <c r="ED38" s="428"/>
      <c r="EE38" s="428"/>
      <c r="EF38" s="428"/>
      <c r="EG38" s="428"/>
      <c r="EH38" s="428"/>
      <c r="EI38" s="416"/>
      <c r="EJ38" s="428"/>
      <c r="EK38" s="428"/>
      <c r="EL38" s="428"/>
      <c r="EM38" s="428"/>
      <c r="EN38" s="428"/>
      <c r="EO38" s="428"/>
      <c r="EP38" s="428"/>
      <c r="EQ38" s="428"/>
      <c r="ER38" s="428"/>
      <c r="ES38" s="428"/>
      <c r="ET38" s="416"/>
      <c r="EU38" s="428"/>
      <c r="EV38" s="428"/>
      <c r="EW38" s="416"/>
      <c r="EX38" s="428"/>
      <c r="EY38" s="428"/>
      <c r="EZ38" s="428"/>
      <c r="FA38" s="416"/>
      <c r="FB38" s="428"/>
      <c r="FC38" s="428"/>
      <c r="FD38" s="428"/>
      <c r="FE38" s="428"/>
      <c r="FF38" s="428"/>
      <c r="FG38" s="428"/>
      <c r="FH38" s="428"/>
      <c r="FI38" s="428"/>
      <c r="FJ38" s="428"/>
      <c r="FK38" s="428"/>
      <c r="FL38" s="416"/>
      <c r="FM38" s="428"/>
      <c r="FN38" s="428"/>
      <c r="FO38" s="428"/>
      <c r="FP38" s="428"/>
      <c r="FQ38" s="428"/>
      <c r="FR38" s="428"/>
      <c r="FS38" s="428"/>
      <c r="FT38" s="428"/>
    </row>
    <row r="39" spans="2:176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DK39" s="416"/>
      <c r="DL39" s="416"/>
      <c r="DM39" s="416"/>
      <c r="DO39" s="428"/>
      <c r="DP39" s="428"/>
      <c r="DQ39" s="428"/>
      <c r="DR39" s="428"/>
      <c r="DS39" s="428"/>
      <c r="DT39" s="428"/>
      <c r="DU39" s="428"/>
      <c r="DV39" s="416"/>
      <c r="DW39" s="416"/>
      <c r="DX39" s="428"/>
      <c r="DY39" s="428"/>
      <c r="DZ39" s="428"/>
      <c r="EA39" s="428"/>
      <c r="EB39" s="428"/>
      <c r="EC39" s="428"/>
      <c r="ED39" s="428"/>
      <c r="EE39" s="428"/>
      <c r="EF39" s="428"/>
      <c r="EG39" s="428"/>
      <c r="EH39" s="428"/>
      <c r="EI39" s="416"/>
      <c r="EJ39" s="428"/>
      <c r="EK39" s="428"/>
      <c r="EL39" s="428"/>
      <c r="EM39" s="428"/>
      <c r="EN39" s="428"/>
      <c r="EO39" s="428"/>
      <c r="EP39" s="428"/>
      <c r="EQ39" s="428"/>
      <c r="ER39" s="428"/>
      <c r="ES39" s="428"/>
      <c r="ET39" s="416"/>
      <c r="EU39" s="428"/>
      <c r="EV39" s="428"/>
      <c r="EW39" s="416"/>
      <c r="EX39" s="428"/>
      <c r="EY39" s="428"/>
      <c r="EZ39" s="428"/>
      <c r="FA39" s="416"/>
      <c r="FB39" s="428"/>
      <c r="FC39" s="428"/>
      <c r="FD39" s="428"/>
      <c r="FE39" s="428"/>
      <c r="FF39" s="428"/>
      <c r="FG39" s="428"/>
      <c r="FH39" s="428"/>
      <c r="FI39" s="428"/>
      <c r="FJ39" s="428"/>
      <c r="FK39" s="428"/>
      <c r="FL39" s="416"/>
      <c r="FM39" s="428"/>
      <c r="FN39" s="428"/>
      <c r="FO39" s="428"/>
      <c r="FP39" s="428"/>
      <c r="FQ39" s="428"/>
      <c r="FR39" s="428"/>
      <c r="FS39" s="428"/>
      <c r="FT39" s="428"/>
    </row>
    <row r="40" spans="2:176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DK40" s="416"/>
      <c r="DL40" s="416"/>
      <c r="DM40" s="416"/>
      <c r="DO40" s="428"/>
      <c r="DP40" s="428"/>
      <c r="DQ40" s="428"/>
      <c r="DR40" s="428"/>
      <c r="DS40" s="428"/>
      <c r="DT40" s="428"/>
      <c r="DU40" s="428"/>
      <c r="DV40" s="416"/>
      <c r="DW40" s="416"/>
      <c r="DX40" s="428"/>
      <c r="DY40" s="428"/>
      <c r="DZ40" s="428"/>
      <c r="EA40" s="428"/>
      <c r="EB40" s="428"/>
      <c r="EC40" s="428"/>
      <c r="ED40" s="428"/>
      <c r="EE40" s="428"/>
      <c r="EF40" s="428"/>
      <c r="EG40" s="428"/>
      <c r="EH40" s="428"/>
      <c r="EI40" s="416"/>
      <c r="EJ40" s="428"/>
      <c r="EK40" s="428"/>
      <c r="EL40" s="428"/>
      <c r="EM40" s="428"/>
      <c r="EN40" s="428"/>
      <c r="EO40" s="428"/>
      <c r="EP40" s="428"/>
      <c r="EQ40" s="428"/>
      <c r="ER40" s="428"/>
      <c r="ES40" s="428"/>
      <c r="ET40" s="416"/>
      <c r="EU40" s="428"/>
      <c r="EV40" s="428"/>
      <c r="EW40" s="416"/>
      <c r="EX40" s="428"/>
      <c r="EY40" s="428"/>
      <c r="EZ40" s="428"/>
      <c r="FA40" s="416"/>
      <c r="FB40" s="428"/>
      <c r="FC40" s="428"/>
      <c r="FD40" s="428"/>
      <c r="FE40" s="428"/>
      <c r="FF40" s="428"/>
      <c r="FG40" s="428"/>
      <c r="FH40" s="428"/>
      <c r="FI40" s="428"/>
      <c r="FJ40" s="428"/>
      <c r="FK40" s="428"/>
      <c r="FL40" s="416"/>
      <c r="FM40" s="428"/>
      <c r="FN40" s="428"/>
      <c r="FO40" s="428"/>
      <c r="FP40" s="428"/>
      <c r="FQ40" s="428"/>
      <c r="FR40" s="428"/>
      <c r="FS40" s="428"/>
      <c r="FT40" s="428"/>
    </row>
    <row r="41" spans="2:176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DK41" s="416"/>
      <c r="DL41" s="416"/>
      <c r="DM41" s="416"/>
      <c r="DO41" s="428"/>
      <c r="DP41" s="428"/>
      <c r="DQ41" s="428"/>
      <c r="DR41" s="428"/>
      <c r="DS41" s="428"/>
      <c r="DT41" s="428"/>
      <c r="DU41" s="428"/>
      <c r="DV41" s="416"/>
      <c r="DW41" s="416"/>
      <c r="DX41" s="428"/>
      <c r="DY41" s="428"/>
      <c r="DZ41" s="428"/>
      <c r="EA41" s="428"/>
      <c r="EB41" s="428"/>
      <c r="EC41" s="428"/>
      <c r="ED41" s="428"/>
      <c r="EE41" s="428"/>
      <c r="EF41" s="428"/>
      <c r="EG41" s="428"/>
      <c r="EH41" s="428"/>
      <c r="EI41" s="416"/>
      <c r="EJ41" s="428"/>
      <c r="EK41" s="428"/>
      <c r="EL41" s="428"/>
      <c r="EM41" s="428"/>
      <c r="EN41" s="428"/>
      <c r="EO41" s="428"/>
      <c r="EP41" s="428"/>
      <c r="EQ41" s="428"/>
      <c r="ER41" s="428"/>
      <c r="ES41" s="428"/>
      <c r="ET41" s="416"/>
      <c r="EU41" s="428"/>
      <c r="EV41" s="428"/>
      <c r="EW41" s="416"/>
      <c r="EX41" s="428"/>
      <c r="EY41" s="428"/>
      <c r="EZ41" s="428"/>
      <c r="FA41" s="416"/>
      <c r="FB41" s="428"/>
      <c r="FC41" s="428"/>
      <c r="FD41" s="428"/>
      <c r="FE41" s="428"/>
      <c r="FF41" s="428"/>
      <c r="FG41" s="428"/>
      <c r="FH41" s="428"/>
      <c r="FI41" s="428"/>
      <c r="FJ41" s="428"/>
      <c r="FK41" s="428"/>
      <c r="FL41" s="416"/>
      <c r="FM41" s="428"/>
      <c r="FN41" s="428"/>
      <c r="FO41" s="428"/>
      <c r="FP41" s="428"/>
      <c r="FQ41" s="428"/>
      <c r="FR41" s="428"/>
      <c r="FS41" s="428"/>
      <c r="FT41" s="428"/>
    </row>
    <row r="42" spans="2:176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DK42" s="416"/>
      <c r="DL42" s="416"/>
      <c r="DM42" s="416"/>
      <c r="DO42" s="428"/>
      <c r="DP42" s="428"/>
      <c r="DQ42" s="428"/>
      <c r="DR42" s="428"/>
      <c r="DS42" s="428"/>
      <c r="DT42" s="428"/>
      <c r="DU42" s="428"/>
      <c r="DV42" s="416"/>
      <c r="DW42" s="416"/>
      <c r="DX42" s="428"/>
      <c r="DY42" s="428"/>
      <c r="DZ42" s="428"/>
      <c r="EA42" s="428"/>
      <c r="EB42" s="428"/>
      <c r="EC42" s="428"/>
      <c r="ED42" s="428"/>
      <c r="EE42" s="428"/>
      <c r="EF42" s="428"/>
      <c r="EG42" s="428"/>
      <c r="EH42" s="428"/>
      <c r="EI42" s="416"/>
      <c r="EJ42" s="428"/>
      <c r="EK42" s="428"/>
      <c r="EL42" s="428"/>
      <c r="EM42" s="428"/>
      <c r="EN42" s="428"/>
      <c r="EO42" s="428"/>
      <c r="EP42" s="428"/>
      <c r="EQ42" s="428"/>
      <c r="ER42" s="428"/>
      <c r="ES42" s="428"/>
      <c r="ET42" s="416"/>
      <c r="EU42" s="428"/>
      <c r="EV42" s="428"/>
      <c r="EW42" s="416"/>
      <c r="EX42" s="428"/>
      <c r="EY42" s="428"/>
      <c r="EZ42" s="428"/>
      <c r="FA42" s="416"/>
      <c r="FB42" s="428"/>
      <c r="FC42" s="428"/>
      <c r="FD42" s="428"/>
      <c r="FE42" s="428"/>
      <c r="FF42" s="428"/>
      <c r="FG42" s="428"/>
      <c r="FH42" s="428"/>
      <c r="FI42" s="428"/>
      <c r="FJ42" s="428"/>
      <c r="FK42" s="428"/>
      <c r="FL42" s="416"/>
      <c r="FM42" s="428"/>
      <c r="FN42" s="428"/>
      <c r="FO42" s="428"/>
      <c r="FP42" s="428"/>
      <c r="FQ42" s="428"/>
      <c r="FR42" s="428"/>
      <c r="FS42" s="428"/>
      <c r="FT42" s="428"/>
    </row>
    <row r="43" spans="2:176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DK43" s="416"/>
      <c r="DL43" s="416"/>
      <c r="DM43" s="416"/>
      <c r="DO43" s="428"/>
      <c r="DP43" s="428"/>
      <c r="DQ43" s="428"/>
      <c r="DR43" s="428"/>
      <c r="DS43" s="428"/>
      <c r="DT43" s="428"/>
      <c r="DU43" s="428"/>
      <c r="DV43" s="416"/>
      <c r="DW43" s="416"/>
      <c r="DX43" s="428"/>
      <c r="DY43" s="428"/>
      <c r="DZ43" s="428"/>
      <c r="EA43" s="428"/>
      <c r="EB43" s="428"/>
      <c r="EC43" s="428"/>
      <c r="ED43" s="428"/>
      <c r="EE43" s="428"/>
      <c r="EF43" s="428"/>
      <c r="EG43" s="428"/>
      <c r="EH43" s="428"/>
      <c r="EI43" s="416"/>
      <c r="EJ43" s="428"/>
      <c r="EK43" s="428"/>
      <c r="EL43" s="428"/>
      <c r="EM43" s="428"/>
      <c r="EN43" s="428"/>
      <c r="EO43" s="428"/>
      <c r="EP43" s="428"/>
      <c r="EQ43" s="428"/>
      <c r="ER43" s="428"/>
      <c r="ES43" s="428"/>
      <c r="ET43" s="416"/>
      <c r="EU43" s="428"/>
      <c r="EV43" s="428"/>
      <c r="EW43" s="416"/>
      <c r="EX43" s="428"/>
      <c r="EY43" s="428"/>
      <c r="EZ43" s="428"/>
      <c r="FA43" s="416"/>
      <c r="FB43" s="428"/>
      <c r="FC43" s="428"/>
      <c r="FD43" s="428"/>
      <c r="FE43" s="428"/>
      <c r="FF43" s="428"/>
      <c r="FG43" s="428"/>
      <c r="FH43" s="428"/>
      <c r="FI43" s="428"/>
      <c r="FJ43" s="428"/>
      <c r="FK43" s="428"/>
      <c r="FL43" s="416"/>
      <c r="FM43" s="428"/>
      <c r="FN43" s="428"/>
      <c r="FO43" s="428"/>
      <c r="FP43" s="428"/>
      <c r="FQ43" s="428"/>
      <c r="FR43" s="428"/>
      <c r="FS43" s="428"/>
      <c r="FT43" s="428"/>
    </row>
    <row r="44" spans="2:176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DG44" s="416"/>
      <c r="DH44" s="416"/>
      <c r="DI44" s="416"/>
      <c r="DJ44" s="416"/>
      <c r="DK44" s="416"/>
      <c r="DL44" s="416"/>
      <c r="DM44" s="416"/>
      <c r="DO44" s="428"/>
      <c r="DP44" s="428"/>
      <c r="DQ44" s="428"/>
      <c r="DR44" s="428"/>
      <c r="DS44" s="428"/>
      <c r="DT44" s="428"/>
      <c r="DU44" s="428"/>
      <c r="DV44" s="416"/>
      <c r="DW44" s="416"/>
      <c r="DX44" s="428"/>
      <c r="DY44" s="428"/>
      <c r="DZ44" s="428"/>
      <c r="EA44" s="428"/>
      <c r="EB44" s="428"/>
      <c r="EC44" s="428"/>
      <c r="ED44" s="428"/>
      <c r="EE44" s="428"/>
      <c r="EF44" s="428"/>
      <c r="EG44" s="428"/>
      <c r="EH44" s="428"/>
      <c r="EI44" s="416"/>
      <c r="EJ44" s="428"/>
      <c r="EK44" s="428"/>
      <c r="EL44" s="428"/>
      <c r="EM44" s="428"/>
      <c r="EN44" s="428"/>
      <c r="EO44" s="428"/>
      <c r="EP44" s="428"/>
      <c r="EQ44" s="428"/>
      <c r="ER44" s="428"/>
      <c r="ES44" s="428"/>
      <c r="ET44" s="416"/>
      <c r="EU44" s="428"/>
      <c r="EV44" s="428"/>
      <c r="EW44" s="416"/>
      <c r="EX44" s="428"/>
      <c r="EY44" s="428"/>
      <c r="EZ44" s="428"/>
      <c r="FA44" s="416"/>
      <c r="FB44" s="428"/>
      <c r="FC44" s="428"/>
      <c r="FD44" s="428"/>
      <c r="FE44" s="428"/>
      <c r="FF44" s="428"/>
      <c r="FG44" s="428"/>
      <c r="FH44" s="428"/>
      <c r="FI44" s="428"/>
      <c r="FJ44" s="428"/>
      <c r="FK44" s="428"/>
      <c r="FL44" s="416"/>
      <c r="FM44" s="428"/>
      <c r="FN44" s="428"/>
      <c r="FO44" s="428"/>
      <c r="FP44" s="428"/>
      <c r="FQ44" s="428"/>
      <c r="FR44" s="428"/>
      <c r="FS44" s="428"/>
      <c r="FT44" s="428"/>
    </row>
    <row r="45" spans="2:176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DK45" s="416"/>
      <c r="DL45" s="416"/>
      <c r="DM45" s="416"/>
      <c r="DO45" s="428"/>
      <c r="DP45" s="428"/>
      <c r="DQ45" s="428"/>
      <c r="DR45" s="428"/>
      <c r="DS45" s="428"/>
      <c r="DT45" s="428"/>
      <c r="DU45" s="428"/>
      <c r="DV45" s="416"/>
      <c r="DW45" s="416"/>
      <c r="DX45" s="428"/>
      <c r="DY45" s="428"/>
      <c r="DZ45" s="428"/>
      <c r="EA45" s="428"/>
      <c r="EB45" s="428"/>
      <c r="EC45" s="428"/>
      <c r="ED45" s="428"/>
      <c r="EE45" s="428"/>
      <c r="EF45" s="428"/>
      <c r="EG45" s="428"/>
      <c r="EH45" s="428"/>
      <c r="EI45" s="416"/>
      <c r="EJ45" s="428"/>
      <c r="EK45" s="428"/>
      <c r="EL45" s="428"/>
      <c r="EM45" s="428"/>
      <c r="EN45" s="428"/>
      <c r="EO45" s="428"/>
      <c r="EP45" s="428"/>
      <c r="EQ45" s="428"/>
      <c r="ER45" s="428"/>
      <c r="ES45" s="428"/>
      <c r="ET45" s="416"/>
      <c r="EU45" s="428"/>
      <c r="EV45" s="428"/>
      <c r="EW45" s="416"/>
      <c r="EX45" s="428"/>
      <c r="EY45" s="428"/>
      <c r="EZ45" s="428"/>
      <c r="FA45" s="416"/>
      <c r="FB45" s="428"/>
      <c r="FC45" s="428"/>
      <c r="FD45" s="428"/>
      <c r="FE45" s="428"/>
      <c r="FF45" s="428"/>
      <c r="FG45" s="428"/>
      <c r="FH45" s="428"/>
      <c r="FI45" s="428"/>
      <c r="FJ45" s="428"/>
      <c r="FK45" s="428"/>
      <c r="FL45" s="416"/>
      <c r="FM45" s="428"/>
      <c r="FN45" s="428"/>
      <c r="FO45" s="428"/>
      <c r="FP45" s="428"/>
      <c r="FQ45" s="428"/>
      <c r="FR45" s="428"/>
      <c r="FS45" s="428"/>
      <c r="FT45" s="428"/>
    </row>
    <row r="46" spans="2:176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DK46" s="416"/>
      <c r="DL46" s="416"/>
      <c r="DM46" s="416"/>
      <c r="DO46" s="428"/>
      <c r="DP46" s="428"/>
      <c r="DQ46" s="428"/>
      <c r="DR46" s="428"/>
      <c r="DS46" s="428"/>
      <c r="DT46" s="428"/>
      <c r="DU46" s="428"/>
      <c r="DV46" s="416"/>
      <c r="DW46" s="416"/>
      <c r="DX46" s="428"/>
      <c r="DY46" s="428"/>
      <c r="DZ46" s="428"/>
      <c r="EA46" s="428"/>
      <c r="EB46" s="428"/>
      <c r="EC46" s="428"/>
      <c r="ED46" s="428"/>
      <c r="EE46" s="428"/>
      <c r="EF46" s="428"/>
      <c r="EG46" s="428"/>
      <c r="EH46" s="428"/>
      <c r="EI46" s="416"/>
      <c r="EJ46" s="428"/>
      <c r="EK46" s="428"/>
      <c r="EL46" s="428"/>
      <c r="EM46" s="428"/>
      <c r="EN46" s="428"/>
      <c r="EO46" s="428"/>
      <c r="EP46" s="428"/>
      <c r="EQ46" s="428"/>
      <c r="ER46" s="428"/>
      <c r="ES46" s="428"/>
      <c r="ET46" s="416"/>
      <c r="EU46" s="428"/>
      <c r="EV46" s="428"/>
      <c r="EW46" s="416"/>
      <c r="EX46" s="428"/>
      <c r="EY46" s="428"/>
      <c r="EZ46" s="428"/>
      <c r="FA46" s="416"/>
      <c r="FB46" s="428"/>
      <c r="FC46" s="428"/>
      <c r="FD46" s="428"/>
      <c r="FE46" s="428"/>
      <c r="FF46" s="428"/>
      <c r="FG46" s="428"/>
      <c r="FH46" s="428"/>
      <c r="FI46" s="428"/>
      <c r="FJ46" s="428"/>
      <c r="FK46" s="428"/>
      <c r="FL46" s="416"/>
      <c r="FM46" s="428"/>
      <c r="FN46" s="428"/>
      <c r="FO46" s="428"/>
      <c r="FP46" s="428"/>
      <c r="FQ46" s="428"/>
      <c r="FR46" s="428"/>
      <c r="FS46" s="428"/>
      <c r="FT46" s="428"/>
    </row>
    <row r="47" spans="2:176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DK47" s="416"/>
      <c r="DL47" s="416"/>
      <c r="DM47" s="416"/>
      <c r="DO47" s="428"/>
      <c r="DP47" s="428"/>
      <c r="DQ47" s="428"/>
      <c r="DR47" s="428"/>
      <c r="DS47" s="428"/>
      <c r="DT47" s="428"/>
      <c r="DU47" s="428"/>
      <c r="DV47" s="416"/>
      <c r="DW47" s="416"/>
      <c r="DX47" s="428"/>
      <c r="DY47" s="428"/>
      <c r="DZ47" s="428"/>
      <c r="EA47" s="428"/>
      <c r="EB47" s="428"/>
      <c r="EC47" s="428"/>
      <c r="ED47" s="428"/>
      <c r="EE47" s="428"/>
      <c r="EF47" s="428"/>
      <c r="EG47" s="428"/>
      <c r="EH47" s="428"/>
      <c r="EI47" s="416"/>
      <c r="EJ47" s="428"/>
      <c r="EK47" s="428"/>
      <c r="EL47" s="428"/>
      <c r="EM47" s="428"/>
      <c r="EN47" s="428"/>
      <c r="EO47" s="428"/>
      <c r="EP47" s="428"/>
      <c r="EQ47" s="428"/>
      <c r="ER47" s="428"/>
      <c r="ES47" s="428"/>
      <c r="ET47" s="416"/>
      <c r="EU47" s="428"/>
      <c r="EV47" s="428"/>
      <c r="EW47" s="416"/>
      <c r="EX47" s="428"/>
      <c r="EY47" s="428"/>
      <c r="EZ47" s="428"/>
      <c r="FA47" s="416"/>
      <c r="FB47" s="428"/>
      <c r="FC47" s="428"/>
      <c r="FD47" s="428"/>
      <c r="FE47" s="428"/>
      <c r="FF47" s="428"/>
      <c r="FG47" s="428"/>
      <c r="FH47" s="428"/>
      <c r="FI47" s="428"/>
      <c r="FJ47" s="428"/>
      <c r="FK47" s="428"/>
      <c r="FL47" s="416"/>
      <c r="FM47" s="428"/>
      <c r="FN47" s="428"/>
      <c r="FO47" s="428"/>
      <c r="FP47" s="428"/>
      <c r="FQ47" s="428"/>
      <c r="FR47" s="428"/>
      <c r="FS47" s="428"/>
      <c r="FT47" s="428"/>
    </row>
    <row r="48" spans="2:176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DK48" s="416"/>
      <c r="DL48" s="416"/>
      <c r="DM48" s="416"/>
      <c r="DO48" s="428"/>
      <c r="DP48" s="428"/>
      <c r="DQ48" s="428"/>
      <c r="DR48" s="428"/>
      <c r="DS48" s="428"/>
      <c r="DT48" s="428"/>
      <c r="DU48" s="428"/>
      <c r="DV48" s="416"/>
      <c r="DW48" s="416"/>
      <c r="DX48" s="428"/>
      <c r="DY48" s="428"/>
      <c r="DZ48" s="428"/>
      <c r="EA48" s="428"/>
      <c r="EB48" s="428"/>
      <c r="EC48" s="428"/>
      <c r="ED48" s="428"/>
      <c r="EE48" s="428"/>
      <c r="EF48" s="428"/>
      <c r="EG48" s="428"/>
      <c r="EH48" s="428"/>
      <c r="EI48" s="416"/>
      <c r="EJ48" s="428"/>
      <c r="EK48" s="428"/>
      <c r="EL48" s="428"/>
      <c r="EM48" s="428"/>
      <c r="EN48" s="428"/>
      <c r="EO48" s="428"/>
      <c r="EP48" s="428"/>
      <c r="EQ48" s="428"/>
      <c r="ER48" s="428"/>
      <c r="ES48" s="428"/>
      <c r="ET48" s="416"/>
      <c r="EU48" s="428"/>
      <c r="EV48" s="428"/>
      <c r="EW48" s="416"/>
      <c r="EX48" s="428"/>
      <c r="EY48" s="428"/>
      <c r="EZ48" s="428"/>
      <c r="FA48" s="416"/>
      <c r="FB48" s="428"/>
      <c r="FC48" s="428"/>
      <c r="FD48" s="428"/>
      <c r="FE48" s="428"/>
      <c r="FF48" s="428"/>
      <c r="FG48" s="428"/>
      <c r="FH48" s="428"/>
      <c r="FI48" s="428"/>
      <c r="FJ48" s="428"/>
      <c r="FK48" s="428"/>
      <c r="FL48" s="416"/>
      <c r="FM48" s="428"/>
      <c r="FN48" s="428"/>
      <c r="FO48" s="428"/>
      <c r="FP48" s="428"/>
      <c r="FQ48" s="428"/>
      <c r="FR48" s="428"/>
      <c r="FS48" s="428"/>
      <c r="FT48" s="428"/>
    </row>
    <row r="49" spans="2:176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DK49" s="416"/>
      <c r="DL49" s="416"/>
      <c r="DM49" s="416"/>
      <c r="DO49" s="428"/>
      <c r="DP49" s="428"/>
      <c r="DQ49" s="428"/>
      <c r="DR49" s="428"/>
      <c r="DS49" s="428"/>
      <c r="DT49" s="428"/>
      <c r="DU49" s="428"/>
      <c r="DV49" s="416"/>
      <c r="DW49" s="416"/>
      <c r="DX49" s="428"/>
      <c r="DY49" s="428"/>
      <c r="DZ49" s="428"/>
      <c r="EA49" s="428"/>
      <c r="EB49" s="428"/>
      <c r="EC49" s="428"/>
      <c r="ED49" s="428"/>
      <c r="EE49" s="428"/>
      <c r="EF49" s="428"/>
      <c r="EG49" s="428"/>
      <c r="EH49" s="428"/>
      <c r="EI49" s="416"/>
      <c r="EJ49" s="428"/>
      <c r="EK49" s="428"/>
      <c r="EL49" s="428"/>
      <c r="EM49" s="428"/>
      <c r="EN49" s="428"/>
      <c r="EO49" s="428"/>
      <c r="EP49" s="428"/>
      <c r="EQ49" s="428"/>
      <c r="ER49" s="428"/>
      <c r="ES49" s="428"/>
      <c r="ET49" s="416"/>
      <c r="EU49" s="428"/>
      <c r="EV49" s="428"/>
      <c r="EW49" s="416"/>
      <c r="EX49" s="428"/>
      <c r="EY49" s="428"/>
      <c r="EZ49" s="428"/>
      <c r="FA49" s="416"/>
      <c r="FB49" s="428"/>
      <c r="FC49" s="428"/>
      <c r="FD49" s="428"/>
      <c r="FE49" s="428"/>
      <c r="FF49" s="428"/>
      <c r="FG49" s="428"/>
      <c r="FH49" s="428"/>
      <c r="FI49" s="428"/>
      <c r="FJ49" s="428"/>
      <c r="FK49" s="428"/>
      <c r="FL49" s="416"/>
      <c r="FM49" s="428"/>
      <c r="FN49" s="428"/>
      <c r="FO49" s="428"/>
      <c r="FP49" s="428"/>
      <c r="FQ49" s="428"/>
      <c r="FR49" s="428"/>
      <c r="FS49" s="428"/>
      <c r="FT49" s="428"/>
    </row>
  </sheetData>
  <mergeCells count="1">
    <mergeCell ref="I3:W4"/>
  </mergeCells>
  <phoneticPr fontId="84" type="noConversion"/>
  <hyperlinks>
    <hyperlink ref="R1" location="Instructions!A1" tooltip="Back to Instructions tab" display="Instructions"/>
  </hyperlinks>
  <pageMargins left="0.25" right="0.25" top="0.25" bottom="0.5" header="0.5" footer="0.25"/>
  <pageSetup scale="69" orientation="landscape" r:id="rId1"/>
  <headerFooter alignWithMargins="0">
    <oddFooter>&amp;L&amp;8Copyright (C) SNL Financial, LC.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4"/>
  </sheetPr>
  <dimension ref="A1:H6"/>
  <sheetViews>
    <sheetView workbookViewId="0"/>
  </sheetViews>
  <sheetFormatPr defaultRowHeight="11.25"/>
  <cols>
    <col min="1" max="1" width="20" customWidth="1"/>
    <col min="2" max="2" width="4.1640625" customWidth="1"/>
    <col min="3" max="3" width="2.6640625" customWidth="1"/>
    <col min="4" max="4" width="12.33203125" customWidth="1"/>
    <col min="5" max="5" width="68.83203125" customWidth="1"/>
    <col min="7" max="7" width="3.1640625" customWidth="1"/>
    <col min="8" max="8" width="2.1640625" customWidth="1"/>
  </cols>
  <sheetData>
    <row r="1" spans="1:8">
      <c r="A1" t="s">
        <v>45</v>
      </c>
      <c r="B1">
        <v>287</v>
      </c>
      <c r="C1" t="s">
        <v>139</v>
      </c>
      <c r="D1" t="s">
        <v>8</v>
      </c>
      <c r="E1" t="s">
        <v>2</v>
      </c>
      <c r="G1">
        <v>17</v>
      </c>
      <c r="H1">
        <v>1</v>
      </c>
    </row>
    <row r="2" spans="1:8">
      <c r="A2" t="s">
        <v>28</v>
      </c>
      <c r="B2">
        <v>287</v>
      </c>
      <c r="C2" t="s">
        <v>139</v>
      </c>
      <c r="D2" t="e">
        <f>"0,3,;1,"&amp;IF(Display_Type=#REF!,3,Rep_Lev_Code)&amp;",;2,1,;"</f>
        <v>#REF!</v>
      </c>
      <c r="E2" t="e">
        <f>#REF!</f>
        <v>#REF!</v>
      </c>
      <c r="G2" t="e">
        <f>#REF!</f>
        <v>#REF!</v>
      </c>
      <c r="H2">
        <v>1</v>
      </c>
    </row>
    <row r="3" spans="1:8">
      <c r="A3" t="s">
        <v>29</v>
      </c>
      <c r="B3">
        <v>287</v>
      </c>
      <c r="C3" t="s">
        <v>139</v>
      </c>
      <c r="D3" t="s">
        <v>31</v>
      </c>
      <c r="E3" t="s">
        <v>2</v>
      </c>
      <c r="G3">
        <v>17</v>
      </c>
      <c r="H3">
        <v>1</v>
      </c>
    </row>
    <row r="4" spans="1:8">
      <c r="A4" t="s">
        <v>30</v>
      </c>
      <c r="B4">
        <v>287</v>
      </c>
      <c r="C4" t="s">
        <v>139</v>
      </c>
      <c r="D4" t="s">
        <v>32</v>
      </c>
      <c r="E4" t="s">
        <v>2</v>
      </c>
      <c r="G4">
        <v>17</v>
      </c>
      <c r="H4">
        <v>1</v>
      </c>
    </row>
    <row r="5" spans="1:8">
      <c r="A5" t="s">
        <v>13</v>
      </c>
      <c r="B5">
        <v>287</v>
      </c>
      <c r="C5" t="s">
        <v>139</v>
      </c>
      <c r="D5" t="e">
        <f>"0,3,;1,"&amp;Rep_Lev_Code&amp;",;2,1,;"</f>
        <v>#REF!</v>
      </c>
      <c r="E5" t="e">
        <f>"124055|"&amp;Period_Y&amp;"|"&amp;State_LOB_Code&amp;"|0|3|False|False|0!"</f>
        <v>#REF!</v>
      </c>
      <c r="G5">
        <v>17</v>
      </c>
      <c r="H5">
        <v>1</v>
      </c>
    </row>
    <row r="6" spans="1:8">
      <c r="A6" t="s">
        <v>22</v>
      </c>
      <c r="B6">
        <v>287</v>
      </c>
      <c r="C6" t="s">
        <v>139</v>
      </c>
      <c r="D6" t="e">
        <f>"0,3,;1,"&amp;Rep_Lev_Code&amp;",;2,1,;"</f>
        <v>#REF!</v>
      </c>
      <c r="E6" t="e">
        <f>"124055|"&amp;Period_Y&amp;"|"&amp;State_LOB_Code&amp;"|0|3|False|False|0!124055|"&amp;Period_Y&amp;"|"&amp;State_LOB_Code&amp;"|0|17|False|False|"&amp;Top_N&amp;"!"</f>
        <v>#REF!</v>
      </c>
      <c r="G6">
        <v>17</v>
      </c>
      <c r="H6">
        <v>1</v>
      </c>
    </row>
  </sheetData>
  <phoneticPr fontId="1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tabSelected="1" workbookViewId="0">
      <selection activeCell="A3" sqref="A3"/>
    </sheetView>
  </sheetViews>
  <sheetFormatPr defaultColWidth="9.33203125" defaultRowHeight="11.25"/>
  <cols>
    <col min="1" max="1" width="18.5" style="643" customWidth="1"/>
    <col min="2" max="2" width="16.83203125" style="236" customWidth="1"/>
    <col min="3" max="3" width="21.33203125" style="587" customWidth="1"/>
    <col min="4" max="4" width="56" style="643" customWidth="1"/>
    <col min="5" max="5" width="17.6640625" style="236" customWidth="1"/>
    <col min="6" max="16384" width="9.33203125" style="643"/>
  </cols>
  <sheetData>
    <row r="1" spans="1:7" ht="15.75">
      <c r="A1" s="680" t="s">
        <v>456</v>
      </c>
    </row>
    <row r="2" spans="1:7" ht="15.75">
      <c r="A2" s="680" t="s">
        <v>470</v>
      </c>
    </row>
    <row r="3" spans="1:7" ht="12" thickBot="1"/>
    <row r="4" spans="1:7" ht="32.25" thickBot="1">
      <c r="A4" s="698" t="s">
        <v>296</v>
      </c>
      <c r="B4" s="699" t="s">
        <v>471</v>
      </c>
      <c r="C4" s="699" t="s">
        <v>635</v>
      </c>
      <c r="D4" s="700" t="s">
        <v>636</v>
      </c>
      <c r="E4" s="701" t="s">
        <v>472</v>
      </c>
    </row>
    <row r="5" spans="1:7" ht="14.25">
      <c r="A5" s="684" t="s">
        <v>474</v>
      </c>
      <c r="B5" s="675" t="s">
        <v>620</v>
      </c>
      <c r="C5" s="675" t="s">
        <v>620</v>
      </c>
      <c r="D5" s="675" t="s">
        <v>620</v>
      </c>
      <c r="E5" s="685" t="s">
        <v>620</v>
      </c>
      <c r="G5" s="645"/>
    </row>
    <row r="6" spans="1:7" ht="14.25">
      <c r="A6" s="686" t="s">
        <v>476</v>
      </c>
      <c r="B6" s="675" t="s">
        <v>620</v>
      </c>
      <c r="C6" s="675" t="s">
        <v>620</v>
      </c>
      <c r="D6" s="675" t="s">
        <v>620</v>
      </c>
      <c r="E6" s="685" t="s">
        <v>620</v>
      </c>
      <c r="G6" s="645"/>
    </row>
    <row r="7" spans="1:7" ht="12.75">
      <c r="A7" s="686" t="s">
        <v>477</v>
      </c>
      <c r="B7" s="676" t="s">
        <v>478</v>
      </c>
      <c r="C7" s="677">
        <v>0.01</v>
      </c>
      <c r="D7" s="681">
        <v>0.08</v>
      </c>
      <c r="E7" s="687" t="s">
        <v>435</v>
      </c>
      <c r="G7" s="645"/>
    </row>
    <row r="8" spans="1:7" ht="14.25">
      <c r="A8" s="686" t="s">
        <v>479</v>
      </c>
      <c r="B8" s="675" t="s">
        <v>620</v>
      </c>
      <c r="C8" s="675" t="s">
        <v>620</v>
      </c>
      <c r="D8" s="675" t="s">
        <v>620</v>
      </c>
      <c r="E8" s="685" t="s">
        <v>620</v>
      </c>
      <c r="G8" s="645"/>
    </row>
    <row r="9" spans="1:7" ht="16.5">
      <c r="A9" s="686" t="s">
        <v>480</v>
      </c>
      <c r="B9" s="676">
        <v>2012</v>
      </c>
      <c r="C9" s="677" t="s">
        <v>633</v>
      </c>
      <c r="D9" s="678" t="s">
        <v>634</v>
      </c>
      <c r="E9" s="688" t="s">
        <v>624</v>
      </c>
      <c r="G9" s="645"/>
    </row>
    <row r="10" spans="1:7" ht="12.75">
      <c r="A10" s="686" t="s">
        <v>481</v>
      </c>
      <c r="B10" s="676">
        <v>2016</v>
      </c>
      <c r="C10" s="677">
        <v>0.01</v>
      </c>
      <c r="D10" s="682" t="s">
        <v>482</v>
      </c>
      <c r="E10" s="687" t="s">
        <v>435</v>
      </c>
      <c r="G10" s="645"/>
    </row>
    <row r="11" spans="1:7" ht="14.25">
      <c r="A11" s="686" t="s">
        <v>483</v>
      </c>
      <c r="B11" s="675" t="s">
        <v>620</v>
      </c>
      <c r="C11" s="675" t="s">
        <v>620</v>
      </c>
      <c r="D11" s="675" t="s">
        <v>620</v>
      </c>
      <c r="E11" s="685" t="s">
        <v>620</v>
      </c>
      <c r="G11" s="645"/>
    </row>
    <row r="12" spans="1:7" ht="16.5">
      <c r="A12" s="686" t="s">
        <v>54</v>
      </c>
      <c r="B12" s="677" t="s">
        <v>624</v>
      </c>
      <c r="C12" s="677" t="s">
        <v>624</v>
      </c>
      <c r="D12" s="677" t="s">
        <v>624</v>
      </c>
      <c r="E12" s="688" t="s">
        <v>624</v>
      </c>
    </row>
    <row r="13" spans="1:7" ht="16.5">
      <c r="A13" s="686" t="s">
        <v>484</v>
      </c>
      <c r="B13" s="677" t="s">
        <v>624</v>
      </c>
      <c r="C13" s="677" t="s">
        <v>624</v>
      </c>
      <c r="D13" s="677" t="s">
        <v>624</v>
      </c>
      <c r="E13" s="688" t="s">
        <v>624</v>
      </c>
    </row>
    <row r="14" spans="1:7" ht="12.75">
      <c r="A14" s="686" t="s">
        <v>485</v>
      </c>
      <c r="B14" s="676" t="s">
        <v>478</v>
      </c>
      <c r="C14" s="677">
        <v>0.02</v>
      </c>
      <c r="D14" s="681">
        <v>0.1</v>
      </c>
      <c r="E14" s="687" t="s">
        <v>435</v>
      </c>
      <c r="G14" s="645"/>
    </row>
    <row r="15" spans="1:7" ht="63.75">
      <c r="A15" s="686" t="s">
        <v>486</v>
      </c>
      <c r="B15" s="676" t="s">
        <v>487</v>
      </c>
      <c r="C15" s="678" t="s">
        <v>488</v>
      </c>
      <c r="D15" s="682" t="s">
        <v>489</v>
      </c>
      <c r="E15" s="687" t="s">
        <v>435</v>
      </c>
      <c r="G15" s="645"/>
    </row>
    <row r="16" spans="1:7" ht="38.25">
      <c r="A16" s="686" t="s">
        <v>490</v>
      </c>
      <c r="B16" s="676">
        <v>2016</v>
      </c>
      <c r="C16" s="677" t="s">
        <v>624</v>
      </c>
      <c r="D16" s="682" t="s">
        <v>556</v>
      </c>
      <c r="E16" s="687" t="s">
        <v>435</v>
      </c>
      <c r="G16" s="645"/>
    </row>
    <row r="17" spans="1:7" ht="14.25">
      <c r="A17" s="686" t="s">
        <v>491</v>
      </c>
      <c r="B17" s="675" t="s">
        <v>620</v>
      </c>
      <c r="C17" s="675" t="s">
        <v>620</v>
      </c>
      <c r="D17" s="675" t="s">
        <v>620</v>
      </c>
      <c r="E17" s="685" t="s">
        <v>620</v>
      </c>
      <c r="G17" s="645"/>
    </row>
    <row r="18" spans="1:7" ht="25.5">
      <c r="A18" s="686" t="s">
        <v>492</v>
      </c>
      <c r="B18" s="676">
        <v>2015</v>
      </c>
      <c r="C18" s="677">
        <v>0.01</v>
      </c>
      <c r="D18" s="682" t="s">
        <v>493</v>
      </c>
      <c r="E18" s="687" t="s">
        <v>435</v>
      </c>
      <c r="G18" s="645"/>
    </row>
    <row r="19" spans="1:7" ht="12.75">
      <c r="A19" s="686" t="s">
        <v>494</v>
      </c>
      <c r="B19" s="676">
        <v>2011</v>
      </c>
      <c r="C19" s="677">
        <v>0.01</v>
      </c>
      <c r="D19" s="682" t="s">
        <v>495</v>
      </c>
      <c r="E19" s="687" t="s">
        <v>435</v>
      </c>
      <c r="G19" s="645"/>
    </row>
    <row r="20" spans="1:7" ht="51">
      <c r="A20" s="686" t="s">
        <v>496</v>
      </c>
      <c r="B20" s="676" t="s">
        <v>497</v>
      </c>
      <c r="C20" s="678" t="s">
        <v>498</v>
      </c>
      <c r="D20" s="682" t="s">
        <v>499</v>
      </c>
      <c r="E20" s="687" t="s">
        <v>435</v>
      </c>
      <c r="G20" s="645"/>
    </row>
    <row r="21" spans="1:7" ht="16.5">
      <c r="A21" s="686" t="s">
        <v>500</v>
      </c>
      <c r="B21" s="677" t="s">
        <v>624</v>
      </c>
      <c r="C21" s="677" t="s">
        <v>624</v>
      </c>
      <c r="D21" s="677" t="s">
        <v>624</v>
      </c>
      <c r="E21" s="688" t="s">
        <v>624</v>
      </c>
    </row>
    <row r="22" spans="1:7" ht="51">
      <c r="A22" s="686" t="s">
        <v>501</v>
      </c>
      <c r="B22" s="676" t="s">
        <v>478</v>
      </c>
      <c r="C22" s="677">
        <v>0.01</v>
      </c>
      <c r="D22" s="682" t="s">
        <v>502</v>
      </c>
      <c r="E22" s="687" t="s">
        <v>435</v>
      </c>
      <c r="G22" s="645"/>
    </row>
    <row r="23" spans="1:7" ht="16.5">
      <c r="A23" s="686" t="s">
        <v>503</v>
      </c>
      <c r="B23" s="677" t="s">
        <v>624</v>
      </c>
      <c r="C23" s="677" t="s">
        <v>624</v>
      </c>
      <c r="D23" s="677" t="s">
        <v>624</v>
      </c>
      <c r="E23" s="688" t="s">
        <v>624</v>
      </c>
    </row>
    <row r="24" spans="1:7" ht="14.25">
      <c r="A24" s="686" t="s">
        <v>504</v>
      </c>
      <c r="B24" s="675" t="s">
        <v>620</v>
      </c>
      <c r="C24" s="675" t="s">
        <v>620</v>
      </c>
      <c r="D24" s="675" t="s">
        <v>620</v>
      </c>
      <c r="E24" s="687" t="s">
        <v>475</v>
      </c>
      <c r="G24" s="645"/>
    </row>
    <row r="25" spans="1:7" ht="16.5">
      <c r="A25" s="686" t="s">
        <v>505</v>
      </c>
      <c r="B25" s="677" t="s">
        <v>624</v>
      </c>
      <c r="C25" s="677" t="s">
        <v>624</v>
      </c>
      <c r="D25" s="677" t="s">
        <v>624</v>
      </c>
      <c r="E25" s="688" t="s">
        <v>624</v>
      </c>
    </row>
    <row r="26" spans="1:7" ht="16.5">
      <c r="A26" s="686" t="s">
        <v>615</v>
      </c>
      <c r="B26" s="677" t="s">
        <v>624</v>
      </c>
      <c r="C26" s="677" t="s">
        <v>624</v>
      </c>
      <c r="D26" s="677" t="s">
        <v>624</v>
      </c>
      <c r="E26" s="688" t="s">
        <v>624</v>
      </c>
    </row>
    <row r="27" spans="1:7" ht="51">
      <c r="A27" s="686" t="s">
        <v>506</v>
      </c>
      <c r="B27" s="676">
        <v>2016</v>
      </c>
      <c r="C27" s="678" t="s">
        <v>507</v>
      </c>
      <c r="D27" s="682" t="s">
        <v>508</v>
      </c>
      <c r="E27" s="687" t="s">
        <v>435</v>
      </c>
      <c r="G27" s="645"/>
    </row>
    <row r="28" spans="1:7" ht="12.75">
      <c r="A28" s="686" t="s">
        <v>509</v>
      </c>
      <c r="B28" s="676">
        <v>2010</v>
      </c>
      <c r="C28" s="678" t="s">
        <v>510</v>
      </c>
      <c r="D28" s="682" t="s">
        <v>511</v>
      </c>
      <c r="E28" s="687" t="s">
        <v>435</v>
      </c>
      <c r="G28" s="645"/>
    </row>
    <row r="29" spans="1:7" ht="25.5">
      <c r="A29" s="686" t="s">
        <v>512</v>
      </c>
      <c r="B29" s="676">
        <v>2015</v>
      </c>
      <c r="C29" s="677">
        <v>0.02</v>
      </c>
      <c r="D29" s="682" t="s">
        <v>513</v>
      </c>
      <c r="E29" s="697" t="s">
        <v>626</v>
      </c>
      <c r="G29" s="645"/>
    </row>
    <row r="30" spans="1:7" ht="38.25">
      <c r="A30" s="686" t="s">
        <v>514</v>
      </c>
      <c r="B30" s="676">
        <v>2016</v>
      </c>
      <c r="C30" s="678" t="s">
        <v>515</v>
      </c>
      <c r="D30" s="682" t="s">
        <v>516</v>
      </c>
      <c r="E30" s="687" t="s">
        <v>435</v>
      </c>
      <c r="G30" s="645"/>
    </row>
    <row r="31" spans="1:7" ht="14.25">
      <c r="A31" s="686" t="s">
        <v>517</v>
      </c>
      <c r="B31" s="676" t="s">
        <v>475</v>
      </c>
      <c r="C31" s="675" t="s">
        <v>620</v>
      </c>
      <c r="D31" s="675" t="s">
        <v>620</v>
      </c>
      <c r="E31" s="685" t="s">
        <v>620</v>
      </c>
      <c r="G31" s="645"/>
    </row>
    <row r="32" spans="1:7" ht="12.75">
      <c r="A32" s="686" t="s">
        <v>518</v>
      </c>
      <c r="B32" s="676">
        <v>2015</v>
      </c>
      <c r="C32" s="677">
        <v>0.02</v>
      </c>
      <c r="D32" s="681">
        <v>7.0000000000000007E-2</v>
      </c>
      <c r="E32" s="688" t="s">
        <v>435</v>
      </c>
      <c r="G32" s="645"/>
    </row>
    <row r="33" spans="1:7" ht="16.5">
      <c r="A33" s="686" t="s">
        <v>519</v>
      </c>
      <c r="B33" s="677" t="s">
        <v>624</v>
      </c>
      <c r="C33" s="677" t="s">
        <v>624</v>
      </c>
      <c r="D33" s="677" t="s">
        <v>624</v>
      </c>
      <c r="E33" s="688" t="s">
        <v>624</v>
      </c>
    </row>
    <row r="34" spans="1:7" ht="16.5">
      <c r="A34" s="686" t="s">
        <v>520</v>
      </c>
      <c r="B34" s="676">
        <v>2011</v>
      </c>
      <c r="C34" s="677" t="s">
        <v>624</v>
      </c>
      <c r="D34" s="677" t="s">
        <v>624</v>
      </c>
      <c r="E34" s="688" t="s">
        <v>624</v>
      </c>
    </row>
    <row r="35" spans="1:7" ht="16.5">
      <c r="A35" s="686" t="s">
        <v>521</v>
      </c>
      <c r="B35" s="676" t="s">
        <v>522</v>
      </c>
      <c r="C35" s="677" t="s">
        <v>624</v>
      </c>
      <c r="D35" s="677" t="s">
        <v>624</v>
      </c>
      <c r="E35" s="688" t="s">
        <v>624</v>
      </c>
    </row>
    <row r="36" spans="1:7" ht="16.5">
      <c r="A36" s="686" t="s">
        <v>523</v>
      </c>
      <c r="B36" s="677" t="s">
        <v>624</v>
      </c>
      <c r="C36" s="677" t="s">
        <v>624</v>
      </c>
      <c r="D36" s="677" t="s">
        <v>624</v>
      </c>
      <c r="E36" s="688" t="s">
        <v>624</v>
      </c>
    </row>
    <row r="37" spans="1:7" ht="16.5">
      <c r="A37" s="686" t="s">
        <v>524</v>
      </c>
      <c r="B37" s="676">
        <v>2016</v>
      </c>
      <c r="C37" s="677">
        <v>0.01</v>
      </c>
      <c r="D37" s="682" t="s">
        <v>616</v>
      </c>
      <c r="E37" s="688" t="s">
        <v>624</v>
      </c>
    </row>
    <row r="38" spans="1:7" ht="14.25">
      <c r="A38" s="686" t="s">
        <v>525</v>
      </c>
      <c r="B38" s="675" t="s">
        <v>620</v>
      </c>
      <c r="C38" s="675" t="s">
        <v>620</v>
      </c>
      <c r="D38" s="675" t="s">
        <v>620</v>
      </c>
      <c r="E38" s="685" t="s">
        <v>620</v>
      </c>
      <c r="G38" s="645"/>
    </row>
    <row r="39" spans="1:7" ht="14.25">
      <c r="A39" s="686" t="s">
        <v>526</v>
      </c>
      <c r="B39" s="675" t="s">
        <v>620</v>
      </c>
      <c r="C39" s="675" t="s">
        <v>620</v>
      </c>
      <c r="D39" s="675" t="s">
        <v>620</v>
      </c>
      <c r="E39" s="685" t="s">
        <v>620</v>
      </c>
      <c r="G39" s="645"/>
    </row>
    <row r="40" spans="1:7" ht="25.5">
      <c r="A40" s="686" t="s">
        <v>527</v>
      </c>
      <c r="B40" s="676">
        <v>2014</v>
      </c>
      <c r="C40" s="679" t="s">
        <v>528</v>
      </c>
      <c r="D40" s="683">
        <v>0.10725</v>
      </c>
      <c r="E40" s="687" t="s">
        <v>435</v>
      </c>
      <c r="G40" s="645"/>
    </row>
    <row r="41" spans="1:7" ht="14.25">
      <c r="A41" s="686" t="s">
        <v>529</v>
      </c>
      <c r="B41" s="675" t="s">
        <v>620</v>
      </c>
      <c r="C41" s="675" t="s">
        <v>620</v>
      </c>
      <c r="D41" s="675" t="s">
        <v>620</v>
      </c>
      <c r="E41" s="685" t="s">
        <v>620</v>
      </c>
      <c r="G41" s="645"/>
    </row>
    <row r="42" spans="1:7" ht="12.75">
      <c r="A42" s="686" t="s">
        <v>530</v>
      </c>
      <c r="B42" s="676">
        <v>2016</v>
      </c>
      <c r="C42" s="677">
        <v>0.01</v>
      </c>
      <c r="D42" s="682" t="s">
        <v>531</v>
      </c>
      <c r="E42" s="687" t="s">
        <v>435</v>
      </c>
      <c r="G42" s="645"/>
    </row>
    <row r="43" spans="1:7" ht="12.75">
      <c r="A43" s="686" t="s">
        <v>532</v>
      </c>
      <c r="B43" s="676">
        <v>2015</v>
      </c>
      <c r="C43" s="677">
        <v>2.5000000000000001E-2</v>
      </c>
      <c r="D43" s="682" t="s">
        <v>618</v>
      </c>
      <c r="E43" s="687" t="s">
        <v>435</v>
      </c>
    </row>
    <row r="44" spans="1:7" ht="16.5">
      <c r="A44" s="686" t="s">
        <v>533</v>
      </c>
      <c r="B44" s="676">
        <v>2015</v>
      </c>
      <c r="C44" s="677" t="s">
        <v>621</v>
      </c>
      <c r="D44" s="682" t="s">
        <v>622</v>
      </c>
      <c r="E44" s="688" t="s">
        <v>624</v>
      </c>
      <c r="G44" s="645"/>
    </row>
    <row r="45" spans="1:7" ht="38.25">
      <c r="A45" s="686" t="s">
        <v>534</v>
      </c>
      <c r="B45" s="676">
        <v>2015</v>
      </c>
      <c r="C45" s="677" t="s">
        <v>624</v>
      </c>
      <c r="D45" s="682" t="s">
        <v>535</v>
      </c>
      <c r="E45" s="687" t="s">
        <v>435</v>
      </c>
    </row>
    <row r="46" spans="1:7" ht="14.25">
      <c r="A46" s="686" t="s">
        <v>536</v>
      </c>
      <c r="B46" s="675" t="s">
        <v>620</v>
      </c>
      <c r="C46" s="675" t="s">
        <v>620</v>
      </c>
      <c r="D46" s="675" t="s">
        <v>620</v>
      </c>
      <c r="E46" s="685" t="s">
        <v>620</v>
      </c>
      <c r="G46" s="645"/>
    </row>
    <row r="47" spans="1:7" ht="12.75">
      <c r="A47" s="686" t="s">
        <v>537</v>
      </c>
      <c r="B47" s="676">
        <v>2013</v>
      </c>
      <c r="C47" s="678"/>
      <c r="D47" s="681">
        <v>0.09</v>
      </c>
      <c r="E47" s="687" t="s">
        <v>430</v>
      </c>
    </row>
    <row r="48" spans="1:7" ht="12.75">
      <c r="A48" s="686" t="s">
        <v>538</v>
      </c>
      <c r="B48" s="676">
        <v>2016</v>
      </c>
      <c r="C48" s="677">
        <v>0.02</v>
      </c>
      <c r="D48" s="682" t="s">
        <v>539</v>
      </c>
      <c r="E48" s="687" t="s">
        <v>435</v>
      </c>
      <c r="G48" s="645"/>
    </row>
    <row r="49" spans="1:7" ht="16.5">
      <c r="A49" s="686" t="s">
        <v>540</v>
      </c>
      <c r="B49" s="676" t="s">
        <v>475</v>
      </c>
      <c r="C49" s="677" t="s">
        <v>624</v>
      </c>
      <c r="D49" s="677" t="s">
        <v>624</v>
      </c>
      <c r="E49" s="688" t="s">
        <v>624</v>
      </c>
    </row>
    <row r="50" spans="1:7" ht="14.25">
      <c r="A50" s="686" t="s">
        <v>541</v>
      </c>
      <c r="B50" s="675" t="s">
        <v>620</v>
      </c>
      <c r="C50" s="675" t="s">
        <v>620</v>
      </c>
      <c r="D50" s="675" t="s">
        <v>620</v>
      </c>
      <c r="E50" s="685" t="s">
        <v>620</v>
      </c>
      <c r="G50" s="645"/>
    </row>
    <row r="51" spans="1:7" ht="38.25">
      <c r="A51" s="686" t="s">
        <v>542</v>
      </c>
      <c r="B51" s="675" t="s">
        <v>620</v>
      </c>
      <c r="C51" s="678" t="s">
        <v>617</v>
      </c>
      <c r="D51" s="682" t="s">
        <v>543</v>
      </c>
      <c r="E51" s="687" t="s">
        <v>435</v>
      </c>
    </row>
    <row r="52" spans="1:7" ht="16.5">
      <c r="A52" s="686" t="s">
        <v>544</v>
      </c>
      <c r="B52" s="675" t="s">
        <v>620</v>
      </c>
      <c r="C52" s="677" t="s">
        <v>624</v>
      </c>
      <c r="D52" s="677" t="s">
        <v>624</v>
      </c>
      <c r="E52" s="688" t="s">
        <v>624</v>
      </c>
    </row>
    <row r="53" spans="1:7" ht="12.75">
      <c r="A53" s="686" t="s">
        <v>545</v>
      </c>
      <c r="B53" s="676">
        <v>2016</v>
      </c>
      <c r="C53" s="677">
        <v>7.0000000000000001E-3</v>
      </c>
      <c r="D53" s="681">
        <v>0.09</v>
      </c>
      <c r="E53" s="687" t="s">
        <v>430</v>
      </c>
      <c r="G53" s="645"/>
    </row>
    <row r="54" spans="1:7" ht="16.5">
      <c r="A54" s="686" t="s">
        <v>546</v>
      </c>
      <c r="B54" s="676">
        <v>2016</v>
      </c>
      <c r="C54" s="677">
        <v>5.0000000000000001E-3</v>
      </c>
      <c r="D54" s="682" t="s">
        <v>630</v>
      </c>
      <c r="E54" s="687" t="s">
        <v>435</v>
      </c>
      <c r="G54" s="645"/>
    </row>
    <row r="55" spans="1:7" ht="15" thickBot="1">
      <c r="A55" s="689" t="s">
        <v>547</v>
      </c>
      <c r="B55" s="690" t="s">
        <v>620</v>
      </c>
      <c r="C55" s="690" t="s">
        <v>620</v>
      </c>
      <c r="D55" s="690" t="s">
        <v>620</v>
      </c>
      <c r="E55" s="691" t="s">
        <v>620</v>
      </c>
      <c r="G55" s="645"/>
    </row>
    <row r="58" spans="1:7" ht="18">
      <c r="A58" s="674" t="s">
        <v>619</v>
      </c>
    </row>
    <row r="59" spans="1:7" ht="18">
      <c r="A59" s="674" t="s">
        <v>625</v>
      </c>
    </row>
    <row r="60" spans="1:7" ht="16.5">
      <c r="A60" s="674" t="s">
        <v>623</v>
      </c>
    </row>
    <row r="61" spans="1:7" ht="18">
      <c r="A61" s="674" t="s">
        <v>631</v>
      </c>
    </row>
    <row r="62" spans="1:7" ht="18">
      <c r="A62" s="674" t="s">
        <v>632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W1:AR91"/>
  <sheetViews>
    <sheetView showGridLines="0" workbookViewId="0">
      <selection activeCell="W1" sqref="W1:W1048576"/>
    </sheetView>
  </sheetViews>
  <sheetFormatPr defaultColWidth="9.1640625" defaultRowHeight="11.25"/>
  <cols>
    <col min="1" max="21" width="9.1640625" style="643"/>
    <col min="22" max="22" width="81" style="643" customWidth="1"/>
    <col min="23" max="23" width="13.1640625" style="643" bestFit="1" customWidth="1"/>
    <col min="24" max="24" width="15.33203125" style="643" bestFit="1" customWidth="1"/>
    <col min="25" max="25" width="14.1640625" style="643" bestFit="1" customWidth="1"/>
    <col min="26" max="26" width="3.33203125" style="643" customWidth="1"/>
    <col min="27" max="28" width="17" style="643" bestFit="1" customWidth="1"/>
    <col min="29" max="29" width="9.1640625" style="643"/>
    <col min="30" max="30" width="29" style="643" customWidth="1"/>
    <col min="31" max="31" width="24.33203125" style="643" customWidth="1"/>
    <col min="32" max="32" width="16" style="643" customWidth="1"/>
    <col min="33" max="34" width="9.1640625" style="643"/>
    <col min="35" max="35" width="13.33203125" style="643" customWidth="1"/>
    <col min="36" max="36" width="14.83203125" style="643" bestFit="1" customWidth="1"/>
    <col min="37" max="37" width="14.83203125" style="643" customWidth="1"/>
    <col min="38" max="38" width="4.1640625" style="643" customWidth="1"/>
    <col min="39" max="40" width="17" style="643" bestFit="1" customWidth="1"/>
    <col min="41" max="16384" width="9.1640625" style="643"/>
  </cols>
  <sheetData>
    <row r="1" spans="23:44">
      <c r="AD1" s="589" t="s">
        <v>466</v>
      </c>
      <c r="AE1" s="643" t="s">
        <v>567</v>
      </c>
    </row>
    <row r="2" spans="23:44">
      <c r="X2" s="705">
        <v>2015</v>
      </c>
      <c r="Y2" s="705"/>
      <c r="AA2" s="705">
        <v>2015</v>
      </c>
      <c r="AB2" s="705"/>
      <c r="AD2" s="589" t="s">
        <v>439</v>
      </c>
      <c r="AE2" s="643" t="s">
        <v>557</v>
      </c>
    </row>
    <row r="3" spans="23:44">
      <c r="X3" s="643" t="s">
        <v>468</v>
      </c>
      <c r="Y3" s="643" t="s">
        <v>468</v>
      </c>
      <c r="AA3" s="643" t="s">
        <v>466</v>
      </c>
      <c r="AB3" s="643" t="s">
        <v>466</v>
      </c>
      <c r="AD3" s="589" t="s">
        <v>432</v>
      </c>
      <c r="AE3" s="643" t="s">
        <v>431</v>
      </c>
    </row>
    <row r="4" spans="23:44">
      <c r="W4" s="644" t="s">
        <v>442</v>
      </c>
      <c r="X4" s="644" t="s">
        <v>558</v>
      </c>
      <c r="Y4" s="644" t="s">
        <v>559</v>
      </c>
      <c r="Z4" s="644"/>
      <c r="AA4" s="644" t="s">
        <v>558</v>
      </c>
      <c r="AB4" s="644" t="s">
        <v>559</v>
      </c>
      <c r="AD4"/>
      <c r="AE4"/>
      <c r="AP4" s="644"/>
      <c r="AQ4" s="644"/>
      <c r="AR4" s="644"/>
    </row>
    <row r="5" spans="23:44">
      <c r="W5" s="643" t="s">
        <v>445</v>
      </c>
      <c r="X5" s="643">
        <v>6</v>
      </c>
      <c r="Y5" s="590">
        <v>1</v>
      </c>
      <c r="AA5" s="643">
        <v>2</v>
      </c>
      <c r="AB5" s="643">
        <v>1</v>
      </c>
      <c r="AD5" s="589" t="s">
        <v>443</v>
      </c>
      <c r="AE5" t="s">
        <v>467</v>
      </c>
    </row>
    <row r="6" spans="23:44">
      <c r="W6" s="643" t="s">
        <v>447</v>
      </c>
      <c r="X6" s="643">
        <v>0</v>
      </c>
      <c r="Y6" s="643">
        <v>0</v>
      </c>
      <c r="AA6" s="643">
        <v>0</v>
      </c>
      <c r="AB6" s="643">
        <v>0</v>
      </c>
      <c r="AD6" s="163" t="s">
        <v>455</v>
      </c>
      <c r="AE6" s="590">
        <v>1</v>
      </c>
    </row>
    <row r="7" spans="23:44">
      <c r="W7" s="643" t="s">
        <v>446</v>
      </c>
      <c r="X7" s="590">
        <v>3</v>
      </c>
      <c r="Y7" s="643">
        <v>0</v>
      </c>
      <c r="AA7" s="590">
        <v>3</v>
      </c>
      <c r="AB7" s="590">
        <v>1</v>
      </c>
      <c r="AD7" s="163" t="s">
        <v>574</v>
      </c>
      <c r="AE7" s="590">
        <v>5</v>
      </c>
    </row>
    <row r="8" spans="23:44">
      <c r="W8" s="643" t="s">
        <v>457</v>
      </c>
      <c r="X8" s="590">
        <v>2</v>
      </c>
      <c r="Y8" s="590">
        <v>1</v>
      </c>
      <c r="AA8" s="590">
        <v>3</v>
      </c>
      <c r="AB8" s="590">
        <v>4</v>
      </c>
      <c r="AD8" s="163" t="s">
        <v>573</v>
      </c>
      <c r="AE8" s="590">
        <v>6</v>
      </c>
    </row>
    <row r="9" spans="23:44">
      <c r="W9" s="643" t="s">
        <v>465</v>
      </c>
      <c r="X9" s="590">
        <v>4</v>
      </c>
      <c r="Y9" s="590">
        <v>3</v>
      </c>
      <c r="AA9" s="590">
        <v>4</v>
      </c>
      <c r="AB9" s="590">
        <v>8</v>
      </c>
      <c r="AD9" s="163" t="s">
        <v>576</v>
      </c>
      <c r="AE9" s="590">
        <v>6</v>
      </c>
    </row>
    <row r="10" spans="23:44">
      <c r="W10" s="643" t="s">
        <v>458</v>
      </c>
      <c r="X10" s="590">
        <v>5</v>
      </c>
      <c r="Y10" s="590">
        <v>10</v>
      </c>
      <c r="AA10" s="590">
        <v>6</v>
      </c>
      <c r="AB10" s="590">
        <v>20</v>
      </c>
      <c r="AD10" s="163" t="s">
        <v>581</v>
      </c>
      <c r="AE10" s="590">
        <v>4</v>
      </c>
    </row>
    <row r="11" spans="23:44">
      <c r="W11" s="643" t="s">
        <v>459</v>
      </c>
      <c r="X11" s="590">
        <v>5</v>
      </c>
      <c r="Y11" s="590">
        <v>10</v>
      </c>
      <c r="AA11" s="590">
        <v>7</v>
      </c>
      <c r="AB11" s="590">
        <v>17</v>
      </c>
      <c r="AD11" s="163" t="s">
        <v>575</v>
      </c>
      <c r="AE11" s="590">
        <v>12</v>
      </c>
    </row>
    <row r="12" spans="23:44">
      <c r="W12" s="643" t="s">
        <v>448</v>
      </c>
      <c r="X12" s="590">
        <v>10</v>
      </c>
      <c r="Y12" s="590">
        <v>13</v>
      </c>
      <c r="AA12" s="590">
        <v>2</v>
      </c>
      <c r="AB12" s="590">
        <v>1</v>
      </c>
      <c r="AD12" s="163" t="s">
        <v>572</v>
      </c>
      <c r="AE12" s="590">
        <v>5</v>
      </c>
    </row>
    <row r="13" spans="23:44">
      <c r="W13" s="643" t="s">
        <v>449</v>
      </c>
      <c r="X13" s="590">
        <v>10</v>
      </c>
      <c r="Y13" s="590">
        <v>7</v>
      </c>
      <c r="AA13" s="590">
        <v>3</v>
      </c>
      <c r="AB13" s="590">
        <v>1</v>
      </c>
      <c r="AD13" s="163" t="s">
        <v>580</v>
      </c>
      <c r="AE13" s="590">
        <v>2</v>
      </c>
    </row>
    <row r="14" spans="23:44">
      <c r="W14" s="643" t="s">
        <v>460</v>
      </c>
      <c r="X14" s="590">
        <v>8</v>
      </c>
      <c r="Y14" s="590">
        <v>5</v>
      </c>
      <c r="AA14" s="590">
        <v>2</v>
      </c>
      <c r="AB14" s="590">
        <v>0</v>
      </c>
      <c r="AD14" s="163" t="s">
        <v>582</v>
      </c>
      <c r="AE14" s="590">
        <v>3</v>
      </c>
    </row>
    <row r="15" spans="23:44">
      <c r="W15" s="643" t="s">
        <v>461</v>
      </c>
      <c r="X15" s="590">
        <v>2</v>
      </c>
      <c r="Y15" s="590">
        <v>1</v>
      </c>
      <c r="AA15" s="590">
        <v>2</v>
      </c>
      <c r="AB15" s="590">
        <v>0</v>
      </c>
      <c r="AD15" s="163" t="s">
        <v>571</v>
      </c>
      <c r="AE15" s="590">
        <v>3</v>
      </c>
    </row>
    <row r="16" spans="23:44">
      <c r="W16" s="643" t="s">
        <v>462</v>
      </c>
      <c r="X16" s="590">
        <v>2</v>
      </c>
      <c r="Y16" s="590">
        <v>0</v>
      </c>
      <c r="AA16" s="590">
        <v>1</v>
      </c>
      <c r="AB16" s="590">
        <v>0</v>
      </c>
      <c r="AD16" s="163" t="s">
        <v>570</v>
      </c>
      <c r="AE16" s="590">
        <v>1</v>
      </c>
    </row>
    <row r="17" spans="23:44">
      <c r="W17" s="643" t="s">
        <v>463</v>
      </c>
      <c r="X17" s="590">
        <v>0</v>
      </c>
      <c r="Y17" s="643">
        <v>1</v>
      </c>
      <c r="AA17" s="590">
        <v>0</v>
      </c>
      <c r="AB17" s="590">
        <v>0</v>
      </c>
      <c r="AD17" s="163" t="s">
        <v>579</v>
      </c>
      <c r="AE17" s="590">
        <v>3</v>
      </c>
    </row>
    <row r="18" spans="23:44">
      <c r="W18" s="643" t="s">
        <v>464</v>
      </c>
      <c r="X18" s="590">
        <v>3</v>
      </c>
      <c r="Y18" s="643">
        <v>1</v>
      </c>
      <c r="AA18" s="590">
        <v>0</v>
      </c>
      <c r="AB18" s="590">
        <v>0</v>
      </c>
      <c r="AD18" s="163" t="s">
        <v>444</v>
      </c>
      <c r="AE18" s="590">
        <v>51</v>
      </c>
    </row>
    <row r="19" spans="23:44">
      <c r="W19" s="643" t="s">
        <v>444</v>
      </c>
      <c r="X19" s="643">
        <f>SUM(X5:X18)</f>
        <v>60</v>
      </c>
      <c r="Y19" s="643">
        <f>SUM(Y5:Y18)</f>
        <v>53</v>
      </c>
      <c r="AA19" s="643">
        <f>SUM(AA5:AA18)</f>
        <v>35</v>
      </c>
      <c r="AB19" s="643">
        <f>SUM(AB5:AB18)</f>
        <v>53</v>
      </c>
      <c r="AD19"/>
      <c r="AE19"/>
    </row>
    <row r="20" spans="23:44">
      <c r="AD20"/>
      <c r="AE20"/>
    </row>
    <row r="21" spans="23:44">
      <c r="AD21" s="163"/>
      <c r="AE21" s="590"/>
    </row>
    <row r="22" spans="23:44">
      <c r="AD22" s="589" t="s">
        <v>466</v>
      </c>
      <c r="AE22" s="643" t="s">
        <v>567</v>
      </c>
    </row>
    <row r="23" spans="23:44">
      <c r="X23" s="705">
        <v>2014</v>
      </c>
      <c r="Y23" s="705"/>
      <c r="AA23" s="705">
        <v>2014</v>
      </c>
      <c r="AB23" s="705"/>
      <c r="AD23" s="589" t="s">
        <v>439</v>
      </c>
      <c r="AE23" s="643" t="s">
        <v>568</v>
      </c>
    </row>
    <row r="24" spans="23:44">
      <c r="X24" s="643" t="s">
        <v>468</v>
      </c>
      <c r="Y24" s="643" t="s">
        <v>468</v>
      </c>
      <c r="AA24" s="643" t="s">
        <v>466</v>
      </c>
      <c r="AB24" s="643" t="s">
        <v>466</v>
      </c>
      <c r="AD24" s="589" t="s">
        <v>367</v>
      </c>
      <c r="AE24" s="643" t="s">
        <v>557</v>
      </c>
    </row>
    <row r="25" spans="23:44">
      <c r="W25" s="644" t="s">
        <v>442</v>
      </c>
      <c r="X25" s="644" t="s">
        <v>558</v>
      </c>
      <c r="Y25" s="644" t="s">
        <v>559</v>
      </c>
      <c r="Z25" s="644"/>
      <c r="AA25" s="644" t="s">
        <v>558</v>
      </c>
      <c r="AB25" s="644" t="s">
        <v>559</v>
      </c>
      <c r="AP25" s="644"/>
      <c r="AQ25" s="644"/>
      <c r="AR25" s="644"/>
    </row>
    <row r="26" spans="23:44">
      <c r="W26" s="643" t="s">
        <v>445</v>
      </c>
      <c r="X26" s="590">
        <v>9</v>
      </c>
      <c r="Y26" s="643">
        <v>0</v>
      </c>
      <c r="AA26" s="590">
        <v>5</v>
      </c>
      <c r="AB26" s="590">
        <v>0</v>
      </c>
      <c r="AD26" s="589" t="s">
        <v>443</v>
      </c>
      <c r="AE26" t="s">
        <v>450</v>
      </c>
    </row>
    <row r="27" spans="23:44">
      <c r="W27" s="643" t="s">
        <v>447</v>
      </c>
      <c r="X27" s="590">
        <v>1</v>
      </c>
      <c r="Y27" s="590">
        <v>1</v>
      </c>
      <c r="AA27" s="590">
        <v>1</v>
      </c>
      <c r="AB27" s="643">
        <v>1</v>
      </c>
      <c r="AD27" s="163" t="s">
        <v>455</v>
      </c>
      <c r="AE27" s="590">
        <v>2</v>
      </c>
    </row>
    <row r="28" spans="23:44">
      <c r="W28" s="643" t="s">
        <v>446</v>
      </c>
      <c r="X28" s="590">
        <v>3</v>
      </c>
      <c r="Y28" s="590">
        <v>1</v>
      </c>
      <c r="AA28" s="590">
        <v>5</v>
      </c>
      <c r="AB28" s="643">
        <v>0</v>
      </c>
      <c r="AD28" s="163" t="s">
        <v>574</v>
      </c>
      <c r="AE28" s="590">
        <v>13</v>
      </c>
    </row>
    <row r="29" spans="23:44">
      <c r="W29" s="643" t="s">
        <v>457</v>
      </c>
      <c r="X29" s="590">
        <v>5</v>
      </c>
      <c r="Y29" s="590">
        <v>3</v>
      </c>
      <c r="AA29" s="590">
        <v>5</v>
      </c>
      <c r="AB29" s="643">
        <v>2</v>
      </c>
      <c r="AD29" s="163" t="s">
        <v>575</v>
      </c>
      <c r="AE29" s="590">
        <v>3</v>
      </c>
    </row>
    <row r="30" spans="23:44">
      <c r="W30" s="643" t="s">
        <v>465</v>
      </c>
      <c r="X30" s="590">
        <v>3</v>
      </c>
      <c r="Y30" s="590">
        <v>2</v>
      </c>
      <c r="AA30" s="590">
        <v>4</v>
      </c>
      <c r="AB30" s="590">
        <v>11</v>
      </c>
      <c r="AD30" s="163" t="s">
        <v>571</v>
      </c>
      <c r="AE30" s="590">
        <v>3</v>
      </c>
    </row>
    <row r="31" spans="23:44">
      <c r="W31" s="643" t="s">
        <v>458</v>
      </c>
      <c r="X31" s="590">
        <v>9</v>
      </c>
      <c r="Y31" s="590">
        <v>6</v>
      </c>
      <c r="AA31" s="590">
        <v>10</v>
      </c>
      <c r="AB31" s="590">
        <v>14</v>
      </c>
      <c r="AD31" s="163" t="s">
        <v>581</v>
      </c>
      <c r="AE31" s="590">
        <v>9</v>
      </c>
    </row>
    <row r="32" spans="23:44">
      <c r="W32" s="643" t="s">
        <v>459</v>
      </c>
      <c r="X32" s="590">
        <v>13</v>
      </c>
      <c r="Y32" s="590">
        <v>13</v>
      </c>
      <c r="AA32" s="590">
        <v>7</v>
      </c>
      <c r="AB32" s="590">
        <v>18</v>
      </c>
      <c r="AD32" s="163" t="s">
        <v>576</v>
      </c>
      <c r="AE32" s="590">
        <v>9</v>
      </c>
    </row>
    <row r="33" spans="23:31">
      <c r="W33" s="643" t="s">
        <v>448</v>
      </c>
      <c r="X33" s="590">
        <v>7</v>
      </c>
      <c r="Y33" s="590">
        <v>3</v>
      </c>
      <c r="AA33" s="590">
        <v>1</v>
      </c>
      <c r="AB33" s="590">
        <v>0</v>
      </c>
      <c r="AD33" s="163" t="s">
        <v>573</v>
      </c>
      <c r="AE33" s="590">
        <v>6</v>
      </c>
    </row>
    <row r="34" spans="23:31">
      <c r="W34" s="643" t="s">
        <v>449</v>
      </c>
      <c r="X34" s="590">
        <v>3</v>
      </c>
      <c r="Y34" s="590">
        <v>9</v>
      </c>
      <c r="AA34" s="590">
        <v>2</v>
      </c>
      <c r="AB34" s="590">
        <v>2</v>
      </c>
      <c r="AD34" s="163" t="s">
        <v>572</v>
      </c>
      <c r="AE34" s="590">
        <v>2</v>
      </c>
    </row>
    <row r="35" spans="23:31">
      <c r="W35" s="643" t="s">
        <v>460</v>
      </c>
      <c r="X35" s="590">
        <v>8</v>
      </c>
      <c r="Y35" s="590">
        <v>2</v>
      </c>
      <c r="AA35" s="590">
        <v>2</v>
      </c>
      <c r="AB35" s="590">
        <v>0</v>
      </c>
      <c r="AD35" s="163" t="s">
        <v>569</v>
      </c>
      <c r="AE35" s="590">
        <v>1</v>
      </c>
    </row>
    <row r="36" spans="23:31">
      <c r="W36" s="643" t="s">
        <v>461</v>
      </c>
      <c r="X36" s="590">
        <v>1</v>
      </c>
      <c r="Y36" s="590">
        <v>7</v>
      </c>
      <c r="AA36" s="590">
        <v>0</v>
      </c>
      <c r="AB36" s="590">
        <v>0</v>
      </c>
      <c r="AD36" s="163" t="s">
        <v>570</v>
      </c>
      <c r="AE36" s="590">
        <v>1</v>
      </c>
    </row>
    <row r="37" spans="23:31">
      <c r="W37" s="643" t="s">
        <v>462</v>
      </c>
      <c r="X37" s="590">
        <v>4</v>
      </c>
      <c r="Y37" s="590">
        <v>0</v>
      </c>
      <c r="AA37" s="590">
        <v>0</v>
      </c>
      <c r="AB37" s="590">
        <v>0</v>
      </c>
      <c r="AD37" s="163" t="s">
        <v>444</v>
      </c>
      <c r="AE37" s="590">
        <v>49</v>
      </c>
    </row>
    <row r="38" spans="23:31">
      <c r="W38" s="643" t="s">
        <v>463</v>
      </c>
      <c r="X38" s="590">
        <v>3</v>
      </c>
      <c r="Y38" s="590">
        <v>0</v>
      </c>
      <c r="AA38" s="590">
        <v>1</v>
      </c>
      <c r="AB38" s="590">
        <v>0</v>
      </c>
      <c r="AD38"/>
      <c r="AE38"/>
    </row>
    <row r="39" spans="23:31">
      <c r="W39" s="643" t="s">
        <v>464</v>
      </c>
      <c r="X39" s="590">
        <v>7</v>
      </c>
      <c r="Y39" s="590">
        <v>0</v>
      </c>
      <c r="AA39" s="590">
        <v>0</v>
      </c>
      <c r="AB39" s="590">
        <v>0</v>
      </c>
      <c r="AD39"/>
      <c r="AE39"/>
    </row>
    <row r="40" spans="23:31">
      <c r="W40" s="643" t="s">
        <v>444</v>
      </c>
      <c r="X40" s="643">
        <f>SUM(X26:X39)</f>
        <v>76</v>
      </c>
      <c r="Y40" s="643">
        <f>SUM(Y26:Y39)</f>
        <v>47</v>
      </c>
      <c r="AA40" s="643">
        <f>SUM(AA26:AA39)</f>
        <v>43</v>
      </c>
      <c r="AB40" s="643">
        <f>SUM(AB26:AB39)</f>
        <v>48</v>
      </c>
      <c r="AD40"/>
      <c r="AE40"/>
    </row>
    <row r="41" spans="23:31">
      <c r="AD41"/>
      <c r="AE41"/>
    </row>
    <row r="42" spans="23:31">
      <c r="AD42"/>
      <c r="AE42"/>
    </row>
    <row r="43" spans="23:31">
      <c r="AD43"/>
      <c r="AE43"/>
    </row>
    <row r="44" spans="23:31">
      <c r="AD44"/>
      <c r="AE44"/>
    </row>
    <row r="45" spans="23:31">
      <c r="AD45"/>
      <c r="AE45"/>
    </row>
    <row r="46" spans="23:31">
      <c r="AD46"/>
      <c r="AE46"/>
    </row>
    <row r="47" spans="23:31">
      <c r="AD47"/>
      <c r="AE47"/>
    </row>
    <row r="48" spans="23:31">
      <c r="AD48"/>
      <c r="AE48"/>
    </row>
    <row r="49" spans="23:31">
      <c r="AD49"/>
      <c r="AE49"/>
    </row>
    <row r="50" spans="23:31">
      <c r="AD50"/>
      <c r="AE50"/>
    </row>
    <row r="51" spans="23:31">
      <c r="AD51"/>
      <c r="AE51"/>
    </row>
    <row r="52" spans="23:31">
      <c r="AD52"/>
      <c r="AE52"/>
    </row>
    <row r="53" spans="23:31">
      <c r="X53" s="705">
        <v>2015</v>
      </c>
      <c r="Y53" s="705"/>
      <c r="AA53" s="705">
        <v>2015</v>
      </c>
      <c r="AB53" s="705"/>
      <c r="AD53"/>
      <c r="AE53"/>
    </row>
    <row r="54" spans="23:31">
      <c r="X54" s="643" t="s">
        <v>468</v>
      </c>
      <c r="Y54" s="643" t="s">
        <v>468</v>
      </c>
      <c r="AA54" s="643" t="s">
        <v>466</v>
      </c>
      <c r="AB54" s="643" t="s">
        <v>466</v>
      </c>
      <c r="AD54"/>
      <c r="AE54"/>
    </row>
    <row r="55" spans="23:31">
      <c r="W55" s="644" t="s">
        <v>442</v>
      </c>
      <c r="X55" s="644" t="s">
        <v>429</v>
      </c>
      <c r="Y55" s="644" t="s">
        <v>560</v>
      </c>
      <c r="Z55" s="644"/>
      <c r="AA55" s="644" t="s">
        <v>429</v>
      </c>
      <c r="AB55" s="644" t="s">
        <v>560</v>
      </c>
      <c r="AD55"/>
      <c r="AE55"/>
    </row>
    <row r="56" spans="23:31">
      <c r="W56" s="643" t="s">
        <v>445</v>
      </c>
      <c r="X56" s="643">
        <v>2</v>
      </c>
      <c r="Y56" s="590">
        <v>5</v>
      </c>
      <c r="AA56" s="643">
        <v>1</v>
      </c>
      <c r="AB56" s="643">
        <v>1</v>
      </c>
      <c r="AD56"/>
      <c r="AE56"/>
    </row>
    <row r="57" spans="23:31">
      <c r="W57" s="643" t="s">
        <v>447</v>
      </c>
      <c r="X57" s="643">
        <v>0</v>
      </c>
      <c r="Y57" s="643">
        <v>0</v>
      </c>
      <c r="AA57" s="643">
        <v>0</v>
      </c>
      <c r="AB57" s="643">
        <v>0</v>
      </c>
      <c r="AD57"/>
      <c r="AE57"/>
    </row>
    <row r="58" spans="23:31">
      <c r="W58" s="643" t="s">
        <v>446</v>
      </c>
      <c r="X58" s="590">
        <v>1</v>
      </c>
      <c r="Y58" s="643">
        <v>1</v>
      </c>
      <c r="AA58" s="590">
        <v>4</v>
      </c>
      <c r="AB58" s="590">
        <v>0</v>
      </c>
      <c r="AD58"/>
      <c r="AE58"/>
    </row>
    <row r="59" spans="23:31">
      <c r="W59" s="643" t="s">
        <v>457</v>
      </c>
      <c r="X59" s="590">
        <v>0</v>
      </c>
      <c r="Y59" s="590">
        <v>3</v>
      </c>
      <c r="AA59" s="590">
        <v>3</v>
      </c>
      <c r="AB59" s="590">
        <v>3</v>
      </c>
      <c r="AD59"/>
      <c r="AE59"/>
    </row>
    <row r="60" spans="23:31">
      <c r="W60" s="643" t="s">
        <v>465</v>
      </c>
      <c r="X60" s="590">
        <v>2</v>
      </c>
      <c r="Y60" s="590">
        <v>5</v>
      </c>
      <c r="AA60" s="590">
        <v>10</v>
      </c>
      <c r="AB60" s="590">
        <v>2</v>
      </c>
      <c r="AD60"/>
      <c r="AE60"/>
    </row>
    <row r="61" spans="23:31">
      <c r="W61" s="643" t="s">
        <v>458</v>
      </c>
      <c r="X61" s="590">
        <v>9</v>
      </c>
      <c r="Y61" s="590">
        <v>6</v>
      </c>
      <c r="AA61" s="590">
        <v>13</v>
      </c>
      <c r="AB61" s="590">
        <v>9</v>
      </c>
      <c r="AD61"/>
      <c r="AE61"/>
    </row>
    <row r="62" spans="23:31">
      <c r="W62" s="643" t="s">
        <v>459</v>
      </c>
      <c r="X62" s="590">
        <v>10</v>
      </c>
      <c r="Y62" s="590">
        <v>5</v>
      </c>
      <c r="AA62" s="590">
        <v>10</v>
      </c>
      <c r="AB62" s="590">
        <v>12</v>
      </c>
      <c r="AD62"/>
      <c r="AE62"/>
    </row>
    <row r="63" spans="23:31">
      <c r="W63" s="643" t="s">
        <v>448</v>
      </c>
      <c r="X63" s="590">
        <v>11</v>
      </c>
      <c r="Y63" s="590">
        <v>12</v>
      </c>
      <c r="AA63" s="590">
        <v>3</v>
      </c>
      <c r="AB63" s="590">
        <v>0</v>
      </c>
      <c r="AD63"/>
      <c r="AE63"/>
    </row>
    <row r="64" spans="23:31">
      <c r="W64" s="643" t="s">
        <v>449</v>
      </c>
      <c r="X64" s="590">
        <v>11</v>
      </c>
      <c r="Y64" s="590">
        <v>6</v>
      </c>
      <c r="AA64" s="590">
        <v>1</v>
      </c>
      <c r="AB64" s="590">
        <v>0</v>
      </c>
    </row>
    <row r="65" spans="23:28">
      <c r="W65" s="643" t="s">
        <v>460</v>
      </c>
      <c r="X65" s="590">
        <v>9</v>
      </c>
      <c r="Y65" s="590">
        <v>4</v>
      </c>
      <c r="AA65" s="590">
        <v>2</v>
      </c>
      <c r="AB65" s="590">
        <v>0</v>
      </c>
    </row>
    <row r="66" spans="23:28">
      <c r="W66" s="643" t="s">
        <v>461</v>
      </c>
      <c r="X66" s="590">
        <v>3</v>
      </c>
      <c r="Y66" s="590">
        <v>0</v>
      </c>
      <c r="AA66" s="590">
        <v>1</v>
      </c>
      <c r="AB66" s="590">
        <v>1</v>
      </c>
    </row>
    <row r="67" spans="23:28">
      <c r="W67" s="643" t="s">
        <v>462</v>
      </c>
      <c r="X67" s="590">
        <v>1</v>
      </c>
      <c r="Y67" s="590">
        <v>1</v>
      </c>
      <c r="AA67" s="590">
        <v>1</v>
      </c>
      <c r="AB67" s="590">
        <v>0</v>
      </c>
    </row>
    <row r="68" spans="23:28">
      <c r="W68" s="643" t="s">
        <v>463</v>
      </c>
      <c r="X68" s="590">
        <v>0</v>
      </c>
      <c r="Y68" s="590">
        <v>1</v>
      </c>
      <c r="AA68" s="590">
        <v>0</v>
      </c>
      <c r="AB68" s="590">
        <v>0</v>
      </c>
    </row>
    <row r="69" spans="23:28">
      <c r="W69" s="643" t="s">
        <v>464</v>
      </c>
      <c r="X69" s="590">
        <v>3</v>
      </c>
      <c r="Y69" s="590">
        <v>1</v>
      </c>
      <c r="AA69" s="590">
        <v>0</v>
      </c>
      <c r="AB69" s="590">
        <v>0</v>
      </c>
    </row>
    <row r="70" spans="23:28">
      <c r="W70" s="643" t="s">
        <v>444</v>
      </c>
      <c r="X70" s="643">
        <f>SUM(X56:X69)</f>
        <v>62</v>
      </c>
      <c r="Y70" s="643">
        <f>SUM(Y56:Y69)</f>
        <v>50</v>
      </c>
      <c r="AA70" s="643">
        <f>SUM(AA56:AA69)</f>
        <v>49</v>
      </c>
      <c r="AB70" s="643">
        <f>SUM(AB56:AB69)</f>
        <v>28</v>
      </c>
    </row>
    <row r="74" spans="23:28">
      <c r="X74" s="705">
        <v>2014</v>
      </c>
      <c r="Y74" s="705"/>
      <c r="AA74" s="705">
        <v>2014</v>
      </c>
      <c r="AB74" s="705"/>
    </row>
    <row r="75" spans="23:28">
      <c r="X75" s="643" t="s">
        <v>468</v>
      </c>
      <c r="Y75" s="643" t="s">
        <v>468</v>
      </c>
      <c r="AA75" s="643" t="s">
        <v>466</v>
      </c>
      <c r="AB75" s="643" t="s">
        <v>466</v>
      </c>
    </row>
    <row r="76" spans="23:28">
      <c r="W76" s="644" t="s">
        <v>442</v>
      </c>
      <c r="X76" s="644" t="s">
        <v>429</v>
      </c>
      <c r="Y76" s="644" t="s">
        <v>560</v>
      </c>
      <c r="Z76" s="644"/>
      <c r="AA76" s="644" t="s">
        <v>429</v>
      </c>
      <c r="AB76" s="644" t="s">
        <v>560</v>
      </c>
    </row>
    <row r="77" spans="23:28">
      <c r="W77" s="643" t="s">
        <v>445</v>
      </c>
      <c r="X77" s="590">
        <v>2</v>
      </c>
      <c r="Y77" s="643">
        <v>4</v>
      </c>
      <c r="AA77" s="590">
        <v>0</v>
      </c>
      <c r="AB77" s="590">
        <v>3</v>
      </c>
    </row>
    <row r="78" spans="23:28">
      <c r="W78" s="643" t="s">
        <v>447</v>
      </c>
      <c r="X78" s="590">
        <v>1</v>
      </c>
      <c r="Y78" s="590">
        <v>0</v>
      </c>
      <c r="AA78" s="590">
        <v>1</v>
      </c>
      <c r="AB78" s="590">
        <v>0</v>
      </c>
    </row>
    <row r="79" spans="23:28">
      <c r="W79" s="643" t="s">
        <v>446</v>
      </c>
      <c r="X79" s="590">
        <v>0</v>
      </c>
      <c r="Y79" s="590">
        <v>4</v>
      </c>
      <c r="AA79" s="590">
        <v>3</v>
      </c>
      <c r="AB79" s="590">
        <v>0</v>
      </c>
    </row>
    <row r="80" spans="23:28">
      <c r="W80" s="643" t="s">
        <v>457</v>
      </c>
      <c r="X80" s="590">
        <v>4</v>
      </c>
      <c r="Y80" s="590">
        <v>3</v>
      </c>
      <c r="AA80" s="590">
        <v>1</v>
      </c>
      <c r="AB80" s="643">
        <v>1</v>
      </c>
    </row>
    <row r="81" spans="23:28">
      <c r="W81" s="643" t="s">
        <v>465</v>
      </c>
      <c r="X81" s="590">
        <v>2</v>
      </c>
      <c r="Y81" s="590">
        <v>3</v>
      </c>
      <c r="AA81" s="590">
        <v>3</v>
      </c>
      <c r="AB81" s="590">
        <v>4</v>
      </c>
    </row>
    <row r="82" spans="23:28">
      <c r="W82" s="643" t="s">
        <v>458</v>
      </c>
      <c r="X82" s="590">
        <v>5</v>
      </c>
      <c r="Y82" s="590">
        <v>9</v>
      </c>
      <c r="AA82" s="590">
        <v>8</v>
      </c>
      <c r="AB82" s="590">
        <v>3</v>
      </c>
    </row>
    <row r="83" spans="23:28">
      <c r="W83" s="643" t="s">
        <v>459</v>
      </c>
      <c r="X83" s="590">
        <v>14</v>
      </c>
      <c r="Y83" s="590">
        <v>12</v>
      </c>
      <c r="AA83" s="590">
        <v>5</v>
      </c>
      <c r="AB83" s="590">
        <v>8</v>
      </c>
    </row>
    <row r="84" spans="23:28">
      <c r="W84" s="643" t="s">
        <v>448</v>
      </c>
      <c r="X84" s="590">
        <v>4</v>
      </c>
      <c r="Y84" s="590">
        <v>5</v>
      </c>
      <c r="AA84" s="590">
        <v>13</v>
      </c>
      <c r="AB84" s="590">
        <v>2</v>
      </c>
    </row>
    <row r="85" spans="23:28">
      <c r="W85" s="643" t="s">
        <v>449</v>
      </c>
      <c r="X85" s="590">
        <v>10</v>
      </c>
      <c r="Y85" s="590">
        <v>2</v>
      </c>
      <c r="AA85" s="590">
        <v>6</v>
      </c>
      <c r="AB85" s="590">
        <v>3</v>
      </c>
    </row>
    <row r="86" spans="23:28">
      <c r="W86" s="643" t="s">
        <v>460</v>
      </c>
      <c r="X86" s="590">
        <v>3</v>
      </c>
      <c r="Y86" s="590">
        <v>6</v>
      </c>
      <c r="AA86" s="590">
        <v>6</v>
      </c>
      <c r="AB86" s="590">
        <v>1</v>
      </c>
    </row>
    <row r="87" spans="23:28">
      <c r="W87" s="643" t="s">
        <v>461</v>
      </c>
      <c r="X87" s="590">
        <v>6</v>
      </c>
      <c r="Y87" s="590">
        <v>2</v>
      </c>
      <c r="AA87" s="590">
        <v>1</v>
      </c>
      <c r="AB87" s="590">
        <v>0</v>
      </c>
    </row>
    <row r="88" spans="23:28">
      <c r="W88" s="643" t="s">
        <v>462</v>
      </c>
      <c r="X88" s="590">
        <v>3</v>
      </c>
      <c r="Y88" s="590">
        <v>1</v>
      </c>
      <c r="AA88" s="590">
        <v>1</v>
      </c>
      <c r="AB88" s="590">
        <v>0</v>
      </c>
    </row>
    <row r="89" spans="23:28">
      <c r="W89" s="643" t="s">
        <v>463</v>
      </c>
      <c r="X89" s="590">
        <v>2</v>
      </c>
      <c r="Y89" s="590">
        <v>1</v>
      </c>
      <c r="AA89" s="590">
        <v>3</v>
      </c>
      <c r="AB89" s="590">
        <v>0</v>
      </c>
    </row>
    <row r="90" spans="23:28">
      <c r="W90" s="643" t="s">
        <v>464</v>
      </c>
      <c r="X90" s="590">
        <v>2</v>
      </c>
      <c r="Y90" s="590">
        <v>1</v>
      </c>
      <c r="AA90" s="590">
        <v>1</v>
      </c>
      <c r="AB90" s="590">
        <v>0</v>
      </c>
    </row>
    <row r="91" spans="23:28">
      <c r="W91" s="643" t="s">
        <v>444</v>
      </c>
      <c r="X91" s="643">
        <f>SUM(X77:X90)</f>
        <v>58</v>
      </c>
      <c r="Y91" s="643">
        <f>SUM(Y77:Y90)</f>
        <v>53</v>
      </c>
      <c r="AA91" s="643">
        <f>SUM(AA77:AA90)</f>
        <v>52</v>
      </c>
      <c r="AB91" s="643">
        <f>SUM(AB77:AB90)</f>
        <v>25</v>
      </c>
    </row>
  </sheetData>
  <mergeCells count="8">
    <mergeCell ref="X74:Y74"/>
    <mergeCell ref="AA74:AB74"/>
    <mergeCell ref="X2:Y2"/>
    <mergeCell ref="AA2:AB2"/>
    <mergeCell ref="X23:Y23"/>
    <mergeCell ref="AA23:AB23"/>
    <mergeCell ref="X53:Y53"/>
    <mergeCell ref="AA53:AB53"/>
  </mergeCell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41"/>
  <sheetViews>
    <sheetView showGridLines="0" zoomScale="80" zoomScaleNormal="80" workbookViewId="0">
      <pane xSplit="7" ySplit="3" topLeftCell="H4" activePane="bottomRight" state="frozen"/>
      <selection activeCell="C177" sqref="C177"/>
      <selection pane="topRight" activeCell="C177" sqref="C177"/>
      <selection pane="bottomLeft" activeCell="C177" sqref="C177"/>
      <selection pane="bottomRight" activeCell="A33" sqref="A33"/>
    </sheetView>
  </sheetViews>
  <sheetFormatPr defaultColWidth="15.33203125" defaultRowHeight="11.25"/>
  <cols>
    <col min="1" max="1" width="9.83203125" style="519" customWidth="1"/>
    <col min="2" max="2" width="52.5" style="533" bestFit="1" customWidth="1"/>
    <col min="3" max="3" width="14" style="519" hidden="1" customWidth="1"/>
    <col min="4" max="4" width="17.6640625" style="519" hidden="1" customWidth="1"/>
    <col min="5" max="5" width="46.5" style="521" customWidth="1"/>
    <col min="6" max="6" width="6.5" style="520" bestFit="1" customWidth="1"/>
    <col min="7" max="7" width="17.1640625" style="525" customWidth="1"/>
    <col min="8" max="8" width="14.5" style="519" bestFit="1" customWidth="1"/>
    <col min="9" max="9" width="17.6640625" style="519" bestFit="1" customWidth="1"/>
    <col min="10" max="10" width="18.1640625" style="531" bestFit="1" customWidth="1"/>
    <col min="11" max="11" width="17" style="522" bestFit="1" customWidth="1"/>
    <col min="12" max="12" width="18.1640625" style="519" bestFit="1" customWidth="1"/>
    <col min="13" max="13" width="16.5" style="522" customWidth="1"/>
    <col min="14" max="14" width="19.1640625" style="522" bestFit="1" customWidth="1"/>
    <col min="15" max="15" width="13.33203125" style="526" bestFit="1" customWidth="1"/>
    <col min="16" max="16" width="15.1640625" style="523" bestFit="1" customWidth="1"/>
    <col min="17" max="18" width="15.6640625" style="523" bestFit="1" customWidth="1"/>
    <col min="19" max="19" width="11" style="527" bestFit="1" customWidth="1"/>
    <col min="20" max="20" width="17" style="523" bestFit="1" customWidth="1"/>
    <col min="21" max="21" width="22.33203125" style="524" bestFit="1" customWidth="1"/>
    <col min="22" max="22" width="15" style="524" bestFit="1" customWidth="1"/>
    <col min="23" max="23" width="19.33203125" style="524" bestFit="1" customWidth="1"/>
    <col min="24" max="24" width="14.5" style="524" bestFit="1" customWidth="1"/>
    <col min="25" max="25" width="17.1640625" style="524" bestFit="1" customWidth="1"/>
    <col min="26" max="26" width="14.5" style="519" bestFit="1" customWidth="1"/>
    <col min="27" max="27" width="17.1640625" style="529" bestFit="1" customWidth="1"/>
    <col min="28" max="28" width="12.6640625" style="523" bestFit="1" customWidth="1"/>
    <col min="29" max="29" width="18.5" style="523" bestFit="1" customWidth="1"/>
    <col min="30" max="30" width="16.6640625" style="523" bestFit="1" customWidth="1"/>
    <col min="31" max="31" width="15.6640625" style="523" bestFit="1" customWidth="1"/>
    <col min="32" max="32" width="17.6640625" style="523" bestFit="1" customWidth="1"/>
    <col min="33" max="33" width="17.5" style="523" bestFit="1" customWidth="1"/>
    <col min="34" max="34" width="14.5" style="523" bestFit="1" customWidth="1"/>
    <col min="35" max="35" width="17.5" style="523" bestFit="1" customWidth="1"/>
    <col min="36" max="36" width="16.6640625" style="523" bestFit="1" customWidth="1"/>
    <col min="37" max="37" width="17.6640625" style="523" bestFit="1" customWidth="1"/>
    <col min="38" max="38" width="18.5" style="523" bestFit="1" customWidth="1"/>
    <col min="39" max="39" width="17.6640625" style="523" bestFit="1" customWidth="1"/>
    <col min="40" max="40" width="12.83203125" style="523" bestFit="1" customWidth="1"/>
    <col min="41" max="41" width="18.83203125" style="523" bestFit="1" customWidth="1"/>
    <col min="42" max="42" width="15.5" style="523" bestFit="1" customWidth="1"/>
    <col min="43" max="43" width="18.83203125" style="523" bestFit="1" customWidth="1"/>
    <col min="44" max="44" width="13.5" style="523" bestFit="1" customWidth="1"/>
    <col min="45" max="45" width="16.5" style="523" bestFit="1" customWidth="1"/>
    <col min="46" max="46" width="17.6640625" style="523" bestFit="1" customWidth="1"/>
    <col min="47" max="47" width="13.6640625" style="523" bestFit="1" customWidth="1"/>
    <col min="48" max="48" width="15.5" style="523" bestFit="1" customWidth="1"/>
    <col min="49" max="49" width="15.83203125" style="523" bestFit="1" customWidth="1"/>
    <col min="50" max="50" width="15.83203125" style="530" bestFit="1" customWidth="1"/>
    <col min="51" max="51" width="10.83203125" style="520" bestFit="1" customWidth="1"/>
    <col min="52" max="52" width="17.83203125" style="525" bestFit="1" customWidth="1"/>
    <col min="56" max="56" width="15.33203125" style="519"/>
    <col min="60" max="60" width="16.33203125" bestFit="1" customWidth="1"/>
  </cols>
  <sheetData>
    <row r="1" spans="1:61" ht="21.75" customHeight="1">
      <c r="A1" s="648">
        <v>2015</v>
      </c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/>
      <c r="AH1" s="511"/>
      <c r="AI1" s="511"/>
      <c r="AJ1" s="511"/>
      <c r="AK1" s="511"/>
      <c r="AL1" s="511"/>
      <c r="AM1" s="511"/>
      <c r="AN1" s="511"/>
      <c r="AO1" s="511"/>
      <c r="AP1" s="511"/>
      <c r="AQ1" s="511"/>
      <c r="AR1" s="511"/>
      <c r="AS1" s="511"/>
      <c r="AT1" s="511"/>
      <c r="AU1" s="511"/>
      <c r="AV1" s="511"/>
      <c r="AW1" s="511"/>
      <c r="AX1" s="511"/>
      <c r="AY1" s="511"/>
      <c r="AZ1" s="511"/>
    </row>
    <row r="2" spans="1:61">
      <c r="A2" s="512" t="s">
        <v>123</v>
      </c>
      <c r="B2" s="694"/>
      <c r="C2" s="692"/>
      <c r="D2" s="692"/>
      <c r="E2" s="695"/>
      <c r="F2" s="693"/>
      <c r="G2" s="693"/>
      <c r="H2" s="707" t="s">
        <v>336</v>
      </c>
      <c r="I2" s="708"/>
      <c r="J2" s="708"/>
      <c r="K2" s="708"/>
      <c r="L2" s="708"/>
      <c r="M2" s="709" t="s">
        <v>335</v>
      </c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10" t="s">
        <v>365</v>
      </c>
      <c r="AB2" s="710"/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710"/>
      <c r="AP2" s="710"/>
      <c r="AQ2" s="710"/>
      <c r="AR2" s="710"/>
      <c r="AS2" s="710"/>
      <c r="AT2" s="710"/>
      <c r="AU2" s="710"/>
      <c r="AV2" s="710"/>
      <c r="AW2" s="710"/>
      <c r="AX2" s="710"/>
      <c r="AY2" s="711" t="s">
        <v>451</v>
      </c>
      <c r="AZ2" s="711"/>
      <c r="BA2" s="706" t="s">
        <v>454</v>
      </c>
      <c r="BB2" s="706"/>
      <c r="BC2" s="706"/>
      <c r="BD2" s="706"/>
      <c r="BE2" s="706"/>
    </row>
    <row r="3" spans="1:61" ht="63" customHeight="1">
      <c r="A3" s="592" t="s">
        <v>296</v>
      </c>
      <c r="B3" s="696" t="s">
        <v>417</v>
      </c>
      <c r="C3" s="593" t="s">
        <v>437</v>
      </c>
      <c r="D3" s="593" t="s">
        <v>436</v>
      </c>
      <c r="E3" s="594" t="s">
        <v>11</v>
      </c>
      <c r="F3" s="593" t="s">
        <v>369</v>
      </c>
      <c r="G3" s="593" t="s">
        <v>466</v>
      </c>
      <c r="H3" s="595" t="s">
        <v>337</v>
      </c>
      <c r="I3" s="595" t="s">
        <v>338</v>
      </c>
      <c r="J3" s="596" t="s">
        <v>339</v>
      </c>
      <c r="K3" s="597" t="s">
        <v>340</v>
      </c>
      <c r="L3" s="595" t="s">
        <v>341</v>
      </c>
      <c r="M3" s="597" t="s">
        <v>297</v>
      </c>
      <c r="N3" s="597" t="s">
        <v>298</v>
      </c>
      <c r="O3" s="598" t="s">
        <v>302</v>
      </c>
      <c r="P3" s="595" t="s">
        <v>130</v>
      </c>
      <c r="Q3" s="595" t="s">
        <v>306</v>
      </c>
      <c r="R3" s="595" t="s">
        <v>307</v>
      </c>
      <c r="S3" s="599" t="s">
        <v>303</v>
      </c>
      <c r="T3" s="595" t="s">
        <v>308</v>
      </c>
      <c r="U3" s="600" t="s">
        <v>299</v>
      </c>
      <c r="V3" s="600" t="s">
        <v>304</v>
      </c>
      <c r="W3" s="600" t="s">
        <v>300</v>
      </c>
      <c r="X3" s="600" t="s">
        <v>301</v>
      </c>
      <c r="Y3" s="600" t="s">
        <v>305</v>
      </c>
      <c r="Z3" s="593" t="s">
        <v>364</v>
      </c>
      <c r="AA3" s="595" t="s">
        <v>342</v>
      </c>
      <c r="AB3" s="595" t="s">
        <v>343</v>
      </c>
      <c r="AC3" s="595" t="s">
        <v>344</v>
      </c>
      <c r="AD3" s="595" t="s">
        <v>345</v>
      </c>
      <c r="AE3" s="595" t="s">
        <v>346</v>
      </c>
      <c r="AF3" s="595" t="s">
        <v>347</v>
      </c>
      <c r="AG3" s="595" t="s">
        <v>341</v>
      </c>
      <c r="AH3" s="595" t="s">
        <v>348</v>
      </c>
      <c r="AI3" s="595" t="s">
        <v>349</v>
      </c>
      <c r="AJ3" s="595" t="s">
        <v>350</v>
      </c>
      <c r="AK3" s="595" t="s">
        <v>351</v>
      </c>
      <c r="AL3" s="595" t="s">
        <v>352</v>
      </c>
      <c r="AM3" s="595" t="s">
        <v>353</v>
      </c>
      <c r="AN3" s="595" t="s">
        <v>354</v>
      </c>
      <c r="AO3" s="595" t="s">
        <v>355</v>
      </c>
      <c r="AP3" s="595" t="s">
        <v>356</v>
      </c>
      <c r="AQ3" s="595" t="s">
        <v>357</v>
      </c>
      <c r="AR3" s="595" t="s">
        <v>358</v>
      </c>
      <c r="AS3" s="595" t="s">
        <v>359</v>
      </c>
      <c r="AT3" s="595" t="s">
        <v>338</v>
      </c>
      <c r="AU3" s="595" t="s">
        <v>360</v>
      </c>
      <c r="AV3" s="595" t="s">
        <v>361</v>
      </c>
      <c r="AW3" s="595" t="s">
        <v>362</v>
      </c>
      <c r="AX3" s="595" t="s">
        <v>363</v>
      </c>
      <c r="AY3" s="593" t="s">
        <v>366</v>
      </c>
      <c r="AZ3" s="593" t="s">
        <v>432</v>
      </c>
      <c r="BA3" s="593" t="s">
        <v>629</v>
      </c>
      <c r="BB3" s="593" t="s">
        <v>441</v>
      </c>
      <c r="BC3" s="593" t="s">
        <v>440</v>
      </c>
      <c r="BD3" s="593" t="s">
        <v>627</v>
      </c>
      <c r="BE3" s="593" t="s">
        <v>628</v>
      </c>
    </row>
    <row r="4" spans="1:61">
      <c r="A4" s="601" t="s">
        <v>82</v>
      </c>
      <c r="B4" s="602" t="s">
        <v>203</v>
      </c>
      <c r="C4" s="601">
        <v>11</v>
      </c>
      <c r="D4" s="601">
        <v>1</v>
      </c>
      <c r="E4" s="603" t="s">
        <v>203</v>
      </c>
      <c r="F4" s="601">
        <v>2015</v>
      </c>
      <c r="G4" s="601" t="s">
        <v>567</v>
      </c>
      <c r="H4" s="604">
        <v>191000.31700000001</v>
      </c>
      <c r="I4" s="604">
        <v>767831.74100000004</v>
      </c>
      <c r="J4" s="605">
        <v>2.8406132397059567</v>
      </c>
      <c r="K4" s="606">
        <v>406.96086109999999</v>
      </c>
      <c r="L4" s="604">
        <v>6723911.3839999996</v>
      </c>
      <c r="M4" s="607">
        <v>1243447</v>
      </c>
      <c r="N4" s="607">
        <v>14790660</v>
      </c>
      <c r="O4" s="608">
        <v>393.15518556981232</v>
      </c>
      <c r="P4" s="609">
        <v>5806885.301</v>
      </c>
      <c r="Q4" s="609">
        <v>5815024.6770000001</v>
      </c>
      <c r="R4" s="609">
        <v>4901777.4000000004</v>
      </c>
      <c r="S4" s="610">
        <v>84.295040387151914</v>
      </c>
      <c r="T4" s="609">
        <v>5204408.17</v>
      </c>
      <c r="U4" s="607">
        <v>8133347</v>
      </c>
      <c r="V4" s="607">
        <v>6598.7700346029187</v>
      </c>
      <c r="W4" s="607">
        <v>604124</v>
      </c>
      <c r="X4" s="607">
        <v>139390</v>
      </c>
      <c r="Y4" s="607">
        <v>490.13958809140365</v>
      </c>
      <c r="Z4" s="611">
        <v>4.3340555276562167</v>
      </c>
      <c r="AA4" s="609">
        <v>5787639.875</v>
      </c>
      <c r="AB4" s="609">
        <v>-17026.514999999665</v>
      </c>
      <c r="AC4" s="609"/>
      <c r="AD4" s="609"/>
      <c r="AE4" s="609"/>
      <c r="AF4" s="609"/>
      <c r="AG4" s="609"/>
      <c r="AH4" s="609">
        <v>3328278.9750000001</v>
      </c>
      <c r="AI4" s="609">
        <v>25266.935000000001</v>
      </c>
      <c r="AJ4" s="609">
        <v>0</v>
      </c>
      <c r="AK4" s="609">
        <v>289896.23499999999</v>
      </c>
      <c r="AL4" s="609">
        <v>1253926.1440000001</v>
      </c>
      <c r="AM4" s="609">
        <v>0</v>
      </c>
      <c r="AN4" s="609">
        <v>4409.1099999999997</v>
      </c>
      <c r="AO4" s="609">
        <v>4901777.3990000002</v>
      </c>
      <c r="AP4" s="609">
        <v>13456.206</v>
      </c>
      <c r="AQ4" s="609">
        <v>4888321.193</v>
      </c>
      <c r="AR4" s="609">
        <v>0.84213645790589531</v>
      </c>
      <c r="AS4" s="609">
        <v>81077.788</v>
      </c>
      <c r="AT4" s="609">
        <v>655935.43400000001</v>
      </c>
      <c r="AU4" s="609">
        <v>0.11300140092977851</v>
      </c>
      <c r="AV4" s="609">
        <v>5625334.415</v>
      </c>
      <c r="AW4" s="609">
        <v>179331.97500000001</v>
      </c>
      <c r="AX4" s="609">
        <v>0</v>
      </c>
      <c r="AY4" s="612" t="s">
        <v>430</v>
      </c>
      <c r="AZ4" s="612" t="s">
        <v>431</v>
      </c>
      <c r="BA4" s="623" t="s">
        <v>552</v>
      </c>
      <c r="BB4" s="614">
        <v>0.11419420886883004</v>
      </c>
      <c r="BC4" s="614">
        <v>4.2855387259650865E-2</v>
      </c>
      <c r="BD4" s="613" t="s">
        <v>574</v>
      </c>
      <c r="BE4" s="613" t="s">
        <v>574</v>
      </c>
    </row>
    <row r="5" spans="1:61">
      <c r="A5" s="601" t="s">
        <v>85</v>
      </c>
      <c r="B5" s="602" t="s">
        <v>329</v>
      </c>
      <c r="C5" s="601">
        <v>13</v>
      </c>
      <c r="D5" s="601">
        <v>2</v>
      </c>
      <c r="E5" s="603" t="s">
        <v>329</v>
      </c>
      <c r="F5" s="601">
        <v>2015</v>
      </c>
      <c r="G5" s="601" t="s">
        <v>469</v>
      </c>
      <c r="H5" s="604">
        <v>66378.293999999994</v>
      </c>
      <c r="I5" s="609">
        <v>219379.53400000001</v>
      </c>
      <c r="J5" s="605">
        <v>3.2193620767578306</v>
      </c>
      <c r="K5" s="606">
        <v>309.99554169999999</v>
      </c>
      <c r="L5" s="609">
        <v>2061846.18</v>
      </c>
      <c r="M5" s="607">
        <v>1083564</v>
      </c>
      <c r="N5" s="607">
        <v>11763368</v>
      </c>
      <c r="O5" s="608">
        <v>212.80851079384749</v>
      </c>
      <c r="P5" s="609">
        <v>2504202.3149999999</v>
      </c>
      <c r="Q5" s="609">
        <v>2503344.8259999999</v>
      </c>
      <c r="R5" s="609">
        <v>2227607.2209999999</v>
      </c>
      <c r="S5" s="610">
        <v>88.985232791896649</v>
      </c>
      <c r="T5" s="609">
        <v>2208108.8390000002</v>
      </c>
      <c r="U5" s="607">
        <v>28626543</v>
      </c>
      <c r="V5" s="607">
        <v>29202.394756331691</v>
      </c>
      <c r="W5" s="607">
        <v>1023090</v>
      </c>
      <c r="X5" s="607">
        <v>82287</v>
      </c>
      <c r="Y5" s="607">
        <v>1043.6704862076915</v>
      </c>
      <c r="Z5" s="611">
        <v>12.433191148054979</v>
      </c>
      <c r="AA5" s="609" t="s">
        <v>20</v>
      </c>
      <c r="AB5" s="609" t="s">
        <v>20</v>
      </c>
      <c r="AC5" s="609"/>
      <c r="AD5" s="609"/>
      <c r="AE5" s="609"/>
      <c r="AF5" s="609"/>
      <c r="AG5" s="609"/>
      <c r="AH5" s="609" t="s">
        <v>20</v>
      </c>
      <c r="AI5" s="609" t="s">
        <v>20</v>
      </c>
      <c r="AJ5" s="609" t="s">
        <v>20</v>
      </c>
      <c r="AK5" s="609" t="s">
        <v>20</v>
      </c>
      <c r="AL5" s="609" t="s">
        <v>20</v>
      </c>
      <c r="AM5" s="609" t="s">
        <v>20</v>
      </c>
      <c r="AN5" s="609" t="s">
        <v>20</v>
      </c>
      <c r="AO5" s="609" t="s">
        <v>20</v>
      </c>
      <c r="AP5" s="609" t="s">
        <v>20</v>
      </c>
      <c r="AQ5" s="609" t="s">
        <v>20</v>
      </c>
      <c r="AR5" s="609" t="s">
        <v>20</v>
      </c>
      <c r="AS5" s="609" t="s">
        <v>20</v>
      </c>
      <c r="AT5" s="609" t="s">
        <v>20</v>
      </c>
      <c r="AU5" s="609" t="s">
        <v>20</v>
      </c>
      <c r="AV5" s="609" t="s">
        <v>20</v>
      </c>
      <c r="AW5" s="609" t="s">
        <v>20</v>
      </c>
      <c r="AX5" s="609" t="s">
        <v>20</v>
      </c>
      <c r="AY5" s="612" t="s">
        <v>435</v>
      </c>
      <c r="AZ5" s="612" t="s">
        <v>431</v>
      </c>
      <c r="BA5" s="613" t="s">
        <v>552</v>
      </c>
      <c r="BB5" s="614">
        <v>0.10639956371527193</v>
      </c>
      <c r="BC5" s="614">
        <v>3.2193620767578306E-2</v>
      </c>
      <c r="BD5" s="613" t="s">
        <v>574</v>
      </c>
      <c r="BE5" s="613" t="s">
        <v>574</v>
      </c>
      <c r="BG5" s="643"/>
      <c r="BH5" s="643"/>
      <c r="BI5" s="643"/>
    </row>
    <row r="6" spans="1:61">
      <c r="A6" s="601" t="s">
        <v>50</v>
      </c>
      <c r="B6" s="602" t="s">
        <v>160</v>
      </c>
      <c r="C6" s="601" t="s">
        <v>20</v>
      </c>
      <c r="D6" s="601">
        <v>3</v>
      </c>
      <c r="E6" s="603" t="s">
        <v>160</v>
      </c>
      <c r="F6" s="601">
        <v>2015</v>
      </c>
      <c r="G6" s="601" t="s">
        <v>469</v>
      </c>
      <c r="H6" s="609"/>
      <c r="I6" s="609"/>
      <c r="J6" s="615"/>
      <c r="K6" s="616"/>
      <c r="L6" s="609"/>
      <c r="M6" s="617">
        <v>894055</v>
      </c>
      <c r="N6" s="617">
        <v>10424665</v>
      </c>
      <c r="O6" s="608">
        <v>105.75039783052981</v>
      </c>
      <c r="P6" s="609">
        <v>1102412.4709999999</v>
      </c>
      <c r="Q6" s="609">
        <v>1102412.4709999999</v>
      </c>
      <c r="R6" s="609">
        <v>971596.86399999994</v>
      </c>
      <c r="S6" s="618">
        <v>88.133696738632054</v>
      </c>
      <c r="T6" s="609">
        <v>956520.40700000001</v>
      </c>
      <c r="U6" s="617">
        <v>362724</v>
      </c>
      <c r="V6" s="617">
        <v>417.53744604742695</v>
      </c>
      <c r="W6" s="617">
        <v>191665</v>
      </c>
      <c r="X6" s="617">
        <v>19619</v>
      </c>
      <c r="Y6" s="617">
        <v>220.62867248012287</v>
      </c>
      <c r="Z6" s="609">
        <v>9.7693562363015438</v>
      </c>
      <c r="AA6" s="609">
        <v>1102293.081</v>
      </c>
      <c r="AB6" s="609">
        <v>0</v>
      </c>
      <c r="AC6" s="609"/>
      <c r="AD6" s="609"/>
      <c r="AE6" s="609"/>
      <c r="AF6" s="609"/>
      <c r="AG6" s="609"/>
      <c r="AH6" s="609">
        <v>137928.92800000001</v>
      </c>
      <c r="AI6" s="609">
        <v>718903.86899999995</v>
      </c>
      <c r="AJ6" s="609">
        <v>0</v>
      </c>
      <c r="AK6" s="609">
        <v>0.88700000000000001</v>
      </c>
      <c r="AL6" s="609">
        <v>114763.179</v>
      </c>
      <c r="AM6" s="609">
        <v>0</v>
      </c>
      <c r="AN6" s="609">
        <v>0</v>
      </c>
      <c r="AO6" s="609">
        <v>971596.86300000001</v>
      </c>
      <c r="AP6" s="609">
        <v>677.79300000000001</v>
      </c>
      <c r="AQ6" s="609">
        <v>970919.07</v>
      </c>
      <c r="AR6" s="609">
        <v>0.88081753095935467</v>
      </c>
      <c r="AS6" s="609">
        <v>14859.565000000001</v>
      </c>
      <c r="AT6" s="609">
        <v>72447.285999999993</v>
      </c>
      <c r="AU6" s="609">
        <v>6.572415925379467E-2</v>
      </c>
      <c r="AV6" s="609">
        <v>1058225.9210000001</v>
      </c>
      <c r="AW6" s="609">
        <v>44067.16</v>
      </c>
      <c r="AX6" s="609">
        <v>0</v>
      </c>
      <c r="AY6" s="601" t="s">
        <v>430</v>
      </c>
      <c r="AZ6" s="601" t="s">
        <v>433</v>
      </c>
      <c r="BA6" s="613" t="s">
        <v>552</v>
      </c>
      <c r="BB6" s="614">
        <v>0</v>
      </c>
      <c r="BC6" s="614">
        <v>-100</v>
      </c>
      <c r="BD6" s="613" t="s">
        <v>455</v>
      </c>
      <c r="BE6" s="613" t="s">
        <v>614</v>
      </c>
      <c r="BG6" s="643"/>
      <c r="BH6" s="643"/>
      <c r="BI6" s="643"/>
    </row>
    <row r="7" spans="1:61">
      <c r="A7" s="601" t="s">
        <v>78</v>
      </c>
      <c r="B7" s="602" t="s">
        <v>232</v>
      </c>
      <c r="C7" s="601">
        <v>12</v>
      </c>
      <c r="D7" s="601">
        <v>4</v>
      </c>
      <c r="E7" s="603" t="s">
        <v>232</v>
      </c>
      <c r="F7" s="601">
        <v>2015</v>
      </c>
      <c r="G7" s="601" t="s">
        <v>469</v>
      </c>
      <c r="H7" s="604">
        <v>71974.601999999999</v>
      </c>
      <c r="I7" s="609">
        <v>295360.95799999998</v>
      </c>
      <c r="J7" s="605">
        <v>1.5778669449903575</v>
      </c>
      <c r="K7" s="606">
        <v>546.63863479999998</v>
      </c>
      <c r="L7" s="609">
        <v>4561512.7580000004</v>
      </c>
      <c r="M7" s="607">
        <v>840743</v>
      </c>
      <c r="N7" s="607">
        <v>10006460</v>
      </c>
      <c r="O7" s="608">
        <v>425.62748744311182</v>
      </c>
      <c r="P7" s="609">
        <v>4268168.8279999997</v>
      </c>
      <c r="Q7" s="609">
        <v>4259024.4280000003</v>
      </c>
      <c r="R7" s="609">
        <v>3746517.8969999999</v>
      </c>
      <c r="S7" s="610">
        <v>87.966574513387584</v>
      </c>
      <c r="T7" s="609">
        <v>3705247.165</v>
      </c>
      <c r="U7" s="607">
        <v>6947381</v>
      </c>
      <c r="V7" s="607">
        <v>8331.4750671066486</v>
      </c>
      <c r="W7" s="607">
        <v>352351</v>
      </c>
      <c r="X7" s="607">
        <v>72019</v>
      </c>
      <c r="Y7" s="607">
        <v>422.54823384093874</v>
      </c>
      <c r="Z7" s="611">
        <v>4.8924728196725864</v>
      </c>
      <c r="AA7" s="609">
        <v>4268168.8279999997</v>
      </c>
      <c r="AB7" s="609">
        <v>9144.3999999994412</v>
      </c>
      <c r="AC7" s="609"/>
      <c r="AD7" s="609"/>
      <c r="AE7" s="609"/>
      <c r="AF7" s="609"/>
      <c r="AG7" s="609"/>
      <c r="AH7" s="609">
        <v>2231719.068</v>
      </c>
      <c r="AI7" s="609">
        <v>411702.39</v>
      </c>
      <c r="AJ7" s="609">
        <v>0</v>
      </c>
      <c r="AK7" s="609">
        <v>245681.86600000001</v>
      </c>
      <c r="AL7" s="609">
        <v>847802.375</v>
      </c>
      <c r="AM7" s="609">
        <v>0</v>
      </c>
      <c r="AN7" s="609">
        <v>9612.1980000000003</v>
      </c>
      <c r="AO7" s="609">
        <v>3746517.8969999999</v>
      </c>
      <c r="AP7" s="609">
        <v>0</v>
      </c>
      <c r="AQ7" s="609">
        <v>3746517.8969999999</v>
      </c>
      <c r="AR7" s="609">
        <v>0.87966574513387585</v>
      </c>
      <c r="AS7" s="609">
        <v>165608.285</v>
      </c>
      <c r="AT7" s="609">
        <v>259548.084</v>
      </c>
      <c r="AU7" s="609">
        <v>6.0940736168043408E-2</v>
      </c>
      <c r="AV7" s="609">
        <v>4171674.2659999998</v>
      </c>
      <c r="AW7" s="609">
        <v>87350.161999999997</v>
      </c>
      <c r="AX7" s="609">
        <v>0</v>
      </c>
      <c r="AY7" s="612" t="s">
        <v>430</v>
      </c>
      <c r="AZ7" s="612" t="s">
        <v>431</v>
      </c>
      <c r="BA7" s="613" t="s">
        <v>552</v>
      </c>
      <c r="BB7" s="614">
        <v>6.4750659193486784E-2</v>
      </c>
      <c r="BC7" s="614">
        <v>1.5778669449903575E-2</v>
      </c>
      <c r="BD7" s="613" t="s">
        <v>573</v>
      </c>
      <c r="BE7" s="613" t="s">
        <v>573</v>
      </c>
      <c r="BG7" s="643"/>
      <c r="BH7" s="643"/>
      <c r="BI7" s="643"/>
    </row>
    <row r="8" spans="1:61">
      <c r="A8" s="601" t="s">
        <v>56</v>
      </c>
      <c r="B8" s="603" t="s">
        <v>422</v>
      </c>
      <c r="C8" s="601">
        <v>5</v>
      </c>
      <c r="D8" s="601">
        <v>5</v>
      </c>
      <c r="E8" s="603" t="s">
        <v>292</v>
      </c>
      <c r="F8" s="601">
        <v>2015</v>
      </c>
      <c r="G8" s="601" t="s">
        <v>567</v>
      </c>
      <c r="H8" s="604">
        <v>49574.021999999997</v>
      </c>
      <c r="I8" s="604">
        <v>301713.25</v>
      </c>
      <c r="J8" s="605">
        <v>1.3945102422862579</v>
      </c>
      <c r="K8" s="606">
        <v>147.51097630000001</v>
      </c>
      <c r="L8" s="604">
        <v>3554941.4049999998</v>
      </c>
      <c r="M8" s="607">
        <v>726194</v>
      </c>
      <c r="N8" s="607">
        <v>8483571</v>
      </c>
      <c r="O8" s="608">
        <v>260.54787294171285</v>
      </c>
      <c r="P8" s="609">
        <v>2210376.3790000002</v>
      </c>
      <c r="Q8" s="609">
        <v>2210376.3790000002</v>
      </c>
      <c r="R8" s="609">
        <v>1930139.4280000001</v>
      </c>
      <c r="S8" s="610">
        <v>87.321754174427866</v>
      </c>
      <c r="T8" s="609">
        <v>1933795.2890000001</v>
      </c>
      <c r="U8" s="607">
        <v>3758731</v>
      </c>
      <c r="V8" s="607">
        <v>5316.7200463106865</v>
      </c>
      <c r="W8" s="607">
        <v>409508</v>
      </c>
      <c r="X8" s="607">
        <v>98388</v>
      </c>
      <c r="Y8" s="607">
        <v>579.24852635759169</v>
      </c>
      <c r="Z8" s="611">
        <v>4.1621742488921409</v>
      </c>
      <c r="AA8" s="609">
        <v>2209742.2969999998</v>
      </c>
      <c r="AB8" s="609">
        <v>0</v>
      </c>
      <c r="AC8" s="609"/>
      <c r="AD8" s="609"/>
      <c r="AE8" s="609"/>
      <c r="AF8" s="609"/>
      <c r="AG8" s="609"/>
      <c r="AH8" s="609">
        <v>1130720.0290000001</v>
      </c>
      <c r="AI8" s="609">
        <v>157452.69699999999</v>
      </c>
      <c r="AJ8" s="609">
        <v>0</v>
      </c>
      <c r="AK8" s="609">
        <v>137830.05600000001</v>
      </c>
      <c r="AL8" s="609">
        <v>504136.647</v>
      </c>
      <c r="AM8" s="609">
        <v>0</v>
      </c>
      <c r="AN8" s="609">
        <v>0</v>
      </c>
      <c r="AO8" s="609">
        <v>1930139.429</v>
      </c>
      <c r="AP8" s="609">
        <v>72.599999999999994</v>
      </c>
      <c r="AQ8" s="609">
        <v>1930066.8289999999</v>
      </c>
      <c r="AR8" s="609">
        <v>0.8734352560569193</v>
      </c>
      <c r="AS8" s="609">
        <v>42891.017</v>
      </c>
      <c r="AT8" s="609">
        <v>172916.016</v>
      </c>
      <c r="AU8" s="609">
        <v>7.8251665922653077E-2</v>
      </c>
      <c r="AV8" s="609">
        <v>2145873.8620000002</v>
      </c>
      <c r="AW8" s="609">
        <v>63868.434999999998</v>
      </c>
      <c r="AX8" s="609">
        <v>0</v>
      </c>
      <c r="AY8" s="612" t="s">
        <v>430</v>
      </c>
      <c r="AZ8" s="612" t="s">
        <v>433</v>
      </c>
      <c r="BA8" s="613" t="s">
        <v>552</v>
      </c>
      <c r="BB8" s="614">
        <v>8.4871511405403888E-2</v>
      </c>
      <c r="BC8" s="614">
        <v>4.1910946850317432E-2</v>
      </c>
      <c r="BD8" s="613" t="s">
        <v>574</v>
      </c>
      <c r="BE8" s="613" t="s">
        <v>574</v>
      </c>
      <c r="BG8" s="643"/>
      <c r="BH8" s="643"/>
      <c r="BI8" s="643"/>
    </row>
    <row r="9" spans="1:61">
      <c r="A9" s="601" t="s">
        <v>85</v>
      </c>
      <c r="B9" s="603" t="s">
        <v>423</v>
      </c>
      <c r="C9" s="601">
        <v>7</v>
      </c>
      <c r="D9" s="601">
        <v>6</v>
      </c>
      <c r="E9" s="603" t="s">
        <v>288</v>
      </c>
      <c r="F9" s="601">
        <v>2015</v>
      </c>
      <c r="G9" s="601" t="s">
        <v>469</v>
      </c>
      <c r="H9" s="604">
        <v>3016.864</v>
      </c>
      <c r="I9" s="604">
        <v>300015.022</v>
      </c>
      <c r="J9" s="605">
        <v>8.0437604432254325E-2</v>
      </c>
      <c r="K9" s="606">
        <v>306.6216435</v>
      </c>
      <c r="L9" s="604">
        <v>3750564.2059999998</v>
      </c>
      <c r="M9" s="607">
        <v>644169</v>
      </c>
      <c r="N9" s="607">
        <v>7129941</v>
      </c>
      <c r="O9" s="608">
        <v>517.82683853905667</v>
      </c>
      <c r="P9" s="609">
        <v>3692074.807</v>
      </c>
      <c r="Q9" s="609">
        <v>3692074.807</v>
      </c>
      <c r="R9" s="609">
        <v>3362053.3330000001</v>
      </c>
      <c r="S9" s="610">
        <v>91.061354624389111</v>
      </c>
      <c r="T9" s="609">
        <v>3362053.3330000001</v>
      </c>
      <c r="U9" s="607">
        <v>4047498</v>
      </c>
      <c r="V9" s="607">
        <v>6812.1147145537388</v>
      </c>
      <c r="W9" s="607">
        <v>294390</v>
      </c>
      <c r="X9" s="607">
        <v>65672</v>
      </c>
      <c r="Y9" s="607">
        <v>495.47114064478234</v>
      </c>
      <c r="Z9" s="611">
        <v>4.4827323669143624</v>
      </c>
      <c r="AA9" s="609">
        <v>3692074.807</v>
      </c>
      <c r="AB9" s="609">
        <v>0</v>
      </c>
      <c r="AC9" s="609"/>
      <c r="AD9" s="609"/>
      <c r="AE9" s="609"/>
      <c r="AF9" s="609"/>
      <c r="AG9" s="609"/>
      <c r="AH9" s="609">
        <v>3362053.3330000001</v>
      </c>
      <c r="AI9" s="609">
        <v>0</v>
      </c>
      <c r="AJ9" s="609">
        <v>0</v>
      </c>
      <c r="AK9" s="609">
        <v>0</v>
      </c>
      <c r="AL9" s="609">
        <v>0</v>
      </c>
      <c r="AM9" s="609">
        <v>0</v>
      </c>
      <c r="AN9" s="609">
        <v>0</v>
      </c>
      <c r="AO9" s="609">
        <v>3362053.3330000001</v>
      </c>
      <c r="AP9" s="609">
        <v>0</v>
      </c>
      <c r="AQ9" s="609">
        <v>3362053.3330000001</v>
      </c>
      <c r="AR9" s="609">
        <v>0.91061354624389113</v>
      </c>
      <c r="AS9" s="609">
        <v>0</v>
      </c>
      <c r="AT9" s="609">
        <v>300015.022</v>
      </c>
      <c r="AU9" s="609">
        <v>8.1259193727923826E-2</v>
      </c>
      <c r="AV9" s="609">
        <v>3662068.355</v>
      </c>
      <c r="AW9" s="609">
        <v>30006.452000000001</v>
      </c>
      <c r="AX9" s="609">
        <v>0</v>
      </c>
      <c r="AY9" s="612" t="s">
        <v>430</v>
      </c>
      <c r="AZ9" s="612" t="s">
        <v>431</v>
      </c>
      <c r="BA9" s="613" t="s">
        <v>552</v>
      </c>
      <c r="BB9" s="614">
        <v>7.9991970680050803E-2</v>
      </c>
      <c r="BC9" s="614">
        <v>8.0437604432254323E-4</v>
      </c>
      <c r="BD9" s="613" t="s">
        <v>573</v>
      </c>
      <c r="BE9" s="613" t="s">
        <v>573</v>
      </c>
      <c r="BG9" s="643"/>
      <c r="BH9" s="643"/>
      <c r="BI9" s="643"/>
    </row>
    <row r="10" spans="1:61">
      <c r="A10" s="601" t="s">
        <v>90</v>
      </c>
      <c r="B10" s="603" t="s">
        <v>420</v>
      </c>
      <c r="C10" s="601">
        <v>3</v>
      </c>
      <c r="D10" s="601">
        <v>7</v>
      </c>
      <c r="E10" s="603" t="s">
        <v>194</v>
      </c>
      <c r="F10" s="601">
        <v>2015</v>
      </c>
      <c r="G10" s="601" t="s">
        <v>567</v>
      </c>
      <c r="H10" s="604">
        <v>54338.345000000001</v>
      </c>
      <c r="I10" s="604">
        <v>304067.408</v>
      </c>
      <c r="J10" s="605">
        <v>1.5049032576349626</v>
      </c>
      <c r="K10" s="606">
        <v>300.57702829999999</v>
      </c>
      <c r="L10" s="604">
        <v>3610753.3640000001</v>
      </c>
      <c r="M10" s="607">
        <v>582333</v>
      </c>
      <c r="N10" s="607">
        <v>7069102</v>
      </c>
      <c r="O10" s="608">
        <v>403.67923535408033</v>
      </c>
      <c r="P10" s="609">
        <v>2831015.7850000001</v>
      </c>
      <c r="Q10" s="609">
        <v>2853649.69</v>
      </c>
      <c r="R10" s="609">
        <v>2382087.747</v>
      </c>
      <c r="S10" s="610">
        <v>83.475128546699779</v>
      </c>
      <c r="T10" s="609">
        <v>2274755.841</v>
      </c>
      <c r="U10" s="607">
        <v>3091698</v>
      </c>
      <c r="V10" s="607">
        <v>5248.2445436492499</v>
      </c>
      <c r="W10" s="607">
        <v>281399</v>
      </c>
      <c r="X10" s="607">
        <v>55726</v>
      </c>
      <c r="Y10" s="607">
        <v>477.68273820352289</v>
      </c>
      <c r="Z10" s="611">
        <v>5.0496895524530743</v>
      </c>
      <c r="AA10" s="609" t="s">
        <v>20</v>
      </c>
      <c r="AB10" s="609" t="s">
        <v>20</v>
      </c>
      <c r="AC10" s="609"/>
      <c r="AD10" s="609"/>
      <c r="AE10" s="609"/>
      <c r="AF10" s="609"/>
      <c r="AG10" s="609"/>
      <c r="AH10" s="609" t="s">
        <v>20</v>
      </c>
      <c r="AI10" s="609" t="s">
        <v>20</v>
      </c>
      <c r="AJ10" s="609" t="s">
        <v>20</v>
      </c>
      <c r="AK10" s="609" t="s">
        <v>20</v>
      </c>
      <c r="AL10" s="609" t="s">
        <v>20</v>
      </c>
      <c r="AM10" s="609" t="s">
        <v>20</v>
      </c>
      <c r="AN10" s="609" t="s">
        <v>20</v>
      </c>
      <c r="AO10" s="609" t="s">
        <v>20</v>
      </c>
      <c r="AP10" s="609" t="s">
        <v>20</v>
      </c>
      <c r="AQ10" s="609" t="s">
        <v>20</v>
      </c>
      <c r="AR10" s="609" t="s">
        <v>20</v>
      </c>
      <c r="AS10" s="609" t="s">
        <v>20</v>
      </c>
      <c r="AT10" s="609" t="s">
        <v>20</v>
      </c>
      <c r="AU10" s="609" t="s">
        <v>20</v>
      </c>
      <c r="AV10" s="609" t="s">
        <v>20</v>
      </c>
      <c r="AW10" s="609" t="s">
        <v>20</v>
      </c>
      <c r="AX10" s="609" t="s">
        <v>20</v>
      </c>
      <c r="AY10" s="612" t="s">
        <v>430</v>
      </c>
      <c r="AZ10" s="612" t="s">
        <v>433</v>
      </c>
      <c r="BA10" s="613" t="s">
        <v>552</v>
      </c>
      <c r="BB10" s="614">
        <v>8.4211624928918843E-2</v>
      </c>
      <c r="BC10" s="614">
        <v>8.1037089604083318E-2</v>
      </c>
      <c r="BD10" s="613" t="s">
        <v>576</v>
      </c>
      <c r="BE10" s="613" t="s">
        <v>576</v>
      </c>
      <c r="BG10" s="643"/>
      <c r="BH10" s="643"/>
      <c r="BI10" s="643"/>
    </row>
    <row r="11" spans="1:61">
      <c r="A11" s="601" t="s">
        <v>57</v>
      </c>
      <c r="B11" s="603" t="s">
        <v>422</v>
      </c>
      <c r="C11" s="601">
        <v>5</v>
      </c>
      <c r="D11" s="601">
        <v>8</v>
      </c>
      <c r="E11" s="603" t="s">
        <v>293</v>
      </c>
      <c r="F11" s="601">
        <v>2015</v>
      </c>
      <c r="G11" s="601" t="s">
        <v>567</v>
      </c>
      <c r="H11" s="604">
        <v>1172.6189999999999</v>
      </c>
      <c r="I11" s="604">
        <v>247044.15599999999</v>
      </c>
      <c r="J11" s="605">
        <v>5.8887886860217814E-2</v>
      </c>
      <c r="K11" s="606">
        <v>279.15892280000003</v>
      </c>
      <c r="L11" s="604">
        <v>1991273.6939999999</v>
      </c>
      <c r="M11" s="607">
        <v>526208</v>
      </c>
      <c r="N11" s="607">
        <v>6339002</v>
      </c>
      <c r="O11" s="608">
        <v>238.21557494381608</v>
      </c>
      <c r="P11" s="609">
        <v>1510049.0060000001</v>
      </c>
      <c r="Q11" s="609">
        <v>1510049.0060000001</v>
      </c>
      <c r="R11" s="609">
        <v>1299699.193</v>
      </c>
      <c r="S11" s="610">
        <v>86.070000896381501</v>
      </c>
      <c r="T11" s="609">
        <v>1308991.9369999999</v>
      </c>
      <c r="U11" s="607">
        <v>2375793</v>
      </c>
      <c r="V11" s="607">
        <v>4497.4770476488256</v>
      </c>
      <c r="W11" s="607">
        <v>249912</v>
      </c>
      <c r="X11" s="607">
        <v>54932</v>
      </c>
      <c r="Y11" s="607">
        <v>473.09402962800772</v>
      </c>
      <c r="Z11" s="611">
        <v>4.5494793562950555</v>
      </c>
      <c r="AA11" s="609">
        <v>1509697.7549999999</v>
      </c>
      <c r="AB11" s="609">
        <v>0</v>
      </c>
      <c r="AC11" s="609"/>
      <c r="AD11" s="609"/>
      <c r="AE11" s="609"/>
      <c r="AF11" s="609"/>
      <c r="AG11" s="609"/>
      <c r="AH11" s="609">
        <v>935160.995</v>
      </c>
      <c r="AI11" s="609">
        <v>50316.425000000003</v>
      </c>
      <c r="AJ11" s="609">
        <v>0</v>
      </c>
      <c r="AK11" s="609">
        <v>97692.706999999995</v>
      </c>
      <c r="AL11" s="609">
        <v>216529.065</v>
      </c>
      <c r="AM11" s="609">
        <v>0</v>
      </c>
      <c r="AN11" s="609">
        <v>0</v>
      </c>
      <c r="AO11" s="609">
        <v>1299699.192</v>
      </c>
      <c r="AP11" s="609">
        <v>-5.0250000000000004</v>
      </c>
      <c r="AQ11" s="609">
        <v>1299704.2169999999</v>
      </c>
      <c r="AR11" s="609">
        <v>0.8609035899374442</v>
      </c>
      <c r="AS11" s="609">
        <v>28427.008000000002</v>
      </c>
      <c r="AT11" s="609">
        <v>187112.236</v>
      </c>
      <c r="AU11" s="609">
        <v>0.12394019622821789</v>
      </c>
      <c r="AV11" s="609">
        <v>1515243.4609999999</v>
      </c>
      <c r="AW11" s="609">
        <v>-5545.7060000000001</v>
      </c>
      <c r="AX11" s="609">
        <v>0</v>
      </c>
      <c r="AY11" s="612" t="s">
        <v>430</v>
      </c>
      <c r="AZ11" s="612" t="s">
        <v>433</v>
      </c>
      <c r="BA11" s="613" t="s">
        <v>552</v>
      </c>
      <c r="BB11" s="614">
        <v>0.1240633855327775</v>
      </c>
      <c r="BC11" s="614">
        <v>1.5236605503407455E-2</v>
      </c>
      <c r="BD11" s="613" t="s">
        <v>573</v>
      </c>
      <c r="BE11" s="613" t="s">
        <v>573</v>
      </c>
      <c r="BG11" s="643"/>
      <c r="BH11" s="643"/>
      <c r="BI11" s="643"/>
    </row>
    <row r="12" spans="1:61">
      <c r="A12" s="601" t="s">
        <v>94</v>
      </c>
      <c r="B12" s="603" t="s">
        <v>421</v>
      </c>
      <c r="C12" s="601">
        <v>4</v>
      </c>
      <c r="D12" s="601">
        <v>9</v>
      </c>
      <c r="E12" s="603" t="s">
        <v>256</v>
      </c>
      <c r="F12" s="601">
        <v>2015</v>
      </c>
      <c r="G12" s="601" t="s">
        <v>567</v>
      </c>
      <c r="H12" s="604">
        <v>-3384.549</v>
      </c>
      <c r="I12" s="609">
        <v>184036.755</v>
      </c>
      <c r="J12" s="605">
        <v>-0.20246150867334459</v>
      </c>
      <c r="K12" s="606">
        <v>340.63746570000001</v>
      </c>
      <c r="L12" s="609">
        <v>1671699.98</v>
      </c>
      <c r="M12" s="607">
        <v>552354</v>
      </c>
      <c r="N12" s="607">
        <v>6280145</v>
      </c>
      <c r="O12" s="608">
        <v>242.95945794245196</v>
      </c>
      <c r="P12" s="609">
        <v>1324429.504</v>
      </c>
      <c r="Q12" s="609">
        <v>1525820.625</v>
      </c>
      <c r="R12" s="609">
        <v>1314969.567</v>
      </c>
      <c r="S12" s="610">
        <v>86.181137248685445</v>
      </c>
      <c r="T12" s="609">
        <v>1284976.344</v>
      </c>
      <c r="U12" s="607">
        <v>2497097</v>
      </c>
      <c r="V12" s="607">
        <v>4771.4127619664832</v>
      </c>
      <c r="W12" s="607">
        <v>146760</v>
      </c>
      <c r="X12" s="607">
        <v>34350</v>
      </c>
      <c r="Y12" s="607">
        <v>280.42664620004791</v>
      </c>
      <c r="Z12" s="611">
        <v>4.2724890829694324</v>
      </c>
      <c r="AA12" s="609" t="s">
        <v>20</v>
      </c>
      <c r="AB12" s="609" t="s">
        <v>20</v>
      </c>
      <c r="AC12" s="609"/>
      <c r="AD12" s="609"/>
      <c r="AE12" s="609"/>
      <c r="AF12" s="609"/>
      <c r="AG12" s="609"/>
      <c r="AH12" s="609" t="s">
        <v>20</v>
      </c>
      <c r="AI12" s="609" t="s">
        <v>20</v>
      </c>
      <c r="AJ12" s="609" t="s">
        <v>20</v>
      </c>
      <c r="AK12" s="609" t="s">
        <v>20</v>
      </c>
      <c r="AL12" s="609" t="s">
        <v>20</v>
      </c>
      <c r="AM12" s="609" t="s">
        <v>20</v>
      </c>
      <c r="AN12" s="609" t="s">
        <v>20</v>
      </c>
      <c r="AO12" s="609" t="s">
        <v>20</v>
      </c>
      <c r="AP12" s="609" t="s">
        <v>20</v>
      </c>
      <c r="AQ12" s="609" t="s">
        <v>20</v>
      </c>
      <c r="AR12" s="609" t="s">
        <v>20</v>
      </c>
      <c r="AS12" s="609" t="s">
        <v>20</v>
      </c>
      <c r="AT12" s="609" t="s">
        <v>20</v>
      </c>
      <c r="AU12" s="609" t="s">
        <v>20</v>
      </c>
      <c r="AV12" s="609" t="s">
        <v>20</v>
      </c>
      <c r="AW12" s="609" t="s">
        <v>20</v>
      </c>
      <c r="AX12" s="609" t="s">
        <v>20</v>
      </c>
      <c r="AY12" s="612" t="s">
        <v>430</v>
      </c>
      <c r="AZ12" s="612" t="s">
        <v>433</v>
      </c>
      <c r="BA12" s="613" t="s">
        <v>552</v>
      </c>
      <c r="BB12" s="614">
        <v>0.11008958377806526</v>
      </c>
      <c r="BC12" s="614">
        <v>2.8099043735080279E-2</v>
      </c>
      <c r="BD12" s="613" t="s">
        <v>574</v>
      </c>
      <c r="BE12" s="613" t="s">
        <v>574</v>
      </c>
      <c r="BG12" s="643"/>
      <c r="BH12" s="643"/>
      <c r="BI12" s="643"/>
    </row>
    <row r="13" spans="1:61">
      <c r="A13" s="601" t="s">
        <v>89</v>
      </c>
      <c r="B13" s="602" t="s">
        <v>330</v>
      </c>
      <c r="C13" s="601">
        <v>15</v>
      </c>
      <c r="D13" s="601">
        <v>10</v>
      </c>
      <c r="E13" s="603" t="s">
        <v>330</v>
      </c>
      <c r="F13" s="601">
        <v>2015</v>
      </c>
      <c r="G13" s="601" t="s">
        <v>469</v>
      </c>
      <c r="H13" s="604">
        <v>75212.543999999994</v>
      </c>
      <c r="I13" s="609">
        <v>219795.15400000001</v>
      </c>
      <c r="J13" s="605">
        <v>3.423826892710041</v>
      </c>
      <c r="K13" s="606">
        <v>495.5419109</v>
      </c>
      <c r="L13" s="609">
        <v>2196739.0980000002</v>
      </c>
      <c r="M13" s="607">
        <v>519789</v>
      </c>
      <c r="N13" s="607">
        <v>5897011</v>
      </c>
      <c r="O13" s="608">
        <v>359.66866332791301</v>
      </c>
      <c r="P13" s="609">
        <v>2120970.0639999998</v>
      </c>
      <c r="Q13" s="609">
        <v>2120970.0639999998</v>
      </c>
      <c r="R13" s="609">
        <v>1673993.2890000001</v>
      </c>
      <c r="S13" s="610">
        <v>78.925832920195347</v>
      </c>
      <c r="T13" s="609">
        <v>1646853.7479999999</v>
      </c>
      <c r="U13" s="607">
        <v>4726787</v>
      </c>
      <c r="V13" s="607">
        <v>9618.6769873754693</v>
      </c>
      <c r="W13" s="607">
        <v>353868</v>
      </c>
      <c r="X13" s="607">
        <v>50204</v>
      </c>
      <c r="Y13" s="607">
        <v>720.0963335493185</v>
      </c>
      <c r="Z13" s="611">
        <v>7.0486017050434224</v>
      </c>
      <c r="AA13" s="609" t="s">
        <v>20</v>
      </c>
      <c r="AB13" s="609" t="s">
        <v>20</v>
      </c>
      <c r="AC13" s="609"/>
      <c r="AD13" s="609"/>
      <c r="AE13" s="609"/>
      <c r="AF13" s="609"/>
      <c r="AG13" s="609"/>
      <c r="AH13" s="609" t="s">
        <v>20</v>
      </c>
      <c r="AI13" s="609" t="s">
        <v>20</v>
      </c>
      <c r="AJ13" s="609" t="s">
        <v>20</v>
      </c>
      <c r="AK13" s="609" t="s">
        <v>20</v>
      </c>
      <c r="AL13" s="609" t="s">
        <v>20</v>
      </c>
      <c r="AM13" s="609" t="s">
        <v>20</v>
      </c>
      <c r="AN13" s="609" t="s">
        <v>20</v>
      </c>
      <c r="AO13" s="609" t="s">
        <v>20</v>
      </c>
      <c r="AP13" s="609" t="s">
        <v>20</v>
      </c>
      <c r="AQ13" s="609" t="s">
        <v>20</v>
      </c>
      <c r="AR13" s="609" t="s">
        <v>20</v>
      </c>
      <c r="AS13" s="609" t="s">
        <v>20</v>
      </c>
      <c r="AT13" s="609" t="s">
        <v>20</v>
      </c>
      <c r="AU13" s="609" t="s">
        <v>20</v>
      </c>
      <c r="AV13" s="609" t="s">
        <v>20</v>
      </c>
      <c r="AW13" s="609" t="s">
        <v>20</v>
      </c>
      <c r="AX13" s="609" t="s">
        <v>20</v>
      </c>
      <c r="AY13" s="612" t="s">
        <v>430</v>
      </c>
      <c r="AZ13" s="612" t="s">
        <v>431</v>
      </c>
      <c r="BA13" s="613" t="s">
        <v>552</v>
      </c>
      <c r="BB13" s="614">
        <v>0.10005519280833594</v>
      </c>
      <c r="BC13" s="614">
        <v>3.4238268927100413E-2</v>
      </c>
      <c r="BD13" s="613" t="s">
        <v>574</v>
      </c>
      <c r="BE13" s="613" t="s">
        <v>574</v>
      </c>
      <c r="BG13" s="643"/>
      <c r="BH13" s="643"/>
      <c r="BI13" s="643"/>
    </row>
    <row r="14" spans="1:61">
      <c r="A14" s="601" t="s">
        <v>89</v>
      </c>
      <c r="B14" s="602" t="s">
        <v>418</v>
      </c>
      <c r="C14" s="601">
        <v>1</v>
      </c>
      <c r="D14" s="601">
        <v>11</v>
      </c>
      <c r="E14" s="603" t="s">
        <v>287</v>
      </c>
      <c r="F14" s="601">
        <v>2015</v>
      </c>
      <c r="G14" s="601" t="s">
        <v>567</v>
      </c>
      <c r="H14" s="619">
        <v>62453.637000000002</v>
      </c>
      <c r="I14" s="604">
        <v>365781.29499999998</v>
      </c>
      <c r="J14" s="605">
        <v>1.8346467097525396</v>
      </c>
      <c r="K14" s="606">
        <v>446.6533341</v>
      </c>
      <c r="L14" s="604">
        <v>3404123.3480000002</v>
      </c>
      <c r="M14" s="607">
        <v>477115</v>
      </c>
      <c r="N14" s="607">
        <v>5618524</v>
      </c>
      <c r="O14" s="608">
        <v>356.39430889678499</v>
      </c>
      <c r="P14" s="609">
        <v>2004805.436</v>
      </c>
      <c r="Q14" s="609">
        <v>2002409.9779999999</v>
      </c>
      <c r="R14" s="609">
        <v>1564702.15</v>
      </c>
      <c r="S14" s="610">
        <v>78.140948516587954</v>
      </c>
      <c r="T14" s="609">
        <v>1622554.1189999999</v>
      </c>
      <c r="U14" s="607">
        <v>4468272</v>
      </c>
      <c r="V14" s="607">
        <v>9543.3006960546936</v>
      </c>
      <c r="W14" s="607">
        <v>2817427</v>
      </c>
      <c r="X14" s="607">
        <v>183083</v>
      </c>
      <c r="Y14" s="607">
        <v>6017.4387436985226</v>
      </c>
      <c r="Z14" s="611">
        <v>15.388796338272805</v>
      </c>
      <c r="AA14" s="609">
        <v>2002803.0260000001</v>
      </c>
      <c r="AB14" s="609">
        <v>1737.4599999999627</v>
      </c>
      <c r="AC14" s="609"/>
      <c r="AD14" s="609"/>
      <c r="AE14" s="609"/>
      <c r="AF14" s="609"/>
      <c r="AG14" s="609"/>
      <c r="AH14" s="609">
        <v>1555676.459</v>
      </c>
      <c r="AI14" s="609">
        <v>8416.518</v>
      </c>
      <c r="AJ14" s="609">
        <v>0</v>
      </c>
      <c r="AK14" s="609">
        <v>0</v>
      </c>
      <c r="AL14" s="609">
        <v>0</v>
      </c>
      <c r="AM14" s="609">
        <v>0</v>
      </c>
      <c r="AN14" s="609">
        <v>609.173</v>
      </c>
      <c r="AO14" s="609">
        <v>1564702.15</v>
      </c>
      <c r="AP14" s="609">
        <v>0</v>
      </c>
      <c r="AQ14" s="609">
        <v>1564702.15</v>
      </c>
      <c r="AR14" s="609">
        <v>0.78193447360534907</v>
      </c>
      <c r="AS14" s="609">
        <v>131168.72200000001</v>
      </c>
      <c r="AT14" s="609">
        <v>222948.78099999999</v>
      </c>
      <c r="AU14" s="609">
        <v>0.11141503046582331</v>
      </c>
      <c r="AV14" s="609">
        <v>1996185.6529999999</v>
      </c>
      <c r="AW14" s="609">
        <v>4879.9129999999996</v>
      </c>
      <c r="AX14" s="609">
        <v>0</v>
      </c>
      <c r="AY14" s="612" t="s">
        <v>430</v>
      </c>
      <c r="AZ14" s="612" t="s">
        <v>433</v>
      </c>
      <c r="BA14" s="613" t="s">
        <v>552</v>
      </c>
      <c r="BB14" s="614">
        <v>0.10745242096321357</v>
      </c>
      <c r="BC14" s="614">
        <v>0.11113809387090694</v>
      </c>
      <c r="BD14" s="613" t="s">
        <v>581</v>
      </c>
      <c r="BE14" s="613" t="s">
        <v>581</v>
      </c>
      <c r="BG14" s="643"/>
      <c r="BH14" s="643"/>
      <c r="BI14" s="643"/>
    </row>
    <row r="15" spans="1:61">
      <c r="A15" s="601" t="s">
        <v>78</v>
      </c>
      <c r="B15" s="602" t="s">
        <v>418</v>
      </c>
      <c r="C15" s="601">
        <v>1</v>
      </c>
      <c r="D15" s="601">
        <v>12</v>
      </c>
      <c r="E15" s="603" t="s">
        <v>185</v>
      </c>
      <c r="F15" s="601">
        <v>2015</v>
      </c>
      <c r="G15" s="601" t="s">
        <v>469</v>
      </c>
      <c r="H15" s="619">
        <v>99100.260999999999</v>
      </c>
      <c r="I15" s="604">
        <v>183838.462</v>
      </c>
      <c r="J15" s="605">
        <v>4.149596839757776</v>
      </c>
      <c r="K15" s="606">
        <v>340.74199090000002</v>
      </c>
      <c r="L15" s="604">
        <v>2388190.102</v>
      </c>
      <c r="M15" s="607">
        <v>453420</v>
      </c>
      <c r="N15" s="607">
        <v>5560042</v>
      </c>
      <c r="O15" s="608">
        <v>424.732898780261</v>
      </c>
      <c r="P15" s="609">
        <v>2382508.7230000002</v>
      </c>
      <c r="Q15" s="609">
        <v>2361532.7560000001</v>
      </c>
      <c r="R15" s="609">
        <v>1919958.3149999999</v>
      </c>
      <c r="S15" s="610">
        <v>81.301362859436026</v>
      </c>
      <c r="T15" s="609">
        <v>1934398.291</v>
      </c>
      <c r="U15" s="607">
        <v>3802769</v>
      </c>
      <c r="V15" s="607">
        <v>8207.3531099225511</v>
      </c>
      <c r="W15" s="607">
        <v>612047</v>
      </c>
      <c r="X15" s="607">
        <v>55714</v>
      </c>
      <c r="Y15" s="607">
        <v>1320.9547697661276</v>
      </c>
      <c r="Z15" s="611">
        <v>10.985515310334925</v>
      </c>
      <c r="AA15" s="609">
        <v>2382508.7230000002</v>
      </c>
      <c r="AB15" s="609">
        <v>20975.967000000179</v>
      </c>
      <c r="AC15" s="609"/>
      <c r="AD15" s="609"/>
      <c r="AE15" s="609"/>
      <c r="AF15" s="609"/>
      <c r="AG15" s="609"/>
      <c r="AH15" s="609">
        <v>1453861.9990000001</v>
      </c>
      <c r="AI15" s="609">
        <v>118583.274</v>
      </c>
      <c r="AJ15" s="609">
        <v>0</v>
      </c>
      <c r="AK15" s="609">
        <v>0</v>
      </c>
      <c r="AL15" s="609">
        <v>346236.08799999999</v>
      </c>
      <c r="AM15" s="609">
        <v>0</v>
      </c>
      <c r="AN15" s="609">
        <v>1276.954</v>
      </c>
      <c r="AO15" s="609">
        <v>1919958.3149999999</v>
      </c>
      <c r="AP15" s="609">
        <v>0</v>
      </c>
      <c r="AQ15" s="609">
        <v>1919958.3149999999</v>
      </c>
      <c r="AR15" s="609">
        <v>0.81301362859436022</v>
      </c>
      <c r="AS15" s="609">
        <v>100029.592</v>
      </c>
      <c r="AT15" s="609">
        <v>181388.84400000001</v>
      </c>
      <c r="AU15" s="609">
        <v>7.6809793782932401E-2</v>
      </c>
      <c r="AV15" s="609">
        <v>2201376.7510000002</v>
      </c>
      <c r="AW15" s="609">
        <v>160156.005</v>
      </c>
      <c r="AX15" s="609">
        <v>0</v>
      </c>
      <c r="AY15" s="612" t="s">
        <v>430</v>
      </c>
      <c r="AZ15" s="612" t="s">
        <v>433</v>
      </c>
      <c r="BA15" s="613" t="s">
        <v>552</v>
      </c>
      <c r="BB15" s="614">
        <v>7.6978152554121923E-2</v>
      </c>
      <c r="BC15" s="614">
        <v>4.1495968397577764E-2</v>
      </c>
      <c r="BD15" s="613" t="s">
        <v>574</v>
      </c>
      <c r="BE15" s="613" t="s">
        <v>574</v>
      </c>
      <c r="BG15" s="643"/>
      <c r="BH15" s="643"/>
      <c r="BI15" s="643"/>
    </row>
    <row r="16" spans="1:61">
      <c r="A16" s="601" t="s">
        <v>81</v>
      </c>
      <c r="B16" s="602" t="s">
        <v>418</v>
      </c>
      <c r="C16" s="601">
        <v>1</v>
      </c>
      <c r="D16" s="601">
        <v>13</v>
      </c>
      <c r="E16" s="603" t="s">
        <v>282</v>
      </c>
      <c r="F16" s="601">
        <v>2015</v>
      </c>
      <c r="G16" s="601" t="s">
        <v>567</v>
      </c>
      <c r="H16" s="619">
        <v>106034.702</v>
      </c>
      <c r="I16" s="604">
        <v>259882.984</v>
      </c>
      <c r="J16" s="605">
        <v>3.5050826719102099</v>
      </c>
      <c r="K16" s="606">
        <v>470.66989109999997</v>
      </c>
      <c r="L16" s="604">
        <v>3025169.787</v>
      </c>
      <c r="M16" s="607">
        <v>477178</v>
      </c>
      <c r="N16" s="607">
        <v>5556646</v>
      </c>
      <c r="O16" s="608">
        <v>388.05521028332561</v>
      </c>
      <c r="P16" s="609">
        <v>2156285.432</v>
      </c>
      <c r="Q16" s="609">
        <v>2156285.432</v>
      </c>
      <c r="R16" s="609">
        <v>1721203.817</v>
      </c>
      <c r="S16" s="610">
        <v>79.822633472209077</v>
      </c>
      <c r="T16" s="609">
        <v>1677733.216</v>
      </c>
      <c r="U16" s="607">
        <v>5021138</v>
      </c>
      <c r="V16" s="607">
        <v>10843.529711988131</v>
      </c>
      <c r="W16" s="607">
        <v>277714</v>
      </c>
      <c r="X16" s="607">
        <v>48283</v>
      </c>
      <c r="Y16" s="607">
        <v>599.74452214519329</v>
      </c>
      <c r="Z16" s="611">
        <v>5.7517966986309883</v>
      </c>
      <c r="AA16" s="609">
        <v>2156285.4330000002</v>
      </c>
      <c r="AB16" s="609">
        <v>0</v>
      </c>
      <c r="AC16" s="609"/>
      <c r="AD16" s="609"/>
      <c r="AE16" s="609"/>
      <c r="AF16" s="609"/>
      <c r="AG16" s="609"/>
      <c r="AH16" s="609">
        <v>1253309.378</v>
      </c>
      <c r="AI16" s="609">
        <v>67891.296000000002</v>
      </c>
      <c r="AJ16" s="609">
        <v>0</v>
      </c>
      <c r="AK16" s="609">
        <v>0</v>
      </c>
      <c r="AL16" s="609">
        <v>384851.62099999998</v>
      </c>
      <c r="AM16" s="609">
        <v>0</v>
      </c>
      <c r="AN16" s="609">
        <v>15151.52</v>
      </c>
      <c r="AO16" s="609">
        <v>1721203.8149999999</v>
      </c>
      <c r="AP16" s="609">
        <v>0</v>
      </c>
      <c r="AQ16" s="609">
        <v>1721203.8149999999</v>
      </c>
      <c r="AR16" s="609">
        <v>0.79822633342438376</v>
      </c>
      <c r="AS16" s="609">
        <v>100865.554</v>
      </c>
      <c r="AT16" s="609">
        <v>188356.93900000001</v>
      </c>
      <c r="AU16" s="609">
        <v>8.7352507287470973E-2</v>
      </c>
      <c r="AV16" s="609">
        <v>2010426.308</v>
      </c>
      <c r="AW16" s="609">
        <v>145859.125</v>
      </c>
      <c r="AX16" s="609">
        <v>0</v>
      </c>
      <c r="AY16" s="612" t="s">
        <v>430</v>
      </c>
      <c r="AZ16" s="612" t="s">
        <v>433</v>
      </c>
      <c r="BA16" s="613" t="s">
        <v>552</v>
      </c>
      <c r="BB16" s="614">
        <v>8.5906908470655033E-2</v>
      </c>
      <c r="BC16" s="614">
        <v>0.11586675680725415</v>
      </c>
      <c r="BD16" s="613" t="s">
        <v>581</v>
      </c>
      <c r="BE16" s="613" t="s">
        <v>581</v>
      </c>
      <c r="BG16" s="643"/>
      <c r="BH16" s="643"/>
      <c r="BI16" s="643"/>
    </row>
    <row r="17" spans="1:61">
      <c r="A17" s="601" t="s">
        <v>56</v>
      </c>
      <c r="B17" s="603" t="s">
        <v>419</v>
      </c>
      <c r="C17" s="601">
        <v>2</v>
      </c>
      <c r="D17" s="601">
        <v>14</v>
      </c>
      <c r="E17" s="603" t="s">
        <v>323</v>
      </c>
      <c r="F17" s="601">
        <v>2015</v>
      </c>
      <c r="G17" s="601" t="s">
        <v>567</v>
      </c>
      <c r="H17" s="604">
        <v>27075.542000000001</v>
      </c>
      <c r="I17" s="604">
        <v>141156.19899999999</v>
      </c>
      <c r="J17" s="605">
        <v>0.86630506725945411</v>
      </c>
      <c r="K17" s="606">
        <v>318.0665937</v>
      </c>
      <c r="L17" s="604">
        <v>3125405.0129999998</v>
      </c>
      <c r="M17" s="607">
        <v>462073</v>
      </c>
      <c r="N17" s="607">
        <v>5307784</v>
      </c>
      <c r="O17" s="608">
        <v>275.22835160586789</v>
      </c>
      <c r="P17" s="609">
        <v>1460852.6410000001</v>
      </c>
      <c r="Q17" s="609">
        <v>1460852.6410000001</v>
      </c>
      <c r="R17" s="609">
        <v>1366346.004</v>
      </c>
      <c r="S17" s="610">
        <v>93.530720734754794</v>
      </c>
      <c r="T17" s="609">
        <v>1327350.04</v>
      </c>
      <c r="U17" s="607">
        <v>2293729</v>
      </c>
      <c r="V17" s="607">
        <v>5185.7325015486686</v>
      </c>
      <c r="W17" s="607">
        <v>223590</v>
      </c>
      <c r="X17" s="607">
        <v>60437</v>
      </c>
      <c r="Y17" s="607">
        <v>505.4990934069661</v>
      </c>
      <c r="Z17" s="611">
        <v>3.6995549084170292</v>
      </c>
      <c r="AA17" s="609">
        <v>1455176.182</v>
      </c>
      <c r="AB17" s="609">
        <v>0</v>
      </c>
      <c r="AC17" s="609"/>
      <c r="AD17" s="609"/>
      <c r="AE17" s="609"/>
      <c r="AF17" s="609"/>
      <c r="AG17" s="609"/>
      <c r="AH17" s="609">
        <v>715683.15800000005</v>
      </c>
      <c r="AI17" s="609">
        <v>260025.967</v>
      </c>
      <c r="AJ17" s="609">
        <v>0</v>
      </c>
      <c r="AK17" s="609">
        <v>127816.32799999999</v>
      </c>
      <c r="AL17" s="609">
        <v>248712.55499999999</v>
      </c>
      <c r="AM17" s="609">
        <v>0</v>
      </c>
      <c r="AN17" s="609">
        <v>14107.995999999999</v>
      </c>
      <c r="AO17" s="609">
        <v>1366346.004</v>
      </c>
      <c r="AP17" s="609">
        <v>19808.724999999999</v>
      </c>
      <c r="AQ17" s="609">
        <v>1346537.2790000001</v>
      </c>
      <c r="AR17" s="609">
        <v>0.92534312728326396</v>
      </c>
      <c r="AS17" s="609">
        <v>37711.654000000002</v>
      </c>
      <c r="AT17" s="609">
        <v>106470.01</v>
      </c>
      <c r="AU17" s="609">
        <v>7.316640508344989E-2</v>
      </c>
      <c r="AV17" s="609">
        <v>1471396.9580000001</v>
      </c>
      <c r="AW17" s="609">
        <v>-16220.776</v>
      </c>
      <c r="AX17" s="609">
        <v>0</v>
      </c>
      <c r="AY17" s="612" t="s">
        <v>430</v>
      </c>
      <c r="AZ17" s="612" t="s">
        <v>433</v>
      </c>
      <c r="BA17" s="613" t="s">
        <v>552</v>
      </c>
      <c r="BB17" s="614">
        <v>4.51641302208406E-2</v>
      </c>
      <c r="BC17" s="614">
        <v>1.9528662431611492E-2</v>
      </c>
      <c r="BD17" s="613" t="s">
        <v>573</v>
      </c>
      <c r="BE17" s="613" t="s">
        <v>573</v>
      </c>
      <c r="BG17" s="643"/>
      <c r="BH17" s="643"/>
      <c r="BI17" s="643"/>
    </row>
    <row r="18" spans="1:61">
      <c r="A18" s="601" t="s">
        <v>64</v>
      </c>
      <c r="B18" s="603" t="s">
        <v>422</v>
      </c>
      <c r="C18" s="601">
        <v>5</v>
      </c>
      <c r="D18" s="601">
        <v>15</v>
      </c>
      <c r="E18" s="603" t="s">
        <v>290</v>
      </c>
      <c r="F18" s="601">
        <v>2015</v>
      </c>
      <c r="G18" s="601" t="s">
        <v>469</v>
      </c>
      <c r="H18" s="604">
        <v>118976.118</v>
      </c>
      <c r="I18" s="604">
        <v>220615.01800000001</v>
      </c>
      <c r="J18" s="605">
        <v>4.3057489508892006</v>
      </c>
      <c r="K18" s="606">
        <v>352.82649479999998</v>
      </c>
      <c r="L18" s="604">
        <v>2763192.173</v>
      </c>
      <c r="M18" s="607">
        <v>439782</v>
      </c>
      <c r="N18" s="607">
        <v>5232734</v>
      </c>
      <c r="O18" s="608">
        <v>499.31295418417983</v>
      </c>
      <c r="P18" s="609">
        <v>2612771.872</v>
      </c>
      <c r="Q18" s="609">
        <v>2612771.872</v>
      </c>
      <c r="R18" s="609">
        <v>2157266.89</v>
      </c>
      <c r="S18" s="610">
        <v>82.566216864110515</v>
      </c>
      <c r="T18" s="609">
        <v>2124520.923</v>
      </c>
      <c r="U18" s="607">
        <v>2894234</v>
      </c>
      <c r="V18" s="607">
        <v>6637.2202370691875</v>
      </c>
      <c r="W18" s="607">
        <v>339577</v>
      </c>
      <c r="X18" s="607">
        <v>67414</v>
      </c>
      <c r="Y18" s="607">
        <v>778.73708084530949</v>
      </c>
      <c r="Z18" s="611">
        <v>5.0371881211617762</v>
      </c>
      <c r="AA18" s="609">
        <v>2612408.3629999999</v>
      </c>
      <c r="AB18" s="609">
        <v>0</v>
      </c>
      <c r="AC18" s="609"/>
      <c r="AD18" s="609"/>
      <c r="AE18" s="609"/>
      <c r="AF18" s="609"/>
      <c r="AG18" s="609"/>
      <c r="AH18" s="609">
        <v>1340665.537</v>
      </c>
      <c r="AI18" s="609">
        <v>179973.54500000001</v>
      </c>
      <c r="AJ18" s="609">
        <v>0</v>
      </c>
      <c r="AK18" s="609">
        <v>148647.45499999999</v>
      </c>
      <c r="AL18" s="609">
        <v>487980.35100000002</v>
      </c>
      <c r="AM18" s="609">
        <v>0</v>
      </c>
      <c r="AN18" s="609">
        <v>0</v>
      </c>
      <c r="AO18" s="609">
        <v>2157266.8879999998</v>
      </c>
      <c r="AP18" s="609">
        <v>714.29899999999998</v>
      </c>
      <c r="AQ18" s="609">
        <v>2156552.5890000002</v>
      </c>
      <c r="AR18" s="609">
        <v>0.82550363088085099</v>
      </c>
      <c r="AS18" s="609">
        <v>48020.169000000002</v>
      </c>
      <c r="AT18" s="609">
        <v>201085.106</v>
      </c>
      <c r="AU18" s="609">
        <v>7.6973075437976615E-2</v>
      </c>
      <c r="AV18" s="609">
        <v>2405657.8640000001</v>
      </c>
      <c r="AW18" s="609">
        <v>206750.49900000001</v>
      </c>
      <c r="AX18" s="609">
        <v>0</v>
      </c>
      <c r="AY18" s="612" t="s">
        <v>430</v>
      </c>
      <c r="AZ18" s="612" t="s">
        <v>433</v>
      </c>
      <c r="BA18" s="613" t="s">
        <v>552</v>
      </c>
      <c r="BB18" s="614">
        <v>7.9840635101567373E-2</v>
      </c>
      <c r="BC18" s="614">
        <v>4.3057489508892009E-2</v>
      </c>
      <c r="BD18" s="613" t="s">
        <v>574</v>
      </c>
      <c r="BE18" s="613" t="s">
        <v>574</v>
      </c>
      <c r="BG18" s="643"/>
      <c r="BH18" s="643"/>
      <c r="BI18" s="643"/>
    </row>
    <row r="19" spans="1:61">
      <c r="A19" s="601" t="s">
        <v>90</v>
      </c>
      <c r="B19" s="603" t="s">
        <v>419</v>
      </c>
      <c r="C19" s="601">
        <v>2</v>
      </c>
      <c r="D19" s="601">
        <v>16</v>
      </c>
      <c r="E19" s="603" t="s">
        <v>200</v>
      </c>
      <c r="F19" s="601">
        <v>2015</v>
      </c>
      <c r="G19" s="601" t="s">
        <v>567</v>
      </c>
      <c r="H19" s="604">
        <v>-21681.026999999998</v>
      </c>
      <c r="I19" s="604">
        <v>203085.666</v>
      </c>
      <c r="J19" s="605">
        <v>-1.0314421613905085</v>
      </c>
      <c r="K19" s="606">
        <v>359.9575926</v>
      </c>
      <c r="L19" s="604">
        <v>2102010.9330000002</v>
      </c>
      <c r="M19" s="607">
        <v>436951</v>
      </c>
      <c r="N19" s="607">
        <v>5225117</v>
      </c>
      <c r="O19" s="608">
        <v>326.03749619386514</v>
      </c>
      <c r="P19" s="609">
        <v>1704079.2509999999</v>
      </c>
      <c r="Q19" s="609">
        <v>1703584.064</v>
      </c>
      <c r="R19" s="609">
        <v>1502897.6629999999</v>
      </c>
      <c r="S19" s="610">
        <v>88.219753563038722</v>
      </c>
      <c r="T19" s="609">
        <v>1549059.0930000001</v>
      </c>
      <c r="U19" s="607">
        <v>2407995</v>
      </c>
      <c r="V19" s="607">
        <v>5530.1996108412504</v>
      </c>
      <c r="W19" s="607">
        <v>156259</v>
      </c>
      <c r="X19" s="607">
        <v>37476</v>
      </c>
      <c r="Y19" s="607">
        <v>358.86430868437969</v>
      </c>
      <c r="Z19" s="611">
        <v>4.1695751947913333</v>
      </c>
      <c r="AA19" s="609">
        <v>1703881.0149999999</v>
      </c>
      <c r="AB19" s="609">
        <v>495.18699999991804</v>
      </c>
      <c r="AC19" s="609"/>
      <c r="AD19" s="609"/>
      <c r="AE19" s="609"/>
      <c r="AF19" s="609"/>
      <c r="AG19" s="609"/>
      <c r="AH19" s="609">
        <v>1104114.2520000001</v>
      </c>
      <c r="AI19" s="609">
        <v>69875.599000000002</v>
      </c>
      <c r="AJ19" s="609">
        <v>0</v>
      </c>
      <c r="AK19" s="609">
        <v>64310.47</v>
      </c>
      <c r="AL19" s="609">
        <v>251715.16099999999</v>
      </c>
      <c r="AM19" s="609">
        <v>0</v>
      </c>
      <c r="AN19" s="609">
        <v>12882.181</v>
      </c>
      <c r="AO19" s="609">
        <v>1502897.6629999999</v>
      </c>
      <c r="AP19" s="609">
        <v>-75.8</v>
      </c>
      <c r="AQ19" s="609">
        <v>1502973.4639999999</v>
      </c>
      <c r="AR19" s="609">
        <v>0.88234470387997144</v>
      </c>
      <c r="AS19" s="609">
        <v>40676.173999999999</v>
      </c>
      <c r="AT19" s="609">
        <v>173620.386</v>
      </c>
      <c r="AU19" s="609">
        <v>0.10192663526140362</v>
      </c>
      <c r="AV19" s="609">
        <v>1717270.023</v>
      </c>
      <c r="AW19" s="609">
        <v>-13884.195</v>
      </c>
      <c r="AX19" s="609">
        <v>0</v>
      </c>
      <c r="AY19" s="612" t="s">
        <v>430</v>
      </c>
      <c r="AZ19" s="612" t="s">
        <v>433</v>
      </c>
      <c r="BA19" s="613" t="s">
        <v>552</v>
      </c>
      <c r="BB19" s="614">
        <v>9.6614942772992693E-2</v>
      </c>
      <c r="BC19" s="614">
        <v>2.1187521596620032E-2</v>
      </c>
      <c r="BD19" s="613" t="s">
        <v>573</v>
      </c>
      <c r="BE19" s="613" t="s">
        <v>573</v>
      </c>
      <c r="BG19" s="643"/>
      <c r="BH19" s="643"/>
      <c r="BI19" s="643"/>
    </row>
    <row r="20" spans="1:61">
      <c r="A20" s="601" t="s">
        <v>90</v>
      </c>
      <c r="B20" s="603" t="s">
        <v>419</v>
      </c>
      <c r="C20" s="601">
        <v>2</v>
      </c>
      <c r="D20" s="601">
        <v>17</v>
      </c>
      <c r="E20" s="603" t="s">
        <v>268</v>
      </c>
      <c r="F20" s="601">
        <v>2015</v>
      </c>
      <c r="G20" s="601" t="s">
        <v>567</v>
      </c>
      <c r="H20" s="604">
        <v>13642.123</v>
      </c>
      <c r="I20" s="604">
        <v>243840.11600000001</v>
      </c>
      <c r="J20" s="605">
        <v>0.47334677625594757</v>
      </c>
      <c r="K20" s="606">
        <v>283.31500369999998</v>
      </c>
      <c r="L20" s="604">
        <v>2882056.81</v>
      </c>
      <c r="M20" s="607">
        <v>423838</v>
      </c>
      <c r="N20" s="607">
        <v>5068576</v>
      </c>
      <c r="O20" s="608">
        <v>507.46879695598921</v>
      </c>
      <c r="P20" s="609">
        <v>2582710.2629999998</v>
      </c>
      <c r="Q20" s="609">
        <v>2572144.165</v>
      </c>
      <c r="R20" s="609">
        <v>2275000.1269999999</v>
      </c>
      <c r="S20" s="610">
        <v>88.4476133941738</v>
      </c>
      <c r="T20" s="609">
        <v>2162375.7349999999</v>
      </c>
      <c r="U20" s="607">
        <v>2336363</v>
      </c>
      <c r="V20" s="607">
        <v>5531.4068487875093</v>
      </c>
      <c r="W20" s="607">
        <v>217642</v>
      </c>
      <c r="X20" s="607">
        <v>47058</v>
      </c>
      <c r="Y20" s="607">
        <v>515.27371790420034</v>
      </c>
      <c r="Z20" s="611">
        <v>4.6249734370351483</v>
      </c>
      <c r="AA20" s="609">
        <v>2582534.3620000002</v>
      </c>
      <c r="AB20" s="609">
        <v>10566.098000000231</v>
      </c>
      <c r="AC20" s="609"/>
      <c r="AD20" s="609"/>
      <c r="AE20" s="609"/>
      <c r="AF20" s="609"/>
      <c r="AG20" s="609"/>
      <c r="AH20" s="609">
        <v>1626315.9979999999</v>
      </c>
      <c r="AI20" s="609">
        <v>99521.577000000005</v>
      </c>
      <c r="AJ20" s="609">
        <v>0</v>
      </c>
      <c r="AK20" s="609">
        <v>108666.079</v>
      </c>
      <c r="AL20" s="609">
        <v>404303.77100000001</v>
      </c>
      <c r="AM20" s="609">
        <v>0</v>
      </c>
      <c r="AN20" s="609">
        <v>36192.701999999997</v>
      </c>
      <c r="AO20" s="609">
        <v>2275000.1269999999</v>
      </c>
      <c r="AP20" s="609">
        <v>932.42899999999997</v>
      </c>
      <c r="AQ20" s="609">
        <v>2274067.6979999999</v>
      </c>
      <c r="AR20" s="609">
        <v>0.88417408948246645</v>
      </c>
      <c r="AS20" s="609">
        <v>58272.302000000003</v>
      </c>
      <c r="AT20" s="609">
        <v>215703.83300000001</v>
      </c>
      <c r="AU20" s="609">
        <v>8.3867221854647275E-2</v>
      </c>
      <c r="AV20" s="609">
        <v>2548043.8330000001</v>
      </c>
      <c r="AW20" s="609">
        <v>23924.431</v>
      </c>
      <c r="AX20" s="609">
        <v>0</v>
      </c>
      <c r="AY20" s="612" t="s">
        <v>430</v>
      </c>
      <c r="AZ20" s="612" t="s">
        <v>433</v>
      </c>
      <c r="BA20" s="613" t="s">
        <v>552</v>
      </c>
      <c r="BB20" s="614">
        <v>8.4606283663089907E-2</v>
      </c>
      <c r="BC20" s="614">
        <v>3.091758239517213E-2</v>
      </c>
      <c r="BD20" s="613" t="s">
        <v>574</v>
      </c>
      <c r="BE20" s="613" t="s">
        <v>574</v>
      </c>
    </row>
    <row r="21" spans="1:61">
      <c r="A21" s="601" t="s">
        <v>69</v>
      </c>
      <c r="B21" s="602" t="s">
        <v>425</v>
      </c>
      <c r="C21" s="601">
        <v>9</v>
      </c>
      <c r="D21" s="601">
        <v>18</v>
      </c>
      <c r="E21" s="603" t="s">
        <v>247</v>
      </c>
      <c r="F21" s="601">
        <v>2015</v>
      </c>
      <c r="G21" s="601" t="s">
        <v>469</v>
      </c>
      <c r="H21" s="604">
        <v>6828.1679999999997</v>
      </c>
      <c r="I21" s="609">
        <v>328865.34600000002</v>
      </c>
      <c r="J21" s="605">
        <v>0.32311389636513049</v>
      </c>
      <c r="K21" s="606">
        <v>253.01339859999999</v>
      </c>
      <c r="L21" s="609">
        <v>2113238.73</v>
      </c>
      <c r="M21" s="607">
        <v>444528</v>
      </c>
      <c r="N21" s="607">
        <v>5039378</v>
      </c>
      <c r="O21" s="608">
        <v>390.50688239699423</v>
      </c>
      <c r="P21" s="609">
        <v>1967911.7919999999</v>
      </c>
      <c r="Q21" s="609">
        <v>1967911.7919999999</v>
      </c>
      <c r="R21" s="609">
        <v>1660116.94</v>
      </c>
      <c r="S21" s="610">
        <v>84.359316649696666</v>
      </c>
      <c r="T21" s="609">
        <v>1581435.03</v>
      </c>
      <c r="U21" s="607">
        <v>5101713</v>
      </c>
      <c r="V21" s="607">
        <v>12148.434985428757</v>
      </c>
      <c r="W21" s="607">
        <v>164973</v>
      </c>
      <c r="X21" s="607">
        <v>44162</v>
      </c>
      <c r="Y21" s="607">
        <v>392.84133875252064</v>
      </c>
      <c r="Z21" s="611">
        <v>3.7356324441827815</v>
      </c>
      <c r="AA21" s="609">
        <v>1965288.318</v>
      </c>
      <c r="AB21" s="609">
        <v>-43496.138999999966</v>
      </c>
      <c r="AC21" s="609"/>
      <c r="AD21" s="609"/>
      <c r="AE21" s="609"/>
      <c r="AF21" s="609"/>
      <c r="AG21" s="609"/>
      <c r="AH21" s="609">
        <v>1311529.7069999999</v>
      </c>
      <c r="AI21" s="609">
        <v>10917.941999999999</v>
      </c>
      <c r="AJ21" s="609">
        <v>97518.796000000002</v>
      </c>
      <c r="AK21" s="609">
        <v>21874.792000000001</v>
      </c>
      <c r="AL21" s="609">
        <v>206484.51500000001</v>
      </c>
      <c r="AM21" s="609">
        <v>321.505</v>
      </c>
      <c r="AN21" s="609">
        <v>11469.683000000001</v>
      </c>
      <c r="AO21" s="609">
        <v>1660116.94</v>
      </c>
      <c r="AP21" s="609">
        <v>4188.0940000000001</v>
      </c>
      <c r="AQ21" s="609">
        <v>1655928.8459999999</v>
      </c>
      <c r="AR21" s="609">
        <v>0.82434371703225495</v>
      </c>
      <c r="AS21" s="609">
        <v>8031.2160000000003</v>
      </c>
      <c r="AT21" s="609">
        <v>317803.01</v>
      </c>
      <c r="AU21" s="609">
        <v>0.15820662535124347</v>
      </c>
      <c r="AV21" s="609">
        <v>1981763.0719999999</v>
      </c>
      <c r="AW21" s="609">
        <v>27021.384999999998</v>
      </c>
      <c r="AX21" s="609">
        <v>0</v>
      </c>
      <c r="AY21" s="612" t="s">
        <v>430</v>
      </c>
      <c r="AZ21" s="612" t="s">
        <v>433</v>
      </c>
      <c r="BA21" s="613" t="s">
        <v>552</v>
      </c>
      <c r="BB21" s="614">
        <v>0.15562148342795137</v>
      </c>
      <c r="BC21" s="614">
        <v>3.2311389636513047E-3</v>
      </c>
      <c r="BD21" s="613" t="s">
        <v>573</v>
      </c>
      <c r="BE21" s="613" t="s">
        <v>573</v>
      </c>
    </row>
    <row r="22" spans="1:61">
      <c r="A22" s="601" t="s">
        <v>89</v>
      </c>
      <c r="B22" s="603" t="s">
        <v>420</v>
      </c>
      <c r="C22" s="601">
        <v>3</v>
      </c>
      <c r="D22" s="601">
        <v>19</v>
      </c>
      <c r="E22" s="603" t="s">
        <v>193</v>
      </c>
      <c r="F22" s="601">
        <v>2015</v>
      </c>
      <c r="G22" s="601" t="s">
        <v>469</v>
      </c>
      <c r="H22" s="604">
        <v>22682.35</v>
      </c>
      <c r="I22" s="604">
        <v>167544.818</v>
      </c>
      <c r="J22" s="605">
        <v>1.3434186160773987</v>
      </c>
      <c r="K22" s="606">
        <v>323.7265099</v>
      </c>
      <c r="L22" s="604">
        <v>1688405.2169999999</v>
      </c>
      <c r="M22" s="607">
        <v>419079</v>
      </c>
      <c r="N22" s="607">
        <v>4870390</v>
      </c>
      <c r="O22" s="608">
        <v>329.10153478468868</v>
      </c>
      <c r="P22" s="609">
        <v>1594494.108</v>
      </c>
      <c r="Q22" s="609">
        <v>1602852.824</v>
      </c>
      <c r="R22" s="609">
        <v>1294662.591</v>
      </c>
      <c r="S22" s="610">
        <v>80.772393548217622</v>
      </c>
      <c r="T22" s="609">
        <v>1193103.57</v>
      </c>
      <c r="U22" s="607">
        <v>2041113</v>
      </c>
      <c r="V22" s="607">
        <v>5029.0338145405194</v>
      </c>
      <c r="W22" s="607">
        <v>267308</v>
      </c>
      <c r="X22" s="607">
        <v>45050</v>
      </c>
      <c r="Y22" s="607">
        <v>658.61173335194928</v>
      </c>
      <c r="Z22" s="611">
        <v>5.9335849056603776</v>
      </c>
      <c r="AA22" s="609" t="s">
        <v>20</v>
      </c>
      <c r="AB22" s="609" t="s">
        <v>20</v>
      </c>
      <c r="AC22" s="609"/>
      <c r="AD22" s="609"/>
      <c r="AE22" s="609"/>
      <c r="AF22" s="609"/>
      <c r="AG22" s="609"/>
      <c r="AH22" s="609" t="s">
        <v>20</v>
      </c>
      <c r="AI22" s="609" t="s">
        <v>20</v>
      </c>
      <c r="AJ22" s="609" t="s">
        <v>20</v>
      </c>
      <c r="AK22" s="609" t="s">
        <v>20</v>
      </c>
      <c r="AL22" s="609" t="s">
        <v>20</v>
      </c>
      <c r="AM22" s="609" t="s">
        <v>20</v>
      </c>
      <c r="AN22" s="609" t="s">
        <v>20</v>
      </c>
      <c r="AO22" s="609" t="s">
        <v>20</v>
      </c>
      <c r="AP22" s="609" t="s">
        <v>20</v>
      </c>
      <c r="AQ22" s="609" t="s">
        <v>20</v>
      </c>
      <c r="AR22" s="609" t="s">
        <v>20</v>
      </c>
      <c r="AS22" s="609" t="s">
        <v>20</v>
      </c>
      <c r="AT22" s="609" t="s">
        <v>20</v>
      </c>
      <c r="AU22" s="609" t="s">
        <v>20</v>
      </c>
      <c r="AV22" s="609" t="s">
        <v>20</v>
      </c>
      <c r="AW22" s="609" t="s">
        <v>20</v>
      </c>
      <c r="AX22" s="609" t="s">
        <v>20</v>
      </c>
      <c r="AY22" s="612" t="s">
        <v>430</v>
      </c>
      <c r="AZ22" s="612" t="s">
        <v>433</v>
      </c>
      <c r="BA22" s="613" t="s">
        <v>552</v>
      </c>
      <c r="BB22" s="614">
        <v>9.9232587244487303E-2</v>
      </c>
      <c r="BC22" s="614">
        <v>1.3434186160773987E-2</v>
      </c>
      <c r="BD22" s="613" t="s">
        <v>573</v>
      </c>
      <c r="BE22" s="613" t="s">
        <v>573</v>
      </c>
    </row>
    <row r="23" spans="1:61">
      <c r="A23" s="601" t="s">
        <v>70</v>
      </c>
      <c r="B23" s="602" t="s">
        <v>326</v>
      </c>
      <c r="C23" s="601">
        <v>14</v>
      </c>
      <c r="D23" s="601">
        <v>20</v>
      </c>
      <c r="E23" s="603" t="s">
        <v>326</v>
      </c>
      <c r="F23" s="601">
        <v>2015</v>
      </c>
      <c r="G23" s="601" t="s">
        <v>567</v>
      </c>
      <c r="H23" s="604">
        <v>27691.669000000002</v>
      </c>
      <c r="I23" s="609">
        <v>182241.986</v>
      </c>
      <c r="J23" s="605">
        <v>0.78805411719161844</v>
      </c>
      <c r="K23" s="606">
        <v>432.21794130000001</v>
      </c>
      <c r="L23" s="609">
        <v>3513929.8679999998</v>
      </c>
      <c r="M23" s="607">
        <v>397055</v>
      </c>
      <c r="N23" s="607">
        <v>4757822</v>
      </c>
      <c r="O23" s="608">
        <v>560.35109972588293</v>
      </c>
      <c r="P23" s="609">
        <v>2666050.79</v>
      </c>
      <c r="Q23" s="609">
        <v>2666050.79</v>
      </c>
      <c r="R23" s="609">
        <v>2344157.9849999999</v>
      </c>
      <c r="S23" s="610">
        <v>87.926231330349111</v>
      </c>
      <c r="T23" s="609">
        <v>2316609.409</v>
      </c>
      <c r="U23" s="607">
        <v>1419678</v>
      </c>
      <c r="V23" s="607">
        <v>3580.658545023332</v>
      </c>
      <c r="W23" s="607">
        <v>175013</v>
      </c>
      <c r="X23" s="607">
        <v>53208</v>
      </c>
      <c r="Y23" s="607">
        <v>441.41121714935952</v>
      </c>
      <c r="Z23" s="611">
        <v>3.2892234250488648</v>
      </c>
      <c r="AA23" s="609">
        <v>2659066.7799999998</v>
      </c>
      <c r="AB23" s="609">
        <v>-18.684000000357628</v>
      </c>
      <c r="AC23" s="609"/>
      <c r="AD23" s="609"/>
      <c r="AE23" s="609"/>
      <c r="AF23" s="609"/>
      <c r="AG23" s="609"/>
      <c r="AH23" s="609">
        <v>986025.33700000006</v>
      </c>
      <c r="AI23" s="609">
        <v>840559.93700000003</v>
      </c>
      <c r="AJ23" s="609">
        <v>19580.608</v>
      </c>
      <c r="AK23" s="609">
        <v>148872.397</v>
      </c>
      <c r="AL23" s="609">
        <v>345278.47700000001</v>
      </c>
      <c r="AM23" s="609">
        <v>1060</v>
      </c>
      <c r="AN23" s="609">
        <v>2781.2289999999998</v>
      </c>
      <c r="AO23" s="609">
        <v>2344157.9849999999</v>
      </c>
      <c r="AP23" s="609">
        <v>6361.4610000000002</v>
      </c>
      <c r="AQ23" s="609">
        <v>2337796.5240000002</v>
      </c>
      <c r="AR23" s="609">
        <v>0.87917314266511293</v>
      </c>
      <c r="AS23" s="609">
        <v>59570.396000000001</v>
      </c>
      <c r="AT23" s="609">
        <v>136233.424</v>
      </c>
      <c r="AU23" s="609">
        <v>5.1233187441469909E-2</v>
      </c>
      <c r="AV23" s="609">
        <v>2558808.2549999999</v>
      </c>
      <c r="AW23" s="609">
        <v>100277.209</v>
      </c>
      <c r="AX23" s="609">
        <v>0</v>
      </c>
      <c r="AY23" s="612" t="s">
        <v>430</v>
      </c>
      <c r="AZ23" s="612" t="s">
        <v>431</v>
      </c>
      <c r="BA23" s="613" t="s">
        <v>552</v>
      </c>
      <c r="BB23" s="614">
        <v>5.1862727159015687E-2</v>
      </c>
      <c r="BC23" s="614">
        <v>6.8874959537493174E-2</v>
      </c>
      <c r="BD23" s="613" t="s">
        <v>575</v>
      </c>
      <c r="BE23" s="613" t="s">
        <v>575</v>
      </c>
    </row>
    <row r="24" spans="1:61">
      <c r="A24" s="601" t="s">
        <v>57</v>
      </c>
      <c r="B24" s="603" t="s">
        <v>419</v>
      </c>
      <c r="C24" s="601">
        <v>2</v>
      </c>
      <c r="D24" s="601">
        <v>21</v>
      </c>
      <c r="E24" s="603" t="s">
        <v>260</v>
      </c>
      <c r="F24" s="601">
        <v>2015</v>
      </c>
      <c r="G24" s="601" t="s">
        <v>469</v>
      </c>
      <c r="H24" s="604">
        <v>39103.076000000001</v>
      </c>
      <c r="I24" s="604">
        <v>137464.99100000001</v>
      </c>
      <c r="J24" s="605">
        <v>3.5496077902522414</v>
      </c>
      <c r="K24" s="606">
        <v>454.3341254</v>
      </c>
      <c r="L24" s="604">
        <v>1101616.807</v>
      </c>
      <c r="M24" s="607">
        <v>391667</v>
      </c>
      <c r="N24" s="607">
        <v>4600692</v>
      </c>
      <c r="O24" s="608">
        <v>231.56887572565171</v>
      </c>
      <c r="P24" s="609">
        <v>1065377.074</v>
      </c>
      <c r="Q24" s="609">
        <v>1065377.074</v>
      </c>
      <c r="R24" s="609">
        <v>838895.23699999996</v>
      </c>
      <c r="S24" s="610">
        <v>78.741626553904993</v>
      </c>
      <c r="T24" s="609">
        <v>830470.00300000003</v>
      </c>
      <c r="U24" s="607">
        <v>1611767</v>
      </c>
      <c r="V24" s="607">
        <v>4203.9771408301185</v>
      </c>
      <c r="W24" s="607">
        <v>125738</v>
      </c>
      <c r="X24" s="607">
        <v>28594</v>
      </c>
      <c r="Y24" s="607">
        <v>327.96283689497147</v>
      </c>
      <c r="Z24" s="611">
        <v>4.3973560886899348</v>
      </c>
      <c r="AA24" s="609">
        <v>1050832.899</v>
      </c>
      <c r="AB24" s="609">
        <v>0</v>
      </c>
      <c r="AC24" s="609"/>
      <c r="AD24" s="609"/>
      <c r="AE24" s="609"/>
      <c r="AF24" s="609"/>
      <c r="AG24" s="609"/>
      <c r="AH24" s="609">
        <v>541015.26300000004</v>
      </c>
      <c r="AI24" s="609">
        <v>129476.64</v>
      </c>
      <c r="AJ24" s="609">
        <v>0</v>
      </c>
      <c r="AK24" s="609">
        <v>60007.633999999998</v>
      </c>
      <c r="AL24" s="609">
        <v>105019.648</v>
      </c>
      <c r="AM24" s="609">
        <v>0</v>
      </c>
      <c r="AN24" s="609">
        <v>3376.0529999999999</v>
      </c>
      <c r="AO24" s="609">
        <v>838895.23800000001</v>
      </c>
      <c r="AP24" s="609">
        <v>11957.05</v>
      </c>
      <c r="AQ24" s="609">
        <v>826938.18799999997</v>
      </c>
      <c r="AR24" s="609">
        <v>0.78693595222126744</v>
      </c>
      <c r="AS24" s="609">
        <v>29177.541000000001</v>
      </c>
      <c r="AT24" s="609">
        <v>127132.37300000001</v>
      </c>
      <c r="AU24" s="609">
        <v>0.12098248267729578</v>
      </c>
      <c r="AV24" s="609">
        <v>983248.10199999996</v>
      </c>
      <c r="AW24" s="609">
        <v>67584.797000000006</v>
      </c>
      <c r="AX24" s="609">
        <v>0</v>
      </c>
      <c r="AY24" s="612" t="s">
        <v>430</v>
      </c>
      <c r="AZ24" s="612" t="s">
        <v>433</v>
      </c>
      <c r="BA24" s="613" t="s">
        <v>552</v>
      </c>
      <c r="BB24" s="614">
        <v>0.12478476193037967</v>
      </c>
      <c r="BC24" s="614">
        <v>3.5496077902522412E-2</v>
      </c>
      <c r="BD24" s="613" t="s">
        <v>574</v>
      </c>
      <c r="BE24" s="613" t="s">
        <v>574</v>
      </c>
    </row>
    <row r="25" spans="1:61">
      <c r="A25" s="601" t="s">
        <v>51</v>
      </c>
      <c r="B25" s="602" t="s">
        <v>325</v>
      </c>
      <c r="C25" s="601">
        <v>24</v>
      </c>
      <c r="D25" s="601">
        <v>22</v>
      </c>
      <c r="E25" s="603" t="s">
        <v>325</v>
      </c>
      <c r="F25" s="601">
        <v>2015</v>
      </c>
      <c r="G25" s="601" t="s">
        <v>567</v>
      </c>
      <c r="H25" s="604">
        <v>16859.365000000002</v>
      </c>
      <c r="I25" s="609">
        <v>199011.19899999999</v>
      </c>
      <c r="J25" s="605">
        <v>0.90137352980526975</v>
      </c>
      <c r="K25" s="606">
        <v>288.73909429999998</v>
      </c>
      <c r="L25" s="609">
        <v>1870408.2649999999</v>
      </c>
      <c r="M25" s="607">
        <v>378832</v>
      </c>
      <c r="N25" s="607">
        <v>4459755</v>
      </c>
      <c r="O25" s="608">
        <v>290.70615515874749</v>
      </c>
      <c r="P25" s="609">
        <v>1296478.2290000001</v>
      </c>
      <c r="Q25" s="609">
        <v>1296478.2290000001</v>
      </c>
      <c r="R25" s="609">
        <v>1086763.7679999999</v>
      </c>
      <c r="S25" s="610">
        <v>83.824297523163423</v>
      </c>
      <c r="T25" s="609">
        <v>1056556.0390000001</v>
      </c>
      <c r="U25" s="607">
        <v>212147</v>
      </c>
      <c r="V25" s="607">
        <v>570.83046041766863</v>
      </c>
      <c r="W25" s="607">
        <v>128704</v>
      </c>
      <c r="X25" s="607">
        <v>21289</v>
      </c>
      <c r="Y25" s="607">
        <v>346.30781287312868</v>
      </c>
      <c r="Z25" s="611">
        <v>6.0455634365165105</v>
      </c>
      <c r="AA25" s="609" t="s">
        <v>20</v>
      </c>
      <c r="AB25" s="609" t="s">
        <v>20</v>
      </c>
      <c r="AC25" s="609"/>
      <c r="AD25" s="609"/>
      <c r="AE25" s="609"/>
      <c r="AF25" s="609"/>
      <c r="AG25" s="609"/>
      <c r="AH25" s="609" t="s">
        <v>20</v>
      </c>
      <c r="AI25" s="609" t="s">
        <v>20</v>
      </c>
      <c r="AJ25" s="609" t="s">
        <v>20</v>
      </c>
      <c r="AK25" s="609" t="s">
        <v>20</v>
      </c>
      <c r="AL25" s="609" t="s">
        <v>20</v>
      </c>
      <c r="AM25" s="609" t="s">
        <v>20</v>
      </c>
      <c r="AN25" s="609" t="s">
        <v>20</v>
      </c>
      <c r="AO25" s="609" t="s">
        <v>20</v>
      </c>
      <c r="AP25" s="609" t="s">
        <v>20</v>
      </c>
      <c r="AQ25" s="609" t="s">
        <v>20</v>
      </c>
      <c r="AR25" s="609" t="s">
        <v>20</v>
      </c>
      <c r="AS25" s="609" t="s">
        <v>20</v>
      </c>
      <c r="AT25" s="609" t="s">
        <v>20</v>
      </c>
      <c r="AU25" s="609" t="s">
        <v>20</v>
      </c>
      <c r="AV25" s="609" t="s">
        <v>20</v>
      </c>
      <c r="AW25" s="609" t="s">
        <v>20</v>
      </c>
      <c r="AX25" s="609" t="s">
        <v>20</v>
      </c>
      <c r="AY25" s="612" t="s">
        <v>430</v>
      </c>
      <c r="AZ25" s="612" t="s">
        <v>431</v>
      </c>
      <c r="BA25" s="613" t="s">
        <v>552</v>
      </c>
      <c r="BB25" s="614">
        <v>0.10639987147404954</v>
      </c>
      <c r="BC25" s="614">
        <v>5.5357153294316189E-2</v>
      </c>
      <c r="BD25" s="613" t="s">
        <v>575</v>
      </c>
      <c r="BE25" s="613" t="s">
        <v>575</v>
      </c>
    </row>
    <row r="26" spans="1:61">
      <c r="A26" s="601" t="s">
        <v>62</v>
      </c>
      <c r="B26" s="602" t="s">
        <v>391</v>
      </c>
      <c r="C26" s="601">
        <v>41</v>
      </c>
      <c r="D26" s="601">
        <v>23</v>
      </c>
      <c r="E26" s="603" t="s">
        <v>391</v>
      </c>
      <c r="F26" s="601">
        <v>2015</v>
      </c>
      <c r="G26" s="601" t="s">
        <v>469</v>
      </c>
      <c r="H26" s="604">
        <v>20297.302</v>
      </c>
      <c r="I26" s="609">
        <v>19180.723999999998</v>
      </c>
      <c r="J26" s="605">
        <v>1.9644645715547402</v>
      </c>
      <c r="K26" s="606">
        <v>382.26225310000001</v>
      </c>
      <c r="L26" s="609">
        <v>1033223.113</v>
      </c>
      <c r="M26" s="620">
        <v>378721</v>
      </c>
      <c r="N26" s="617">
        <v>4162799</v>
      </c>
      <c r="O26" s="608">
        <v>249.774997303497</v>
      </c>
      <c r="P26" s="609">
        <v>1039763.1090000001</v>
      </c>
      <c r="Q26" s="609">
        <v>1039763.1090000001</v>
      </c>
      <c r="R26" s="609">
        <v>923288.17500000005</v>
      </c>
      <c r="S26" s="618">
        <v>88.797935511289609</v>
      </c>
      <c r="T26" s="609">
        <v>923288.17500000005</v>
      </c>
      <c r="U26" s="617">
        <v>1945821</v>
      </c>
      <c r="V26" s="617">
        <v>5609.1711370162238</v>
      </c>
      <c r="W26" s="617">
        <v>166302</v>
      </c>
      <c r="X26" s="617">
        <v>43425</v>
      </c>
      <c r="Y26" s="617">
        <v>479.39475338588289</v>
      </c>
      <c r="Z26" s="609">
        <v>3.8296373056994817</v>
      </c>
      <c r="AA26" s="609">
        <v>1033223.113</v>
      </c>
      <c r="AB26" s="609">
        <v>0</v>
      </c>
      <c r="AC26" s="609"/>
      <c r="AD26" s="609"/>
      <c r="AE26" s="609"/>
      <c r="AF26" s="609"/>
      <c r="AG26" s="609"/>
      <c r="AH26" s="609">
        <v>593300.12800000003</v>
      </c>
      <c r="AI26" s="609">
        <v>82760.572</v>
      </c>
      <c r="AJ26" s="609">
        <v>0</v>
      </c>
      <c r="AK26" s="609">
        <v>49510.188000000002</v>
      </c>
      <c r="AL26" s="609">
        <v>187901.21100000001</v>
      </c>
      <c r="AM26" s="609">
        <v>9816.0759999999991</v>
      </c>
      <c r="AN26" s="609">
        <v>0</v>
      </c>
      <c r="AO26" s="609">
        <v>923288.17500000005</v>
      </c>
      <c r="AP26" s="609">
        <v>0</v>
      </c>
      <c r="AQ26" s="609">
        <v>923288.17500000005</v>
      </c>
      <c r="AR26" s="609">
        <v>0.89360000118386829</v>
      </c>
      <c r="AS26" s="609">
        <v>71039.051999999996</v>
      </c>
      <c r="AT26" s="609">
        <v>19180.723999999998</v>
      </c>
      <c r="AU26" s="609">
        <v>1.8563971090724139E-2</v>
      </c>
      <c r="AV26" s="609">
        <v>1013507.951</v>
      </c>
      <c r="AW26" s="609">
        <v>19715.163</v>
      </c>
      <c r="AX26" s="609">
        <v>0</v>
      </c>
      <c r="AY26" s="609" t="s">
        <v>430</v>
      </c>
      <c r="AZ26" s="609" t="s">
        <v>433</v>
      </c>
      <c r="BA26" s="613" t="s">
        <v>552</v>
      </c>
      <c r="BB26" s="614">
        <v>1.8563971090724139E-2</v>
      </c>
      <c r="BC26" s="614">
        <v>1.9644645715547401E-2</v>
      </c>
      <c r="BD26" s="613" t="s">
        <v>573</v>
      </c>
      <c r="BE26" s="613" t="s">
        <v>573</v>
      </c>
    </row>
    <row r="27" spans="1:61">
      <c r="A27" s="601" t="s">
        <v>65</v>
      </c>
      <c r="B27" s="603" t="s">
        <v>419</v>
      </c>
      <c r="C27" s="601">
        <v>2</v>
      </c>
      <c r="D27" s="601">
        <v>24</v>
      </c>
      <c r="E27" s="603" t="s">
        <v>240</v>
      </c>
      <c r="F27" s="601">
        <v>2015</v>
      </c>
      <c r="G27" s="601" t="s">
        <v>469</v>
      </c>
      <c r="H27" s="604">
        <v>-17085.365000000002</v>
      </c>
      <c r="I27" s="604">
        <v>127866.364</v>
      </c>
      <c r="J27" s="605">
        <v>-1.4380337748343308</v>
      </c>
      <c r="K27" s="606">
        <v>265.64338550000002</v>
      </c>
      <c r="L27" s="604">
        <v>1188105.9609999999</v>
      </c>
      <c r="M27" s="607">
        <v>382198</v>
      </c>
      <c r="N27" s="607">
        <v>4151638</v>
      </c>
      <c r="O27" s="608">
        <v>287.689915883803</v>
      </c>
      <c r="P27" s="609">
        <v>1194384.3870000001</v>
      </c>
      <c r="Q27" s="609">
        <v>1194384.3870000001</v>
      </c>
      <c r="R27" s="609">
        <v>1054935.7479999999</v>
      </c>
      <c r="S27" s="610">
        <v>88.324643178712265</v>
      </c>
      <c r="T27" s="609">
        <v>987432.27599999995</v>
      </c>
      <c r="U27" s="607">
        <v>1614038</v>
      </c>
      <c r="V27" s="607">
        <v>4665.2564602212424</v>
      </c>
      <c r="W27" s="607">
        <v>143750</v>
      </c>
      <c r="X27" s="607">
        <v>29679</v>
      </c>
      <c r="Y27" s="607">
        <v>415.49865378436175</v>
      </c>
      <c r="Z27" s="611">
        <v>4.8434920314026755</v>
      </c>
      <c r="AA27" s="609">
        <v>1188105.9609999999</v>
      </c>
      <c r="AB27" s="609">
        <v>0</v>
      </c>
      <c r="AC27" s="609"/>
      <c r="AD27" s="609"/>
      <c r="AE27" s="609"/>
      <c r="AF27" s="609"/>
      <c r="AG27" s="609"/>
      <c r="AH27" s="609">
        <v>467082.02100000001</v>
      </c>
      <c r="AI27" s="609">
        <v>52268.947</v>
      </c>
      <c r="AJ27" s="609">
        <v>0</v>
      </c>
      <c r="AK27" s="609">
        <v>86939.024999999994</v>
      </c>
      <c r="AL27" s="609">
        <v>218855.55600000001</v>
      </c>
      <c r="AM27" s="609">
        <v>217853.34</v>
      </c>
      <c r="AN27" s="609">
        <v>11936.859</v>
      </c>
      <c r="AO27" s="609">
        <v>1054935.7479999999</v>
      </c>
      <c r="AP27" s="609">
        <v>4150.2879999999996</v>
      </c>
      <c r="AQ27" s="609">
        <v>1050785.46</v>
      </c>
      <c r="AR27" s="609">
        <v>0.88442066153390853</v>
      </c>
      <c r="AS27" s="609">
        <v>27495.442999999999</v>
      </c>
      <c r="AT27" s="609">
        <v>127866.364</v>
      </c>
      <c r="AU27" s="609">
        <v>0.10762202042347974</v>
      </c>
      <c r="AV27" s="609">
        <v>1206147.267</v>
      </c>
      <c r="AW27" s="609">
        <v>-18041.306</v>
      </c>
      <c r="AX27" s="609">
        <v>0</v>
      </c>
      <c r="AY27" s="612" t="s">
        <v>430</v>
      </c>
      <c r="AZ27" s="612" t="s">
        <v>433</v>
      </c>
      <c r="BA27" s="613" t="s">
        <v>552</v>
      </c>
      <c r="BB27" s="614">
        <v>0.10762202042347974</v>
      </c>
      <c r="BC27" s="614">
        <v>-1.4380337748343307E-2</v>
      </c>
      <c r="BD27" s="613" t="s">
        <v>572</v>
      </c>
      <c r="BE27" s="613" t="s">
        <v>572</v>
      </c>
    </row>
    <row r="28" spans="1:61">
      <c r="A28" s="601" t="s">
        <v>57</v>
      </c>
      <c r="B28" s="603" t="s">
        <v>420</v>
      </c>
      <c r="C28" s="601">
        <v>3</v>
      </c>
      <c r="D28" s="601">
        <v>25</v>
      </c>
      <c r="E28" s="603" t="s">
        <v>198</v>
      </c>
      <c r="F28" s="601">
        <v>2015</v>
      </c>
      <c r="G28" s="601" t="s">
        <v>469</v>
      </c>
      <c r="H28" s="604">
        <v>26059.16</v>
      </c>
      <c r="I28" s="604">
        <v>130799.69</v>
      </c>
      <c r="J28" s="605">
        <v>2.1666502961232545</v>
      </c>
      <c r="K28" s="606">
        <v>411.66358400000001</v>
      </c>
      <c r="L28" s="604">
        <v>1202739.5490000001</v>
      </c>
      <c r="M28" s="607">
        <v>349065</v>
      </c>
      <c r="N28" s="607">
        <v>4062898</v>
      </c>
      <c r="O28" s="608">
        <v>279.04236975675985</v>
      </c>
      <c r="P28" s="609">
        <v>1133720.686</v>
      </c>
      <c r="Q28" s="609">
        <v>1133720.686</v>
      </c>
      <c r="R28" s="609">
        <v>887524.03700000001</v>
      </c>
      <c r="S28" s="610">
        <v>78.284188333139411</v>
      </c>
      <c r="T28" s="609">
        <v>866705.17599999998</v>
      </c>
      <c r="U28" s="607">
        <v>2090388</v>
      </c>
      <c r="V28" s="607">
        <v>6174.0796840088033</v>
      </c>
      <c r="W28" s="607">
        <v>213870</v>
      </c>
      <c r="X28" s="607">
        <v>47967</v>
      </c>
      <c r="Y28" s="607">
        <v>631.67719199448277</v>
      </c>
      <c r="Z28" s="611">
        <v>4.4586903496153605</v>
      </c>
      <c r="AA28" s="609" t="s">
        <v>20</v>
      </c>
      <c r="AB28" s="609" t="s">
        <v>20</v>
      </c>
      <c r="AC28" s="609"/>
      <c r="AD28" s="609"/>
      <c r="AE28" s="609"/>
      <c r="AF28" s="609"/>
      <c r="AG28" s="609"/>
      <c r="AH28" s="609" t="s">
        <v>20</v>
      </c>
      <c r="AI28" s="609" t="s">
        <v>20</v>
      </c>
      <c r="AJ28" s="609" t="s">
        <v>20</v>
      </c>
      <c r="AK28" s="609" t="s">
        <v>20</v>
      </c>
      <c r="AL28" s="609" t="s">
        <v>20</v>
      </c>
      <c r="AM28" s="609" t="s">
        <v>20</v>
      </c>
      <c r="AN28" s="609" t="s">
        <v>20</v>
      </c>
      <c r="AO28" s="609" t="s">
        <v>20</v>
      </c>
      <c r="AP28" s="609" t="s">
        <v>20</v>
      </c>
      <c r="AQ28" s="609" t="s">
        <v>20</v>
      </c>
      <c r="AR28" s="609" t="s">
        <v>20</v>
      </c>
      <c r="AS28" s="609" t="s">
        <v>20</v>
      </c>
      <c r="AT28" s="609" t="s">
        <v>20</v>
      </c>
      <c r="AU28" s="609" t="s">
        <v>20</v>
      </c>
      <c r="AV28" s="609" t="s">
        <v>20</v>
      </c>
      <c r="AW28" s="609" t="s">
        <v>20</v>
      </c>
      <c r="AX28" s="609" t="s">
        <v>20</v>
      </c>
      <c r="AY28" s="612" t="s">
        <v>430</v>
      </c>
      <c r="AZ28" s="612" t="s">
        <v>433</v>
      </c>
      <c r="BA28" s="613" t="s">
        <v>552</v>
      </c>
      <c r="BB28" s="614">
        <v>0.10875146669015037</v>
      </c>
      <c r="BC28" s="614">
        <v>2.1666502961232546E-2</v>
      </c>
      <c r="BD28" s="613" t="s">
        <v>573</v>
      </c>
      <c r="BE28" s="613" t="s">
        <v>573</v>
      </c>
    </row>
    <row r="29" spans="1:61">
      <c r="A29" s="601" t="s">
        <v>87</v>
      </c>
      <c r="B29" s="603" t="s">
        <v>423</v>
      </c>
      <c r="C29" s="601">
        <v>7</v>
      </c>
      <c r="D29" s="601">
        <v>26</v>
      </c>
      <c r="E29" s="603" t="s">
        <v>266</v>
      </c>
      <c r="F29" s="601">
        <v>2015</v>
      </c>
      <c r="G29" s="601" t="s">
        <v>469</v>
      </c>
      <c r="H29" s="604">
        <v>32245.688999999998</v>
      </c>
      <c r="I29" s="604">
        <v>79842.292000000001</v>
      </c>
      <c r="J29" s="605">
        <v>2.7423559876231649</v>
      </c>
      <c r="K29" s="606">
        <v>345.27578599999998</v>
      </c>
      <c r="L29" s="604">
        <v>1175838.919</v>
      </c>
      <c r="M29" s="607">
        <v>331922</v>
      </c>
      <c r="N29" s="607">
        <v>4048858</v>
      </c>
      <c r="O29" s="608">
        <v>288.52302352910374</v>
      </c>
      <c r="P29" s="609">
        <v>1168188.7520000001</v>
      </c>
      <c r="Q29" s="609">
        <v>1168188.7520000001</v>
      </c>
      <c r="R29" s="609">
        <v>1005132.7439999999</v>
      </c>
      <c r="S29" s="610">
        <v>86.041980996577834</v>
      </c>
      <c r="T29" s="609">
        <v>1033392.903</v>
      </c>
      <c r="U29" s="607">
        <v>2453985</v>
      </c>
      <c r="V29" s="607">
        <v>7273.1175062202728</v>
      </c>
      <c r="W29" s="607">
        <v>180639</v>
      </c>
      <c r="X29" s="607">
        <v>42460</v>
      </c>
      <c r="Y29" s="607">
        <v>535.37762993910872</v>
      </c>
      <c r="Z29" s="611">
        <v>4.2543334903438534</v>
      </c>
      <c r="AA29" s="609">
        <v>1168188.7520000001</v>
      </c>
      <c r="AB29" s="609">
        <v>0</v>
      </c>
      <c r="AC29" s="609"/>
      <c r="AD29" s="609"/>
      <c r="AE29" s="609"/>
      <c r="AF29" s="609"/>
      <c r="AG29" s="609"/>
      <c r="AH29" s="609">
        <v>402642.76500000001</v>
      </c>
      <c r="AI29" s="609">
        <v>160721.601</v>
      </c>
      <c r="AJ29" s="609">
        <v>44430.675999999999</v>
      </c>
      <c r="AK29" s="609">
        <v>75349.252999999997</v>
      </c>
      <c r="AL29" s="609">
        <v>217718.20600000001</v>
      </c>
      <c r="AM29" s="609">
        <v>104270.243</v>
      </c>
      <c r="AN29" s="609">
        <v>0</v>
      </c>
      <c r="AO29" s="609">
        <v>1005132.7439999999</v>
      </c>
      <c r="AP29" s="609">
        <v>0</v>
      </c>
      <c r="AQ29" s="609">
        <v>1005132.7439999999</v>
      </c>
      <c r="AR29" s="609">
        <v>0.86041980996577838</v>
      </c>
      <c r="AS29" s="609">
        <v>28251.602999999999</v>
      </c>
      <c r="AT29" s="609">
        <v>74220.232999999993</v>
      </c>
      <c r="AU29" s="609">
        <v>6.3534452692624449E-2</v>
      </c>
      <c r="AV29" s="609">
        <v>1107604.58</v>
      </c>
      <c r="AW29" s="609">
        <v>60584.171999999999</v>
      </c>
      <c r="AX29" s="609">
        <v>0</v>
      </c>
      <c r="AY29" s="612" t="s">
        <v>430</v>
      </c>
      <c r="AZ29" s="612" t="s">
        <v>431</v>
      </c>
      <c r="BA29" s="613" t="s">
        <v>552</v>
      </c>
      <c r="BB29" s="614">
        <v>6.7902406281893105E-2</v>
      </c>
      <c r="BC29" s="614">
        <v>2.742355987623165E-2</v>
      </c>
      <c r="BD29" s="613" t="s">
        <v>574</v>
      </c>
      <c r="BE29" s="613" t="s">
        <v>574</v>
      </c>
    </row>
    <row r="30" spans="1:61">
      <c r="A30" s="601" t="s">
        <v>56</v>
      </c>
      <c r="B30" s="603" t="s">
        <v>420</v>
      </c>
      <c r="C30" s="601">
        <v>3</v>
      </c>
      <c r="D30" s="601">
        <v>27</v>
      </c>
      <c r="E30" s="603" t="s">
        <v>186</v>
      </c>
      <c r="F30" s="601">
        <v>2015</v>
      </c>
      <c r="G30" s="601" t="s">
        <v>567</v>
      </c>
      <c r="H30" s="604">
        <v>-1935.759</v>
      </c>
      <c r="I30" s="604">
        <v>65958.505000000005</v>
      </c>
      <c r="J30" s="605">
        <v>-0.14778747365472925</v>
      </c>
      <c r="K30" s="606">
        <v>193.91148029999999</v>
      </c>
      <c r="L30" s="604">
        <v>1309826.166</v>
      </c>
      <c r="M30" s="607">
        <v>340957</v>
      </c>
      <c r="N30" s="607">
        <v>4023582</v>
      </c>
      <c r="O30" s="608">
        <v>261.33267372207155</v>
      </c>
      <c r="P30" s="609">
        <v>1051493.442</v>
      </c>
      <c r="Q30" s="609">
        <v>1051493.442</v>
      </c>
      <c r="R30" s="609">
        <v>933718.23899999994</v>
      </c>
      <c r="S30" s="610">
        <v>88.79924512168283</v>
      </c>
      <c r="T30" s="609">
        <v>915126.56900000002</v>
      </c>
      <c r="U30" s="607">
        <v>1879571</v>
      </c>
      <c r="V30" s="607">
        <v>5605.6648031530112</v>
      </c>
      <c r="W30" s="607">
        <v>162903</v>
      </c>
      <c r="X30" s="607">
        <v>37693</v>
      </c>
      <c r="Y30" s="607">
        <v>485.84470255608062</v>
      </c>
      <c r="Z30" s="611">
        <v>4.3218369458520147</v>
      </c>
      <c r="AA30" s="609" t="s">
        <v>20</v>
      </c>
      <c r="AB30" s="609" t="s">
        <v>20</v>
      </c>
      <c r="AC30" s="609"/>
      <c r="AD30" s="609"/>
      <c r="AE30" s="609"/>
      <c r="AF30" s="609"/>
      <c r="AG30" s="609"/>
      <c r="AH30" s="609" t="s">
        <v>20</v>
      </c>
      <c r="AI30" s="609" t="s">
        <v>20</v>
      </c>
      <c r="AJ30" s="609" t="s">
        <v>20</v>
      </c>
      <c r="AK30" s="609" t="s">
        <v>20</v>
      </c>
      <c r="AL30" s="609" t="s">
        <v>20</v>
      </c>
      <c r="AM30" s="609" t="s">
        <v>20</v>
      </c>
      <c r="AN30" s="609" t="s">
        <v>20</v>
      </c>
      <c r="AO30" s="609" t="s">
        <v>20</v>
      </c>
      <c r="AP30" s="609" t="s">
        <v>20</v>
      </c>
      <c r="AQ30" s="609" t="s">
        <v>20</v>
      </c>
      <c r="AR30" s="609" t="s">
        <v>20</v>
      </c>
      <c r="AS30" s="609" t="s">
        <v>20</v>
      </c>
      <c r="AT30" s="609" t="s">
        <v>20</v>
      </c>
      <c r="AU30" s="609" t="s">
        <v>20</v>
      </c>
      <c r="AV30" s="609" t="s">
        <v>20</v>
      </c>
      <c r="AW30" s="609" t="s">
        <v>20</v>
      </c>
      <c r="AX30" s="609" t="s">
        <v>20</v>
      </c>
      <c r="AY30" s="612" t="s">
        <v>430</v>
      </c>
      <c r="AZ30" s="612" t="s">
        <v>433</v>
      </c>
      <c r="BA30" s="613" t="s">
        <v>552</v>
      </c>
      <c r="BB30" s="614">
        <v>5.0356686033709915E-2</v>
      </c>
      <c r="BC30" s="614">
        <v>6.1650862749461736E-2</v>
      </c>
      <c r="BD30" s="613" t="s">
        <v>575</v>
      </c>
      <c r="BE30" s="613" t="s">
        <v>575</v>
      </c>
    </row>
    <row r="31" spans="1:61">
      <c r="A31" s="601" t="s">
        <v>90</v>
      </c>
      <c r="B31" s="602" t="s">
        <v>171</v>
      </c>
      <c r="C31" s="601" t="s">
        <v>20</v>
      </c>
      <c r="D31" s="601">
        <v>29</v>
      </c>
      <c r="E31" s="603" t="s">
        <v>171</v>
      </c>
      <c r="F31" s="601">
        <v>2015</v>
      </c>
      <c r="G31" s="601" t="s">
        <v>567</v>
      </c>
      <c r="H31" s="609">
        <v>15700.597</v>
      </c>
      <c r="I31" s="609">
        <v>52791.701999999997</v>
      </c>
      <c r="J31" s="615">
        <v>1.6381240046649241</v>
      </c>
      <c r="K31" s="616">
        <v>350.96923800000002</v>
      </c>
      <c r="L31" s="609">
        <v>958449.84600000002</v>
      </c>
      <c r="M31" s="617">
        <v>332975</v>
      </c>
      <c r="N31" s="617">
        <v>3995685</v>
      </c>
      <c r="O31" s="608">
        <v>208.18244806585105</v>
      </c>
      <c r="P31" s="609">
        <v>831831.48499999999</v>
      </c>
      <c r="Q31" s="609">
        <v>831831.48499999999</v>
      </c>
      <c r="R31" s="609">
        <v>745438.70700000005</v>
      </c>
      <c r="S31" s="618">
        <v>89.614149072513172</v>
      </c>
      <c r="T31" s="609">
        <v>744346.47600000002</v>
      </c>
      <c r="U31" s="617">
        <v>1623525</v>
      </c>
      <c r="V31" s="617">
        <v>4875.8348067978332</v>
      </c>
      <c r="W31" s="617">
        <v>78158</v>
      </c>
      <c r="X31" s="617">
        <v>13289</v>
      </c>
      <c r="Y31" s="617">
        <v>234.72721197992334</v>
      </c>
      <c r="Z31" s="609">
        <v>5.8814056738656033</v>
      </c>
      <c r="AA31" s="609">
        <v>830790.74199999997</v>
      </c>
      <c r="AB31" s="609">
        <v>-889.94500000006519</v>
      </c>
      <c r="AC31" s="609"/>
      <c r="AD31" s="609"/>
      <c r="AE31" s="609"/>
      <c r="AF31" s="609"/>
      <c r="AG31" s="609"/>
      <c r="AH31" s="609">
        <v>521872.33199999999</v>
      </c>
      <c r="AI31" s="609">
        <v>6466.8959999999997</v>
      </c>
      <c r="AJ31" s="609">
        <v>0</v>
      </c>
      <c r="AK31" s="609">
        <v>71856.69</v>
      </c>
      <c r="AL31" s="609">
        <v>127277.46799999999</v>
      </c>
      <c r="AM31" s="609">
        <v>13110.576999999999</v>
      </c>
      <c r="AN31" s="609">
        <v>4854.7430000000004</v>
      </c>
      <c r="AO31" s="609">
        <v>745438.70700000005</v>
      </c>
      <c r="AP31" s="609">
        <v>297.05</v>
      </c>
      <c r="AQ31" s="609">
        <v>745141.65700000001</v>
      </c>
      <c r="AR31" s="609">
        <v>0.89594680824901729</v>
      </c>
      <c r="AS31" s="609">
        <v>31551.25</v>
      </c>
      <c r="AT31" s="609">
        <v>45846.442999999999</v>
      </c>
      <c r="AU31" s="609">
        <v>5.5125054262562187E-2</v>
      </c>
      <c r="AV31" s="609">
        <v>822539.35</v>
      </c>
      <c r="AW31" s="609">
        <v>9141.3379999999997</v>
      </c>
      <c r="AX31" s="609">
        <v>0</v>
      </c>
      <c r="AY31" s="612" t="s">
        <v>435</v>
      </c>
      <c r="AZ31" s="612" t="s">
        <v>431</v>
      </c>
      <c r="BA31" s="613" t="s">
        <v>552</v>
      </c>
      <c r="BB31" s="614">
        <v>5.5080296815030211E-2</v>
      </c>
      <c r="BC31" s="614">
        <v>4.8778212459838072E-2</v>
      </c>
      <c r="BD31" s="613" t="s">
        <v>574</v>
      </c>
      <c r="BE31" s="613" t="s">
        <v>574</v>
      </c>
    </row>
    <row r="32" spans="1:61">
      <c r="A32" s="601" t="s">
        <v>82</v>
      </c>
      <c r="B32" s="603" t="s">
        <v>421</v>
      </c>
      <c r="C32" s="601">
        <v>4</v>
      </c>
      <c r="D32" s="601">
        <v>30</v>
      </c>
      <c r="E32" s="603" t="s">
        <v>254</v>
      </c>
      <c r="F32" s="601">
        <v>2015</v>
      </c>
      <c r="G32" s="601" t="s">
        <v>469</v>
      </c>
      <c r="H32" s="609">
        <v>110034.061</v>
      </c>
      <c r="I32" s="609">
        <v>334454.03200000001</v>
      </c>
      <c r="J32" s="605">
        <v>4.8456371089011787</v>
      </c>
      <c r="K32" s="606">
        <v>315.18450050000001</v>
      </c>
      <c r="L32" s="609">
        <v>2270786.2459999998</v>
      </c>
      <c r="M32" s="607">
        <v>314420</v>
      </c>
      <c r="N32" s="607">
        <v>3913899</v>
      </c>
      <c r="O32" s="608">
        <v>527.05340991170181</v>
      </c>
      <c r="P32" s="609">
        <v>2073940.855</v>
      </c>
      <c r="Q32" s="609">
        <v>2062833.814</v>
      </c>
      <c r="R32" s="609">
        <v>1479554.926</v>
      </c>
      <c r="S32" s="610">
        <v>71.724387876453534</v>
      </c>
      <c r="T32" s="609">
        <v>1523879.997</v>
      </c>
      <c r="U32" s="607">
        <v>1497326</v>
      </c>
      <c r="V32" s="607">
        <v>4590.7960322941399</v>
      </c>
      <c r="W32" s="607">
        <v>1440018</v>
      </c>
      <c r="X32" s="607">
        <v>95990</v>
      </c>
      <c r="Y32" s="607">
        <v>4415.0899141750979</v>
      </c>
      <c r="Z32" s="611">
        <v>15.001750182310657</v>
      </c>
      <c r="AA32" s="609" t="s">
        <v>20</v>
      </c>
      <c r="AB32" s="609" t="s">
        <v>20</v>
      </c>
      <c r="AC32" s="609"/>
      <c r="AD32" s="609"/>
      <c r="AE32" s="609"/>
      <c r="AF32" s="609"/>
      <c r="AG32" s="609"/>
      <c r="AH32" s="609" t="s">
        <v>20</v>
      </c>
      <c r="AI32" s="609" t="s">
        <v>20</v>
      </c>
      <c r="AJ32" s="609" t="s">
        <v>20</v>
      </c>
      <c r="AK32" s="609" t="s">
        <v>20</v>
      </c>
      <c r="AL32" s="609" t="s">
        <v>20</v>
      </c>
      <c r="AM32" s="609" t="s">
        <v>20</v>
      </c>
      <c r="AN32" s="609" t="s">
        <v>20</v>
      </c>
      <c r="AO32" s="609" t="s">
        <v>20</v>
      </c>
      <c r="AP32" s="609" t="s">
        <v>20</v>
      </c>
      <c r="AQ32" s="609" t="s">
        <v>20</v>
      </c>
      <c r="AR32" s="609" t="s">
        <v>20</v>
      </c>
      <c r="AS32" s="609" t="s">
        <v>20</v>
      </c>
      <c r="AT32" s="609" t="s">
        <v>20</v>
      </c>
      <c r="AU32" s="609" t="s">
        <v>20</v>
      </c>
      <c r="AV32" s="609" t="s">
        <v>20</v>
      </c>
      <c r="AW32" s="609" t="s">
        <v>20</v>
      </c>
      <c r="AX32" s="609" t="s">
        <v>20</v>
      </c>
      <c r="AY32" s="612" t="s">
        <v>430</v>
      </c>
      <c r="AZ32" s="612" t="s">
        <v>433</v>
      </c>
      <c r="BA32" s="613" t="s">
        <v>552</v>
      </c>
      <c r="BB32" s="614">
        <v>0.14728556357479367</v>
      </c>
      <c r="BC32" s="614">
        <v>4.8456371089011789E-2</v>
      </c>
      <c r="BD32" s="613" t="s">
        <v>574</v>
      </c>
      <c r="BE32" s="613" t="s">
        <v>574</v>
      </c>
    </row>
    <row r="33" spans="1:57">
      <c r="A33" s="601" t="s">
        <v>62</v>
      </c>
      <c r="B33" s="603" t="s">
        <v>420</v>
      </c>
      <c r="C33" s="601">
        <v>3</v>
      </c>
      <c r="D33" s="601">
        <v>31</v>
      </c>
      <c r="E33" s="603" t="s">
        <v>199</v>
      </c>
      <c r="F33" s="601">
        <v>2015</v>
      </c>
      <c r="G33" s="601" t="s">
        <v>567</v>
      </c>
      <c r="H33" s="604">
        <v>405548.07199999999</v>
      </c>
      <c r="I33" s="604">
        <v>353717.35200000001</v>
      </c>
      <c r="J33" s="605">
        <v>7.6231211483542642</v>
      </c>
      <c r="K33" s="606">
        <v>394.86493300000001</v>
      </c>
      <c r="L33" s="604">
        <v>5319974.1169999996</v>
      </c>
      <c r="M33" s="607">
        <v>371480</v>
      </c>
      <c r="N33" s="607">
        <v>3841843</v>
      </c>
      <c r="O33" s="608">
        <v>282.30616399472859</v>
      </c>
      <c r="P33" s="609">
        <v>1080393.7560000001</v>
      </c>
      <c r="Q33" s="609">
        <v>1084575.96</v>
      </c>
      <c r="R33" s="609">
        <v>920269.38100000005</v>
      </c>
      <c r="S33" s="610">
        <v>84.850615811178415</v>
      </c>
      <c r="T33" s="609">
        <v>791918.89899999998</v>
      </c>
      <c r="U33" s="607">
        <v>1420569</v>
      </c>
      <c r="V33" s="607">
        <v>4437.1485248095769</v>
      </c>
      <c r="W33" s="607">
        <v>146697</v>
      </c>
      <c r="X33" s="607">
        <v>34230</v>
      </c>
      <c r="Y33" s="607">
        <v>458.20820892472699</v>
      </c>
      <c r="Z33" s="611">
        <v>4.2856266432953554</v>
      </c>
      <c r="AA33" s="609">
        <v>1077809.416</v>
      </c>
      <c r="AB33" s="609" t="s">
        <v>20</v>
      </c>
      <c r="AC33" s="609"/>
      <c r="AD33" s="609"/>
      <c r="AE33" s="609"/>
      <c r="AF33" s="609"/>
      <c r="AG33" s="609"/>
      <c r="AH33" s="609">
        <v>678555.25399999996</v>
      </c>
      <c r="AI33" s="609">
        <v>49692.082999999999</v>
      </c>
      <c r="AJ33" s="609">
        <v>0</v>
      </c>
      <c r="AK33" s="609">
        <v>16742.044000000002</v>
      </c>
      <c r="AL33" s="609">
        <v>175280.17300000001</v>
      </c>
      <c r="AM33" s="609">
        <v>0</v>
      </c>
      <c r="AN33" s="609">
        <v>-0.17299999999999999</v>
      </c>
      <c r="AO33" s="609">
        <v>920269.38100000005</v>
      </c>
      <c r="AP33" s="609">
        <v>4412.6390000000001</v>
      </c>
      <c r="AQ33" s="609">
        <v>915856.74199999997</v>
      </c>
      <c r="AR33" s="609" t="s">
        <v>20</v>
      </c>
      <c r="AS33" s="609">
        <v>24425.358</v>
      </c>
      <c r="AT33" s="609">
        <v>100177.78599999999</v>
      </c>
      <c r="AU33" s="609" t="s">
        <v>20</v>
      </c>
      <c r="AV33" s="609">
        <v>1040459.8860000001</v>
      </c>
      <c r="AW33" s="609">
        <v>41531.735000000001</v>
      </c>
      <c r="AX33" s="609" t="s">
        <v>20</v>
      </c>
      <c r="AY33" s="612" t="s">
        <v>430</v>
      </c>
      <c r="AZ33" s="612" t="s">
        <v>433</v>
      </c>
      <c r="BA33" s="613" t="s">
        <v>552</v>
      </c>
      <c r="BB33" s="614">
        <v>6.6488547541931592E-2</v>
      </c>
      <c r="BC33" s="614">
        <v>8.5005294346284316E-2</v>
      </c>
      <c r="BD33" s="613" t="s">
        <v>576</v>
      </c>
      <c r="BE33" s="613" t="s">
        <v>576</v>
      </c>
    </row>
    <row r="34" spans="1:57">
      <c r="A34" s="601" t="s">
        <v>56</v>
      </c>
      <c r="B34" s="602" t="s">
        <v>426</v>
      </c>
      <c r="C34" s="601">
        <v>8</v>
      </c>
      <c r="D34" s="601">
        <v>32</v>
      </c>
      <c r="E34" s="603" t="s">
        <v>234</v>
      </c>
      <c r="F34" s="601">
        <v>2015</v>
      </c>
      <c r="G34" s="601" t="s">
        <v>567</v>
      </c>
      <c r="H34" s="604">
        <v>328274.89500000002</v>
      </c>
      <c r="I34" s="609">
        <v>860905.72100000002</v>
      </c>
      <c r="J34" s="605">
        <v>3.7018851359821756</v>
      </c>
      <c r="K34" s="606">
        <v>357.20843289999999</v>
      </c>
      <c r="L34" s="609">
        <v>8867776.3609999996</v>
      </c>
      <c r="M34" s="607">
        <v>332518</v>
      </c>
      <c r="N34" s="607">
        <v>3785768</v>
      </c>
      <c r="O34" s="608">
        <v>315.51501359829763</v>
      </c>
      <c r="P34" s="609">
        <v>1194466.642</v>
      </c>
      <c r="Q34" s="609">
        <v>1194466.642</v>
      </c>
      <c r="R34" s="609">
        <v>1076641.858</v>
      </c>
      <c r="S34" s="610">
        <v>90.135782795682289</v>
      </c>
      <c r="T34" s="609">
        <v>1106751.031</v>
      </c>
      <c r="U34" s="607">
        <v>3859251</v>
      </c>
      <c r="V34" s="607">
        <v>12232.92394039994</v>
      </c>
      <c r="W34" s="607">
        <v>232771</v>
      </c>
      <c r="X34" s="607">
        <v>38095</v>
      </c>
      <c r="Y34" s="607">
        <v>737.82968211469904</v>
      </c>
      <c r="Z34" s="611">
        <v>6.1102769392308698</v>
      </c>
      <c r="AA34" s="609">
        <v>1194466.642</v>
      </c>
      <c r="AB34" s="609">
        <v>0</v>
      </c>
      <c r="AC34" s="609"/>
      <c r="AD34" s="609"/>
      <c r="AE34" s="609"/>
      <c r="AF34" s="609"/>
      <c r="AG34" s="609"/>
      <c r="AH34" s="609">
        <v>700983.179</v>
      </c>
      <c r="AI34" s="609">
        <v>55459.497000000003</v>
      </c>
      <c r="AJ34" s="609">
        <v>0</v>
      </c>
      <c r="AK34" s="609">
        <v>96113.062999999995</v>
      </c>
      <c r="AL34" s="609">
        <v>224086.11900000001</v>
      </c>
      <c r="AM34" s="609">
        <v>0</v>
      </c>
      <c r="AN34" s="609">
        <v>0</v>
      </c>
      <c r="AO34" s="609">
        <v>1076641.858</v>
      </c>
      <c r="AP34" s="609">
        <v>0</v>
      </c>
      <c r="AQ34" s="609">
        <v>1076641.858</v>
      </c>
      <c r="AR34" s="609">
        <v>0.90135782795682295</v>
      </c>
      <c r="AS34" s="609">
        <v>48866.332000000002</v>
      </c>
      <c r="AT34" s="609">
        <v>135656.58199999999</v>
      </c>
      <c r="AU34" s="609">
        <v>0.11357084177156954</v>
      </c>
      <c r="AV34" s="609">
        <v>1261164.7720000001</v>
      </c>
      <c r="AW34" s="609">
        <v>-66698.13</v>
      </c>
      <c r="AX34" s="609">
        <v>0</v>
      </c>
      <c r="AY34" s="612" t="s">
        <v>435</v>
      </c>
      <c r="AZ34" s="612" t="s">
        <v>433</v>
      </c>
      <c r="BA34" s="613" t="s">
        <v>552</v>
      </c>
      <c r="BB34" s="614">
        <v>9.7082479976177208E-2</v>
      </c>
      <c r="BC34" s="614">
        <v>1.5596920669999487E-3</v>
      </c>
      <c r="BD34" s="613" t="s">
        <v>573</v>
      </c>
      <c r="BE34" s="613" t="s">
        <v>573</v>
      </c>
    </row>
    <row r="35" spans="1:57">
      <c r="A35" s="601" t="s">
        <v>56</v>
      </c>
      <c r="B35" s="603" t="s">
        <v>423</v>
      </c>
      <c r="C35" s="601">
        <v>7</v>
      </c>
      <c r="D35" s="601">
        <v>33</v>
      </c>
      <c r="E35" s="603" t="s">
        <v>216</v>
      </c>
      <c r="F35" s="601">
        <v>2015</v>
      </c>
      <c r="G35" s="601" t="s">
        <v>469</v>
      </c>
      <c r="H35" s="604">
        <v>-152468.34299999999</v>
      </c>
      <c r="I35" s="604">
        <v>55626.851999999999</v>
      </c>
      <c r="J35" s="605">
        <v>-16.180879432469482</v>
      </c>
      <c r="K35" s="606">
        <v>227.33901209999999</v>
      </c>
      <c r="L35" s="604">
        <v>942274.76100000006</v>
      </c>
      <c r="M35" s="607">
        <v>314783</v>
      </c>
      <c r="N35" s="607">
        <v>3682637</v>
      </c>
      <c r="O35" s="608">
        <v>255.78710418648376</v>
      </c>
      <c r="P35" s="609">
        <v>941971.054</v>
      </c>
      <c r="Q35" s="609">
        <v>941971.054</v>
      </c>
      <c r="R35" s="609">
        <v>996704.46699999995</v>
      </c>
      <c r="S35" s="610">
        <v>105.81051962983142</v>
      </c>
      <c r="T35" s="609">
        <v>951008.255</v>
      </c>
      <c r="U35" s="607">
        <v>4714483</v>
      </c>
      <c r="V35" s="607">
        <v>15362.305869408252</v>
      </c>
      <c r="W35" s="607">
        <v>195684</v>
      </c>
      <c r="X35" s="607">
        <v>58564</v>
      </c>
      <c r="Y35" s="607">
        <v>637.64308021670342</v>
      </c>
      <c r="Z35" s="611">
        <v>3.3413701249914625</v>
      </c>
      <c r="AA35" s="609">
        <v>941971.054</v>
      </c>
      <c r="AB35" s="609">
        <v>0</v>
      </c>
      <c r="AC35" s="609"/>
      <c r="AD35" s="609"/>
      <c r="AE35" s="609"/>
      <c r="AF35" s="609"/>
      <c r="AG35" s="609"/>
      <c r="AH35" s="609">
        <v>522458.39600000001</v>
      </c>
      <c r="AI35" s="609">
        <v>261925.46900000001</v>
      </c>
      <c r="AJ35" s="609">
        <v>1.0349999999999999</v>
      </c>
      <c r="AK35" s="609">
        <v>24.291</v>
      </c>
      <c r="AL35" s="609">
        <v>202905.52900000001</v>
      </c>
      <c r="AM35" s="609">
        <v>9389.7469999999994</v>
      </c>
      <c r="AN35" s="609">
        <v>0</v>
      </c>
      <c r="AO35" s="609">
        <v>996704.46699999995</v>
      </c>
      <c r="AP35" s="609">
        <v>0</v>
      </c>
      <c r="AQ35" s="609">
        <v>996704.46699999995</v>
      </c>
      <c r="AR35" s="609">
        <v>1.0581051962983141</v>
      </c>
      <c r="AS35" s="609">
        <v>31022.732</v>
      </c>
      <c r="AT35" s="609">
        <v>55323.144999999997</v>
      </c>
      <c r="AU35" s="609">
        <v>5.8731257998932092E-2</v>
      </c>
      <c r="AV35" s="609">
        <v>1094420.344</v>
      </c>
      <c r="AW35" s="609">
        <v>-152449.29</v>
      </c>
      <c r="AX35" s="609">
        <v>0</v>
      </c>
      <c r="AY35" s="612" t="s">
        <v>430</v>
      </c>
      <c r="AZ35" s="612" t="s">
        <v>431</v>
      </c>
      <c r="BA35" s="613" t="s">
        <v>552</v>
      </c>
      <c r="BB35" s="614">
        <v>5.9034640746362936E-2</v>
      </c>
      <c r="BC35" s="614">
        <v>-0.1618087943246948</v>
      </c>
      <c r="BD35" s="613" t="s">
        <v>580</v>
      </c>
      <c r="BE35" s="613" t="s">
        <v>580</v>
      </c>
    </row>
    <row r="36" spans="1:57">
      <c r="A36" s="601" t="s">
        <v>85</v>
      </c>
      <c r="B36" s="602" t="s">
        <v>426</v>
      </c>
      <c r="C36" s="601">
        <v>8</v>
      </c>
      <c r="D36" s="601">
        <v>34</v>
      </c>
      <c r="E36" s="603" t="s">
        <v>217</v>
      </c>
      <c r="F36" s="601">
        <v>2015</v>
      </c>
      <c r="G36" s="601" t="s">
        <v>567</v>
      </c>
      <c r="H36" s="604">
        <v>10865.018</v>
      </c>
      <c r="I36" s="609">
        <v>179274.29</v>
      </c>
      <c r="J36" s="605">
        <v>0.50096584417904799</v>
      </c>
      <c r="K36" s="606">
        <v>331.19116630000002</v>
      </c>
      <c r="L36" s="609">
        <v>2168814.1269999999</v>
      </c>
      <c r="M36" s="607">
        <v>310274</v>
      </c>
      <c r="N36" s="607">
        <v>3641307</v>
      </c>
      <c r="O36" s="608">
        <v>417.58912637687513</v>
      </c>
      <c r="P36" s="609">
        <v>1520570.209</v>
      </c>
      <c r="Q36" s="609">
        <v>1520570.209</v>
      </c>
      <c r="R36" s="609">
        <v>1283225.226</v>
      </c>
      <c r="S36" s="610">
        <v>84.391053987826751</v>
      </c>
      <c r="T36" s="609">
        <v>1234505.564</v>
      </c>
      <c r="U36" s="607">
        <v>1246988</v>
      </c>
      <c r="V36" s="607">
        <v>4109.473878472757</v>
      </c>
      <c r="W36" s="607">
        <v>156000</v>
      </c>
      <c r="X36" s="607">
        <v>34287</v>
      </c>
      <c r="Y36" s="607">
        <v>514.1011180875438</v>
      </c>
      <c r="Z36" s="611">
        <v>4.5498293813981974</v>
      </c>
      <c r="AA36" s="609">
        <v>1520570.209</v>
      </c>
      <c r="AB36" s="609">
        <v>0</v>
      </c>
      <c r="AC36" s="609"/>
      <c r="AD36" s="609"/>
      <c r="AE36" s="609"/>
      <c r="AF36" s="609"/>
      <c r="AG36" s="609"/>
      <c r="AH36" s="609">
        <v>549400.723</v>
      </c>
      <c r="AI36" s="609">
        <v>243226.69099999999</v>
      </c>
      <c r="AJ36" s="609">
        <v>0</v>
      </c>
      <c r="AK36" s="609">
        <v>52746.822</v>
      </c>
      <c r="AL36" s="609">
        <v>409854.283</v>
      </c>
      <c r="AM36" s="609">
        <v>27996.706999999999</v>
      </c>
      <c r="AN36" s="609">
        <v>0</v>
      </c>
      <c r="AO36" s="609">
        <v>1283225.226</v>
      </c>
      <c r="AP36" s="609">
        <v>0</v>
      </c>
      <c r="AQ36" s="609">
        <v>1283225.226</v>
      </c>
      <c r="AR36" s="609">
        <v>0.84391053987826747</v>
      </c>
      <c r="AS36" s="609">
        <v>70801.497000000003</v>
      </c>
      <c r="AT36" s="609">
        <v>142282.93700000001</v>
      </c>
      <c r="AU36" s="609">
        <v>9.3572092993701422E-2</v>
      </c>
      <c r="AV36" s="609">
        <v>1487627.456</v>
      </c>
      <c r="AW36" s="609">
        <v>32942.752999999997</v>
      </c>
      <c r="AX36" s="609">
        <v>0</v>
      </c>
      <c r="AY36" s="612" t="s">
        <v>430</v>
      </c>
      <c r="AZ36" s="612" t="s">
        <v>431</v>
      </c>
      <c r="BA36" s="613" t="s">
        <v>552</v>
      </c>
      <c r="BB36" s="614">
        <v>8.2660052684173618E-2</v>
      </c>
      <c r="BC36" s="614">
        <v>7.3429407437558908E-2</v>
      </c>
      <c r="BD36" s="613" t="s">
        <v>575</v>
      </c>
      <c r="BE36" s="613" t="s">
        <v>575</v>
      </c>
    </row>
    <row r="37" spans="1:57">
      <c r="A37" s="601" t="s">
        <v>94</v>
      </c>
      <c r="B37" s="602" t="s">
        <v>147</v>
      </c>
      <c r="C37" s="601">
        <v>20</v>
      </c>
      <c r="D37" s="601">
        <v>35</v>
      </c>
      <c r="E37" s="603" t="s">
        <v>147</v>
      </c>
      <c r="F37" s="601">
        <v>2015</v>
      </c>
      <c r="G37" s="601" t="s">
        <v>567</v>
      </c>
      <c r="H37" s="604">
        <v>39637.673000000003</v>
      </c>
      <c r="I37" s="609">
        <v>92955.014999999999</v>
      </c>
      <c r="J37" s="605">
        <v>3.703634418266414</v>
      </c>
      <c r="K37" s="606">
        <v>453.02801890000001</v>
      </c>
      <c r="L37" s="609">
        <v>1070237.192</v>
      </c>
      <c r="M37" s="607">
        <v>288662</v>
      </c>
      <c r="N37" s="607">
        <v>3482906</v>
      </c>
      <c r="O37" s="608">
        <v>244.45106787263279</v>
      </c>
      <c r="P37" s="609">
        <v>851400.09100000001</v>
      </c>
      <c r="Q37" s="609">
        <v>851400.09100000001</v>
      </c>
      <c r="R37" s="609">
        <v>756275.21600000001</v>
      </c>
      <c r="S37" s="610">
        <v>88.827241621706605</v>
      </c>
      <c r="T37" s="609">
        <v>752441.25100000005</v>
      </c>
      <c r="U37" s="607">
        <v>870027</v>
      </c>
      <c r="V37" s="607">
        <v>2997.5899435701108</v>
      </c>
      <c r="W37" s="607">
        <v>73653</v>
      </c>
      <c r="X37" s="607">
        <v>17886</v>
      </c>
      <c r="Y37" s="607">
        <v>253.7639545827536</v>
      </c>
      <c r="Z37" s="611">
        <v>4.1179134518617913</v>
      </c>
      <c r="AA37" s="609">
        <v>856530.08600000001</v>
      </c>
      <c r="AB37" s="609">
        <v>0</v>
      </c>
      <c r="AC37" s="609"/>
      <c r="AD37" s="609"/>
      <c r="AE37" s="609"/>
      <c r="AF37" s="609"/>
      <c r="AG37" s="609"/>
      <c r="AH37" s="609">
        <v>719721.11300000001</v>
      </c>
      <c r="AI37" s="609">
        <v>0</v>
      </c>
      <c r="AJ37" s="609">
        <v>0</v>
      </c>
      <c r="AK37" s="609">
        <v>0</v>
      </c>
      <c r="AL37" s="609">
        <v>26969.54</v>
      </c>
      <c r="AM37" s="609">
        <v>0</v>
      </c>
      <c r="AN37" s="609">
        <v>9584.5630000000001</v>
      </c>
      <c r="AO37" s="609">
        <v>756275.21600000001</v>
      </c>
      <c r="AP37" s="609">
        <v>9785.5439999999999</v>
      </c>
      <c r="AQ37" s="609">
        <v>746489.67200000002</v>
      </c>
      <c r="AR37" s="609">
        <v>0.87152767217566252</v>
      </c>
      <c r="AS37" s="609">
        <v>13705.031000000001</v>
      </c>
      <c r="AT37" s="609">
        <v>73137.686000000002</v>
      </c>
      <c r="AU37" s="609">
        <v>8.538834443230521E-2</v>
      </c>
      <c r="AV37" s="609">
        <v>833332.38899999997</v>
      </c>
      <c r="AW37" s="609">
        <v>23197.697</v>
      </c>
      <c r="AX37" s="609">
        <v>0</v>
      </c>
      <c r="AY37" s="609" t="s">
        <v>435</v>
      </c>
      <c r="AZ37" s="609" t="s">
        <v>431</v>
      </c>
      <c r="BA37" s="613" t="s">
        <v>552</v>
      </c>
      <c r="BB37" s="614">
        <v>8.6854592322932467E-2</v>
      </c>
      <c r="BC37" s="614">
        <v>2.4872991460001437E-2</v>
      </c>
      <c r="BD37" s="613" t="s">
        <v>573</v>
      </c>
      <c r="BE37" s="613" t="s">
        <v>573</v>
      </c>
    </row>
    <row r="38" spans="1:57">
      <c r="A38" s="601" t="s">
        <v>82</v>
      </c>
      <c r="B38" s="602" t="s">
        <v>418</v>
      </c>
      <c r="C38" s="601">
        <v>1</v>
      </c>
      <c r="D38" s="601">
        <v>36</v>
      </c>
      <c r="E38" s="603" t="s">
        <v>276</v>
      </c>
      <c r="F38" s="601">
        <v>2015</v>
      </c>
      <c r="G38" s="601" t="s">
        <v>469</v>
      </c>
      <c r="H38" s="619">
        <v>120549.48699999999</v>
      </c>
      <c r="I38" s="604">
        <v>235022.84599999999</v>
      </c>
      <c r="J38" s="605">
        <v>5.6195639065223473</v>
      </c>
      <c r="K38" s="606">
        <v>379.43481309999999</v>
      </c>
      <c r="L38" s="604">
        <v>2145175.1239999998</v>
      </c>
      <c r="M38" s="607">
        <v>290732</v>
      </c>
      <c r="N38" s="607">
        <v>3476329</v>
      </c>
      <c r="O38" s="608">
        <v>618.63585207268932</v>
      </c>
      <c r="P38" s="609">
        <v>2111458.8730000001</v>
      </c>
      <c r="Q38" s="609">
        <v>2150581.753</v>
      </c>
      <c r="R38" s="609">
        <v>1646994.79</v>
      </c>
      <c r="S38" s="610">
        <v>76.583686609564566</v>
      </c>
      <c r="T38" s="609">
        <v>1650424.612</v>
      </c>
      <c r="U38" s="607">
        <v>3132498</v>
      </c>
      <c r="V38" s="607">
        <v>10813.123844147087</v>
      </c>
      <c r="W38" s="607">
        <v>2146524</v>
      </c>
      <c r="X38" s="607">
        <v>110072</v>
      </c>
      <c r="Y38" s="607">
        <v>7409.6231973440945</v>
      </c>
      <c r="Z38" s="611">
        <v>19.501090195508393</v>
      </c>
      <c r="AA38" s="609">
        <v>2099716.8119999999</v>
      </c>
      <c r="AB38" s="609">
        <v>-45458.311999999918</v>
      </c>
      <c r="AC38" s="609"/>
      <c r="AD38" s="609"/>
      <c r="AE38" s="609"/>
      <c r="AF38" s="609"/>
      <c r="AG38" s="609"/>
      <c r="AH38" s="609">
        <v>1345391.0260000001</v>
      </c>
      <c r="AI38" s="609">
        <v>40261.177000000003</v>
      </c>
      <c r="AJ38" s="609">
        <v>0</v>
      </c>
      <c r="AK38" s="609">
        <v>0</v>
      </c>
      <c r="AL38" s="609">
        <v>260507.09</v>
      </c>
      <c r="AM38" s="609">
        <v>0</v>
      </c>
      <c r="AN38" s="609">
        <v>835.49699999999996</v>
      </c>
      <c r="AO38" s="609">
        <v>1646994.79</v>
      </c>
      <c r="AP38" s="609">
        <v>8775.8919999999998</v>
      </c>
      <c r="AQ38" s="609">
        <v>1638218.898</v>
      </c>
      <c r="AR38" s="609">
        <v>0.76367606526468379</v>
      </c>
      <c r="AS38" s="609">
        <v>80668.03</v>
      </c>
      <c r="AT38" s="609">
        <v>235022.84599999999</v>
      </c>
      <c r="AU38" s="609">
        <v>0.10955881567457521</v>
      </c>
      <c r="AV38" s="609">
        <v>1953909.774</v>
      </c>
      <c r="AW38" s="609">
        <v>191265.35</v>
      </c>
      <c r="AX38" s="609">
        <v>0</v>
      </c>
      <c r="AY38" s="612" t="s">
        <v>430</v>
      </c>
      <c r="AZ38" s="612" t="s">
        <v>433</v>
      </c>
      <c r="BA38" s="613" t="s">
        <v>552</v>
      </c>
      <c r="BB38" s="614">
        <v>0.10955881567457521</v>
      </c>
      <c r="BC38" s="614">
        <v>5.6195639065223471E-2</v>
      </c>
      <c r="BD38" s="613" t="s">
        <v>575</v>
      </c>
      <c r="BE38" s="613" t="s">
        <v>575</v>
      </c>
    </row>
    <row r="39" spans="1:57">
      <c r="A39" s="601" t="s">
        <v>82</v>
      </c>
      <c r="B39" s="603" t="s">
        <v>419</v>
      </c>
      <c r="C39" s="601">
        <v>2</v>
      </c>
      <c r="D39" s="601">
        <v>37</v>
      </c>
      <c r="E39" s="603" t="s">
        <v>201</v>
      </c>
      <c r="F39" s="601">
        <v>2015</v>
      </c>
      <c r="G39" s="601" t="s">
        <v>567</v>
      </c>
      <c r="H39" s="604">
        <v>25946.969000000001</v>
      </c>
      <c r="I39" s="604">
        <v>295335.56900000002</v>
      </c>
      <c r="J39" s="605">
        <v>1.3091753212196193</v>
      </c>
      <c r="K39" s="606">
        <v>321.09822380000003</v>
      </c>
      <c r="L39" s="604">
        <v>1981932.334</v>
      </c>
      <c r="M39" s="607">
        <v>296087</v>
      </c>
      <c r="N39" s="607">
        <v>3475752</v>
      </c>
      <c r="O39" s="608">
        <v>512.74366784511665</v>
      </c>
      <c r="P39" s="609">
        <v>1782169.8289999999</v>
      </c>
      <c r="Q39" s="609">
        <v>1782169.8289999999</v>
      </c>
      <c r="R39" s="609">
        <v>1393438.5530000001</v>
      </c>
      <c r="S39" s="610">
        <v>78.187753508422801</v>
      </c>
      <c r="T39" s="609">
        <v>1367879.8589999999</v>
      </c>
      <c r="U39" s="607">
        <v>1924074</v>
      </c>
      <c r="V39" s="607">
        <v>6642.8467853862994</v>
      </c>
      <c r="W39" s="607">
        <v>1261506</v>
      </c>
      <c r="X39" s="607">
        <v>67158</v>
      </c>
      <c r="Y39" s="607">
        <v>4355.337204725769</v>
      </c>
      <c r="Z39" s="611">
        <v>18.784150808541053</v>
      </c>
      <c r="AA39" s="609">
        <v>1771635.483</v>
      </c>
      <c r="AB39" s="609">
        <v>0</v>
      </c>
      <c r="AC39" s="609"/>
      <c r="AD39" s="609"/>
      <c r="AE39" s="609"/>
      <c r="AF39" s="609"/>
      <c r="AG39" s="609"/>
      <c r="AH39" s="609">
        <v>914533.33100000001</v>
      </c>
      <c r="AI39" s="609">
        <v>107460.766</v>
      </c>
      <c r="AJ39" s="609">
        <v>0</v>
      </c>
      <c r="AK39" s="609">
        <v>96875.486999999994</v>
      </c>
      <c r="AL39" s="609">
        <v>264736.89500000002</v>
      </c>
      <c r="AM39" s="609">
        <v>563.149</v>
      </c>
      <c r="AN39" s="609">
        <v>9268.9249999999993</v>
      </c>
      <c r="AO39" s="609">
        <v>1393438.5530000001</v>
      </c>
      <c r="AP39" s="609">
        <v>14182.476000000001</v>
      </c>
      <c r="AQ39" s="609">
        <v>1379256.077</v>
      </c>
      <c r="AR39" s="609">
        <v>0.77852136640683889</v>
      </c>
      <c r="AS39" s="609">
        <v>38959.864999999998</v>
      </c>
      <c r="AT39" s="609">
        <v>271310.49300000002</v>
      </c>
      <c r="AU39" s="609">
        <v>0.15314126162147995</v>
      </c>
      <c r="AV39" s="609">
        <v>1690564.2479999999</v>
      </c>
      <c r="AW39" s="609">
        <v>81071.235000000001</v>
      </c>
      <c r="AX39" s="609">
        <v>0</v>
      </c>
      <c r="AY39" s="612" t="s">
        <v>430</v>
      </c>
      <c r="AZ39" s="612" t="s">
        <v>433</v>
      </c>
      <c r="BA39" s="613" t="s">
        <v>552</v>
      </c>
      <c r="BB39" s="614">
        <v>0.14901395165391151</v>
      </c>
      <c r="BC39" s="614">
        <v>6.9108513261860516E-2</v>
      </c>
      <c r="BD39" s="613" t="s">
        <v>575</v>
      </c>
      <c r="BE39" s="613" t="s">
        <v>575</v>
      </c>
    </row>
    <row r="40" spans="1:57">
      <c r="A40" s="601" t="s">
        <v>66</v>
      </c>
      <c r="B40" s="602" t="s">
        <v>142</v>
      </c>
      <c r="C40" s="601">
        <v>16</v>
      </c>
      <c r="D40" s="601">
        <v>38</v>
      </c>
      <c r="E40" s="603" t="s">
        <v>142</v>
      </c>
      <c r="F40" s="601">
        <v>2015</v>
      </c>
      <c r="G40" s="601" t="s">
        <v>469</v>
      </c>
      <c r="H40" s="604">
        <v>47799.305999999997</v>
      </c>
      <c r="I40" s="609">
        <v>58582.305999999997</v>
      </c>
      <c r="J40" s="605">
        <v>3.0560660879718196</v>
      </c>
      <c r="K40" s="606">
        <v>491.41469389999997</v>
      </c>
      <c r="L40" s="609">
        <v>1564079.5919999999</v>
      </c>
      <c r="M40" s="607">
        <v>276913</v>
      </c>
      <c r="N40" s="607">
        <v>3436434</v>
      </c>
      <c r="O40" s="608">
        <v>440.28629125424789</v>
      </c>
      <c r="P40" s="609">
        <v>1513014.781</v>
      </c>
      <c r="Q40" s="609">
        <v>1513014.781</v>
      </c>
      <c r="R40" s="609">
        <v>1341910.156</v>
      </c>
      <c r="S40" s="610">
        <v>88.69114650109951</v>
      </c>
      <c r="T40" s="609">
        <v>1341798.1000000001</v>
      </c>
      <c r="U40" s="607">
        <v>3356182</v>
      </c>
      <c r="V40" s="607">
        <v>11719.760658869049</v>
      </c>
      <c r="W40" s="607">
        <v>184989</v>
      </c>
      <c r="X40" s="607">
        <v>41118</v>
      </c>
      <c r="Y40" s="607">
        <v>645.9801061216366</v>
      </c>
      <c r="Z40" s="611">
        <v>4.4989785495403476</v>
      </c>
      <c r="AA40" s="609">
        <v>1513014.7819999999</v>
      </c>
      <c r="AB40" s="609">
        <v>32274.116999999853</v>
      </c>
      <c r="AC40" s="609"/>
      <c r="AD40" s="609"/>
      <c r="AE40" s="609"/>
      <c r="AF40" s="609"/>
      <c r="AG40" s="609"/>
      <c r="AH40" s="609">
        <v>788199.35199999996</v>
      </c>
      <c r="AI40" s="609">
        <v>130620.959</v>
      </c>
      <c r="AJ40" s="609">
        <v>0</v>
      </c>
      <c r="AK40" s="609">
        <v>140695.50899999999</v>
      </c>
      <c r="AL40" s="609">
        <v>280004.092</v>
      </c>
      <c r="AM40" s="609">
        <v>0</v>
      </c>
      <c r="AN40" s="609">
        <v>2390.2440000000001</v>
      </c>
      <c r="AO40" s="609">
        <v>1341910.156</v>
      </c>
      <c r="AP40" s="609">
        <v>112.056</v>
      </c>
      <c r="AQ40" s="609">
        <v>1341798.1000000001</v>
      </c>
      <c r="AR40" s="609">
        <v>0.90616684725140584</v>
      </c>
      <c r="AS40" s="609">
        <v>57807.28</v>
      </c>
      <c r="AT40" s="609">
        <v>52889.815000000002</v>
      </c>
      <c r="AU40" s="609">
        <v>3.5718486194204709E-2</v>
      </c>
      <c r="AV40" s="609">
        <v>1437047.1950000001</v>
      </c>
      <c r="AW40" s="609">
        <v>43693.47</v>
      </c>
      <c r="AX40" s="609">
        <v>0</v>
      </c>
      <c r="AY40" s="609" t="s">
        <v>435</v>
      </c>
      <c r="AZ40" s="609" t="s">
        <v>431</v>
      </c>
      <c r="BA40" s="613" t="s">
        <v>552</v>
      </c>
      <c r="BB40" s="614">
        <v>3.7454811314998601E-2</v>
      </c>
      <c r="BC40" s="614">
        <v>3.0560660879718194E-2</v>
      </c>
      <c r="BD40" s="613" t="s">
        <v>574</v>
      </c>
      <c r="BE40" s="613" t="s">
        <v>574</v>
      </c>
    </row>
    <row r="41" spans="1:57">
      <c r="A41" s="601" t="s">
        <v>56</v>
      </c>
      <c r="B41" s="602" t="s">
        <v>418</v>
      </c>
      <c r="C41" s="601">
        <v>1</v>
      </c>
      <c r="D41" s="601">
        <v>39</v>
      </c>
      <c r="E41" s="603" t="s">
        <v>278</v>
      </c>
      <c r="F41" s="601">
        <v>2015</v>
      </c>
      <c r="G41" s="601" t="s">
        <v>567</v>
      </c>
      <c r="H41" s="619">
        <v>-12901.791999999999</v>
      </c>
      <c r="I41" s="604">
        <v>258498.22</v>
      </c>
      <c r="J41" s="605">
        <v>-0.39712681742926143</v>
      </c>
      <c r="K41" s="606">
        <v>246.81732729999999</v>
      </c>
      <c r="L41" s="604">
        <v>3248783.8730000001</v>
      </c>
      <c r="M41" s="607">
        <v>289403</v>
      </c>
      <c r="N41" s="607">
        <v>3412930</v>
      </c>
      <c r="O41" s="608">
        <v>534.2865449921328</v>
      </c>
      <c r="P41" s="609">
        <v>1827611.125</v>
      </c>
      <c r="Q41" s="609">
        <v>1823482.578</v>
      </c>
      <c r="R41" s="609">
        <v>1709065.3149999999</v>
      </c>
      <c r="S41" s="610">
        <v>93.725343780059958</v>
      </c>
      <c r="T41" s="609">
        <v>1732393.11</v>
      </c>
      <c r="U41" s="607">
        <v>2440748</v>
      </c>
      <c r="V41" s="607">
        <v>8581.7687441582457</v>
      </c>
      <c r="W41" s="607">
        <v>1350053</v>
      </c>
      <c r="X41" s="607">
        <v>88547</v>
      </c>
      <c r="Y41" s="607">
        <v>4746.8409841397279</v>
      </c>
      <c r="Z41" s="611">
        <v>15.246739019955504</v>
      </c>
      <c r="AA41" s="609">
        <v>1825778.818</v>
      </c>
      <c r="AB41" s="609">
        <v>4128.5470000000205</v>
      </c>
      <c r="AC41" s="609"/>
      <c r="AD41" s="609"/>
      <c r="AE41" s="609"/>
      <c r="AF41" s="609"/>
      <c r="AG41" s="609"/>
      <c r="AH41" s="609">
        <v>1479077.1129999999</v>
      </c>
      <c r="AI41" s="609">
        <v>28428.047999999999</v>
      </c>
      <c r="AJ41" s="609">
        <v>0</v>
      </c>
      <c r="AK41" s="609">
        <v>0</v>
      </c>
      <c r="AL41" s="609">
        <v>201382.54800000001</v>
      </c>
      <c r="AM41" s="609">
        <v>0</v>
      </c>
      <c r="AN41" s="609">
        <v>177.60599999999999</v>
      </c>
      <c r="AO41" s="609">
        <v>1709065.3149999999</v>
      </c>
      <c r="AP41" s="609">
        <v>0</v>
      </c>
      <c r="AQ41" s="609">
        <v>1709065.3149999999</v>
      </c>
      <c r="AR41" s="609">
        <v>0.93819617420955548</v>
      </c>
      <c r="AS41" s="609">
        <v>85459.778000000006</v>
      </c>
      <c r="AT41" s="609">
        <v>64451.697</v>
      </c>
      <c r="AU41" s="609">
        <v>3.5380938935451682E-2</v>
      </c>
      <c r="AV41" s="609">
        <v>1756458.79</v>
      </c>
      <c r="AW41" s="609">
        <v>65191.481</v>
      </c>
      <c r="AX41" s="609">
        <v>0</v>
      </c>
      <c r="AY41" s="612" t="s">
        <v>430</v>
      </c>
      <c r="AZ41" s="612" t="s">
        <v>433</v>
      </c>
      <c r="BA41" s="613" t="s">
        <v>552</v>
      </c>
      <c r="BB41" s="614">
        <v>7.9567687511726326E-2</v>
      </c>
      <c r="BC41" s="614">
        <v>-1.682112531232588E-2</v>
      </c>
      <c r="BD41" s="613" t="s">
        <v>572</v>
      </c>
      <c r="BE41" s="613" t="s">
        <v>572</v>
      </c>
    </row>
    <row r="42" spans="1:57">
      <c r="A42" s="601" t="s">
        <v>64</v>
      </c>
      <c r="B42" s="603" t="s">
        <v>424</v>
      </c>
      <c r="C42" s="601">
        <v>6</v>
      </c>
      <c r="D42" s="601">
        <v>40</v>
      </c>
      <c r="E42" s="603" t="s">
        <v>209</v>
      </c>
      <c r="F42" s="601">
        <v>2015</v>
      </c>
      <c r="G42" s="601" t="s">
        <v>567</v>
      </c>
      <c r="H42" s="604">
        <v>260169.288</v>
      </c>
      <c r="I42" s="609">
        <v>432723.51899999997</v>
      </c>
      <c r="J42" s="605">
        <v>6.398440501519417</v>
      </c>
      <c r="K42" s="606">
        <v>769.11528799999996</v>
      </c>
      <c r="L42" s="609">
        <v>4066135.9270000001</v>
      </c>
      <c r="M42" s="607">
        <v>270540</v>
      </c>
      <c r="N42" s="607">
        <v>3373130</v>
      </c>
      <c r="O42" s="608">
        <v>407.26064189639891</v>
      </c>
      <c r="P42" s="609">
        <v>1373743.0889999999</v>
      </c>
      <c r="Q42" s="609">
        <v>1373743.0889999999</v>
      </c>
      <c r="R42" s="609">
        <v>890569.85400000005</v>
      </c>
      <c r="S42" s="610">
        <v>64.827977016305127</v>
      </c>
      <c r="T42" s="609">
        <v>1003703.937</v>
      </c>
      <c r="U42" s="607">
        <v>1524113</v>
      </c>
      <c r="V42" s="607">
        <v>5422.0726743410423</v>
      </c>
      <c r="W42" s="607">
        <v>119020</v>
      </c>
      <c r="X42" s="607">
        <v>24539</v>
      </c>
      <c r="Y42" s="607">
        <v>423.41682650831723</v>
      </c>
      <c r="Z42" s="611">
        <v>4.8502383960226574</v>
      </c>
      <c r="AA42" s="609" t="s">
        <v>20</v>
      </c>
      <c r="AB42" s="609" t="s">
        <v>20</v>
      </c>
      <c r="AC42" s="609"/>
      <c r="AD42" s="609"/>
      <c r="AE42" s="609"/>
      <c r="AF42" s="609"/>
      <c r="AG42" s="609"/>
      <c r="AH42" s="609" t="s">
        <v>20</v>
      </c>
      <c r="AI42" s="609" t="s">
        <v>20</v>
      </c>
      <c r="AJ42" s="609" t="s">
        <v>20</v>
      </c>
      <c r="AK42" s="609" t="s">
        <v>20</v>
      </c>
      <c r="AL42" s="609" t="s">
        <v>20</v>
      </c>
      <c r="AM42" s="609" t="s">
        <v>20</v>
      </c>
      <c r="AN42" s="609" t="s">
        <v>20</v>
      </c>
      <c r="AO42" s="609" t="s">
        <v>20</v>
      </c>
      <c r="AP42" s="609" t="s">
        <v>20</v>
      </c>
      <c r="AQ42" s="609" t="s">
        <v>20</v>
      </c>
      <c r="AR42" s="609" t="s">
        <v>20</v>
      </c>
      <c r="AS42" s="609" t="s">
        <v>20</v>
      </c>
      <c r="AT42" s="609" t="s">
        <v>20</v>
      </c>
      <c r="AU42" s="609" t="s">
        <v>20</v>
      </c>
      <c r="AV42" s="609" t="s">
        <v>20</v>
      </c>
      <c r="AW42" s="609" t="s">
        <v>20</v>
      </c>
      <c r="AX42" s="609" t="s">
        <v>20</v>
      </c>
      <c r="AY42" s="612" t="s">
        <v>430</v>
      </c>
      <c r="AZ42" s="612" t="s">
        <v>433</v>
      </c>
      <c r="BA42" s="613" t="s">
        <v>552</v>
      </c>
      <c r="BB42" s="614">
        <v>0.10642131172414196</v>
      </c>
      <c r="BC42" s="614">
        <v>0.24529891811280677</v>
      </c>
      <c r="BD42" s="613" t="s">
        <v>582</v>
      </c>
      <c r="BE42" s="613" t="s">
        <v>582</v>
      </c>
    </row>
    <row r="43" spans="1:57">
      <c r="A43" s="601" t="s">
        <v>53</v>
      </c>
      <c r="B43" s="602" t="s">
        <v>248</v>
      </c>
      <c r="C43" s="601">
        <v>38</v>
      </c>
      <c r="D43" s="601">
        <v>41</v>
      </c>
      <c r="E43" s="603" t="s">
        <v>248</v>
      </c>
      <c r="F43" s="601">
        <v>2015</v>
      </c>
      <c r="G43" s="601" t="s">
        <v>469</v>
      </c>
      <c r="H43" s="604">
        <v>10361.16</v>
      </c>
      <c r="I43" s="609">
        <v>4207.1729999999998</v>
      </c>
      <c r="J43" s="605">
        <v>8.740463121821497</v>
      </c>
      <c r="K43" s="606">
        <v>794.77940430000001</v>
      </c>
      <c r="L43" s="609">
        <v>118542.46</v>
      </c>
      <c r="M43" s="607">
        <v>4422</v>
      </c>
      <c r="N43" s="607">
        <v>3328820</v>
      </c>
      <c r="O43" s="608">
        <v>34.472863356985357</v>
      </c>
      <c r="P43" s="609">
        <v>114753.95699999999</v>
      </c>
      <c r="Q43" s="609">
        <v>114753.95699999999</v>
      </c>
      <c r="R43" s="609">
        <v>95414.407000000007</v>
      </c>
      <c r="S43" s="610">
        <v>83.146942810869703</v>
      </c>
      <c r="T43" s="609">
        <v>109999.217</v>
      </c>
      <c r="U43" s="607">
        <v>113835</v>
      </c>
      <c r="V43" s="607">
        <v>410.36162964654142</v>
      </c>
      <c r="W43" s="607">
        <v>111542</v>
      </c>
      <c r="X43" s="607">
        <v>15581</v>
      </c>
      <c r="Y43" s="607">
        <v>402.09563749316573</v>
      </c>
      <c r="Z43" s="611">
        <v>7.1588473140363265</v>
      </c>
      <c r="AA43" s="609" t="s">
        <v>20</v>
      </c>
      <c r="AB43" s="609" t="s">
        <v>20</v>
      </c>
      <c r="AC43" s="609"/>
      <c r="AD43" s="609"/>
      <c r="AE43" s="609"/>
      <c r="AF43" s="609"/>
      <c r="AG43" s="609"/>
      <c r="AH43" s="609" t="s">
        <v>20</v>
      </c>
      <c r="AI43" s="609" t="s">
        <v>20</v>
      </c>
      <c r="AJ43" s="609" t="s">
        <v>20</v>
      </c>
      <c r="AK43" s="609" t="s">
        <v>20</v>
      </c>
      <c r="AL43" s="609" t="s">
        <v>20</v>
      </c>
      <c r="AM43" s="609" t="s">
        <v>20</v>
      </c>
      <c r="AN43" s="609" t="s">
        <v>20</v>
      </c>
      <c r="AO43" s="609" t="s">
        <v>20</v>
      </c>
      <c r="AP43" s="609" t="s">
        <v>20</v>
      </c>
      <c r="AQ43" s="609" t="s">
        <v>20</v>
      </c>
      <c r="AR43" s="609" t="s">
        <v>20</v>
      </c>
      <c r="AS43" s="609" t="s">
        <v>20</v>
      </c>
      <c r="AT43" s="609" t="s">
        <v>20</v>
      </c>
      <c r="AU43" s="609" t="s">
        <v>20</v>
      </c>
      <c r="AV43" s="609" t="s">
        <v>20</v>
      </c>
      <c r="AW43" s="609" t="s">
        <v>20</v>
      </c>
      <c r="AX43" s="609" t="s">
        <v>20</v>
      </c>
      <c r="AY43" s="612"/>
      <c r="AZ43" s="612"/>
      <c r="BA43" s="613" t="s">
        <v>553</v>
      </c>
      <c r="BB43" s="614">
        <v>3.5490852813413853E-2</v>
      </c>
      <c r="BC43" s="652">
        <v>8.740463121821497E-2</v>
      </c>
      <c r="BD43" s="613" t="s">
        <v>576</v>
      </c>
      <c r="BE43" s="613" t="s">
        <v>576</v>
      </c>
    </row>
    <row r="44" spans="1:57">
      <c r="A44" s="601" t="s">
        <v>66</v>
      </c>
      <c r="B44" s="602" t="s">
        <v>162</v>
      </c>
      <c r="C44" s="601">
        <v>18</v>
      </c>
      <c r="D44" s="601">
        <v>42</v>
      </c>
      <c r="E44" s="603" t="s">
        <v>162</v>
      </c>
      <c r="F44" s="601">
        <v>2015</v>
      </c>
      <c r="G44" s="601" t="s">
        <v>567</v>
      </c>
      <c r="H44" s="604">
        <v>-25493.901000000002</v>
      </c>
      <c r="I44" s="609">
        <v>74065.769</v>
      </c>
      <c r="J44" s="605">
        <v>-1.1786215821994619</v>
      </c>
      <c r="K44" s="606">
        <v>241.2121507</v>
      </c>
      <c r="L44" s="609">
        <v>2163026.8259999999</v>
      </c>
      <c r="M44" s="607">
        <v>289724</v>
      </c>
      <c r="N44" s="607">
        <v>3262983</v>
      </c>
      <c r="O44" s="608">
        <v>485.82557340936194</v>
      </c>
      <c r="P44" s="609">
        <v>1585240.5859999999</v>
      </c>
      <c r="Q44" s="609">
        <v>1585240.5870000001</v>
      </c>
      <c r="R44" s="609">
        <v>1570906.7420000001</v>
      </c>
      <c r="S44" s="610">
        <v>99.095793716263216</v>
      </c>
      <c r="T44" s="609">
        <v>1548461.452</v>
      </c>
      <c r="U44" s="607">
        <v>2140981</v>
      </c>
      <c r="V44" s="607">
        <v>7873.7069730366356</v>
      </c>
      <c r="W44" s="607">
        <v>185087</v>
      </c>
      <c r="X44" s="607">
        <v>32034</v>
      </c>
      <c r="Y44" s="607">
        <v>680.67899832760395</v>
      </c>
      <c r="Z44" s="611">
        <v>5.7778298058313045</v>
      </c>
      <c r="AA44" s="609">
        <v>1581744.8929999999</v>
      </c>
      <c r="AB44" s="609">
        <v>0</v>
      </c>
      <c r="AC44" s="609"/>
      <c r="AD44" s="609"/>
      <c r="AE44" s="609"/>
      <c r="AF44" s="609"/>
      <c r="AG44" s="609"/>
      <c r="AH44" s="609">
        <v>1048552.118</v>
      </c>
      <c r="AI44" s="609">
        <v>190094.41899999999</v>
      </c>
      <c r="AJ44" s="609">
        <v>0</v>
      </c>
      <c r="AK44" s="609">
        <v>62368.595000000001</v>
      </c>
      <c r="AL44" s="609">
        <v>270895.51</v>
      </c>
      <c r="AM44" s="609">
        <v>-1003.899</v>
      </c>
      <c r="AN44" s="609">
        <v>0</v>
      </c>
      <c r="AO44" s="609">
        <v>1570906.743</v>
      </c>
      <c r="AP44" s="609">
        <v>3812.3110000000001</v>
      </c>
      <c r="AQ44" s="609">
        <v>1567094.432</v>
      </c>
      <c r="AR44" s="609">
        <v>0.99073778517330113</v>
      </c>
      <c r="AS44" s="609">
        <v>42349.561000000002</v>
      </c>
      <c r="AT44" s="609">
        <v>49960.447999999997</v>
      </c>
      <c r="AU44" s="609">
        <v>3.1585654691284028E-2</v>
      </c>
      <c r="AV44" s="609">
        <v>1619263.9739999999</v>
      </c>
      <c r="AW44" s="609">
        <v>-37519.080999999998</v>
      </c>
      <c r="AX44" s="609">
        <v>0</v>
      </c>
      <c r="AY44" s="612" t="s">
        <v>435</v>
      </c>
      <c r="AZ44" s="612" t="s">
        <v>431</v>
      </c>
      <c r="BA44" s="613" t="s">
        <v>552</v>
      </c>
      <c r="BB44" s="614">
        <v>3.4241724656261845E-2</v>
      </c>
      <c r="BC44" s="614">
        <v>-2.5199661818893986E-2</v>
      </c>
      <c r="BD44" s="613" t="s">
        <v>571</v>
      </c>
      <c r="BE44" s="613" t="s">
        <v>571</v>
      </c>
    </row>
    <row r="45" spans="1:57">
      <c r="A45" s="601" t="s">
        <v>95</v>
      </c>
      <c r="B45" s="602" t="s">
        <v>426</v>
      </c>
      <c r="C45" s="601">
        <v>8</v>
      </c>
      <c r="D45" s="601">
        <v>43</v>
      </c>
      <c r="E45" s="603" t="s">
        <v>176</v>
      </c>
      <c r="F45" s="601">
        <v>2015</v>
      </c>
      <c r="G45" s="601" t="s">
        <v>469</v>
      </c>
      <c r="H45" s="604">
        <v>39136.135999999999</v>
      </c>
      <c r="I45" s="609">
        <v>107528.988</v>
      </c>
      <c r="J45" s="605">
        <v>2.3674882113791438</v>
      </c>
      <c r="K45" s="606">
        <v>451.39211510000001</v>
      </c>
      <c r="L45" s="609">
        <v>1653065.7180000001</v>
      </c>
      <c r="M45" s="607">
        <v>281029</v>
      </c>
      <c r="N45" s="607">
        <v>3248370</v>
      </c>
      <c r="O45" s="608">
        <v>508.89083386436891</v>
      </c>
      <c r="P45" s="609">
        <v>1656424.912</v>
      </c>
      <c r="Q45" s="609">
        <v>1653065.7180000001</v>
      </c>
      <c r="R45" s="609">
        <v>1512473.057</v>
      </c>
      <c r="S45" s="610">
        <v>91.495034984446988</v>
      </c>
      <c r="T45" s="609">
        <v>1467242.773</v>
      </c>
      <c r="U45" s="607">
        <v>1786491</v>
      </c>
      <c r="V45" s="607">
        <v>6599.5844069487157</v>
      </c>
      <c r="W45" s="607">
        <v>117327</v>
      </c>
      <c r="X45" s="607">
        <v>29728</v>
      </c>
      <c r="Y45" s="607">
        <v>433.42476380461585</v>
      </c>
      <c r="Z45" s="611">
        <v>3.9466832615715823</v>
      </c>
      <c r="AA45" s="609">
        <v>1653065.7180000001</v>
      </c>
      <c r="AB45" s="609">
        <v>0</v>
      </c>
      <c r="AC45" s="609"/>
      <c r="AD45" s="609"/>
      <c r="AE45" s="609"/>
      <c r="AF45" s="609"/>
      <c r="AG45" s="609"/>
      <c r="AH45" s="609">
        <v>681938.44799999997</v>
      </c>
      <c r="AI45" s="609">
        <v>291544.614</v>
      </c>
      <c r="AJ45" s="609">
        <v>0</v>
      </c>
      <c r="AK45" s="609">
        <v>102052.72</v>
      </c>
      <c r="AL45" s="609">
        <v>298856.89</v>
      </c>
      <c r="AM45" s="609">
        <v>138080.38500000001</v>
      </c>
      <c r="AN45" s="609">
        <v>0</v>
      </c>
      <c r="AO45" s="609">
        <v>1512473.057</v>
      </c>
      <c r="AP45" s="609">
        <v>3649.578</v>
      </c>
      <c r="AQ45" s="609">
        <v>1508823.4790000001</v>
      </c>
      <c r="AR45" s="609">
        <v>0.91274258643841766</v>
      </c>
      <c r="AS45" s="609">
        <v>2149.2890000000002</v>
      </c>
      <c r="AT45" s="609">
        <v>107528.988</v>
      </c>
      <c r="AU45" s="609">
        <v>6.5048223327803592E-2</v>
      </c>
      <c r="AV45" s="609">
        <v>1619782.2150000001</v>
      </c>
      <c r="AW45" s="609">
        <v>33283.502999999997</v>
      </c>
      <c r="AX45" s="609">
        <v>0</v>
      </c>
      <c r="AY45" s="612" t="s">
        <v>430</v>
      </c>
      <c r="AZ45" s="612" t="s">
        <v>433</v>
      </c>
      <c r="BA45" s="613" t="s">
        <v>552</v>
      </c>
      <c r="BB45" s="614">
        <v>6.5048223327803592E-2</v>
      </c>
      <c r="BC45" s="614">
        <v>2.3674882113791439E-2</v>
      </c>
      <c r="BD45" s="613" t="s">
        <v>573</v>
      </c>
      <c r="BE45" s="613" t="s">
        <v>573</v>
      </c>
    </row>
    <row r="46" spans="1:57">
      <c r="A46" s="601" t="s">
        <v>65</v>
      </c>
      <c r="B46" s="602" t="s">
        <v>418</v>
      </c>
      <c r="C46" s="601">
        <v>1</v>
      </c>
      <c r="D46" s="601">
        <v>44</v>
      </c>
      <c r="E46" s="603" t="s">
        <v>279</v>
      </c>
      <c r="F46" s="601">
        <v>2015</v>
      </c>
      <c r="G46" s="601" t="s">
        <v>567</v>
      </c>
      <c r="H46" s="604">
        <v>29477.200000000001</v>
      </c>
      <c r="I46" s="604">
        <v>74239.721999999994</v>
      </c>
      <c r="J46" s="605">
        <v>2.7553855084820911</v>
      </c>
      <c r="K46" s="606">
        <v>252.20462789999999</v>
      </c>
      <c r="L46" s="604">
        <v>1069803.115</v>
      </c>
      <c r="M46" s="607">
        <v>316717</v>
      </c>
      <c r="N46" s="607">
        <v>3230354</v>
      </c>
      <c r="O46" s="608">
        <v>281.06595066670712</v>
      </c>
      <c r="P46" s="609">
        <v>907942.51800000004</v>
      </c>
      <c r="Q46" s="609">
        <v>907942.51800000004</v>
      </c>
      <c r="R46" s="609">
        <v>781362.08400000003</v>
      </c>
      <c r="S46" s="610">
        <v>86.058540987943914</v>
      </c>
      <c r="T46" s="609">
        <v>705232.66500000004</v>
      </c>
      <c r="U46" s="607">
        <v>2164967</v>
      </c>
      <c r="V46" s="607">
        <v>8042.3396321270056</v>
      </c>
      <c r="W46" s="607">
        <v>88476</v>
      </c>
      <c r="X46" s="607">
        <v>19391</v>
      </c>
      <c r="Y46" s="607">
        <v>328.6673844414575</v>
      </c>
      <c r="Z46" s="611">
        <v>4.5627352895673248</v>
      </c>
      <c r="AA46" s="609">
        <v>907158.11699999997</v>
      </c>
      <c r="AB46" s="609">
        <v>0</v>
      </c>
      <c r="AC46" s="609"/>
      <c r="AD46" s="609"/>
      <c r="AE46" s="609"/>
      <c r="AF46" s="609"/>
      <c r="AG46" s="609"/>
      <c r="AH46" s="609">
        <v>476028.06400000001</v>
      </c>
      <c r="AI46" s="609">
        <v>8211.7569999999996</v>
      </c>
      <c r="AJ46" s="609">
        <v>0</v>
      </c>
      <c r="AK46" s="609">
        <v>0</v>
      </c>
      <c r="AL46" s="609">
        <v>161040.81200000001</v>
      </c>
      <c r="AM46" s="609">
        <v>124010.76700000001</v>
      </c>
      <c r="AN46" s="609">
        <v>12070.683999999999</v>
      </c>
      <c r="AO46" s="609">
        <v>781362.08400000003</v>
      </c>
      <c r="AP46" s="609">
        <v>0</v>
      </c>
      <c r="AQ46" s="609">
        <v>781362.08400000003</v>
      </c>
      <c r="AR46" s="609">
        <v>0.86132954041572007</v>
      </c>
      <c r="AS46" s="609">
        <v>37394.53</v>
      </c>
      <c r="AT46" s="609">
        <v>41835.307999999997</v>
      </c>
      <c r="AU46" s="609">
        <v>4.6116886589022271E-2</v>
      </c>
      <c r="AV46" s="609">
        <v>850152.92200000002</v>
      </c>
      <c r="AW46" s="609">
        <v>57005.195</v>
      </c>
      <c r="AX46" s="609">
        <v>0</v>
      </c>
      <c r="AY46" s="612" t="s">
        <v>430</v>
      </c>
      <c r="AZ46" s="612" t="s">
        <v>433</v>
      </c>
      <c r="BA46" s="613" t="s">
        <v>552</v>
      </c>
      <c r="BB46" s="614">
        <v>6.9395686887675584E-2</v>
      </c>
      <c r="BC46" s="614">
        <v>7.0018903232885316E-2</v>
      </c>
      <c r="BD46" s="613" t="s">
        <v>575</v>
      </c>
      <c r="BE46" s="613" t="s">
        <v>575</v>
      </c>
    </row>
    <row r="47" spans="1:57">
      <c r="A47" s="601" t="s">
        <v>69</v>
      </c>
      <c r="B47" s="602" t="s">
        <v>418</v>
      </c>
      <c r="C47" s="601">
        <v>1</v>
      </c>
      <c r="D47" s="601">
        <v>45</v>
      </c>
      <c r="E47" s="603" t="s">
        <v>275</v>
      </c>
      <c r="F47" s="601">
        <v>2015</v>
      </c>
      <c r="G47" s="601" t="s">
        <v>469</v>
      </c>
      <c r="H47" s="604">
        <v>44193.353999999999</v>
      </c>
      <c r="I47" s="604">
        <v>149158.63699999999</v>
      </c>
      <c r="J47" s="605">
        <v>3.5866381141297672</v>
      </c>
      <c r="K47" s="606">
        <v>319.42315059999999</v>
      </c>
      <c r="L47" s="604">
        <v>1232166.5190000001</v>
      </c>
      <c r="M47" s="607">
        <v>252388</v>
      </c>
      <c r="N47" s="607">
        <v>3092789</v>
      </c>
      <c r="O47" s="608">
        <v>393.33127542810064</v>
      </c>
      <c r="P47" s="609">
        <v>1218792.851</v>
      </c>
      <c r="Q47" s="609">
        <v>1216490.642</v>
      </c>
      <c r="R47" s="609">
        <v>949291.43299999996</v>
      </c>
      <c r="S47" s="610">
        <v>78.035243365234209</v>
      </c>
      <c r="T47" s="609">
        <v>923689.72100000002</v>
      </c>
      <c r="U47" s="607">
        <v>2594861</v>
      </c>
      <c r="V47" s="607">
        <v>10068.042792443972</v>
      </c>
      <c r="W47" s="607">
        <v>127972</v>
      </c>
      <c r="X47" s="607">
        <v>25113</v>
      </c>
      <c r="Y47" s="607">
        <v>496.53047783085105</v>
      </c>
      <c r="Z47" s="611">
        <v>5.0958467725879029</v>
      </c>
      <c r="AA47" s="609">
        <v>1216760.743</v>
      </c>
      <c r="AB47" s="609">
        <v>2302.2080000001006</v>
      </c>
      <c r="AC47" s="609"/>
      <c r="AD47" s="609"/>
      <c r="AE47" s="609"/>
      <c r="AF47" s="609"/>
      <c r="AG47" s="609"/>
      <c r="AH47" s="609">
        <v>792411.03</v>
      </c>
      <c r="AI47" s="609">
        <v>13597.227999999999</v>
      </c>
      <c r="AJ47" s="609">
        <v>0</v>
      </c>
      <c r="AK47" s="609">
        <v>0</v>
      </c>
      <c r="AL47" s="609">
        <v>140160.19399999999</v>
      </c>
      <c r="AM47" s="609">
        <v>0</v>
      </c>
      <c r="AN47" s="609">
        <v>3122.9810000000002</v>
      </c>
      <c r="AO47" s="609">
        <v>949291.43299999996</v>
      </c>
      <c r="AP47" s="609">
        <v>3550.7570000000001</v>
      </c>
      <c r="AQ47" s="609">
        <v>945740.67599999998</v>
      </c>
      <c r="AR47" s="609">
        <v>0.77873443081364657</v>
      </c>
      <c r="AS47" s="609">
        <v>45921.754999999997</v>
      </c>
      <c r="AT47" s="609">
        <v>143666.489</v>
      </c>
      <c r="AU47" s="609">
        <v>0.11829674283609856</v>
      </c>
      <c r="AV47" s="609">
        <v>1135328.92</v>
      </c>
      <c r="AW47" s="609">
        <v>79129.615000000005</v>
      </c>
      <c r="AX47" s="609">
        <v>0</v>
      </c>
      <c r="AY47" s="612" t="s">
        <v>430</v>
      </c>
      <c r="AZ47" s="612" t="s">
        <v>433</v>
      </c>
      <c r="BA47" s="613" t="s">
        <v>552</v>
      </c>
      <c r="BB47" s="614">
        <v>0.12105396040224656</v>
      </c>
      <c r="BC47" s="614">
        <v>3.5866381141297671E-2</v>
      </c>
      <c r="BD47" s="613" t="s">
        <v>574</v>
      </c>
      <c r="BE47" s="613" t="s">
        <v>574</v>
      </c>
    </row>
    <row r="48" spans="1:57">
      <c r="A48" s="601" t="s">
        <v>69</v>
      </c>
      <c r="B48" s="603" t="s">
        <v>421</v>
      </c>
      <c r="C48" s="601">
        <v>4</v>
      </c>
      <c r="D48" s="601">
        <v>46</v>
      </c>
      <c r="E48" s="603" t="s">
        <v>252</v>
      </c>
      <c r="F48" s="601">
        <v>2015</v>
      </c>
      <c r="G48" s="601" t="s">
        <v>567</v>
      </c>
      <c r="H48" s="604">
        <v>53764.624000000003</v>
      </c>
      <c r="I48" s="609">
        <v>181299.96599999999</v>
      </c>
      <c r="J48" s="605">
        <v>3.662605927660656</v>
      </c>
      <c r="K48" s="606">
        <v>409.18969750000002</v>
      </c>
      <c r="L48" s="609">
        <v>1467933.6259999999</v>
      </c>
      <c r="M48" s="607">
        <v>299586</v>
      </c>
      <c r="N48" s="607">
        <v>3076579</v>
      </c>
      <c r="O48" s="608">
        <v>400.13588144494258</v>
      </c>
      <c r="P48" s="609">
        <v>1239668.6710000001</v>
      </c>
      <c r="Q48" s="609">
        <v>1231049.6499999999</v>
      </c>
      <c r="R48" s="609">
        <v>960145.12199999997</v>
      </c>
      <c r="S48" s="610">
        <v>77.994020956019128</v>
      </c>
      <c r="T48" s="609">
        <v>884893.82</v>
      </c>
      <c r="U48" s="607">
        <v>1466265</v>
      </c>
      <c r="V48" s="607">
        <v>5719.0730353421768</v>
      </c>
      <c r="W48" s="607">
        <v>221749</v>
      </c>
      <c r="X48" s="607">
        <v>22101</v>
      </c>
      <c r="Y48" s="607">
        <v>864.91781943515832</v>
      </c>
      <c r="Z48" s="611">
        <v>10.033437401022578</v>
      </c>
      <c r="AA48" s="609" t="s">
        <v>20</v>
      </c>
      <c r="AB48" s="609" t="s">
        <v>20</v>
      </c>
      <c r="AC48" s="609"/>
      <c r="AD48" s="609"/>
      <c r="AE48" s="609"/>
      <c r="AF48" s="609"/>
      <c r="AG48" s="609"/>
      <c r="AH48" s="609" t="s">
        <v>20</v>
      </c>
      <c r="AI48" s="609" t="s">
        <v>20</v>
      </c>
      <c r="AJ48" s="609" t="s">
        <v>20</v>
      </c>
      <c r="AK48" s="609" t="s">
        <v>20</v>
      </c>
      <c r="AL48" s="609" t="s">
        <v>20</v>
      </c>
      <c r="AM48" s="609" t="s">
        <v>20</v>
      </c>
      <c r="AN48" s="609" t="s">
        <v>20</v>
      </c>
      <c r="AO48" s="609" t="s">
        <v>20</v>
      </c>
      <c r="AP48" s="609" t="s">
        <v>20</v>
      </c>
      <c r="AQ48" s="609" t="s">
        <v>20</v>
      </c>
      <c r="AR48" s="609" t="s">
        <v>20</v>
      </c>
      <c r="AS48" s="609" t="s">
        <v>20</v>
      </c>
      <c r="AT48" s="609" t="s">
        <v>20</v>
      </c>
      <c r="AU48" s="609" t="s">
        <v>20</v>
      </c>
      <c r="AV48" s="609" t="s">
        <v>20</v>
      </c>
      <c r="AW48" s="609" t="s">
        <v>20</v>
      </c>
      <c r="AX48" s="609" t="s">
        <v>20</v>
      </c>
      <c r="AY48" s="612" t="s">
        <v>430</v>
      </c>
      <c r="AZ48" s="612" t="s">
        <v>433</v>
      </c>
      <c r="BA48" s="613" t="s">
        <v>552</v>
      </c>
      <c r="BB48" s="614">
        <v>0.12350692346630664</v>
      </c>
      <c r="BC48" s="614">
        <v>9.6552866973502086E-2</v>
      </c>
      <c r="BD48" s="613" t="s">
        <v>576</v>
      </c>
      <c r="BE48" s="613" t="s">
        <v>576</v>
      </c>
    </row>
    <row r="49" spans="1:57">
      <c r="A49" s="601" t="s">
        <v>92</v>
      </c>
      <c r="B49" s="603" t="s">
        <v>420</v>
      </c>
      <c r="C49" s="601">
        <v>3</v>
      </c>
      <c r="D49" s="601">
        <v>47</v>
      </c>
      <c r="E49" s="603" t="s">
        <v>226</v>
      </c>
      <c r="F49" s="601">
        <v>2015</v>
      </c>
      <c r="G49" s="601" t="s">
        <v>567</v>
      </c>
      <c r="H49" s="604">
        <v>46167.714</v>
      </c>
      <c r="I49" s="604">
        <v>242550.09700000001</v>
      </c>
      <c r="J49" s="605">
        <v>1.6452657362276826</v>
      </c>
      <c r="K49" s="606">
        <v>363.48862279999997</v>
      </c>
      <c r="L49" s="604">
        <v>2806094.662</v>
      </c>
      <c r="M49" s="607">
        <v>257307</v>
      </c>
      <c r="N49" s="607">
        <v>3050492</v>
      </c>
      <c r="O49" s="608">
        <v>354.15829348183831</v>
      </c>
      <c r="P49" s="609">
        <v>1080357.041</v>
      </c>
      <c r="Q49" s="609">
        <v>1080357.041</v>
      </c>
      <c r="R49" s="609">
        <v>919290.02599999995</v>
      </c>
      <c r="S49" s="610">
        <v>85.091316214229209</v>
      </c>
      <c r="T49" s="609">
        <v>901585.40500000003</v>
      </c>
      <c r="U49" s="607">
        <v>1611820</v>
      </c>
      <c r="V49" s="607">
        <v>6340.5640794993069</v>
      </c>
      <c r="W49" s="607">
        <v>155369</v>
      </c>
      <c r="X49" s="607">
        <v>36749</v>
      </c>
      <c r="Y49" s="607">
        <v>611.18927700843017</v>
      </c>
      <c r="Z49" s="611">
        <v>4.2278429345016191</v>
      </c>
      <c r="AA49" s="609" t="s">
        <v>20</v>
      </c>
      <c r="AB49" s="609" t="s">
        <v>20</v>
      </c>
      <c r="AC49" s="609"/>
      <c r="AD49" s="609"/>
      <c r="AE49" s="609"/>
      <c r="AF49" s="609"/>
      <c r="AG49" s="609"/>
      <c r="AH49" s="609" t="s">
        <v>20</v>
      </c>
      <c r="AI49" s="609" t="s">
        <v>20</v>
      </c>
      <c r="AJ49" s="609" t="s">
        <v>20</v>
      </c>
      <c r="AK49" s="609" t="s">
        <v>20</v>
      </c>
      <c r="AL49" s="609" t="s">
        <v>20</v>
      </c>
      <c r="AM49" s="609" t="s">
        <v>20</v>
      </c>
      <c r="AN49" s="609" t="s">
        <v>20</v>
      </c>
      <c r="AO49" s="609" t="s">
        <v>20</v>
      </c>
      <c r="AP49" s="609" t="s">
        <v>20</v>
      </c>
      <c r="AQ49" s="609" t="s">
        <v>20</v>
      </c>
      <c r="AR49" s="609" t="s">
        <v>20</v>
      </c>
      <c r="AS49" s="609" t="s">
        <v>20</v>
      </c>
      <c r="AT49" s="609" t="s">
        <v>20</v>
      </c>
      <c r="AU49" s="609" t="s">
        <v>20</v>
      </c>
      <c r="AV49" s="609" t="s">
        <v>20</v>
      </c>
      <c r="AW49" s="609" t="s">
        <v>20</v>
      </c>
      <c r="AX49" s="609" t="s">
        <v>20</v>
      </c>
      <c r="AY49" s="612" t="s">
        <v>430</v>
      </c>
      <c r="AZ49" s="612" t="s">
        <v>433</v>
      </c>
      <c r="BA49" s="613" t="s">
        <v>552</v>
      </c>
      <c r="BB49" s="614">
        <v>8.6436890488621729E-2</v>
      </c>
      <c r="BC49" s="614">
        <v>6.2649947369086204E-2</v>
      </c>
      <c r="BD49" s="613" t="s">
        <v>575</v>
      </c>
      <c r="BE49" s="613" t="s">
        <v>575</v>
      </c>
    </row>
    <row r="50" spans="1:57">
      <c r="A50" s="601" t="s">
        <v>71</v>
      </c>
      <c r="B50" s="603" t="s">
        <v>424</v>
      </c>
      <c r="C50" s="601">
        <v>6</v>
      </c>
      <c r="D50" s="601">
        <v>48</v>
      </c>
      <c r="E50" s="603" t="s">
        <v>313</v>
      </c>
      <c r="F50" s="601">
        <v>2015</v>
      </c>
      <c r="G50" s="601" t="s">
        <v>469</v>
      </c>
      <c r="H50" s="604">
        <v>20137.005000000001</v>
      </c>
      <c r="I50" s="609">
        <v>40582.169000000002</v>
      </c>
      <c r="J50" s="605">
        <v>2.8484151450782687</v>
      </c>
      <c r="K50" s="606">
        <v>682.05427310000005</v>
      </c>
      <c r="L50" s="609">
        <v>706954.70900000003</v>
      </c>
      <c r="M50" s="607">
        <v>253500</v>
      </c>
      <c r="N50" s="607">
        <v>2899234</v>
      </c>
      <c r="O50" s="608">
        <v>237.48230222189724</v>
      </c>
      <c r="P50" s="609">
        <v>688516.76500000001</v>
      </c>
      <c r="Q50" s="609">
        <v>688516.76500000001</v>
      </c>
      <c r="R50" s="609">
        <v>600822.147</v>
      </c>
      <c r="S50" s="610">
        <v>87.263255964435373</v>
      </c>
      <c r="T50" s="609">
        <v>553231.62</v>
      </c>
      <c r="U50" s="607">
        <v>953779</v>
      </c>
      <c r="V50" s="607">
        <v>3947.7144652691022</v>
      </c>
      <c r="W50" s="607">
        <v>84550</v>
      </c>
      <c r="X50" s="607">
        <v>24160</v>
      </c>
      <c r="Y50" s="607">
        <v>349.95450522448346</v>
      </c>
      <c r="Z50" s="611">
        <v>3.4995860927152318</v>
      </c>
      <c r="AA50" s="609" t="s">
        <v>20</v>
      </c>
      <c r="AB50" s="609" t="s">
        <v>20</v>
      </c>
      <c r="AC50" s="609"/>
      <c r="AD50" s="609"/>
      <c r="AE50" s="609"/>
      <c r="AF50" s="609"/>
      <c r="AG50" s="609"/>
      <c r="AH50" s="609" t="s">
        <v>20</v>
      </c>
      <c r="AI50" s="609" t="s">
        <v>20</v>
      </c>
      <c r="AJ50" s="609" t="s">
        <v>20</v>
      </c>
      <c r="AK50" s="609" t="s">
        <v>20</v>
      </c>
      <c r="AL50" s="609" t="s">
        <v>20</v>
      </c>
      <c r="AM50" s="609" t="s">
        <v>20</v>
      </c>
      <c r="AN50" s="609" t="s">
        <v>20</v>
      </c>
      <c r="AO50" s="609" t="s">
        <v>20</v>
      </c>
      <c r="AP50" s="609" t="s">
        <v>20</v>
      </c>
      <c r="AQ50" s="609" t="s">
        <v>20</v>
      </c>
      <c r="AR50" s="609" t="s">
        <v>20</v>
      </c>
      <c r="AS50" s="609" t="s">
        <v>20</v>
      </c>
      <c r="AT50" s="609" t="s">
        <v>20</v>
      </c>
      <c r="AU50" s="609" t="s">
        <v>20</v>
      </c>
      <c r="AV50" s="609" t="s">
        <v>20</v>
      </c>
      <c r="AW50" s="609" t="s">
        <v>20</v>
      </c>
      <c r="AX50" s="609" t="s">
        <v>20</v>
      </c>
      <c r="AY50" s="612" t="s">
        <v>430</v>
      </c>
      <c r="AZ50" s="612" t="s">
        <v>433</v>
      </c>
      <c r="BA50" s="613" t="s">
        <v>552</v>
      </c>
      <c r="BB50" s="614">
        <v>5.7404199283719599E-2</v>
      </c>
      <c r="BC50" s="614">
        <v>2.8484151450782688E-2</v>
      </c>
      <c r="BD50" s="613" t="s">
        <v>574</v>
      </c>
      <c r="BE50" s="613" t="s">
        <v>574</v>
      </c>
    </row>
    <row r="51" spans="1:57">
      <c r="A51" s="601" t="s">
        <v>90</v>
      </c>
      <c r="B51" s="602" t="s">
        <v>146</v>
      </c>
      <c r="C51" s="601">
        <v>23</v>
      </c>
      <c r="D51" s="601">
        <v>49</v>
      </c>
      <c r="E51" s="603" t="s">
        <v>146</v>
      </c>
      <c r="F51" s="601">
        <v>2015</v>
      </c>
      <c r="G51" s="601" t="s">
        <v>567</v>
      </c>
      <c r="H51" s="604">
        <v>5355.5619999999999</v>
      </c>
      <c r="I51" s="609">
        <v>71152.558000000005</v>
      </c>
      <c r="J51" s="605">
        <v>0.62894736161891063</v>
      </c>
      <c r="K51" s="606">
        <v>357.73958579999999</v>
      </c>
      <c r="L51" s="609">
        <v>851511.95900000003</v>
      </c>
      <c r="M51" s="607">
        <v>233885</v>
      </c>
      <c r="N51" s="607">
        <v>2851651</v>
      </c>
      <c r="O51" s="608">
        <v>250.32635269884008</v>
      </c>
      <c r="P51" s="609">
        <v>713843.39399999997</v>
      </c>
      <c r="Q51" s="609">
        <v>713843.39399999997</v>
      </c>
      <c r="R51" s="609">
        <v>646787.70600000001</v>
      </c>
      <c r="S51" s="610">
        <v>90.606386699993763</v>
      </c>
      <c r="T51" s="609">
        <v>647326.696</v>
      </c>
      <c r="U51" s="607">
        <v>2226501</v>
      </c>
      <c r="V51" s="607">
        <v>9369.3134258014034</v>
      </c>
      <c r="W51" s="607">
        <v>146789</v>
      </c>
      <c r="X51" s="607">
        <v>39981</v>
      </c>
      <c r="Y51" s="607">
        <v>617.70111419665307</v>
      </c>
      <c r="Z51" s="611">
        <v>3.6714689477501814</v>
      </c>
      <c r="AA51" s="609">
        <v>711728.30900000001</v>
      </c>
      <c r="AB51" s="609">
        <v>0</v>
      </c>
      <c r="AC51" s="609"/>
      <c r="AD51" s="609"/>
      <c r="AE51" s="609"/>
      <c r="AF51" s="609"/>
      <c r="AG51" s="609"/>
      <c r="AH51" s="609">
        <v>335163.337</v>
      </c>
      <c r="AI51" s="609">
        <v>75607.476999999999</v>
      </c>
      <c r="AJ51" s="609">
        <v>108097.538</v>
      </c>
      <c r="AK51" s="609">
        <v>23012.395</v>
      </c>
      <c r="AL51" s="609">
        <v>100761.192</v>
      </c>
      <c r="AM51" s="609">
        <v>0</v>
      </c>
      <c r="AN51" s="609">
        <v>4170.6769999999997</v>
      </c>
      <c r="AO51" s="609">
        <v>646812.61600000004</v>
      </c>
      <c r="AP51" s="609">
        <v>1299.1400000000001</v>
      </c>
      <c r="AQ51" s="609">
        <v>645513.47600000002</v>
      </c>
      <c r="AR51" s="609">
        <v>0.90696613839481266</v>
      </c>
      <c r="AS51" s="609">
        <v>12051.471</v>
      </c>
      <c r="AT51" s="609">
        <v>59382.466</v>
      </c>
      <c r="AU51" s="609">
        <v>8.3434177408840432E-2</v>
      </c>
      <c r="AV51" s="609">
        <v>716947.41299999994</v>
      </c>
      <c r="AW51" s="609">
        <v>-5219.1040000000003</v>
      </c>
      <c r="AX51" s="609">
        <v>0</v>
      </c>
      <c r="AY51" s="609" t="s">
        <v>435</v>
      </c>
      <c r="AZ51" s="609" t="s">
        <v>431</v>
      </c>
      <c r="BA51" s="613" t="s">
        <v>555</v>
      </c>
      <c r="BB51" s="614">
        <v>8.3560256844261188E-2</v>
      </c>
      <c r="BC51" s="614">
        <v>1.0375876155801128E-2</v>
      </c>
      <c r="BD51" s="613" t="s">
        <v>573</v>
      </c>
      <c r="BE51" s="613" t="s">
        <v>573</v>
      </c>
    </row>
    <row r="52" spans="1:57">
      <c r="A52" s="601" t="s">
        <v>62</v>
      </c>
      <c r="B52" s="603" t="s">
        <v>419</v>
      </c>
      <c r="C52" s="601">
        <v>2</v>
      </c>
      <c r="D52" s="601">
        <v>50</v>
      </c>
      <c r="E52" s="603" t="s">
        <v>207</v>
      </c>
      <c r="F52" s="601">
        <v>2015</v>
      </c>
      <c r="G52" s="601" t="s">
        <v>567</v>
      </c>
      <c r="H52" s="604">
        <v>15304.331</v>
      </c>
      <c r="I52" s="604">
        <v>92312.558000000005</v>
      </c>
      <c r="J52" s="605">
        <v>1.8852155092487901</v>
      </c>
      <c r="K52" s="606">
        <v>356.90963770000002</v>
      </c>
      <c r="L52" s="604">
        <v>811808.03599999996</v>
      </c>
      <c r="M52" s="607">
        <v>270229</v>
      </c>
      <c r="N52" s="607">
        <v>2810372</v>
      </c>
      <c r="O52" s="608">
        <v>256.42294578795975</v>
      </c>
      <c r="P52" s="609">
        <v>720643.86699999997</v>
      </c>
      <c r="Q52" s="609">
        <v>720643.86699999997</v>
      </c>
      <c r="R52" s="609">
        <v>604839.84900000005</v>
      </c>
      <c r="S52" s="610">
        <v>83.93047893655357</v>
      </c>
      <c r="T52" s="609">
        <v>619555.56400000001</v>
      </c>
      <c r="U52" s="607">
        <v>1328932</v>
      </c>
      <c r="V52" s="607">
        <v>5674.4032462606374</v>
      </c>
      <c r="W52" s="607">
        <v>99090</v>
      </c>
      <c r="X52" s="607">
        <v>20258</v>
      </c>
      <c r="Y52" s="607">
        <v>423.10412998706221</v>
      </c>
      <c r="Z52" s="611">
        <v>4.8914009280284336</v>
      </c>
      <c r="AA52" s="609">
        <v>719076.99899999995</v>
      </c>
      <c r="AB52" s="609">
        <v>0</v>
      </c>
      <c r="AC52" s="609"/>
      <c r="AD52" s="609"/>
      <c r="AE52" s="609"/>
      <c r="AF52" s="609"/>
      <c r="AG52" s="609"/>
      <c r="AH52" s="609">
        <v>377412.26899999997</v>
      </c>
      <c r="AI52" s="609">
        <v>59417.760000000002</v>
      </c>
      <c r="AJ52" s="609">
        <v>0</v>
      </c>
      <c r="AK52" s="609">
        <v>49015.758000000002</v>
      </c>
      <c r="AL52" s="609">
        <v>124879.299</v>
      </c>
      <c r="AM52" s="609">
        <v>0</v>
      </c>
      <c r="AN52" s="609">
        <v>-5885.2359999999999</v>
      </c>
      <c r="AO52" s="609">
        <v>604839.85</v>
      </c>
      <c r="AP52" s="609">
        <v>1928.626</v>
      </c>
      <c r="AQ52" s="609">
        <v>602911.22400000005</v>
      </c>
      <c r="AR52" s="609">
        <v>0.83845154947029543</v>
      </c>
      <c r="AS52" s="609">
        <v>19836.14</v>
      </c>
      <c r="AT52" s="609">
        <v>75162.842999999993</v>
      </c>
      <c r="AU52" s="609">
        <v>0.1045268352409086</v>
      </c>
      <c r="AV52" s="609">
        <v>697910.20700000005</v>
      </c>
      <c r="AW52" s="609">
        <v>21166.792000000001</v>
      </c>
      <c r="AX52" s="609">
        <v>0</v>
      </c>
      <c r="AY52" s="612" t="s">
        <v>430</v>
      </c>
      <c r="AZ52" s="612" t="s">
        <v>433</v>
      </c>
      <c r="BA52" s="613" t="s">
        <v>552</v>
      </c>
      <c r="BB52" s="614">
        <v>0.11371229885189263</v>
      </c>
      <c r="BC52" s="614">
        <v>4.6982911782571718E-2</v>
      </c>
      <c r="BD52" s="613" t="s">
        <v>574</v>
      </c>
      <c r="BE52" s="613" t="s">
        <v>574</v>
      </c>
    </row>
    <row r="53" spans="1:57">
      <c r="A53" s="601" t="s">
        <v>61</v>
      </c>
      <c r="B53" s="602" t="s">
        <v>425</v>
      </c>
      <c r="C53" s="601">
        <v>9</v>
      </c>
      <c r="D53" s="601">
        <v>52</v>
      </c>
      <c r="E53" s="603" t="s">
        <v>246</v>
      </c>
      <c r="F53" s="601">
        <v>2015</v>
      </c>
      <c r="G53" s="601" t="s">
        <v>567</v>
      </c>
      <c r="H53" s="604">
        <v>7223.1819999999998</v>
      </c>
      <c r="I53" s="609">
        <v>85612.709000000003</v>
      </c>
      <c r="J53" s="605">
        <v>0.71013652794160109</v>
      </c>
      <c r="K53" s="606">
        <v>262.30195140000001</v>
      </c>
      <c r="L53" s="609">
        <v>1017153.986</v>
      </c>
      <c r="M53" s="607">
        <v>235853</v>
      </c>
      <c r="N53" s="607">
        <v>2738040</v>
      </c>
      <c r="O53" s="608">
        <v>303.46745299557347</v>
      </c>
      <c r="P53" s="609">
        <v>830906.02500000002</v>
      </c>
      <c r="Q53" s="609">
        <v>830906.02500000002</v>
      </c>
      <c r="R53" s="609">
        <v>752012.96400000004</v>
      </c>
      <c r="S53" s="610">
        <v>90.50517644278726</v>
      </c>
      <c r="T53" s="609">
        <v>693979.83499999996</v>
      </c>
      <c r="U53" s="607">
        <v>1664488</v>
      </c>
      <c r="V53" s="607">
        <v>7294.9467502300913</v>
      </c>
      <c r="W53" s="607">
        <v>88209</v>
      </c>
      <c r="X53" s="607">
        <v>21040</v>
      </c>
      <c r="Y53" s="607">
        <v>386.59332953499586</v>
      </c>
      <c r="Z53" s="611">
        <v>4.1924429657794677</v>
      </c>
      <c r="AA53" s="609">
        <v>829350.77099999995</v>
      </c>
      <c r="AB53" s="609">
        <v>-7379.2010000000009</v>
      </c>
      <c r="AC53" s="609"/>
      <c r="AD53" s="609"/>
      <c r="AE53" s="609"/>
      <c r="AF53" s="609"/>
      <c r="AG53" s="609"/>
      <c r="AH53" s="609">
        <v>556217.93200000003</v>
      </c>
      <c r="AI53" s="609">
        <v>4311.7870000000003</v>
      </c>
      <c r="AJ53" s="609">
        <v>50135.294000000002</v>
      </c>
      <c r="AK53" s="609">
        <v>12233.567999999999</v>
      </c>
      <c r="AL53" s="609">
        <v>124534.27499999999</v>
      </c>
      <c r="AM53" s="609">
        <v>145.32599999999999</v>
      </c>
      <c r="AN53" s="609">
        <v>4434.7820000000002</v>
      </c>
      <c r="AO53" s="609">
        <v>752012.96400000004</v>
      </c>
      <c r="AP53" s="609">
        <v>2826.17</v>
      </c>
      <c r="AQ53" s="609">
        <v>749186.79399999999</v>
      </c>
      <c r="AR53" s="609">
        <v>0.89537463586878663</v>
      </c>
      <c r="AS53" s="609">
        <v>4100.83</v>
      </c>
      <c r="AT53" s="609">
        <v>64671.881000000001</v>
      </c>
      <c r="AU53" s="609">
        <v>7.7291220781081332E-2</v>
      </c>
      <c r="AV53" s="609">
        <v>817959.505</v>
      </c>
      <c r="AW53" s="609">
        <v>18770.467000000001</v>
      </c>
      <c r="AX53" s="609">
        <v>0</v>
      </c>
      <c r="AY53" s="612" t="s">
        <v>430</v>
      </c>
      <c r="AZ53" s="612" t="s">
        <v>433</v>
      </c>
      <c r="BA53" s="613" t="s">
        <v>555</v>
      </c>
      <c r="BB53" s="614">
        <v>8.4168877257882566E-2</v>
      </c>
      <c r="BC53" s="614">
        <v>1.0779358314244827E-2</v>
      </c>
      <c r="BD53" s="613" t="s">
        <v>573</v>
      </c>
      <c r="BE53" s="613" t="s">
        <v>573</v>
      </c>
    </row>
    <row r="54" spans="1:57">
      <c r="A54" s="601" t="s">
        <v>67</v>
      </c>
      <c r="B54" s="603" t="s">
        <v>420</v>
      </c>
      <c r="C54" s="601">
        <v>3</v>
      </c>
      <c r="D54" s="601">
        <v>53</v>
      </c>
      <c r="E54" s="603" t="s">
        <v>190</v>
      </c>
      <c r="F54" s="601">
        <v>2015</v>
      </c>
      <c r="G54" s="601" t="s">
        <v>469</v>
      </c>
      <c r="H54" s="604">
        <v>3939.0720000000001</v>
      </c>
      <c r="I54" s="604">
        <v>69448.909</v>
      </c>
      <c r="J54" s="605">
        <v>0.41636921097355278</v>
      </c>
      <c r="K54" s="606">
        <v>304.09484859999998</v>
      </c>
      <c r="L54" s="604">
        <v>946052.66099999996</v>
      </c>
      <c r="M54" s="607">
        <v>221391</v>
      </c>
      <c r="N54" s="607">
        <v>2715201</v>
      </c>
      <c r="O54" s="608">
        <v>332.33424818273124</v>
      </c>
      <c r="P54" s="609">
        <v>884806.65700000001</v>
      </c>
      <c r="Q54" s="609">
        <v>902354.28300000005</v>
      </c>
      <c r="R54" s="609">
        <v>777100.875</v>
      </c>
      <c r="S54" s="610">
        <v>86.119264865283512</v>
      </c>
      <c r="T54" s="609">
        <v>771187.53899999999</v>
      </c>
      <c r="U54" s="607">
        <v>1237274</v>
      </c>
      <c r="V54" s="607">
        <v>5468.2095358686156</v>
      </c>
      <c r="W54" s="607">
        <v>95126</v>
      </c>
      <c r="X54" s="607">
        <v>23897</v>
      </c>
      <c r="Y54" s="607">
        <v>420.41528417233201</v>
      </c>
      <c r="Z54" s="611">
        <v>3.9806670293342261</v>
      </c>
      <c r="AA54" s="609" t="s">
        <v>20</v>
      </c>
      <c r="AB54" s="609" t="s">
        <v>20</v>
      </c>
      <c r="AC54" s="609"/>
      <c r="AD54" s="609"/>
      <c r="AE54" s="609"/>
      <c r="AF54" s="609"/>
      <c r="AG54" s="609"/>
      <c r="AH54" s="609" t="s">
        <v>20</v>
      </c>
      <c r="AI54" s="609" t="s">
        <v>20</v>
      </c>
      <c r="AJ54" s="609" t="s">
        <v>20</v>
      </c>
      <c r="AK54" s="609" t="s">
        <v>20</v>
      </c>
      <c r="AL54" s="609" t="s">
        <v>20</v>
      </c>
      <c r="AM54" s="609" t="s">
        <v>20</v>
      </c>
      <c r="AN54" s="609" t="s">
        <v>20</v>
      </c>
      <c r="AO54" s="609" t="s">
        <v>20</v>
      </c>
      <c r="AP54" s="609" t="s">
        <v>20</v>
      </c>
      <c r="AQ54" s="609" t="s">
        <v>20</v>
      </c>
      <c r="AR54" s="609" t="s">
        <v>20</v>
      </c>
      <c r="AS54" s="609" t="s">
        <v>20</v>
      </c>
      <c r="AT54" s="609" t="s">
        <v>20</v>
      </c>
      <c r="AU54" s="609" t="s">
        <v>20</v>
      </c>
      <c r="AV54" s="609" t="s">
        <v>20</v>
      </c>
      <c r="AW54" s="609" t="s">
        <v>20</v>
      </c>
      <c r="AX54" s="609" t="s">
        <v>20</v>
      </c>
      <c r="AY54" s="612" t="s">
        <v>430</v>
      </c>
      <c r="AZ54" s="612" t="s">
        <v>433</v>
      </c>
      <c r="BA54" s="613" t="s">
        <v>555</v>
      </c>
      <c r="BB54" s="614">
        <v>7.3409136576594869E-2</v>
      </c>
      <c r="BC54" s="614">
        <v>4.163692109735528E-3</v>
      </c>
      <c r="BD54" s="613" t="s">
        <v>573</v>
      </c>
      <c r="BE54" s="613" t="s">
        <v>573</v>
      </c>
    </row>
    <row r="55" spans="1:57">
      <c r="A55" s="601" t="s">
        <v>81</v>
      </c>
      <c r="B55" s="602" t="s">
        <v>331</v>
      </c>
      <c r="C55" s="601">
        <v>19</v>
      </c>
      <c r="D55" s="601">
        <v>54</v>
      </c>
      <c r="E55" s="603" t="s">
        <v>331</v>
      </c>
      <c r="F55" s="601">
        <v>2015</v>
      </c>
      <c r="G55" s="601" t="s">
        <v>567</v>
      </c>
      <c r="H55" s="604">
        <v>-143154.198</v>
      </c>
      <c r="I55" s="609">
        <v>452226.57400000002</v>
      </c>
      <c r="J55" s="605">
        <v>-2.8263683470203915</v>
      </c>
      <c r="K55" s="606">
        <v>301.14660029999999</v>
      </c>
      <c r="L55" s="609">
        <v>5064951.9249999998</v>
      </c>
      <c r="M55" s="607">
        <v>213501</v>
      </c>
      <c r="N55" s="607">
        <v>2713887</v>
      </c>
      <c r="O55" s="608">
        <v>466.06621241046514</v>
      </c>
      <c r="P55" s="609">
        <v>1264851.0349999999</v>
      </c>
      <c r="Q55" s="609">
        <v>1264851.0349999999</v>
      </c>
      <c r="R55" s="609">
        <v>1146307.8089999999</v>
      </c>
      <c r="S55" s="610">
        <v>90.627890342833922</v>
      </c>
      <c r="T55" s="609">
        <v>1132445.9010000001</v>
      </c>
      <c r="U55" s="607">
        <v>1620308</v>
      </c>
      <c r="V55" s="607">
        <v>7164.5193775569878</v>
      </c>
      <c r="W55" s="607">
        <v>67764</v>
      </c>
      <c r="X55" s="607">
        <v>13813</v>
      </c>
      <c r="Y55" s="607">
        <v>299.63222492314532</v>
      </c>
      <c r="Z55" s="611">
        <v>4.9058133642221096</v>
      </c>
      <c r="AA55" s="609" t="s">
        <v>20</v>
      </c>
      <c r="AB55" s="609" t="s">
        <v>20</v>
      </c>
      <c r="AC55" s="609"/>
      <c r="AD55" s="609"/>
      <c r="AE55" s="609"/>
      <c r="AF55" s="609"/>
      <c r="AG55" s="609"/>
      <c r="AH55" s="609" t="s">
        <v>20</v>
      </c>
      <c r="AI55" s="609" t="s">
        <v>20</v>
      </c>
      <c r="AJ55" s="609" t="s">
        <v>20</v>
      </c>
      <c r="AK55" s="609" t="s">
        <v>20</v>
      </c>
      <c r="AL55" s="609" t="s">
        <v>20</v>
      </c>
      <c r="AM55" s="609" t="s">
        <v>20</v>
      </c>
      <c r="AN55" s="609" t="s">
        <v>20</v>
      </c>
      <c r="AO55" s="609" t="s">
        <v>20</v>
      </c>
      <c r="AP55" s="609" t="s">
        <v>20</v>
      </c>
      <c r="AQ55" s="609" t="s">
        <v>20</v>
      </c>
      <c r="AR55" s="609" t="s">
        <v>20</v>
      </c>
      <c r="AS55" s="609" t="s">
        <v>20</v>
      </c>
      <c r="AT55" s="609" t="s">
        <v>20</v>
      </c>
      <c r="AU55" s="609" t="s">
        <v>20</v>
      </c>
      <c r="AV55" s="609" t="s">
        <v>20</v>
      </c>
      <c r="AW55" s="609" t="s">
        <v>20</v>
      </c>
      <c r="AX55" s="609" t="s">
        <v>20</v>
      </c>
      <c r="AY55" s="612" t="s">
        <v>430</v>
      </c>
      <c r="AZ55" s="612" t="s">
        <v>433</v>
      </c>
      <c r="BA55" s="613" t="s">
        <v>555</v>
      </c>
      <c r="BB55" s="614">
        <v>8.9285462270207047E-2</v>
      </c>
      <c r="BC55" s="614">
        <v>4.4356343014537863E-3</v>
      </c>
      <c r="BD55" s="613" t="s">
        <v>573</v>
      </c>
      <c r="BE55" s="613" t="s">
        <v>573</v>
      </c>
    </row>
    <row r="56" spans="1:57">
      <c r="A56" s="601" t="s">
        <v>79</v>
      </c>
      <c r="B56" s="603" t="s">
        <v>421</v>
      </c>
      <c r="C56" s="601">
        <v>4</v>
      </c>
      <c r="D56" s="601">
        <v>55</v>
      </c>
      <c r="E56" s="603" t="s">
        <v>253</v>
      </c>
      <c r="F56" s="601">
        <v>2015</v>
      </c>
      <c r="G56" s="601" t="s">
        <v>469</v>
      </c>
      <c r="H56" s="604">
        <v>-1599.366</v>
      </c>
      <c r="I56" s="609">
        <v>181114.44</v>
      </c>
      <c r="J56" s="605">
        <v>-0.12134628509376791</v>
      </c>
      <c r="K56" s="606">
        <v>268.6319464</v>
      </c>
      <c r="L56" s="609">
        <v>1318018.0989999999</v>
      </c>
      <c r="M56" s="607">
        <v>224232</v>
      </c>
      <c r="N56" s="607">
        <v>2699417</v>
      </c>
      <c r="O56" s="608">
        <v>477.05982439912026</v>
      </c>
      <c r="P56" s="609">
        <v>1379926.345</v>
      </c>
      <c r="Q56" s="609">
        <v>1287783.3999999999</v>
      </c>
      <c r="R56" s="609">
        <v>1021933.189</v>
      </c>
      <c r="S56" s="610">
        <v>79.355984010975774</v>
      </c>
      <c r="T56" s="609">
        <v>1063708.8640000001</v>
      </c>
      <c r="U56" s="607">
        <v>793606</v>
      </c>
      <c r="V56" s="607">
        <v>3527.8995427531204</v>
      </c>
      <c r="W56" s="607">
        <v>332056</v>
      </c>
      <c r="X56" s="607">
        <v>38751</v>
      </c>
      <c r="Y56" s="607">
        <v>1476.1231777083719</v>
      </c>
      <c r="Z56" s="611">
        <v>8.5689659621687184</v>
      </c>
      <c r="AA56" s="609" t="s">
        <v>20</v>
      </c>
      <c r="AB56" s="609" t="s">
        <v>20</v>
      </c>
      <c r="AC56" s="609"/>
      <c r="AD56" s="609"/>
      <c r="AE56" s="609"/>
      <c r="AF56" s="609"/>
      <c r="AG56" s="609"/>
      <c r="AH56" s="609" t="s">
        <v>20</v>
      </c>
      <c r="AI56" s="609" t="s">
        <v>20</v>
      </c>
      <c r="AJ56" s="609" t="s">
        <v>20</v>
      </c>
      <c r="AK56" s="609" t="s">
        <v>20</v>
      </c>
      <c r="AL56" s="609" t="s">
        <v>20</v>
      </c>
      <c r="AM56" s="609" t="s">
        <v>20</v>
      </c>
      <c r="AN56" s="609" t="s">
        <v>20</v>
      </c>
      <c r="AO56" s="609" t="s">
        <v>20</v>
      </c>
      <c r="AP56" s="609" t="s">
        <v>20</v>
      </c>
      <c r="AQ56" s="609" t="s">
        <v>20</v>
      </c>
      <c r="AR56" s="609" t="s">
        <v>20</v>
      </c>
      <c r="AS56" s="609" t="s">
        <v>20</v>
      </c>
      <c r="AT56" s="609" t="s">
        <v>20</v>
      </c>
      <c r="AU56" s="609" t="s">
        <v>20</v>
      </c>
      <c r="AV56" s="609" t="s">
        <v>20</v>
      </c>
      <c r="AW56" s="609" t="s">
        <v>20</v>
      </c>
      <c r="AX56" s="609" t="s">
        <v>20</v>
      </c>
      <c r="AY56" s="612" t="s">
        <v>430</v>
      </c>
      <c r="AZ56" s="612" t="s">
        <v>433</v>
      </c>
      <c r="BA56" s="613" t="s">
        <v>555</v>
      </c>
      <c r="BB56" s="614">
        <v>0.13741422833071432</v>
      </c>
      <c r="BC56" s="614">
        <v>-1.213462850937679E-3</v>
      </c>
      <c r="BD56" s="613" t="s">
        <v>572</v>
      </c>
      <c r="BE56" s="613" t="s">
        <v>572</v>
      </c>
    </row>
    <row r="57" spans="1:57">
      <c r="A57" s="601" t="s">
        <v>61</v>
      </c>
      <c r="B57" s="602" t="s">
        <v>328</v>
      </c>
      <c r="C57" s="601" t="s">
        <v>20</v>
      </c>
      <c r="D57" s="601">
        <v>56</v>
      </c>
      <c r="E57" s="603" t="s">
        <v>328</v>
      </c>
      <c r="F57" s="601">
        <v>2015</v>
      </c>
      <c r="G57" s="601" t="s">
        <v>469</v>
      </c>
      <c r="H57" s="609">
        <v>1840.953</v>
      </c>
      <c r="I57" s="609">
        <v>17690.035</v>
      </c>
      <c r="J57" s="615">
        <v>0.39501189248959134</v>
      </c>
      <c r="K57" s="616">
        <v>151.76982390000001</v>
      </c>
      <c r="L57" s="609">
        <v>466050.01899999997</v>
      </c>
      <c r="M57" s="617">
        <v>228482</v>
      </c>
      <c r="N57" s="617">
        <v>2697572</v>
      </c>
      <c r="O57" s="608">
        <v>172.19038565050349</v>
      </c>
      <c r="P57" s="609">
        <v>464495.96299999999</v>
      </c>
      <c r="Q57" s="609">
        <v>464495.96299999999</v>
      </c>
      <c r="R57" s="609">
        <v>434617.299</v>
      </c>
      <c r="S57" s="618">
        <v>93.567508357440772</v>
      </c>
      <c r="T57" s="609">
        <v>399939.55300000001</v>
      </c>
      <c r="U57" s="617">
        <v>928389</v>
      </c>
      <c r="V57" s="617">
        <v>4129.8871726130019</v>
      </c>
      <c r="W57" s="617">
        <v>67703</v>
      </c>
      <c r="X57" s="617">
        <v>15387</v>
      </c>
      <c r="Y57" s="617">
        <v>301.17305488046287</v>
      </c>
      <c r="Z57" s="609">
        <v>4.4000129979853124</v>
      </c>
      <c r="AA57" s="609" t="s">
        <v>20</v>
      </c>
      <c r="AB57" s="609" t="s">
        <v>20</v>
      </c>
      <c r="AC57" s="609"/>
      <c r="AD57" s="609"/>
      <c r="AE57" s="609"/>
      <c r="AF57" s="609"/>
      <c r="AG57" s="609"/>
      <c r="AH57" s="609" t="s">
        <v>20</v>
      </c>
      <c r="AI57" s="609" t="s">
        <v>20</v>
      </c>
      <c r="AJ57" s="609" t="s">
        <v>20</v>
      </c>
      <c r="AK57" s="609" t="s">
        <v>20</v>
      </c>
      <c r="AL57" s="609" t="s">
        <v>20</v>
      </c>
      <c r="AM57" s="609" t="s">
        <v>20</v>
      </c>
      <c r="AN57" s="609" t="s">
        <v>20</v>
      </c>
      <c r="AO57" s="609" t="s">
        <v>20</v>
      </c>
      <c r="AP57" s="609" t="s">
        <v>20</v>
      </c>
      <c r="AQ57" s="609" t="s">
        <v>20</v>
      </c>
      <c r="AR57" s="609" t="s">
        <v>20</v>
      </c>
      <c r="AS57" s="609" t="s">
        <v>20</v>
      </c>
      <c r="AT57" s="609" t="s">
        <v>20</v>
      </c>
      <c r="AU57" s="609" t="s">
        <v>20</v>
      </c>
      <c r="AV57" s="609" t="s">
        <v>20</v>
      </c>
      <c r="AW57" s="609" t="s">
        <v>20</v>
      </c>
      <c r="AX57" s="609" t="s">
        <v>20</v>
      </c>
      <c r="AY57" s="609" t="s">
        <v>435</v>
      </c>
      <c r="AZ57" s="609" t="s">
        <v>431</v>
      </c>
      <c r="BA57" s="613" t="s">
        <v>555</v>
      </c>
      <c r="BB57" s="614">
        <v>3.795737427059305E-2</v>
      </c>
      <c r="BC57" s="614">
        <v>3.9501189248959132E-3</v>
      </c>
      <c r="BD57" s="613" t="s">
        <v>573</v>
      </c>
      <c r="BE57" s="613" t="s">
        <v>573</v>
      </c>
    </row>
    <row r="58" spans="1:57">
      <c r="A58" s="601" t="s">
        <v>82</v>
      </c>
      <c r="B58" s="602" t="s">
        <v>389</v>
      </c>
      <c r="C58" s="601">
        <v>29</v>
      </c>
      <c r="D58" s="601">
        <v>57</v>
      </c>
      <c r="E58" s="603" t="s">
        <v>389</v>
      </c>
      <c r="F58" s="601">
        <v>2015</v>
      </c>
      <c r="G58" s="601" t="s">
        <v>469</v>
      </c>
      <c r="H58" s="604">
        <v>47211.978000000003</v>
      </c>
      <c r="I58" s="609">
        <v>126607.409</v>
      </c>
      <c r="J58" s="605">
        <v>4.7016602155324625</v>
      </c>
      <c r="K58" s="606">
        <v>479.30470309999998</v>
      </c>
      <c r="L58" s="609">
        <v>1004155.465</v>
      </c>
      <c r="M58" s="607">
        <v>227592</v>
      </c>
      <c r="N58" s="607">
        <v>2694709</v>
      </c>
      <c r="O58" s="608">
        <v>372.80542908343722</v>
      </c>
      <c r="P58" s="609">
        <v>1004602.145</v>
      </c>
      <c r="Q58" s="609">
        <v>1004602.145</v>
      </c>
      <c r="R58" s="609">
        <v>796468.99699999997</v>
      </c>
      <c r="S58" s="610">
        <v>79.282032291499831</v>
      </c>
      <c r="T58" s="609">
        <v>144297</v>
      </c>
      <c r="U58" s="607">
        <v>642.57921727355347</v>
      </c>
      <c r="V58" s="607">
        <v>151324</v>
      </c>
      <c r="W58" s="607">
        <v>28296</v>
      </c>
      <c r="X58" s="607">
        <v>673.87164996294587</v>
      </c>
      <c r="Y58" s="607">
        <v>5.3478936952219396</v>
      </c>
      <c r="Z58" s="611" t="s">
        <v>20</v>
      </c>
      <c r="AA58" s="609">
        <v>1001072.3540000001</v>
      </c>
      <c r="AB58" s="609">
        <v>-3083.1109999999171</v>
      </c>
      <c r="AC58" s="609"/>
      <c r="AD58" s="609"/>
      <c r="AE58" s="609"/>
      <c r="AF58" s="609"/>
      <c r="AG58" s="609"/>
      <c r="AH58" s="609">
        <v>585321.60600000003</v>
      </c>
      <c r="AI58" s="609">
        <v>4322.6210000000001</v>
      </c>
      <c r="AJ58" s="609">
        <v>0</v>
      </c>
      <c r="AK58" s="609">
        <v>31751.206999999999</v>
      </c>
      <c r="AL58" s="609">
        <v>175073.56299999999</v>
      </c>
      <c r="AM58" s="609">
        <v>0</v>
      </c>
      <c r="AN58" s="609">
        <v>0</v>
      </c>
      <c r="AO58" s="609">
        <v>796468.99699999997</v>
      </c>
      <c r="AP58" s="609">
        <v>5131.8580000000002</v>
      </c>
      <c r="AQ58" s="609">
        <v>791337.13899999997</v>
      </c>
      <c r="AR58" s="609">
        <v>0.78806237338956275</v>
      </c>
      <c r="AS58" s="609">
        <v>13563.749</v>
      </c>
      <c r="AT58" s="609">
        <v>126607.409</v>
      </c>
      <c r="AU58" s="609">
        <v>0.12608347353863178</v>
      </c>
      <c r="AV58" s="609">
        <v>931508.29700000002</v>
      </c>
      <c r="AW58" s="609">
        <v>72647.168000000005</v>
      </c>
      <c r="AX58" s="609">
        <v>0</v>
      </c>
      <c r="AY58" s="612" t="s">
        <v>435</v>
      </c>
      <c r="AZ58" s="612" t="s">
        <v>431</v>
      </c>
      <c r="BA58" s="613" t="s">
        <v>555</v>
      </c>
      <c r="BB58" s="614">
        <v>0.12608347353863178</v>
      </c>
      <c r="BC58" s="614">
        <v>4.7016602155324626E-2</v>
      </c>
      <c r="BD58" s="613" t="s">
        <v>574</v>
      </c>
      <c r="BE58" s="613" t="s">
        <v>574</v>
      </c>
    </row>
    <row r="59" spans="1:57">
      <c r="A59" s="601" t="s">
        <v>80</v>
      </c>
      <c r="B59" s="602" t="s">
        <v>418</v>
      </c>
      <c r="C59" s="601">
        <v>1</v>
      </c>
      <c r="D59" s="601">
        <v>58</v>
      </c>
      <c r="E59" s="603" t="s">
        <v>224</v>
      </c>
      <c r="F59" s="601">
        <v>2015</v>
      </c>
      <c r="G59" s="601" t="s">
        <v>567</v>
      </c>
      <c r="H59" s="604">
        <v>99547.404999999999</v>
      </c>
      <c r="I59" s="604">
        <v>187668.815</v>
      </c>
      <c r="J59" s="605">
        <v>4.2450766443429409</v>
      </c>
      <c r="K59" s="606">
        <v>403.24028140000001</v>
      </c>
      <c r="L59" s="604">
        <v>2345008.426</v>
      </c>
      <c r="M59" s="607">
        <v>240215</v>
      </c>
      <c r="N59" s="607">
        <v>2650800</v>
      </c>
      <c r="O59" s="608">
        <v>290.98630828429151</v>
      </c>
      <c r="P59" s="609">
        <v>778118.18299999996</v>
      </c>
      <c r="Q59" s="609">
        <v>771346.50600000005</v>
      </c>
      <c r="R59" s="609">
        <v>654584.81599999999</v>
      </c>
      <c r="S59" s="610">
        <v>84.862615038538848</v>
      </c>
      <c r="T59" s="609">
        <v>632635.21900000004</v>
      </c>
      <c r="U59" s="607">
        <v>1413583</v>
      </c>
      <c r="V59" s="607">
        <v>6399.198732458126</v>
      </c>
      <c r="W59" s="607">
        <v>83431</v>
      </c>
      <c r="X59" s="607">
        <v>17223</v>
      </c>
      <c r="Y59" s="607">
        <v>377.68673607967406</v>
      </c>
      <c r="Z59" s="611">
        <v>4.8441618765604133</v>
      </c>
      <c r="AA59" s="609">
        <v>778118.18299999996</v>
      </c>
      <c r="AB59" s="609">
        <v>6771.6769999999087</v>
      </c>
      <c r="AC59" s="609"/>
      <c r="AD59" s="609"/>
      <c r="AE59" s="609"/>
      <c r="AF59" s="609"/>
      <c r="AG59" s="609"/>
      <c r="AH59" s="609">
        <v>492191.53100000002</v>
      </c>
      <c r="AI59" s="609">
        <v>31960.771000000001</v>
      </c>
      <c r="AJ59" s="609">
        <v>0</v>
      </c>
      <c r="AK59" s="609">
        <v>27382.877</v>
      </c>
      <c r="AL59" s="609">
        <v>103049.636</v>
      </c>
      <c r="AM59" s="609">
        <v>0</v>
      </c>
      <c r="AN59" s="609">
        <v>0</v>
      </c>
      <c r="AO59" s="609">
        <v>654584.81499999994</v>
      </c>
      <c r="AP59" s="609">
        <v>0</v>
      </c>
      <c r="AQ59" s="609">
        <v>654584.81499999994</v>
      </c>
      <c r="AR59" s="609">
        <v>0.84862614908895417</v>
      </c>
      <c r="AS59" s="609">
        <v>14814.112999999999</v>
      </c>
      <c r="AT59" s="609">
        <v>58267.978999999999</v>
      </c>
      <c r="AU59" s="609">
        <v>7.5540601463488052E-2</v>
      </c>
      <c r="AV59" s="609">
        <v>727666.90700000001</v>
      </c>
      <c r="AW59" s="609">
        <v>43679.599000000002</v>
      </c>
      <c r="AX59" s="609">
        <v>0</v>
      </c>
      <c r="AY59" s="612" t="s">
        <v>430</v>
      </c>
      <c r="AZ59" s="612" t="s">
        <v>433</v>
      </c>
      <c r="BA59" s="613" t="s">
        <v>555</v>
      </c>
      <c r="BB59" s="614">
        <v>8.0029057857210442E-2</v>
      </c>
      <c r="BC59" s="614">
        <v>7.1344791757401091E-2</v>
      </c>
      <c r="BD59" s="613" t="s">
        <v>575</v>
      </c>
      <c r="BE59" s="613" t="s">
        <v>575</v>
      </c>
    </row>
    <row r="60" spans="1:57">
      <c r="A60" s="601" t="s">
        <v>85</v>
      </c>
      <c r="B60" s="602" t="s">
        <v>156</v>
      </c>
      <c r="C60" s="601">
        <v>25</v>
      </c>
      <c r="D60" s="601">
        <v>59</v>
      </c>
      <c r="E60" s="603" t="s">
        <v>156</v>
      </c>
      <c r="F60" s="601">
        <v>2015</v>
      </c>
      <c r="G60" s="601" t="s">
        <v>469</v>
      </c>
      <c r="H60" s="604">
        <v>0</v>
      </c>
      <c r="I60" s="604">
        <v>301901.56900000002</v>
      </c>
      <c r="J60" s="605">
        <v>0</v>
      </c>
      <c r="K60" s="606">
        <v>213.9423438</v>
      </c>
      <c r="L60" s="604">
        <v>1502933.858</v>
      </c>
      <c r="M60" s="607">
        <v>228237</v>
      </c>
      <c r="N60" s="607">
        <v>2533297</v>
      </c>
      <c r="O60" s="608">
        <v>507.18036534997674</v>
      </c>
      <c r="P60" s="609">
        <v>1377237.3840000001</v>
      </c>
      <c r="Q60" s="609">
        <v>1284838.4979999999</v>
      </c>
      <c r="R60" s="609">
        <v>1085449.7239999999</v>
      </c>
      <c r="S60" s="610">
        <v>84.481413476450797</v>
      </c>
      <c r="T60" s="609">
        <v>911586.48800000001</v>
      </c>
      <c r="U60" s="607">
        <v>1656592</v>
      </c>
      <c r="V60" s="607">
        <v>7847.1272811675854</v>
      </c>
      <c r="W60" s="607">
        <v>143079</v>
      </c>
      <c r="X60" s="607">
        <v>35146</v>
      </c>
      <c r="Y60" s="607">
        <v>677.75235197452173</v>
      </c>
      <c r="Z60" s="611">
        <v>4.0709895862971601</v>
      </c>
      <c r="AA60" s="609">
        <v>1284838.4979999999</v>
      </c>
      <c r="AB60" s="609">
        <v>0</v>
      </c>
      <c r="AC60" s="609"/>
      <c r="AD60" s="609"/>
      <c r="AE60" s="609"/>
      <c r="AF60" s="609"/>
      <c r="AG60" s="609"/>
      <c r="AH60" s="609">
        <v>292107.89399999997</v>
      </c>
      <c r="AI60" s="609">
        <v>338370.07900000003</v>
      </c>
      <c r="AJ60" s="609">
        <v>0</v>
      </c>
      <c r="AK60" s="609">
        <v>70163.872000000003</v>
      </c>
      <c r="AL60" s="609">
        <v>280847.73599999998</v>
      </c>
      <c r="AM60" s="609">
        <v>73930.384000000005</v>
      </c>
      <c r="AN60" s="609">
        <v>30029.758999999998</v>
      </c>
      <c r="AO60" s="609">
        <v>1085449.7239999999</v>
      </c>
      <c r="AP60" s="609">
        <v>90297.922000000006</v>
      </c>
      <c r="AQ60" s="609">
        <v>995151.80200000003</v>
      </c>
      <c r="AR60" s="609">
        <v>0.77453454543047173</v>
      </c>
      <c r="AS60" s="609">
        <v>18247.098000000002</v>
      </c>
      <c r="AT60" s="609">
        <v>273811.05900000001</v>
      </c>
      <c r="AU60" s="609">
        <v>0.21310932029684562</v>
      </c>
      <c r="AV60" s="609">
        <v>1287209.959</v>
      </c>
      <c r="AW60" s="609">
        <v>-2371.4609999999998</v>
      </c>
      <c r="AX60" s="609">
        <v>0</v>
      </c>
      <c r="AY60" s="609" t="s">
        <v>435</v>
      </c>
      <c r="AZ60" s="609" t="s">
        <v>431</v>
      </c>
      <c r="BA60" s="613" t="s">
        <v>555</v>
      </c>
      <c r="BB60" s="614">
        <v>0.20087482053385214</v>
      </c>
      <c r="BC60" s="614">
        <v>0</v>
      </c>
      <c r="BD60" s="613" t="s">
        <v>573</v>
      </c>
      <c r="BE60" s="613" t="s">
        <v>573</v>
      </c>
    </row>
    <row r="61" spans="1:57">
      <c r="A61" s="601" t="s">
        <v>79</v>
      </c>
      <c r="B61" s="602" t="s">
        <v>261</v>
      </c>
      <c r="C61" s="601">
        <v>21</v>
      </c>
      <c r="D61" s="601">
        <v>60</v>
      </c>
      <c r="E61" s="603" t="s">
        <v>261</v>
      </c>
      <c r="F61" s="601">
        <v>2015</v>
      </c>
      <c r="G61" s="601" t="s">
        <v>567</v>
      </c>
      <c r="H61" s="604">
        <v>29785.382000000001</v>
      </c>
      <c r="I61" s="609">
        <v>160333.524</v>
      </c>
      <c r="J61" s="605">
        <v>1.7958515425656525</v>
      </c>
      <c r="K61" s="606">
        <v>447.87036899999998</v>
      </c>
      <c r="L61" s="609">
        <v>1658565.939</v>
      </c>
      <c r="M61" s="607">
        <v>213116</v>
      </c>
      <c r="N61" s="607">
        <v>2511794</v>
      </c>
      <c r="O61" s="608">
        <v>431.51522935399959</v>
      </c>
      <c r="P61" s="609">
        <v>1083877.3640000001</v>
      </c>
      <c r="Q61" s="609">
        <v>1083877.3640000001</v>
      </c>
      <c r="R61" s="609">
        <v>871301.33100000001</v>
      </c>
      <c r="S61" s="610">
        <v>80.387446028442</v>
      </c>
      <c r="T61" s="609">
        <v>872756.53399999999</v>
      </c>
      <c r="U61" s="607">
        <v>1754935</v>
      </c>
      <c r="V61" s="607">
        <v>8384.1350047018186</v>
      </c>
      <c r="W61" s="607">
        <v>66877</v>
      </c>
      <c r="X61" s="607">
        <v>19875</v>
      </c>
      <c r="Y61" s="607">
        <v>319.50231587462986</v>
      </c>
      <c r="Z61" s="611">
        <v>3.3648805031446543</v>
      </c>
      <c r="AA61" s="609">
        <v>1080157.014</v>
      </c>
      <c r="AB61" s="609">
        <v>0</v>
      </c>
      <c r="AC61" s="609"/>
      <c r="AD61" s="609"/>
      <c r="AE61" s="609"/>
      <c r="AF61" s="609"/>
      <c r="AG61" s="609"/>
      <c r="AH61" s="609">
        <v>715410.26</v>
      </c>
      <c r="AI61" s="609">
        <v>74130.910999999993</v>
      </c>
      <c r="AJ61" s="609">
        <v>0</v>
      </c>
      <c r="AK61" s="609">
        <v>0</v>
      </c>
      <c r="AL61" s="609">
        <v>82450.106</v>
      </c>
      <c r="AM61" s="609">
        <v>-670.78300000000002</v>
      </c>
      <c r="AN61" s="609">
        <v>-19.161999999999999</v>
      </c>
      <c r="AO61" s="609">
        <v>871301.33100000001</v>
      </c>
      <c r="AP61" s="609">
        <v>2200.2530000000002</v>
      </c>
      <c r="AQ61" s="609">
        <v>869101.07799999998</v>
      </c>
      <c r="AR61" s="609">
        <v>0.80460624403259207</v>
      </c>
      <c r="AS61" s="609">
        <v>38553.285000000003</v>
      </c>
      <c r="AT61" s="609">
        <v>113844.63499999999</v>
      </c>
      <c r="AU61" s="609">
        <v>0.10539637619758122</v>
      </c>
      <c r="AV61" s="609">
        <v>1021498.998</v>
      </c>
      <c r="AW61" s="609">
        <v>58658.016000000003</v>
      </c>
      <c r="AX61" s="609">
        <v>0</v>
      </c>
      <c r="AY61" s="612" t="s">
        <v>435</v>
      </c>
      <c r="AZ61" s="612" t="s">
        <v>431</v>
      </c>
      <c r="BA61" s="613" t="s">
        <v>555</v>
      </c>
      <c r="BB61" s="614">
        <v>9.6669972673302323E-2</v>
      </c>
      <c r="BC61" s="614">
        <v>9.9455567042277676E-2</v>
      </c>
      <c r="BD61" s="613" t="s">
        <v>576</v>
      </c>
      <c r="BE61" s="613" t="s">
        <v>576</v>
      </c>
    </row>
    <row r="62" spans="1:57">
      <c r="A62" s="601" t="s">
        <v>66</v>
      </c>
      <c r="B62" s="602" t="s">
        <v>324</v>
      </c>
      <c r="C62" s="601" t="s">
        <v>20</v>
      </c>
      <c r="D62" s="601">
        <v>61</v>
      </c>
      <c r="E62" s="603" t="s">
        <v>324</v>
      </c>
      <c r="F62" s="601">
        <v>2015</v>
      </c>
      <c r="G62" s="601" t="s">
        <v>567</v>
      </c>
      <c r="H62" s="604">
        <v>34004.03</v>
      </c>
      <c r="I62" s="609">
        <v>74837.009000000005</v>
      </c>
      <c r="J62" s="605">
        <v>2.5629630948254647</v>
      </c>
      <c r="K62" s="606">
        <v>387.1171721</v>
      </c>
      <c r="L62" s="609">
        <v>1326746.767</v>
      </c>
      <c r="M62" s="607">
        <v>208205</v>
      </c>
      <c r="N62" s="607">
        <v>2508601</v>
      </c>
      <c r="O62" s="608">
        <v>460.91516107982096</v>
      </c>
      <c r="P62" s="609">
        <v>1156252.2339999999</v>
      </c>
      <c r="Q62" s="609">
        <v>1156252.2339999999</v>
      </c>
      <c r="R62" s="609">
        <v>1041186.1629999999</v>
      </c>
      <c r="S62" s="610">
        <v>90.048359033051611</v>
      </c>
      <c r="T62" s="609">
        <v>1036972.147</v>
      </c>
      <c r="U62" s="607">
        <v>2933652</v>
      </c>
      <c r="V62" s="607">
        <v>14033.249608048471</v>
      </c>
      <c r="W62" s="607">
        <v>171730</v>
      </c>
      <c r="X62" s="607">
        <v>34968</v>
      </c>
      <c r="Y62" s="607">
        <v>821.47778781878822</v>
      </c>
      <c r="Z62" s="611">
        <v>4.9110615419812396</v>
      </c>
      <c r="AA62" s="609">
        <v>1156243.94</v>
      </c>
      <c r="AB62" s="609">
        <v>0</v>
      </c>
      <c r="AC62" s="609"/>
      <c r="AD62" s="609"/>
      <c r="AE62" s="609"/>
      <c r="AF62" s="609"/>
      <c r="AG62" s="609"/>
      <c r="AH62" s="609">
        <v>767054.93700000003</v>
      </c>
      <c r="AI62" s="609">
        <v>1113.0530000000001</v>
      </c>
      <c r="AJ62" s="609">
        <v>0</v>
      </c>
      <c r="AK62" s="609">
        <v>57965.305999999997</v>
      </c>
      <c r="AL62" s="609">
        <v>214667.10800000001</v>
      </c>
      <c r="AM62" s="609">
        <v>0</v>
      </c>
      <c r="AN62" s="609">
        <v>385.75900000000001</v>
      </c>
      <c r="AO62" s="609">
        <v>1041186.1629999999</v>
      </c>
      <c r="AP62" s="609">
        <v>0</v>
      </c>
      <c r="AQ62" s="609">
        <v>1041186.1629999999</v>
      </c>
      <c r="AR62" s="609">
        <v>0.90049004970352531</v>
      </c>
      <c r="AS62" s="609">
        <v>24197.215</v>
      </c>
      <c r="AT62" s="609">
        <v>62339.783000000003</v>
      </c>
      <c r="AU62" s="609">
        <v>5.3915770576925148E-2</v>
      </c>
      <c r="AV62" s="609">
        <v>1124318.733</v>
      </c>
      <c r="AW62" s="609">
        <v>31925.206999999999</v>
      </c>
      <c r="AX62" s="609">
        <v>0</v>
      </c>
      <c r="AY62" s="612" t="s">
        <v>430</v>
      </c>
      <c r="AZ62" s="612" t="s">
        <v>431</v>
      </c>
      <c r="BA62" s="613" t="s">
        <v>555</v>
      </c>
      <c r="BB62" s="614">
        <v>5.640640012202118E-2</v>
      </c>
      <c r="BC62" s="614">
        <v>4.311000954746276E-2</v>
      </c>
      <c r="BD62" s="613" t="s">
        <v>574</v>
      </c>
      <c r="BE62" s="613" t="s">
        <v>574</v>
      </c>
    </row>
    <row r="63" spans="1:57">
      <c r="A63" s="601" t="s">
        <v>61</v>
      </c>
      <c r="B63" s="602" t="s">
        <v>230</v>
      </c>
      <c r="C63" s="601">
        <v>27</v>
      </c>
      <c r="D63" s="601">
        <v>62</v>
      </c>
      <c r="E63" s="603" t="s">
        <v>230</v>
      </c>
      <c r="F63" s="601">
        <v>2015</v>
      </c>
      <c r="G63" s="601" t="s">
        <v>567</v>
      </c>
      <c r="H63" s="604">
        <v>-65881.379000000001</v>
      </c>
      <c r="I63" s="609">
        <v>2986959.977</v>
      </c>
      <c r="J63" s="605">
        <v>-0.21125764033992317</v>
      </c>
      <c r="K63" s="606">
        <v>766.17642699999999</v>
      </c>
      <c r="L63" s="609">
        <v>31185323.708999999</v>
      </c>
      <c r="M63" s="607">
        <v>271953</v>
      </c>
      <c r="N63" s="607">
        <v>2505800</v>
      </c>
      <c r="O63" s="608">
        <v>284.25015923058504</v>
      </c>
      <c r="P63" s="609">
        <v>712274.049</v>
      </c>
      <c r="Q63" s="609">
        <v>712274.049</v>
      </c>
      <c r="R63" s="609">
        <v>657567.12600000005</v>
      </c>
      <c r="S63" s="610">
        <v>92.319399664103159</v>
      </c>
      <c r="T63" s="609">
        <v>611458.40500000003</v>
      </c>
      <c r="U63" s="607">
        <v>651708</v>
      </c>
      <c r="V63" s="607">
        <v>3120.9577779551441</v>
      </c>
      <c r="W63" s="607">
        <v>357007</v>
      </c>
      <c r="X63" s="607">
        <v>166101</v>
      </c>
      <c r="Y63" s="607">
        <v>1709.6671721605874</v>
      </c>
      <c r="Z63" s="611">
        <v>2.14933684926641</v>
      </c>
      <c r="AA63" s="609">
        <v>717484.25300000003</v>
      </c>
      <c r="AB63" s="609">
        <v>0</v>
      </c>
      <c r="AC63" s="609"/>
      <c r="AD63" s="609"/>
      <c r="AE63" s="609"/>
      <c r="AF63" s="609"/>
      <c r="AG63" s="609"/>
      <c r="AH63" s="609">
        <v>551120.02300000004</v>
      </c>
      <c r="AI63" s="609">
        <v>0</v>
      </c>
      <c r="AJ63" s="609">
        <v>0</v>
      </c>
      <c r="AK63" s="609">
        <v>0</v>
      </c>
      <c r="AL63" s="609">
        <v>105773.878</v>
      </c>
      <c r="AM63" s="609">
        <v>0</v>
      </c>
      <c r="AN63" s="609">
        <v>673.22500000000002</v>
      </c>
      <c r="AO63" s="609">
        <v>657567.12600000005</v>
      </c>
      <c r="AP63" s="609">
        <v>-4216.1719999999996</v>
      </c>
      <c r="AQ63" s="609">
        <v>661783.29799999995</v>
      </c>
      <c r="AR63" s="609">
        <v>0.92236630313892054</v>
      </c>
      <c r="AS63" s="609">
        <v>86891.426000000007</v>
      </c>
      <c r="AT63" s="609">
        <v>44996.220999999998</v>
      </c>
      <c r="AU63" s="609">
        <v>6.271387951980599E-2</v>
      </c>
      <c r="AV63" s="609">
        <v>877253.94499999995</v>
      </c>
      <c r="AW63" s="609">
        <v>-159769.693</v>
      </c>
      <c r="AX63" s="609">
        <v>0</v>
      </c>
      <c r="AY63" s="612" t="s">
        <v>430</v>
      </c>
      <c r="AZ63" s="609" t="s">
        <v>431</v>
      </c>
      <c r="BA63" s="613" t="s">
        <v>552</v>
      </c>
      <c r="BB63" s="614">
        <v>9.5780951478081702E-2</v>
      </c>
      <c r="BC63" s="614">
        <v>-1.8974948119113336E-2</v>
      </c>
      <c r="BD63" s="613" t="s">
        <v>572</v>
      </c>
      <c r="BE63" s="613" t="s">
        <v>572</v>
      </c>
    </row>
    <row r="64" spans="1:57">
      <c r="A64" s="601" t="s">
        <v>72</v>
      </c>
      <c r="B64" s="603" t="s">
        <v>419</v>
      </c>
      <c r="C64" s="601">
        <v>2</v>
      </c>
      <c r="D64" s="601">
        <v>63</v>
      </c>
      <c r="E64" s="603" t="s">
        <v>241</v>
      </c>
      <c r="F64" s="601">
        <v>2015</v>
      </c>
      <c r="G64" s="601" t="s">
        <v>469</v>
      </c>
      <c r="H64" s="604">
        <v>-28834.560000000001</v>
      </c>
      <c r="I64" s="604">
        <v>113034.755</v>
      </c>
      <c r="J64" s="605">
        <v>-3.278154602924614</v>
      </c>
      <c r="K64" s="606">
        <v>208.60675029999999</v>
      </c>
      <c r="L64" s="604">
        <v>879597.31900000002</v>
      </c>
      <c r="M64" s="607">
        <v>266918</v>
      </c>
      <c r="N64" s="607">
        <v>2478793</v>
      </c>
      <c r="O64" s="608">
        <v>342.70220546854858</v>
      </c>
      <c r="P64" s="609">
        <v>849487.82799999998</v>
      </c>
      <c r="Q64" s="609">
        <v>849487.82799999998</v>
      </c>
      <c r="R64" s="609">
        <v>743156.72</v>
      </c>
      <c r="S64" s="610">
        <v>87.482915646909078</v>
      </c>
      <c r="T64" s="609">
        <v>705029.56400000001</v>
      </c>
      <c r="U64" s="607">
        <v>1107229</v>
      </c>
      <c r="V64" s="607">
        <v>5360.1684368158212</v>
      </c>
      <c r="W64" s="607">
        <v>11746</v>
      </c>
      <c r="X64" s="607">
        <v>2665</v>
      </c>
      <c r="Y64" s="607">
        <v>56.863158803498315</v>
      </c>
      <c r="Z64" s="611">
        <v>4.4075046904315194</v>
      </c>
      <c r="AA64" s="609">
        <v>846440.84400000004</v>
      </c>
      <c r="AB64" s="609">
        <v>0</v>
      </c>
      <c r="AC64" s="609"/>
      <c r="AD64" s="609"/>
      <c r="AE64" s="609"/>
      <c r="AF64" s="609"/>
      <c r="AG64" s="609"/>
      <c r="AH64" s="609">
        <v>299299.39299999998</v>
      </c>
      <c r="AI64" s="609">
        <v>141454.51999999999</v>
      </c>
      <c r="AJ64" s="609">
        <v>0</v>
      </c>
      <c r="AK64" s="609">
        <v>83503.451000000001</v>
      </c>
      <c r="AL64" s="609">
        <v>218899.35699999999</v>
      </c>
      <c r="AM64" s="609">
        <v>0</v>
      </c>
      <c r="AN64" s="609">
        <v>0</v>
      </c>
      <c r="AO64" s="609">
        <v>743156.72100000002</v>
      </c>
      <c r="AP64" s="609">
        <v>1275.943</v>
      </c>
      <c r="AQ64" s="609">
        <v>741880.77800000005</v>
      </c>
      <c r="AR64" s="609">
        <v>0.87647091141551769</v>
      </c>
      <c r="AS64" s="609">
        <v>23671.174999999999</v>
      </c>
      <c r="AT64" s="609">
        <v>105533.973</v>
      </c>
      <c r="AU64" s="609">
        <v>0.12467967932795077</v>
      </c>
      <c r="AV64" s="609">
        <v>884035.35100000002</v>
      </c>
      <c r="AW64" s="609">
        <v>-37594.506999999998</v>
      </c>
      <c r="AX64" s="609">
        <v>0</v>
      </c>
      <c r="AY64" s="612" t="s">
        <v>430</v>
      </c>
      <c r="AZ64" s="612" t="s">
        <v>433</v>
      </c>
      <c r="BA64" s="613" t="s">
        <v>552</v>
      </c>
      <c r="BB64" s="614">
        <v>0.12850738918634652</v>
      </c>
      <c r="BC64" s="614">
        <v>-3.2781546029246142E-2</v>
      </c>
      <c r="BD64" s="613" t="s">
        <v>571</v>
      </c>
      <c r="BE64" s="613" t="s">
        <v>571</v>
      </c>
    </row>
    <row r="65" spans="1:57">
      <c r="A65" s="601" t="s">
        <v>70</v>
      </c>
      <c r="B65" s="602" t="s">
        <v>244</v>
      </c>
      <c r="C65" s="601">
        <v>17</v>
      </c>
      <c r="D65" s="601">
        <v>64</v>
      </c>
      <c r="E65" s="603" t="s">
        <v>244</v>
      </c>
      <c r="F65" s="601">
        <v>2015</v>
      </c>
      <c r="G65" s="601" t="s">
        <v>469</v>
      </c>
      <c r="H65" s="604">
        <v>45445.167999999998</v>
      </c>
      <c r="I65" s="609">
        <v>110777.183</v>
      </c>
      <c r="J65" s="605">
        <v>2.5573693309331711</v>
      </c>
      <c r="K65" s="606">
        <v>777.56268590000002</v>
      </c>
      <c r="L65" s="609">
        <v>1777027.9580000001</v>
      </c>
      <c r="M65" s="607">
        <v>197829</v>
      </c>
      <c r="N65" s="607">
        <v>2378978</v>
      </c>
      <c r="O65" s="608">
        <v>698.52850005338428</v>
      </c>
      <c r="P65" s="609">
        <v>1661783.9339999999</v>
      </c>
      <c r="Q65" s="609">
        <v>1661783.9339999999</v>
      </c>
      <c r="R65" s="609">
        <v>1515799.317</v>
      </c>
      <c r="S65" s="610">
        <v>91.215186642910481</v>
      </c>
      <c r="T65" s="609">
        <v>1498905.0249999999</v>
      </c>
      <c r="U65" s="607">
        <v>2749992</v>
      </c>
      <c r="V65" s="607">
        <v>13871.462451523301</v>
      </c>
      <c r="W65" s="607">
        <v>92518</v>
      </c>
      <c r="X65" s="607">
        <v>26336</v>
      </c>
      <c r="Y65" s="607">
        <v>466.67770782243468</v>
      </c>
      <c r="Z65" s="611">
        <v>3.5129860267314701</v>
      </c>
      <c r="AA65" s="609">
        <v>1661462.5160000001</v>
      </c>
      <c r="AB65" s="609">
        <v>-3038.6720000000205</v>
      </c>
      <c r="AC65" s="609"/>
      <c r="AD65" s="609"/>
      <c r="AE65" s="609"/>
      <c r="AF65" s="609"/>
      <c r="AG65" s="609"/>
      <c r="AH65" s="609">
        <v>1181574.7760000001</v>
      </c>
      <c r="AI65" s="609">
        <v>23851.629000000001</v>
      </c>
      <c r="AJ65" s="609">
        <v>0</v>
      </c>
      <c r="AK65" s="609">
        <v>98289.884000000005</v>
      </c>
      <c r="AL65" s="609">
        <v>207864.973</v>
      </c>
      <c r="AM65" s="609">
        <v>0</v>
      </c>
      <c r="AN65" s="609">
        <v>5481.9380000000001</v>
      </c>
      <c r="AO65" s="609">
        <v>1517063.2</v>
      </c>
      <c r="AP65" s="609">
        <v>634.76700000000005</v>
      </c>
      <c r="AQ65" s="609">
        <v>1516428.433</v>
      </c>
      <c r="AR65" s="609">
        <v>0.91104076340256712</v>
      </c>
      <c r="AS65" s="609">
        <v>15716.111999999999</v>
      </c>
      <c r="AT65" s="609">
        <v>96892.232999999993</v>
      </c>
      <c r="AU65" s="609">
        <v>5.8210972571561777E-2</v>
      </c>
      <c r="AV65" s="609">
        <v>1624236.7779999999</v>
      </c>
      <c r="AW65" s="609">
        <v>40264.410000000003</v>
      </c>
      <c r="AX65" s="609">
        <v>0</v>
      </c>
      <c r="AY65" s="612" t="s">
        <v>430</v>
      </c>
      <c r="AZ65" s="612" t="s">
        <v>431</v>
      </c>
      <c r="BA65" s="613" t="s">
        <v>555</v>
      </c>
      <c r="BB65" s="614">
        <v>6.233845815497293E-2</v>
      </c>
      <c r="BC65" s="614">
        <v>2.5573693309331711E-2</v>
      </c>
      <c r="BD65" s="613" t="s">
        <v>574</v>
      </c>
      <c r="BE65" s="613" t="s">
        <v>574</v>
      </c>
    </row>
    <row r="66" spans="1:57">
      <c r="A66" s="601" t="s">
        <v>78</v>
      </c>
      <c r="B66" s="603" t="s">
        <v>420</v>
      </c>
      <c r="C66" s="601">
        <v>3</v>
      </c>
      <c r="D66" s="601">
        <v>65</v>
      </c>
      <c r="E66" s="603" t="s">
        <v>192</v>
      </c>
      <c r="F66" s="601">
        <v>2015</v>
      </c>
      <c r="G66" s="601" t="s">
        <v>567</v>
      </c>
      <c r="H66" s="604">
        <v>59087.544000000002</v>
      </c>
      <c r="I66" s="604">
        <v>101839.62300000001</v>
      </c>
      <c r="J66" s="605">
        <v>4.890600013961758</v>
      </c>
      <c r="K66" s="606">
        <v>418.19749419999999</v>
      </c>
      <c r="L66" s="604">
        <v>1208185.986</v>
      </c>
      <c r="M66" s="607">
        <v>189517</v>
      </c>
      <c r="N66" s="607">
        <v>2372993</v>
      </c>
      <c r="O66" s="608">
        <v>448.05801744885053</v>
      </c>
      <c r="P66" s="609">
        <v>1063238.5390000001</v>
      </c>
      <c r="Q66" s="609">
        <v>1063238.5390000001</v>
      </c>
      <c r="R66" s="609">
        <v>826770.27300000004</v>
      </c>
      <c r="S66" s="610">
        <v>77.759622387051195</v>
      </c>
      <c r="T66" s="609">
        <v>807935.50199999998</v>
      </c>
      <c r="U66" s="607">
        <v>1077213</v>
      </c>
      <c r="V66" s="607">
        <v>5447.363730107927</v>
      </c>
      <c r="W66" s="607">
        <v>115442</v>
      </c>
      <c r="X66" s="607">
        <v>19178</v>
      </c>
      <c r="Y66" s="607">
        <v>583.7792189020364</v>
      </c>
      <c r="Z66" s="611">
        <v>6.019501512149338</v>
      </c>
      <c r="AA66" s="609" t="s">
        <v>20</v>
      </c>
      <c r="AB66" s="609" t="s">
        <v>20</v>
      </c>
      <c r="AC66" s="609"/>
      <c r="AD66" s="609"/>
      <c r="AE66" s="609"/>
      <c r="AF66" s="609"/>
      <c r="AG66" s="609"/>
      <c r="AH66" s="609" t="s">
        <v>20</v>
      </c>
      <c r="AI66" s="609" t="s">
        <v>20</v>
      </c>
      <c r="AJ66" s="609" t="s">
        <v>20</v>
      </c>
      <c r="AK66" s="609" t="s">
        <v>20</v>
      </c>
      <c r="AL66" s="609" t="s">
        <v>20</v>
      </c>
      <c r="AM66" s="609" t="s">
        <v>20</v>
      </c>
      <c r="AN66" s="609" t="s">
        <v>20</v>
      </c>
      <c r="AO66" s="609" t="s">
        <v>20</v>
      </c>
      <c r="AP66" s="609" t="s">
        <v>20</v>
      </c>
      <c r="AQ66" s="609" t="s">
        <v>20</v>
      </c>
      <c r="AR66" s="609" t="s">
        <v>20</v>
      </c>
      <c r="AS66" s="609" t="s">
        <v>20</v>
      </c>
      <c r="AT66" s="609" t="s">
        <v>20</v>
      </c>
      <c r="AU66" s="609" t="s">
        <v>20</v>
      </c>
      <c r="AV66" s="609" t="s">
        <v>20</v>
      </c>
      <c r="AW66" s="609" t="s">
        <v>20</v>
      </c>
      <c r="AX66" s="609" t="s">
        <v>20</v>
      </c>
      <c r="AY66" s="612" t="s">
        <v>430</v>
      </c>
      <c r="AZ66" s="612" t="s">
        <v>433</v>
      </c>
      <c r="BA66" s="613" t="s">
        <v>555</v>
      </c>
      <c r="BB66" s="614">
        <v>8.4291346017979718E-2</v>
      </c>
      <c r="BC66" s="614">
        <v>0.13811243011150831</v>
      </c>
      <c r="BD66" s="613" t="s">
        <v>581</v>
      </c>
      <c r="BE66" s="613" t="s">
        <v>581</v>
      </c>
    </row>
    <row r="67" spans="1:57">
      <c r="A67" s="601" t="s">
        <v>85</v>
      </c>
      <c r="B67" s="602" t="s">
        <v>418</v>
      </c>
      <c r="C67" s="601">
        <v>1</v>
      </c>
      <c r="D67" s="601">
        <v>66</v>
      </c>
      <c r="E67" s="603" t="s">
        <v>283</v>
      </c>
      <c r="F67" s="601">
        <v>2015</v>
      </c>
      <c r="G67" s="601" t="s">
        <v>469</v>
      </c>
      <c r="H67" s="604">
        <v>8773.6869999999999</v>
      </c>
      <c r="I67" s="604">
        <v>139818.86600000001</v>
      </c>
      <c r="J67" s="605">
        <v>0.78124025529626961</v>
      </c>
      <c r="K67" s="606">
        <v>425.52430149999998</v>
      </c>
      <c r="L67" s="604">
        <v>1123045.9439999999</v>
      </c>
      <c r="M67" s="607">
        <v>209350</v>
      </c>
      <c r="N67" s="607">
        <v>2357990</v>
      </c>
      <c r="O67" s="608">
        <v>422.72583089834984</v>
      </c>
      <c r="P67" s="609">
        <v>1062024.726</v>
      </c>
      <c r="Q67" s="609">
        <v>996783.28200000001</v>
      </c>
      <c r="R67" s="609">
        <v>810173.11800000002</v>
      </c>
      <c r="S67" s="610">
        <v>81.27876265886249</v>
      </c>
      <c r="T67" s="609">
        <v>785712.77099999995</v>
      </c>
      <c r="U67" s="607">
        <v>1436059</v>
      </c>
      <c r="V67" s="607">
        <v>7308.2192884617834</v>
      </c>
      <c r="W67" s="607">
        <v>116233</v>
      </c>
      <c r="X67" s="607">
        <v>19155</v>
      </c>
      <c r="Y67" s="607">
        <v>591.51904800274815</v>
      </c>
      <c r="Z67" s="611">
        <v>6.0680240146175937</v>
      </c>
      <c r="AA67" s="609">
        <v>1062024.726</v>
      </c>
      <c r="AB67" s="609">
        <v>62880.349999999977</v>
      </c>
      <c r="AC67" s="609"/>
      <c r="AD67" s="609"/>
      <c r="AE67" s="609"/>
      <c r="AF67" s="609"/>
      <c r="AG67" s="609"/>
      <c r="AH67" s="609">
        <v>569979.81200000003</v>
      </c>
      <c r="AI67" s="609">
        <v>16094.406999999999</v>
      </c>
      <c r="AJ67" s="609">
        <v>0</v>
      </c>
      <c r="AK67" s="609">
        <v>0</v>
      </c>
      <c r="AL67" s="609">
        <v>167559.49600000001</v>
      </c>
      <c r="AM67" s="609">
        <v>56112.892</v>
      </c>
      <c r="AN67" s="609">
        <v>426.51100000000002</v>
      </c>
      <c r="AO67" s="609">
        <v>810173.11800000002</v>
      </c>
      <c r="AP67" s="609">
        <v>0</v>
      </c>
      <c r="AQ67" s="609">
        <v>810173.11800000002</v>
      </c>
      <c r="AR67" s="609">
        <v>0.81086691519344545</v>
      </c>
      <c r="AS67" s="609">
        <v>46633.264999999999</v>
      </c>
      <c r="AT67" s="609">
        <v>114483.447</v>
      </c>
      <c r="AU67" s="609">
        <v>0.11458148566909412</v>
      </c>
      <c r="AV67" s="609">
        <v>971289.83</v>
      </c>
      <c r="AW67" s="609">
        <v>27854.545999999998</v>
      </c>
      <c r="AX67" s="609">
        <v>0</v>
      </c>
      <c r="AY67" s="612" t="s">
        <v>430</v>
      </c>
      <c r="AZ67" s="612" t="s">
        <v>433</v>
      </c>
      <c r="BA67" s="613" t="s">
        <v>555</v>
      </c>
      <c r="BB67" s="614">
        <v>0.12449968476089347</v>
      </c>
      <c r="BC67" s="614">
        <v>7.812402552962696E-3</v>
      </c>
      <c r="BD67" s="613" t="s">
        <v>573</v>
      </c>
      <c r="BE67" s="613" t="s">
        <v>573</v>
      </c>
    </row>
    <row r="68" spans="1:57">
      <c r="A68" s="601" t="s">
        <v>90</v>
      </c>
      <c r="B68" s="602" t="s">
        <v>418</v>
      </c>
      <c r="C68" s="601">
        <v>1</v>
      </c>
      <c r="D68" s="601">
        <v>67</v>
      </c>
      <c r="E68" s="603" t="s">
        <v>277</v>
      </c>
      <c r="F68" s="601">
        <v>2015</v>
      </c>
      <c r="G68" s="601" t="s">
        <v>567</v>
      </c>
      <c r="H68" s="619">
        <v>73419.626999999993</v>
      </c>
      <c r="I68" s="604">
        <v>145638.068</v>
      </c>
      <c r="J68" s="605">
        <v>3.542554598913414</v>
      </c>
      <c r="K68" s="606">
        <v>373.73362500000002</v>
      </c>
      <c r="L68" s="604">
        <v>2072505.1640000001</v>
      </c>
      <c r="M68" s="607">
        <v>196182</v>
      </c>
      <c r="N68" s="607">
        <v>2346163</v>
      </c>
      <c r="O68" s="608">
        <v>682.04456680972294</v>
      </c>
      <c r="P68" s="609">
        <v>1593872.3</v>
      </c>
      <c r="Q68" s="609">
        <v>1600187.727</v>
      </c>
      <c r="R68" s="609">
        <v>1351897.4369999999</v>
      </c>
      <c r="S68" s="610">
        <v>84.483677395433489</v>
      </c>
      <c r="T68" s="609">
        <v>1309554.5020000001</v>
      </c>
      <c r="U68" s="607">
        <v>2565357</v>
      </c>
      <c r="V68" s="607">
        <v>13121.119035633927</v>
      </c>
      <c r="W68" s="607">
        <v>3585778</v>
      </c>
      <c r="X68" s="607">
        <v>450941</v>
      </c>
      <c r="Y68" s="607">
        <v>18340.301164070868</v>
      </c>
      <c r="Z68" s="611">
        <v>7.9517675261286955</v>
      </c>
      <c r="AA68" s="609">
        <v>1548434.3629999999</v>
      </c>
      <c r="AB68" s="609">
        <v>-6315.4270000001416</v>
      </c>
      <c r="AC68" s="609"/>
      <c r="AD68" s="609"/>
      <c r="AE68" s="609"/>
      <c r="AF68" s="609"/>
      <c r="AG68" s="609"/>
      <c r="AH68" s="609">
        <v>1069193.0079999999</v>
      </c>
      <c r="AI68" s="609">
        <v>11432.143</v>
      </c>
      <c r="AJ68" s="609">
        <v>0</v>
      </c>
      <c r="AK68" s="609">
        <v>0</v>
      </c>
      <c r="AL68" s="609">
        <v>270844.353</v>
      </c>
      <c r="AM68" s="609">
        <v>0</v>
      </c>
      <c r="AN68" s="609">
        <v>427.93299999999999</v>
      </c>
      <c r="AO68" s="609">
        <v>1351897.4369999999</v>
      </c>
      <c r="AP68" s="609">
        <v>45884.087</v>
      </c>
      <c r="AQ68" s="609">
        <v>1306013.3500000001</v>
      </c>
      <c r="AR68" s="609">
        <v>0.84001513195251831</v>
      </c>
      <c r="AS68" s="609">
        <v>89531.671000000002</v>
      </c>
      <c r="AT68" s="609">
        <v>104746.728</v>
      </c>
      <c r="AU68" s="609">
        <v>6.7372080494058142E-2</v>
      </c>
      <c r="AV68" s="609">
        <v>1500291.7490000001</v>
      </c>
      <c r="AW68" s="609">
        <v>54458.040999999997</v>
      </c>
      <c r="AX68" s="609">
        <v>0</v>
      </c>
      <c r="AY68" s="612" t="s">
        <v>430</v>
      </c>
      <c r="AZ68" s="612" t="s">
        <v>433</v>
      </c>
      <c r="BA68" s="613" t="s">
        <v>555</v>
      </c>
      <c r="BB68" s="614">
        <v>7.0271510310215085E-2</v>
      </c>
      <c r="BC68" s="614">
        <v>8.4891715735450041E-2</v>
      </c>
      <c r="BD68" s="613" t="s">
        <v>576</v>
      </c>
      <c r="BE68" s="613" t="s">
        <v>576</v>
      </c>
    </row>
    <row r="69" spans="1:57">
      <c r="A69" s="601" t="s">
        <v>90</v>
      </c>
      <c r="B69" s="603" t="s">
        <v>421</v>
      </c>
      <c r="C69" s="601">
        <v>4</v>
      </c>
      <c r="D69" s="601">
        <v>68</v>
      </c>
      <c r="E69" s="603" t="s">
        <v>258</v>
      </c>
      <c r="F69" s="601">
        <v>2015</v>
      </c>
      <c r="G69" s="601" t="s">
        <v>567</v>
      </c>
      <c r="H69" s="604">
        <v>-12278.281999999999</v>
      </c>
      <c r="I69" s="609">
        <v>208421.856</v>
      </c>
      <c r="J69" s="605">
        <v>-0.59707630866796357</v>
      </c>
      <c r="K69" s="606">
        <v>218.1232675</v>
      </c>
      <c r="L69" s="609">
        <v>2056400.8019999999</v>
      </c>
      <c r="M69" s="607">
        <v>190038</v>
      </c>
      <c r="N69" s="607">
        <v>2345309</v>
      </c>
      <c r="O69" s="608">
        <v>745.28142048659686</v>
      </c>
      <c r="P69" s="609">
        <v>1750952.5120000001</v>
      </c>
      <c r="Q69" s="609">
        <v>1747915.223</v>
      </c>
      <c r="R69" s="609">
        <v>1524791.848</v>
      </c>
      <c r="S69" s="610">
        <v>87.234885761962389</v>
      </c>
      <c r="T69" s="609">
        <v>1451936.777</v>
      </c>
      <c r="U69" s="607">
        <v>1144121</v>
      </c>
      <c r="V69" s="607">
        <v>5854.0055915872917</v>
      </c>
      <c r="W69" s="607">
        <v>2567525</v>
      </c>
      <c r="X69" s="607">
        <v>368824</v>
      </c>
      <c r="Y69" s="607">
        <v>13136.989624821292</v>
      </c>
      <c r="Z69" s="611">
        <v>6.9613826649025006</v>
      </c>
      <c r="AA69" s="609" t="s">
        <v>20</v>
      </c>
      <c r="AB69" s="609" t="s">
        <v>20</v>
      </c>
      <c r="AC69" s="609"/>
      <c r="AD69" s="609"/>
      <c r="AE69" s="609"/>
      <c r="AF69" s="609"/>
      <c r="AG69" s="609"/>
      <c r="AH69" s="609" t="s">
        <v>20</v>
      </c>
      <c r="AI69" s="609" t="s">
        <v>20</v>
      </c>
      <c r="AJ69" s="609" t="s">
        <v>20</v>
      </c>
      <c r="AK69" s="609" t="s">
        <v>20</v>
      </c>
      <c r="AL69" s="609" t="s">
        <v>20</v>
      </c>
      <c r="AM69" s="609" t="s">
        <v>20</v>
      </c>
      <c r="AN69" s="609" t="s">
        <v>20</v>
      </c>
      <c r="AO69" s="609" t="s">
        <v>20</v>
      </c>
      <c r="AP69" s="609" t="s">
        <v>20</v>
      </c>
      <c r="AQ69" s="609" t="s">
        <v>20</v>
      </c>
      <c r="AR69" s="609" t="s">
        <v>20</v>
      </c>
      <c r="AS69" s="609" t="s">
        <v>20</v>
      </c>
      <c r="AT69" s="609" t="s">
        <v>20</v>
      </c>
      <c r="AU69" s="609" t="s">
        <v>20</v>
      </c>
      <c r="AV69" s="609" t="s">
        <v>20</v>
      </c>
      <c r="AW69" s="609" t="s">
        <v>20</v>
      </c>
      <c r="AX69" s="609" t="s">
        <v>20</v>
      </c>
      <c r="AY69" s="612" t="s">
        <v>430</v>
      </c>
      <c r="AZ69" s="612" t="s">
        <v>433</v>
      </c>
      <c r="BA69" s="613" t="s">
        <v>555</v>
      </c>
      <c r="BB69" s="614">
        <v>0.10135274008709515</v>
      </c>
      <c r="BC69" s="614">
        <v>2.6298402293280967E-2</v>
      </c>
      <c r="BD69" s="613" t="s">
        <v>574</v>
      </c>
      <c r="BE69" s="613" t="s">
        <v>574</v>
      </c>
    </row>
    <row r="70" spans="1:57">
      <c r="A70" s="601" t="s">
        <v>61</v>
      </c>
      <c r="B70" s="603" t="s">
        <v>419</v>
      </c>
      <c r="C70" s="601">
        <v>2</v>
      </c>
      <c r="D70" s="601">
        <v>69</v>
      </c>
      <c r="E70" s="603" t="s">
        <v>320</v>
      </c>
      <c r="F70" s="601">
        <v>2015</v>
      </c>
      <c r="G70" s="601" t="s">
        <v>469</v>
      </c>
      <c r="H70" s="604">
        <v>-33392.93</v>
      </c>
      <c r="I70" s="604">
        <v>61133.436999999998</v>
      </c>
      <c r="J70" s="605">
        <v>-3.0952397842091033</v>
      </c>
      <c r="K70" s="606">
        <v>271.3833654</v>
      </c>
      <c r="L70" s="604">
        <v>1078847.919</v>
      </c>
      <c r="M70" s="607">
        <v>205240</v>
      </c>
      <c r="N70" s="607">
        <v>2341456</v>
      </c>
      <c r="O70" s="608">
        <v>453.67924060926191</v>
      </c>
      <c r="P70" s="609">
        <v>1066790.655</v>
      </c>
      <c r="Q70" s="609">
        <v>1062269.98</v>
      </c>
      <c r="R70" s="609">
        <v>1031907.535</v>
      </c>
      <c r="S70" s="610">
        <v>97.14173933447691</v>
      </c>
      <c r="T70" s="609">
        <v>970163.66299999994</v>
      </c>
      <c r="U70" s="607">
        <v>1170496</v>
      </c>
      <c r="V70" s="607">
        <v>5998.8109962348217</v>
      </c>
      <c r="W70" s="607">
        <v>124925</v>
      </c>
      <c r="X70" s="607">
        <v>24570</v>
      </c>
      <c r="Y70" s="607">
        <v>640.24265243506602</v>
      </c>
      <c r="Z70" s="611">
        <v>5.0844525844525847</v>
      </c>
      <c r="AA70" s="609">
        <v>1053045.33</v>
      </c>
      <c r="AB70" s="609">
        <v>4520.6750000000466</v>
      </c>
      <c r="AC70" s="609"/>
      <c r="AD70" s="609"/>
      <c r="AE70" s="609"/>
      <c r="AF70" s="609"/>
      <c r="AG70" s="609"/>
      <c r="AH70" s="609">
        <v>637998.94700000004</v>
      </c>
      <c r="AI70" s="609">
        <v>118332.601</v>
      </c>
      <c r="AJ70" s="609">
        <v>0</v>
      </c>
      <c r="AK70" s="609">
        <v>47449.832999999999</v>
      </c>
      <c r="AL70" s="609">
        <v>228413.72200000001</v>
      </c>
      <c r="AM70" s="609">
        <v>0</v>
      </c>
      <c r="AN70" s="609">
        <v>-287.56900000000002</v>
      </c>
      <c r="AO70" s="609">
        <v>1031907.534</v>
      </c>
      <c r="AP70" s="609">
        <v>12368.319</v>
      </c>
      <c r="AQ70" s="609">
        <v>1019539.215</v>
      </c>
      <c r="AR70" s="609">
        <v>0.97235597669374774</v>
      </c>
      <c r="AS70" s="609">
        <v>23709.413</v>
      </c>
      <c r="AT70" s="609">
        <v>60263.92</v>
      </c>
      <c r="AU70" s="609">
        <v>5.7474967052634537E-2</v>
      </c>
      <c r="AV70" s="609">
        <v>1103512.548</v>
      </c>
      <c r="AW70" s="609">
        <v>-54987.892999999996</v>
      </c>
      <c r="AX70" s="609">
        <v>0</v>
      </c>
      <c r="AY70" s="612" t="s">
        <v>430</v>
      </c>
      <c r="AZ70" s="612" t="s">
        <v>433</v>
      </c>
      <c r="BA70" s="613" t="s">
        <v>555</v>
      </c>
      <c r="BB70" s="614">
        <v>5.6665481689639335E-2</v>
      </c>
      <c r="BC70" s="614">
        <v>-3.0952397842091032E-2</v>
      </c>
      <c r="BD70" s="613" t="s">
        <v>571</v>
      </c>
      <c r="BE70" s="613" t="s">
        <v>571</v>
      </c>
    </row>
    <row r="71" spans="1:57">
      <c r="A71" s="601" t="s">
        <v>67</v>
      </c>
      <c r="B71" s="602" t="s">
        <v>418</v>
      </c>
      <c r="C71" s="601">
        <v>1</v>
      </c>
      <c r="D71" s="601">
        <v>70</v>
      </c>
      <c r="E71" s="603" t="s">
        <v>272</v>
      </c>
      <c r="F71" s="601">
        <v>2015</v>
      </c>
      <c r="G71" s="601" t="s">
        <v>469</v>
      </c>
      <c r="H71" s="604">
        <v>-64214.843000000001</v>
      </c>
      <c r="I71" s="604">
        <v>77595.706999999995</v>
      </c>
      <c r="J71" s="605">
        <v>-7.2318633857562515</v>
      </c>
      <c r="K71" s="606">
        <v>384.63493979999998</v>
      </c>
      <c r="L71" s="604">
        <v>887943.25300000003</v>
      </c>
      <c r="M71" s="607">
        <v>166696</v>
      </c>
      <c r="N71" s="607">
        <v>2332582</v>
      </c>
      <c r="O71" s="608">
        <v>362.71187293737154</v>
      </c>
      <c r="P71" s="609">
        <v>845812.18599999999</v>
      </c>
      <c r="Q71" s="609">
        <v>846055.18599999999</v>
      </c>
      <c r="R71" s="609">
        <v>816921.23</v>
      </c>
      <c r="S71" s="610">
        <v>96.556494601996334</v>
      </c>
      <c r="T71" s="609">
        <v>838239.36199999996</v>
      </c>
      <c r="U71" s="607">
        <v>1548906</v>
      </c>
      <c r="V71" s="607">
        <v>7968.3681002425637</v>
      </c>
      <c r="W71" s="607">
        <v>90528</v>
      </c>
      <c r="X71" s="607">
        <v>18085</v>
      </c>
      <c r="Y71" s="607">
        <v>465.72253408454668</v>
      </c>
      <c r="Z71" s="611">
        <v>5.0056953276195744</v>
      </c>
      <c r="AA71" s="609">
        <v>844965.05099999998</v>
      </c>
      <c r="AB71" s="609">
        <v>-243</v>
      </c>
      <c r="AC71" s="609"/>
      <c r="AD71" s="609"/>
      <c r="AE71" s="609"/>
      <c r="AF71" s="609"/>
      <c r="AG71" s="609"/>
      <c r="AH71" s="609">
        <v>707145.48499999999</v>
      </c>
      <c r="AI71" s="609">
        <v>4942.4399999999996</v>
      </c>
      <c r="AJ71" s="609">
        <v>0</v>
      </c>
      <c r="AK71" s="609">
        <v>0</v>
      </c>
      <c r="AL71" s="609">
        <v>104833.30499999999</v>
      </c>
      <c r="AM71" s="609">
        <v>0</v>
      </c>
      <c r="AN71" s="609">
        <v>0</v>
      </c>
      <c r="AO71" s="609">
        <v>816921.23</v>
      </c>
      <c r="AP71" s="609">
        <v>0</v>
      </c>
      <c r="AQ71" s="609">
        <v>816921.23</v>
      </c>
      <c r="AR71" s="609">
        <v>0.96653271231085325</v>
      </c>
      <c r="AS71" s="609">
        <v>39686.330999999998</v>
      </c>
      <c r="AT71" s="609">
        <v>71192.880999999994</v>
      </c>
      <c r="AU71" s="609">
        <v>8.4231191262043481E-2</v>
      </c>
      <c r="AV71" s="609">
        <v>937326.44200000004</v>
      </c>
      <c r="AW71" s="609">
        <v>-92118.391000000003</v>
      </c>
      <c r="AX71" s="609">
        <v>0</v>
      </c>
      <c r="AY71" s="612" t="s">
        <v>430</v>
      </c>
      <c r="AZ71" s="612" t="s">
        <v>433</v>
      </c>
      <c r="BA71" s="613" t="s">
        <v>555</v>
      </c>
      <c r="BB71" s="614">
        <v>8.7388137403866278E-2</v>
      </c>
      <c r="BC71" s="614">
        <v>-7.2318633857562514E-2</v>
      </c>
      <c r="BD71" s="613" t="s">
        <v>570</v>
      </c>
      <c r="BE71" s="613" t="s">
        <v>570</v>
      </c>
    </row>
    <row r="72" spans="1:57">
      <c r="A72" s="601" t="s">
        <v>56</v>
      </c>
      <c r="B72" s="603" t="s">
        <v>421</v>
      </c>
      <c r="C72" s="601">
        <v>4</v>
      </c>
      <c r="D72" s="601">
        <v>71</v>
      </c>
      <c r="E72" s="603" t="s">
        <v>250</v>
      </c>
      <c r="F72" s="601">
        <v>2015</v>
      </c>
      <c r="G72" s="601" t="s">
        <v>567</v>
      </c>
      <c r="H72" s="604">
        <v>-38651.919999999998</v>
      </c>
      <c r="I72" s="609">
        <v>181645.628</v>
      </c>
      <c r="J72" s="605">
        <v>-3.1752939315180182</v>
      </c>
      <c r="K72" s="606">
        <v>339.0980859</v>
      </c>
      <c r="L72" s="609">
        <v>1217270.6159999999</v>
      </c>
      <c r="M72" s="607">
        <v>299054</v>
      </c>
      <c r="N72" s="607">
        <v>2322817</v>
      </c>
      <c r="O72" s="608">
        <v>250.20437770173027</v>
      </c>
      <c r="P72" s="609">
        <v>581178.98199999996</v>
      </c>
      <c r="Q72" s="609">
        <v>581178.98199999996</v>
      </c>
      <c r="R72" s="609">
        <v>572941.93799999997</v>
      </c>
      <c r="S72" s="610">
        <v>98.582700982810152</v>
      </c>
      <c r="T72" s="609">
        <v>528893.36199999996</v>
      </c>
      <c r="U72" s="607">
        <v>996647</v>
      </c>
      <c r="V72" s="607">
        <v>5148.818869501988</v>
      </c>
      <c r="W72" s="607">
        <v>237075</v>
      </c>
      <c r="X72" s="607">
        <v>29087</v>
      </c>
      <c r="Y72" s="607">
        <v>1224.762863368057</v>
      </c>
      <c r="Z72" s="611">
        <v>8.1505483549351947</v>
      </c>
      <c r="AA72" s="609" t="s">
        <v>20</v>
      </c>
      <c r="AB72" s="609" t="s">
        <v>20</v>
      </c>
      <c r="AC72" s="609"/>
      <c r="AD72" s="609"/>
      <c r="AE72" s="609"/>
      <c r="AF72" s="609"/>
      <c r="AG72" s="609"/>
      <c r="AH72" s="609" t="s">
        <v>20</v>
      </c>
      <c r="AI72" s="609" t="s">
        <v>20</v>
      </c>
      <c r="AJ72" s="609" t="s">
        <v>20</v>
      </c>
      <c r="AK72" s="609" t="s">
        <v>20</v>
      </c>
      <c r="AL72" s="609" t="s">
        <v>20</v>
      </c>
      <c r="AM72" s="609" t="s">
        <v>20</v>
      </c>
      <c r="AN72" s="609" t="s">
        <v>20</v>
      </c>
      <c r="AO72" s="609" t="s">
        <v>20</v>
      </c>
      <c r="AP72" s="609" t="s">
        <v>20</v>
      </c>
      <c r="AQ72" s="609" t="s">
        <v>20</v>
      </c>
      <c r="AR72" s="609" t="s">
        <v>20</v>
      </c>
      <c r="AS72" s="609" t="s">
        <v>20</v>
      </c>
      <c r="AT72" s="609" t="s">
        <v>20</v>
      </c>
      <c r="AU72" s="609" t="s">
        <v>20</v>
      </c>
      <c r="AV72" s="609" t="s">
        <v>20</v>
      </c>
      <c r="AW72" s="609" t="s">
        <v>20</v>
      </c>
      <c r="AX72" s="609" t="s">
        <v>20</v>
      </c>
      <c r="AY72" s="612" t="s">
        <v>430</v>
      </c>
      <c r="AZ72" s="612" t="s">
        <v>433</v>
      </c>
      <c r="BA72" s="613" t="s">
        <v>552</v>
      </c>
      <c r="BB72" s="614">
        <v>0.1492237022831413</v>
      </c>
      <c r="BC72" s="614">
        <v>-0.13505071211124287</v>
      </c>
      <c r="BD72" s="613" t="s">
        <v>579</v>
      </c>
      <c r="BE72" s="613" t="s">
        <v>579</v>
      </c>
    </row>
    <row r="73" spans="1:57">
      <c r="A73" s="601" t="s">
        <v>94</v>
      </c>
      <c r="B73" s="602" t="s">
        <v>418</v>
      </c>
      <c r="C73" s="601">
        <v>1</v>
      </c>
      <c r="D73" s="601">
        <v>72</v>
      </c>
      <c r="E73" s="603" t="s">
        <v>285</v>
      </c>
      <c r="F73" s="601">
        <v>2015</v>
      </c>
      <c r="G73" s="601" t="s">
        <v>567</v>
      </c>
      <c r="H73" s="604">
        <v>14961.963</v>
      </c>
      <c r="I73" s="604">
        <v>120759.6</v>
      </c>
      <c r="J73" s="605">
        <v>1.0476382776749953</v>
      </c>
      <c r="K73" s="606">
        <v>529.8049446</v>
      </c>
      <c r="L73" s="604">
        <v>1428161.162</v>
      </c>
      <c r="M73" s="607">
        <v>199131</v>
      </c>
      <c r="N73" s="607">
        <v>2263208</v>
      </c>
      <c r="O73" s="608">
        <v>293.24190131883591</v>
      </c>
      <c r="P73" s="609">
        <v>481342.967</v>
      </c>
      <c r="Q73" s="609">
        <v>663667.41700000002</v>
      </c>
      <c r="R73" s="609">
        <v>568788.83900000004</v>
      </c>
      <c r="S73" s="610">
        <v>85.703896926432961</v>
      </c>
      <c r="T73" s="609">
        <v>570445.348</v>
      </c>
      <c r="U73" s="607">
        <v>1705506</v>
      </c>
      <c r="V73" s="607">
        <v>9042.9478863630738</v>
      </c>
      <c r="W73" s="607">
        <v>103778</v>
      </c>
      <c r="X73" s="607">
        <v>15806</v>
      </c>
      <c r="Y73" s="607">
        <v>550.25256185025853</v>
      </c>
      <c r="Z73" s="611">
        <v>6.565734531190687</v>
      </c>
      <c r="AA73" s="609">
        <v>481342.967</v>
      </c>
      <c r="AB73" s="609">
        <v>-182324.45099999994</v>
      </c>
      <c r="AC73" s="609"/>
      <c r="AD73" s="609"/>
      <c r="AE73" s="609"/>
      <c r="AF73" s="609"/>
      <c r="AG73" s="609"/>
      <c r="AH73" s="609">
        <v>443403.73</v>
      </c>
      <c r="AI73" s="609">
        <v>2002.461</v>
      </c>
      <c r="AJ73" s="609">
        <v>0</v>
      </c>
      <c r="AK73" s="609">
        <v>0</v>
      </c>
      <c r="AL73" s="609">
        <v>123069.07</v>
      </c>
      <c r="AM73" s="609">
        <v>0</v>
      </c>
      <c r="AN73" s="609">
        <v>313.57799999999997</v>
      </c>
      <c r="AO73" s="609">
        <v>568788.83900000004</v>
      </c>
      <c r="AP73" s="609">
        <v>0</v>
      </c>
      <c r="AQ73" s="609">
        <v>568788.83900000004</v>
      </c>
      <c r="AR73" s="609">
        <v>0.85703896797296153</v>
      </c>
      <c r="AS73" s="609">
        <v>35191.366999999998</v>
      </c>
      <c r="AT73" s="609">
        <v>47461.565999999999</v>
      </c>
      <c r="AU73" s="609">
        <v>7.1514081771602053E-2</v>
      </c>
      <c r="AV73" s="609">
        <v>651441.772</v>
      </c>
      <c r="AW73" s="609">
        <v>12225.646000000001</v>
      </c>
      <c r="AX73" s="609">
        <v>0</v>
      </c>
      <c r="AY73" s="612" t="s">
        <v>430</v>
      </c>
      <c r="AZ73" s="612" t="s">
        <v>433</v>
      </c>
      <c r="BA73" s="613" t="s">
        <v>555</v>
      </c>
      <c r="BB73" s="614">
        <v>8.4556003351111991E-2</v>
      </c>
      <c r="BC73" s="614">
        <v>5.8405027384558356E-2</v>
      </c>
      <c r="BD73" s="613" t="s">
        <v>575</v>
      </c>
      <c r="BE73" s="613" t="s">
        <v>575</v>
      </c>
    </row>
    <row r="74" spans="1:57">
      <c r="A74" s="601" t="s">
        <v>72</v>
      </c>
      <c r="B74" s="602" t="s">
        <v>418</v>
      </c>
      <c r="C74" s="601">
        <v>1</v>
      </c>
      <c r="D74" s="601">
        <v>73</v>
      </c>
      <c r="E74" s="603" t="s">
        <v>280</v>
      </c>
      <c r="F74" s="601">
        <v>2015</v>
      </c>
      <c r="G74" s="601" t="s">
        <v>567</v>
      </c>
      <c r="H74" s="604">
        <v>-14563.224</v>
      </c>
      <c r="I74" s="604">
        <v>93330.875</v>
      </c>
      <c r="J74" s="605">
        <v>-1.6232232284912069</v>
      </c>
      <c r="K74" s="606">
        <v>226.49063889999999</v>
      </c>
      <c r="L74" s="604">
        <v>897179.37399999995</v>
      </c>
      <c r="M74" s="607">
        <v>249257</v>
      </c>
      <c r="N74" s="607">
        <v>2241121</v>
      </c>
      <c r="O74" s="608">
        <v>315.90076751768424</v>
      </c>
      <c r="P74" s="609">
        <v>707971.84400000004</v>
      </c>
      <c r="Q74" s="609">
        <v>707971.84400000004</v>
      </c>
      <c r="R74" s="609">
        <v>624168.19499999995</v>
      </c>
      <c r="S74" s="610">
        <v>88.162855668593494</v>
      </c>
      <c r="T74" s="609">
        <v>591131.85499999998</v>
      </c>
      <c r="U74" s="607">
        <v>1684566</v>
      </c>
      <c r="V74" s="607">
        <v>9019.9467141667046</v>
      </c>
      <c r="W74" s="607">
        <v>831</v>
      </c>
      <c r="X74" s="607">
        <v>283</v>
      </c>
      <c r="Y74" s="607">
        <v>4.4495589484012692</v>
      </c>
      <c r="Z74" s="611">
        <v>2.9363957597173145</v>
      </c>
      <c r="AA74" s="609">
        <v>664739.13899999997</v>
      </c>
      <c r="AB74" s="609">
        <v>0</v>
      </c>
      <c r="AC74" s="609"/>
      <c r="AD74" s="609"/>
      <c r="AE74" s="609"/>
      <c r="AF74" s="609"/>
      <c r="AG74" s="609"/>
      <c r="AH74" s="609">
        <v>392874.20400000003</v>
      </c>
      <c r="AI74" s="609">
        <v>48995.779000000002</v>
      </c>
      <c r="AJ74" s="609">
        <v>0</v>
      </c>
      <c r="AK74" s="609">
        <v>0</v>
      </c>
      <c r="AL74" s="609">
        <v>181939.834</v>
      </c>
      <c r="AM74" s="609">
        <v>0</v>
      </c>
      <c r="AN74" s="609">
        <v>358.37799999999999</v>
      </c>
      <c r="AO74" s="609">
        <v>624168.19499999995</v>
      </c>
      <c r="AP74" s="609">
        <v>39849.152999999998</v>
      </c>
      <c r="AQ74" s="609">
        <v>584319.04200000002</v>
      </c>
      <c r="AR74" s="609">
        <v>0.87902006624586615</v>
      </c>
      <c r="AS74" s="609">
        <v>34844.428</v>
      </c>
      <c r="AT74" s="609">
        <v>48390.000999999997</v>
      </c>
      <c r="AU74" s="609">
        <v>7.2795474436476645E-2</v>
      </c>
      <c r="AV74" s="609">
        <v>677936.47100000002</v>
      </c>
      <c r="AW74" s="609">
        <v>-13197.332</v>
      </c>
      <c r="AX74" s="609">
        <v>0</v>
      </c>
      <c r="AY74" s="612" t="s">
        <v>430</v>
      </c>
      <c r="AZ74" s="612" t="s">
        <v>433</v>
      </c>
      <c r="BA74" s="613" t="s">
        <v>555</v>
      </c>
      <c r="BB74" s="614">
        <v>0.10402699583238524</v>
      </c>
      <c r="BC74" s="614">
        <v>1.4344447481679776E-2</v>
      </c>
      <c r="BD74" s="613" t="s">
        <v>573</v>
      </c>
      <c r="BE74" s="613" t="s">
        <v>573</v>
      </c>
    </row>
    <row r="75" spans="1:57">
      <c r="A75" s="601" t="s">
        <v>90</v>
      </c>
      <c r="B75" s="602" t="s">
        <v>164</v>
      </c>
      <c r="C75" s="601">
        <v>45</v>
      </c>
      <c r="D75" s="601">
        <v>74</v>
      </c>
      <c r="E75" s="603" t="s">
        <v>164</v>
      </c>
      <c r="F75" s="601">
        <v>2015</v>
      </c>
      <c r="G75" s="601" t="s">
        <v>469</v>
      </c>
      <c r="H75" s="604">
        <v>-13544.915999999999</v>
      </c>
      <c r="I75" s="609">
        <v>62154.580999999998</v>
      </c>
      <c r="J75" s="605">
        <v>-2.5764237798416416</v>
      </c>
      <c r="K75" s="606">
        <v>663.29740530000004</v>
      </c>
      <c r="L75" s="609">
        <v>525725.46900000004</v>
      </c>
      <c r="M75" s="617">
        <v>182139</v>
      </c>
      <c r="N75" s="617">
        <v>2192424</v>
      </c>
      <c r="O75" s="608">
        <v>218.62457809255875</v>
      </c>
      <c r="P75" s="609">
        <v>479317.772</v>
      </c>
      <c r="Q75" s="609">
        <v>479317.772</v>
      </c>
      <c r="R75" s="609">
        <v>399924.32900000003</v>
      </c>
      <c r="S75" s="618">
        <v>83.436157046978863</v>
      </c>
      <c r="T75" s="609">
        <v>396266.96100000001</v>
      </c>
      <c r="U75" s="617">
        <v>1336161</v>
      </c>
      <c r="V75" s="617">
        <v>7313.3353767336976</v>
      </c>
      <c r="W75" s="617">
        <v>39062</v>
      </c>
      <c r="X75" s="617">
        <v>5857</v>
      </c>
      <c r="Y75" s="617">
        <v>213.80170988823329</v>
      </c>
      <c r="Z75" s="609">
        <v>6.6692846166979685</v>
      </c>
      <c r="AA75" s="609">
        <v>477331.21299999999</v>
      </c>
      <c r="AB75" s="609">
        <v>2911.11599999998</v>
      </c>
      <c r="AC75" s="609"/>
      <c r="AD75" s="609"/>
      <c r="AE75" s="609"/>
      <c r="AF75" s="609"/>
      <c r="AG75" s="609"/>
      <c r="AH75" s="609">
        <v>205943.429</v>
      </c>
      <c r="AI75" s="609">
        <v>54018.154999999999</v>
      </c>
      <c r="AJ75" s="609">
        <v>28146.252</v>
      </c>
      <c r="AK75" s="609">
        <v>44887.366000000002</v>
      </c>
      <c r="AL75" s="609">
        <v>66929.126999999993</v>
      </c>
      <c r="AM75" s="609">
        <v>0</v>
      </c>
      <c r="AN75" s="609">
        <v>0</v>
      </c>
      <c r="AO75" s="609">
        <v>399924.32900000003</v>
      </c>
      <c r="AP75" s="609">
        <v>2183.0120000000002</v>
      </c>
      <c r="AQ75" s="609">
        <v>397741.31800000003</v>
      </c>
      <c r="AR75" s="609">
        <v>0.83837367032956878</v>
      </c>
      <c r="AS75" s="609">
        <v>27958.007000000001</v>
      </c>
      <c r="AT75" s="609">
        <v>56739.88</v>
      </c>
      <c r="AU75" s="609">
        <v>0.11959839045351402</v>
      </c>
      <c r="AV75" s="609">
        <v>488932.20500000002</v>
      </c>
      <c r="AW75" s="609">
        <v>-14512.108</v>
      </c>
      <c r="AX75" s="609">
        <v>0</v>
      </c>
      <c r="AY75" s="609" t="s">
        <v>435</v>
      </c>
      <c r="AZ75" s="609" t="s">
        <v>431</v>
      </c>
      <c r="BA75" s="613" t="s">
        <v>555</v>
      </c>
      <c r="BB75" s="614">
        <v>0.1182263075787945</v>
      </c>
      <c r="BC75" s="614">
        <v>-2.5764237798416415E-2</v>
      </c>
      <c r="BD75" s="613" t="s">
        <v>571</v>
      </c>
      <c r="BE75" s="613" t="s">
        <v>571</v>
      </c>
    </row>
    <row r="76" spans="1:57">
      <c r="A76" s="601" t="s">
        <v>81</v>
      </c>
      <c r="B76" s="602" t="s">
        <v>152</v>
      </c>
      <c r="C76" s="601">
        <v>28</v>
      </c>
      <c r="D76" s="601">
        <v>75</v>
      </c>
      <c r="E76" s="603" t="s">
        <v>152</v>
      </c>
      <c r="F76" s="601">
        <v>2015</v>
      </c>
      <c r="G76" s="601" t="s">
        <v>567</v>
      </c>
      <c r="H76" s="604">
        <v>57922.597000000002</v>
      </c>
      <c r="I76" s="609">
        <v>585096.58499999996</v>
      </c>
      <c r="J76" s="605">
        <v>0.97789926526862769</v>
      </c>
      <c r="K76" s="606">
        <v>481.14832000000001</v>
      </c>
      <c r="L76" s="609">
        <v>5923166.0209999997</v>
      </c>
      <c r="M76" s="607">
        <v>179289</v>
      </c>
      <c r="N76" s="607">
        <v>2127839</v>
      </c>
      <c r="O76" s="608">
        <v>402.80960918565739</v>
      </c>
      <c r="P76" s="609">
        <v>857962.48499999999</v>
      </c>
      <c r="Q76" s="609">
        <v>857113.99600000004</v>
      </c>
      <c r="R76" s="609">
        <v>771427.88800000004</v>
      </c>
      <c r="S76" s="610">
        <v>90.002950786023561</v>
      </c>
      <c r="T76" s="609">
        <v>772404.73699999996</v>
      </c>
      <c r="U76" s="607">
        <v>1684384</v>
      </c>
      <c r="V76" s="607">
        <v>9499.1246988141484</v>
      </c>
      <c r="W76" s="607">
        <v>104912</v>
      </c>
      <c r="X76" s="607">
        <v>21120</v>
      </c>
      <c r="Y76" s="607">
        <v>591.65378583624044</v>
      </c>
      <c r="Z76" s="611">
        <v>4.9674242424242427</v>
      </c>
      <c r="AA76" s="609">
        <v>857962.48499999999</v>
      </c>
      <c r="AB76" s="609">
        <v>848.48899999994319</v>
      </c>
      <c r="AC76" s="609"/>
      <c r="AD76" s="609"/>
      <c r="AE76" s="609"/>
      <c r="AF76" s="609"/>
      <c r="AG76" s="609"/>
      <c r="AH76" s="609">
        <v>453300.38500000001</v>
      </c>
      <c r="AI76" s="609">
        <v>48045.794000000002</v>
      </c>
      <c r="AJ76" s="609">
        <v>0</v>
      </c>
      <c r="AK76" s="609">
        <v>37403.997000000003</v>
      </c>
      <c r="AL76" s="609">
        <v>209885.283</v>
      </c>
      <c r="AM76" s="609">
        <v>21212.816999999999</v>
      </c>
      <c r="AN76" s="609">
        <v>1579.6120000000001</v>
      </c>
      <c r="AO76" s="609">
        <v>771427.88800000004</v>
      </c>
      <c r="AP76" s="609">
        <v>0</v>
      </c>
      <c r="AQ76" s="609">
        <v>771427.88800000004</v>
      </c>
      <c r="AR76" s="609">
        <v>0.90002950786023561</v>
      </c>
      <c r="AS76" s="609">
        <v>21782.244999999999</v>
      </c>
      <c r="AT76" s="609">
        <v>66426.622000000003</v>
      </c>
      <c r="AU76" s="609">
        <v>7.7500335206286838E-2</v>
      </c>
      <c r="AV76" s="609">
        <v>859636.755</v>
      </c>
      <c r="AW76" s="609">
        <v>-2522.759</v>
      </c>
      <c r="AX76" s="609">
        <v>0</v>
      </c>
      <c r="AY76" s="612" t="s">
        <v>430</v>
      </c>
      <c r="AZ76" s="612" t="s">
        <v>431</v>
      </c>
      <c r="BA76" s="613" t="s">
        <v>555</v>
      </c>
      <c r="BB76" s="614">
        <v>9.8781054410022925E-2</v>
      </c>
      <c r="BC76" s="614">
        <v>1.1894377297414632E-3</v>
      </c>
      <c r="BD76" s="613" t="s">
        <v>573</v>
      </c>
      <c r="BE76" s="613" t="s">
        <v>573</v>
      </c>
    </row>
    <row r="77" spans="1:57">
      <c r="A77" s="601" t="s">
        <v>94</v>
      </c>
      <c r="B77" s="603" t="s">
        <v>419</v>
      </c>
      <c r="C77" s="601">
        <v>2</v>
      </c>
      <c r="D77" s="601">
        <v>76</v>
      </c>
      <c r="E77" s="603" t="s">
        <v>208</v>
      </c>
      <c r="F77" s="601">
        <v>2015</v>
      </c>
      <c r="G77" s="601" t="s">
        <v>469</v>
      </c>
      <c r="H77" s="604">
        <v>-8570.6299999999992</v>
      </c>
      <c r="I77" s="604">
        <v>59766.718000000001</v>
      </c>
      <c r="J77" s="605">
        <v>-1.5346959845779724</v>
      </c>
      <c r="K77" s="606">
        <v>503.36906929999998</v>
      </c>
      <c r="L77" s="604">
        <v>558457.83700000006</v>
      </c>
      <c r="M77" s="607">
        <v>178541</v>
      </c>
      <c r="N77" s="607">
        <v>2122692</v>
      </c>
      <c r="O77" s="608">
        <v>266.56406534721003</v>
      </c>
      <c r="P77" s="609">
        <v>565833.40899999999</v>
      </c>
      <c r="Q77" s="609">
        <v>565833.40899999999</v>
      </c>
      <c r="R77" s="609">
        <v>536365.61100000003</v>
      </c>
      <c r="S77" s="610">
        <v>94.792142434276101</v>
      </c>
      <c r="T77" s="609">
        <v>469309.72100000002</v>
      </c>
      <c r="U77" s="607">
        <v>712584</v>
      </c>
      <c r="V77" s="607">
        <v>4028.3790582901333</v>
      </c>
      <c r="W77" s="607">
        <v>69477</v>
      </c>
      <c r="X77" s="607">
        <v>14721</v>
      </c>
      <c r="Y77" s="607">
        <v>392.76729737521975</v>
      </c>
      <c r="Z77" s="611">
        <v>4.7195842673731407</v>
      </c>
      <c r="AA77" s="609">
        <v>555006.43799999997</v>
      </c>
      <c r="AB77" s="609">
        <v>0</v>
      </c>
      <c r="AC77" s="609"/>
      <c r="AD77" s="609"/>
      <c r="AE77" s="609"/>
      <c r="AF77" s="609"/>
      <c r="AG77" s="609"/>
      <c r="AH77" s="609">
        <v>328852.283</v>
      </c>
      <c r="AI77" s="609">
        <v>43248.17</v>
      </c>
      <c r="AJ77" s="609">
        <v>0</v>
      </c>
      <c r="AK77" s="609">
        <v>41336.093999999997</v>
      </c>
      <c r="AL77" s="609">
        <v>121102.12300000001</v>
      </c>
      <c r="AM77" s="609">
        <v>0</v>
      </c>
      <c r="AN77" s="609">
        <v>1826.941</v>
      </c>
      <c r="AO77" s="609">
        <v>536365.61100000003</v>
      </c>
      <c r="AP77" s="609">
        <v>7114.2169999999996</v>
      </c>
      <c r="AQ77" s="609">
        <v>529251.39399999997</v>
      </c>
      <c r="AR77" s="609">
        <v>0.95359505361269337</v>
      </c>
      <c r="AS77" s="609">
        <v>16763.978999999999</v>
      </c>
      <c r="AT77" s="609">
        <v>59427.148000000001</v>
      </c>
      <c r="AU77" s="609">
        <v>0.10707470027581915</v>
      </c>
      <c r="AV77" s="609">
        <v>581730.11899999995</v>
      </c>
      <c r="AW77" s="609">
        <v>-26723.681</v>
      </c>
      <c r="AX77" s="609">
        <v>0</v>
      </c>
      <c r="AY77" s="612" t="s">
        <v>430</v>
      </c>
      <c r="AZ77" s="612" t="s">
        <v>433</v>
      </c>
      <c r="BA77" s="613" t="s">
        <v>555</v>
      </c>
      <c r="BB77" s="614">
        <v>0.10702100327047608</v>
      </c>
      <c r="BC77" s="614">
        <v>-1.5346959845779724E-2</v>
      </c>
      <c r="BD77" s="613" t="s">
        <v>572</v>
      </c>
      <c r="BE77" s="613" t="s">
        <v>572</v>
      </c>
    </row>
    <row r="78" spans="1:57">
      <c r="A78" s="601" t="s">
        <v>92</v>
      </c>
      <c r="B78" s="602" t="s">
        <v>390</v>
      </c>
      <c r="C78" s="601">
        <v>30</v>
      </c>
      <c r="D78" s="601">
        <v>77</v>
      </c>
      <c r="E78" s="603" t="s">
        <v>390</v>
      </c>
      <c r="F78" s="601">
        <v>2015</v>
      </c>
      <c r="G78" s="601" t="s">
        <v>567</v>
      </c>
      <c r="H78" s="604">
        <v>15486.344999999999</v>
      </c>
      <c r="I78" s="609">
        <v>110253.56200000001</v>
      </c>
      <c r="J78" s="605">
        <v>1.1409566647502101</v>
      </c>
      <c r="K78" s="606">
        <v>455.40309930000001</v>
      </c>
      <c r="L78" s="609">
        <v>1357312.287</v>
      </c>
      <c r="M78" s="607">
        <v>174251</v>
      </c>
      <c r="N78" s="607">
        <v>2085265</v>
      </c>
      <c r="O78" s="608">
        <v>343.74674585724119</v>
      </c>
      <c r="P78" s="609">
        <v>716803.05700000003</v>
      </c>
      <c r="Q78" s="609">
        <v>716803.05799999996</v>
      </c>
      <c r="R78" s="609">
        <v>660164.071</v>
      </c>
      <c r="S78" s="610">
        <v>92.098389317976384</v>
      </c>
      <c r="T78" s="609">
        <v>976638</v>
      </c>
      <c r="U78" s="607">
        <v>5620.2238084847731</v>
      </c>
      <c r="V78" s="607">
        <v>83661</v>
      </c>
      <c r="W78" s="607">
        <v>15918</v>
      </c>
      <c r="X78" s="607">
        <v>481.4409679345311</v>
      </c>
      <c r="Y78" s="607">
        <v>5.2557482095740671</v>
      </c>
      <c r="Z78" s="611" t="s">
        <v>20</v>
      </c>
      <c r="AA78" s="609">
        <v>716803.05799999996</v>
      </c>
      <c r="AB78" s="609">
        <v>0</v>
      </c>
      <c r="AC78" s="609"/>
      <c r="AD78" s="609"/>
      <c r="AE78" s="609"/>
      <c r="AF78" s="609"/>
      <c r="AG78" s="609"/>
      <c r="AH78" s="609">
        <v>446813.44799999997</v>
      </c>
      <c r="AI78" s="609">
        <v>0</v>
      </c>
      <c r="AJ78" s="609">
        <v>384.17099999999999</v>
      </c>
      <c r="AK78" s="609">
        <v>43859.606</v>
      </c>
      <c r="AL78" s="609">
        <v>144091.264</v>
      </c>
      <c r="AM78" s="609">
        <v>15972.955</v>
      </c>
      <c r="AN78" s="609">
        <v>9042.6270000000004</v>
      </c>
      <c r="AO78" s="609">
        <v>660164.071</v>
      </c>
      <c r="AP78" s="609">
        <v>0</v>
      </c>
      <c r="AQ78" s="609">
        <v>660164.071</v>
      </c>
      <c r="AR78" s="609">
        <v>0.92098389317976381</v>
      </c>
      <c r="AS78" s="609">
        <v>6401.3490000000002</v>
      </c>
      <c r="AT78" s="609">
        <v>33959.531999999999</v>
      </c>
      <c r="AU78" s="609">
        <v>4.7376377124775049E-2</v>
      </c>
      <c r="AV78" s="609">
        <v>700524.95200000005</v>
      </c>
      <c r="AW78" s="609">
        <v>16278.106</v>
      </c>
      <c r="AX78" s="609">
        <v>0</v>
      </c>
      <c r="AY78" s="612" t="s">
        <v>435</v>
      </c>
      <c r="AZ78" s="612" t="s">
        <v>431</v>
      </c>
      <c r="BA78" s="613" t="s">
        <v>555</v>
      </c>
      <c r="BB78" s="614">
        <v>8.1229325819843559E-2</v>
      </c>
      <c r="BC78" s="614">
        <v>-2.213218999607372E-3</v>
      </c>
      <c r="BD78" s="613" t="s">
        <v>572</v>
      </c>
      <c r="BE78" s="613" t="s">
        <v>572</v>
      </c>
    </row>
    <row r="79" spans="1:57">
      <c r="A79" s="601" t="s">
        <v>85</v>
      </c>
      <c r="B79" s="603" t="s">
        <v>424</v>
      </c>
      <c r="C79" s="601">
        <v>6</v>
      </c>
      <c r="D79" s="601">
        <v>78</v>
      </c>
      <c r="E79" s="603" t="s">
        <v>180</v>
      </c>
      <c r="F79" s="601">
        <v>2015</v>
      </c>
      <c r="G79" s="601" t="s">
        <v>469</v>
      </c>
      <c r="H79" s="604">
        <v>32724.309000000001</v>
      </c>
      <c r="I79" s="609">
        <v>112537.895</v>
      </c>
      <c r="J79" s="605">
        <v>3.9980345454851802</v>
      </c>
      <c r="K79" s="606">
        <v>451.27350139999999</v>
      </c>
      <c r="L79" s="609">
        <v>818509.91099999996</v>
      </c>
      <c r="M79" s="607">
        <v>189576</v>
      </c>
      <c r="N79" s="607">
        <v>2075760</v>
      </c>
      <c r="O79" s="608">
        <v>409.00762275022163</v>
      </c>
      <c r="P79" s="609">
        <v>849001.66299999994</v>
      </c>
      <c r="Q79" s="609">
        <v>849001.66299999994</v>
      </c>
      <c r="R79" s="609">
        <v>669808.30200000003</v>
      </c>
      <c r="S79" s="610">
        <v>78.893638397973319</v>
      </c>
      <c r="T79" s="609">
        <v>568126.375</v>
      </c>
      <c r="U79" s="607">
        <v>800235</v>
      </c>
      <c r="V79" s="607">
        <v>4626.1706555671171</v>
      </c>
      <c r="W79" s="607">
        <v>74977</v>
      </c>
      <c r="X79" s="607">
        <v>15129</v>
      </c>
      <c r="Y79" s="607">
        <v>433.44317262111224</v>
      </c>
      <c r="Z79" s="611">
        <v>4.9558463877321701</v>
      </c>
      <c r="AA79" s="609" t="s">
        <v>20</v>
      </c>
      <c r="AB79" s="609" t="s">
        <v>20</v>
      </c>
      <c r="AC79" s="609"/>
      <c r="AD79" s="609"/>
      <c r="AE79" s="609"/>
      <c r="AF79" s="609"/>
      <c r="AG79" s="609"/>
      <c r="AH79" s="609" t="s">
        <v>20</v>
      </c>
      <c r="AI79" s="609" t="s">
        <v>20</v>
      </c>
      <c r="AJ79" s="609" t="s">
        <v>20</v>
      </c>
      <c r="AK79" s="609" t="s">
        <v>20</v>
      </c>
      <c r="AL79" s="609" t="s">
        <v>20</v>
      </c>
      <c r="AM79" s="609" t="s">
        <v>20</v>
      </c>
      <c r="AN79" s="609" t="s">
        <v>20</v>
      </c>
      <c r="AO79" s="609" t="s">
        <v>20</v>
      </c>
      <c r="AP79" s="609" t="s">
        <v>20</v>
      </c>
      <c r="AQ79" s="609" t="s">
        <v>20</v>
      </c>
      <c r="AR79" s="609" t="s">
        <v>20</v>
      </c>
      <c r="AS79" s="609" t="s">
        <v>20</v>
      </c>
      <c r="AT79" s="609" t="s">
        <v>20</v>
      </c>
      <c r="AU79" s="609" t="s">
        <v>20</v>
      </c>
      <c r="AV79" s="609" t="s">
        <v>20</v>
      </c>
      <c r="AW79" s="609" t="s">
        <v>20</v>
      </c>
      <c r="AX79" s="609" t="s">
        <v>20</v>
      </c>
      <c r="AY79" s="612" t="s">
        <v>430</v>
      </c>
      <c r="AZ79" s="612" t="s">
        <v>433</v>
      </c>
      <c r="BA79" s="613" t="s">
        <v>555</v>
      </c>
      <c r="BB79" s="614">
        <v>0.13749118182638598</v>
      </c>
      <c r="BC79" s="614">
        <v>3.9980345454851803E-2</v>
      </c>
      <c r="BD79" s="613" t="s">
        <v>574</v>
      </c>
      <c r="BE79" s="613" t="s">
        <v>574</v>
      </c>
    </row>
    <row r="80" spans="1:57">
      <c r="A80" s="601" t="s">
        <v>61</v>
      </c>
      <c r="B80" s="603" t="s">
        <v>422</v>
      </c>
      <c r="C80" s="601">
        <v>5</v>
      </c>
      <c r="D80" s="601">
        <v>79</v>
      </c>
      <c r="E80" s="603" t="s">
        <v>319</v>
      </c>
      <c r="F80" s="601">
        <v>2015</v>
      </c>
      <c r="G80" s="601" t="s">
        <v>567</v>
      </c>
      <c r="H80" s="604">
        <v>30396.347000000002</v>
      </c>
      <c r="I80" s="604">
        <v>100473.113</v>
      </c>
      <c r="J80" s="605">
        <v>3.1393215094597262</v>
      </c>
      <c r="K80" s="606">
        <v>598.08620440000004</v>
      </c>
      <c r="L80" s="604">
        <v>968245.74699999997</v>
      </c>
      <c r="M80" s="607">
        <v>167962</v>
      </c>
      <c r="N80" s="607">
        <v>2046250</v>
      </c>
      <c r="O80" s="608">
        <v>175.24367354917533</v>
      </c>
      <c r="P80" s="609">
        <v>358592.36700000003</v>
      </c>
      <c r="Q80" s="609">
        <v>358592.36700000003</v>
      </c>
      <c r="R80" s="609">
        <v>308816.84000000003</v>
      </c>
      <c r="S80" s="610">
        <v>86.119189480684071</v>
      </c>
      <c r="T80" s="609">
        <v>288866.30300000001</v>
      </c>
      <c r="U80" s="607">
        <v>429465</v>
      </c>
      <c r="V80" s="607">
        <v>2518.5485644471596</v>
      </c>
      <c r="W80" s="607">
        <v>74545</v>
      </c>
      <c r="X80" s="607">
        <v>16246</v>
      </c>
      <c r="Y80" s="607">
        <v>437.16065974343309</v>
      </c>
      <c r="Z80" s="611">
        <v>4.5885140957774224</v>
      </c>
      <c r="AA80" s="609">
        <v>358091.06</v>
      </c>
      <c r="AB80" s="609">
        <v>0</v>
      </c>
      <c r="AC80" s="609"/>
      <c r="AD80" s="609"/>
      <c r="AE80" s="609"/>
      <c r="AF80" s="609"/>
      <c r="AG80" s="609"/>
      <c r="AH80" s="609">
        <v>233126.06899999999</v>
      </c>
      <c r="AI80" s="609">
        <v>4972.424</v>
      </c>
      <c r="AJ80" s="609">
        <v>0</v>
      </c>
      <c r="AK80" s="609">
        <v>24484.381000000001</v>
      </c>
      <c r="AL80" s="609">
        <v>46233.966</v>
      </c>
      <c r="AM80" s="609">
        <v>0</v>
      </c>
      <c r="AN80" s="609">
        <v>0</v>
      </c>
      <c r="AO80" s="609">
        <v>308816.84000000003</v>
      </c>
      <c r="AP80" s="609">
        <v>4020.1370000000002</v>
      </c>
      <c r="AQ80" s="609">
        <v>304796.70299999998</v>
      </c>
      <c r="AR80" s="609">
        <v>0.85117093680026523</v>
      </c>
      <c r="AS80" s="609">
        <v>6750.9769999999999</v>
      </c>
      <c r="AT80" s="609">
        <v>35341.807999999997</v>
      </c>
      <c r="AU80" s="609">
        <v>9.8695030252919466E-2</v>
      </c>
      <c r="AV80" s="609">
        <v>346889.48800000001</v>
      </c>
      <c r="AW80" s="609">
        <v>11201.572</v>
      </c>
      <c r="AX80" s="609">
        <v>0</v>
      </c>
      <c r="AY80" s="612" t="s">
        <v>430</v>
      </c>
      <c r="AZ80" s="612" t="s">
        <v>433</v>
      </c>
      <c r="BA80" s="613" t="s">
        <v>555</v>
      </c>
      <c r="BB80" s="614">
        <v>0.10376819450155561</v>
      </c>
      <c r="BC80" s="614">
        <v>3.5039910691603726E-2</v>
      </c>
      <c r="BD80" s="613" t="s">
        <v>574</v>
      </c>
      <c r="BE80" s="613" t="s">
        <v>574</v>
      </c>
    </row>
    <row r="81" spans="1:57">
      <c r="A81" s="601" t="s">
        <v>69</v>
      </c>
      <c r="B81" s="602" t="s">
        <v>243</v>
      </c>
      <c r="C81" s="601">
        <v>35</v>
      </c>
      <c r="D81" s="601">
        <v>80</v>
      </c>
      <c r="E81" s="603" t="s">
        <v>243</v>
      </c>
      <c r="F81" s="601">
        <v>2015</v>
      </c>
      <c r="G81" s="601" t="s">
        <v>567</v>
      </c>
      <c r="H81" s="604">
        <v>23358.425999999999</v>
      </c>
      <c r="I81" s="609">
        <v>79606.332999999999</v>
      </c>
      <c r="J81" s="605">
        <v>2.5878517863338226</v>
      </c>
      <c r="K81" s="606">
        <v>260.03533119999997</v>
      </c>
      <c r="L81" s="609">
        <v>902618.38500000001</v>
      </c>
      <c r="M81" s="620">
        <v>175039</v>
      </c>
      <c r="N81" s="620">
        <v>2016975</v>
      </c>
      <c r="O81" s="621">
        <v>394.95923449720499</v>
      </c>
      <c r="P81" s="604">
        <v>796622.902</v>
      </c>
      <c r="Q81" s="604">
        <v>796622.902</v>
      </c>
      <c r="R81" s="604">
        <v>693858.86899999995</v>
      </c>
      <c r="S81" s="622">
        <v>87.100040340040323</v>
      </c>
      <c r="T81" s="604">
        <v>656010.55000000005</v>
      </c>
      <c r="U81" s="620">
        <v>1319605</v>
      </c>
      <c r="V81" s="620">
        <v>7850.994682631168</v>
      </c>
      <c r="W81" s="620">
        <v>468395</v>
      </c>
      <c r="X81" s="620">
        <v>60110</v>
      </c>
      <c r="Y81" s="620">
        <v>2786.7177332391329</v>
      </c>
      <c r="Z81" s="605">
        <v>7.7922974546664445</v>
      </c>
      <c r="AA81" s="609">
        <v>795133.61699999997</v>
      </c>
      <c r="AB81" s="609">
        <v>1854.6180000000168</v>
      </c>
      <c r="AC81" s="609"/>
      <c r="AD81" s="609"/>
      <c r="AE81" s="609"/>
      <c r="AF81" s="609"/>
      <c r="AG81" s="609"/>
      <c r="AH81" s="609">
        <v>545191.94700000004</v>
      </c>
      <c r="AI81" s="609">
        <v>13589.101000000001</v>
      </c>
      <c r="AJ81" s="609">
        <v>0</v>
      </c>
      <c r="AK81" s="609">
        <v>30651.06</v>
      </c>
      <c r="AL81" s="609">
        <v>102562.069</v>
      </c>
      <c r="AM81" s="609">
        <v>0</v>
      </c>
      <c r="AN81" s="609">
        <v>1864.692</v>
      </c>
      <c r="AO81" s="609">
        <v>693858.86899999995</v>
      </c>
      <c r="AP81" s="609">
        <v>1331.7760000000001</v>
      </c>
      <c r="AQ81" s="609">
        <v>692527.09400000004</v>
      </c>
      <c r="AR81" s="609">
        <v>0.87299310188848211</v>
      </c>
      <c r="AS81" s="609">
        <v>5200.2079999999996</v>
      </c>
      <c r="AT81" s="609">
        <v>66118.748999999996</v>
      </c>
      <c r="AU81" s="609">
        <v>8.3348669362668965E-2</v>
      </c>
      <c r="AV81" s="609">
        <v>763846.05099999998</v>
      </c>
      <c r="AW81" s="609">
        <v>29432.949000000001</v>
      </c>
      <c r="AX81" s="609">
        <v>0</v>
      </c>
      <c r="AY81" s="612" t="s">
        <v>435</v>
      </c>
      <c r="AZ81" s="612" t="s">
        <v>431</v>
      </c>
      <c r="BA81" s="613" t="s">
        <v>555</v>
      </c>
      <c r="BB81" s="614">
        <v>8.819489423539717E-2</v>
      </c>
      <c r="BC81" s="614">
        <v>4.0804702364199641E-2</v>
      </c>
      <c r="BD81" s="613" t="s">
        <v>574</v>
      </c>
      <c r="BE81" s="613" t="s">
        <v>574</v>
      </c>
    </row>
    <row r="82" spans="1:57">
      <c r="A82" s="601" t="s">
        <v>80</v>
      </c>
      <c r="B82" s="603" t="s">
        <v>420</v>
      </c>
      <c r="C82" s="601">
        <v>3</v>
      </c>
      <c r="D82" s="601">
        <v>81</v>
      </c>
      <c r="E82" s="603" t="s">
        <v>191</v>
      </c>
      <c r="F82" s="601">
        <v>2015</v>
      </c>
      <c r="G82" s="601" t="s">
        <v>469</v>
      </c>
      <c r="H82" s="604">
        <v>9536.2819999999992</v>
      </c>
      <c r="I82" s="604">
        <v>62588.896999999997</v>
      </c>
      <c r="J82" s="605">
        <v>1.7028228818657918</v>
      </c>
      <c r="K82" s="606">
        <v>364.74647950000002</v>
      </c>
      <c r="L82" s="604">
        <v>560027.82799999998</v>
      </c>
      <c r="M82" s="607">
        <v>175069</v>
      </c>
      <c r="N82" s="607">
        <v>2014729</v>
      </c>
      <c r="O82" s="608">
        <v>272.4337193736726</v>
      </c>
      <c r="P82" s="609">
        <v>538839.52300000004</v>
      </c>
      <c r="Q82" s="609">
        <v>548880.11499999999</v>
      </c>
      <c r="R82" s="609">
        <v>440274.74099999998</v>
      </c>
      <c r="S82" s="610">
        <v>80.213279542837881</v>
      </c>
      <c r="T82" s="609">
        <v>433873.92800000001</v>
      </c>
      <c r="U82" s="607">
        <v>977553</v>
      </c>
      <c r="V82" s="607">
        <v>5822.438650557966</v>
      </c>
      <c r="W82" s="607">
        <v>112948</v>
      </c>
      <c r="X82" s="607">
        <v>25744</v>
      </c>
      <c r="Y82" s="607">
        <v>672.73365301239028</v>
      </c>
      <c r="Z82" s="611">
        <v>4.3873523927905529</v>
      </c>
      <c r="AA82" s="609" t="s">
        <v>20</v>
      </c>
      <c r="AB82" s="609" t="s">
        <v>20</v>
      </c>
      <c r="AC82" s="609"/>
      <c r="AD82" s="609"/>
      <c r="AE82" s="609"/>
      <c r="AF82" s="609"/>
      <c r="AG82" s="609"/>
      <c r="AH82" s="609" t="s">
        <v>20</v>
      </c>
      <c r="AI82" s="609" t="s">
        <v>20</v>
      </c>
      <c r="AJ82" s="609" t="s">
        <v>20</v>
      </c>
      <c r="AK82" s="609" t="s">
        <v>20</v>
      </c>
      <c r="AL82" s="609" t="s">
        <v>20</v>
      </c>
      <c r="AM82" s="609" t="s">
        <v>20</v>
      </c>
      <c r="AN82" s="609" t="s">
        <v>20</v>
      </c>
      <c r="AO82" s="609" t="s">
        <v>20</v>
      </c>
      <c r="AP82" s="609" t="s">
        <v>20</v>
      </c>
      <c r="AQ82" s="609" t="s">
        <v>20</v>
      </c>
      <c r="AR82" s="609" t="s">
        <v>20</v>
      </c>
      <c r="AS82" s="609" t="s">
        <v>20</v>
      </c>
      <c r="AT82" s="609" t="s">
        <v>20</v>
      </c>
      <c r="AU82" s="609" t="s">
        <v>20</v>
      </c>
      <c r="AV82" s="609" t="s">
        <v>20</v>
      </c>
      <c r="AW82" s="609" t="s">
        <v>20</v>
      </c>
      <c r="AX82" s="609" t="s">
        <v>20</v>
      </c>
      <c r="AY82" s="612" t="s">
        <v>430</v>
      </c>
      <c r="AZ82" s="612" t="s">
        <v>433</v>
      </c>
      <c r="BA82" s="613" t="s">
        <v>555</v>
      </c>
      <c r="BB82" s="614">
        <v>0.11176033380969776</v>
      </c>
      <c r="BC82" s="614">
        <v>1.7028228818657919E-2</v>
      </c>
      <c r="BD82" s="613" t="s">
        <v>573</v>
      </c>
      <c r="BE82" s="613" t="s">
        <v>573</v>
      </c>
    </row>
    <row r="83" spans="1:57">
      <c r="A83" s="601" t="s">
        <v>61</v>
      </c>
      <c r="B83" s="603" t="s">
        <v>424</v>
      </c>
      <c r="C83" s="601">
        <v>6</v>
      </c>
      <c r="D83" s="601">
        <v>82</v>
      </c>
      <c r="E83" s="603" t="s">
        <v>181</v>
      </c>
      <c r="F83" s="601">
        <v>2015</v>
      </c>
      <c r="G83" s="601" t="s">
        <v>469</v>
      </c>
      <c r="H83" s="604">
        <v>-11248.132</v>
      </c>
      <c r="I83" s="609">
        <v>76196.296000000002</v>
      </c>
      <c r="J83" s="605">
        <v>-0.8259138702421065</v>
      </c>
      <c r="K83" s="606">
        <v>334.03441780000003</v>
      </c>
      <c r="L83" s="609">
        <v>1361901.3319999999</v>
      </c>
      <c r="M83" s="607">
        <v>173354</v>
      </c>
      <c r="N83" s="607">
        <v>1905845</v>
      </c>
      <c r="O83" s="608">
        <v>660.58256626325851</v>
      </c>
      <c r="P83" s="609">
        <v>1261846.8689999999</v>
      </c>
      <c r="Q83" s="609">
        <v>1258967.9809999999</v>
      </c>
      <c r="R83" s="609">
        <v>1191245.1769999999</v>
      </c>
      <c r="S83" s="610">
        <v>94.620768357729972</v>
      </c>
      <c r="T83" s="609">
        <v>1080058.1410000001</v>
      </c>
      <c r="U83" s="607">
        <v>1606552</v>
      </c>
      <c r="V83" s="607">
        <v>10115.525659222025</v>
      </c>
      <c r="W83" s="607">
        <v>134046</v>
      </c>
      <c r="X83" s="607">
        <v>23387</v>
      </c>
      <c r="Y83" s="607">
        <v>844.00987488489363</v>
      </c>
      <c r="Z83" s="611">
        <v>5.7316457861204944</v>
      </c>
      <c r="AA83" s="609" t="s">
        <v>20</v>
      </c>
      <c r="AB83" s="609" t="s">
        <v>20</v>
      </c>
      <c r="AC83" s="609"/>
      <c r="AD83" s="609"/>
      <c r="AE83" s="609"/>
      <c r="AF83" s="609"/>
      <c r="AG83" s="609"/>
      <c r="AH83" s="609" t="s">
        <v>20</v>
      </c>
      <c r="AI83" s="609" t="s">
        <v>20</v>
      </c>
      <c r="AJ83" s="609" t="s">
        <v>20</v>
      </c>
      <c r="AK83" s="609" t="s">
        <v>20</v>
      </c>
      <c r="AL83" s="609" t="s">
        <v>20</v>
      </c>
      <c r="AM83" s="609" t="s">
        <v>20</v>
      </c>
      <c r="AN83" s="609" t="s">
        <v>20</v>
      </c>
      <c r="AO83" s="609" t="s">
        <v>20</v>
      </c>
      <c r="AP83" s="609" t="s">
        <v>20</v>
      </c>
      <c r="AQ83" s="609" t="s">
        <v>20</v>
      </c>
      <c r="AR83" s="609" t="s">
        <v>20</v>
      </c>
      <c r="AS83" s="609" t="s">
        <v>20</v>
      </c>
      <c r="AT83" s="609" t="s">
        <v>20</v>
      </c>
      <c r="AU83" s="609" t="s">
        <v>20</v>
      </c>
      <c r="AV83" s="609" t="s">
        <v>20</v>
      </c>
      <c r="AW83" s="609" t="s">
        <v>20</v>
      </c>
      <c r="AX83" s="609" t="s">
        <v>20</v>
      </c>
      <c r="AY83" s="612" t="s">
        <v>430</v>
      </c>
      <c r="AZ83" s="612" t="s">
        <v>433</v>
      </c>
      <c r="BA83" s="613" t="s">
        <v>555</v>
      </c>
      <c r="BB83" s="614">
        <v>5.5948470134839404E-2</v>
      </c>
      <c r="BC83" s="614">
        <v>-8.259138702421065E-3</v>
      </c>
      <c r="BD83" s="613" t="s">
        <v>572</v>
      </c>
      <c r="BE83" s="613" t="s">
        <v>572</v>
      </c>
    </row>
    <row r="84" spans="1:57">
      <c r="A84" s="601" t="s">
        <v>86</v>
      </c>
      <c r="B84" s="602" t="s">
        <v>163</v>
      </c>
      <c r="C84" s="601">
        <v>22</v>
      </c>
      <c r="D84" s="601">
        <v>83</v>
      </c>
      <c r="E84" s="603" t="s">
        <v>163</v>
      </c>
      <c r="F84" s="601">
        <v>2015</v>
      </c>
      <c r="G84" s="601" t="s">
        <v>469</v>
      </c>
      <c r="H84" s="604">
        <v>28575.651000000002</v>
      </c>
      <c r="I84" s="609">
        <v>78880.735000000001</v>
      </c>
      <c r="J84" s="605">
        <v>2.825426059401575</v>
      </c>
      <c r="K84" s="606">
        <v>251.24148310000001</v>
      </c>
      <c r="L84" s="609">
        <v>1011374.936</v>
      </c>
      <c r="M84" s="607">
        <v>161516</v>
      </c>
      <c r="N84" s="607">
        <v>1877818</v>
      </c>
      <c r="O84" s="608">
        <v>517.12929314768519</v>
      </c>
      <c r="P84" s="609">
        <v>971074.69499999995</v>
      </c>
      <c r="Q84" s="609">
        <v>971074.69499999995</v>
      </c>
      <c r="R84" s="609">
        <v>852580.61399999994</v>
      </c>
      <c r="S84" s="610">
        <v>87.79763476382216</v>
      </c>
      <c r="T84" s="609">
        <v>862194.54</v>
      </c>
      <c r="U84" s="607">
        <v>3010951</v>
      </c>
      <c r="V84" s="607">
        <v>19241.168206929531</v>
      </c>
      <c r="W84" s="607">
        <v>1387920</v>
      </c>
      <c r="X84" s="607">
        <v>34586</v>
      </c>
      <c r="Y84" s="607">
        <v>8869.3579462972448</v>
      </c>
      <c r="Z84" s="611">
        <v>40.129532180651132</v>
      </c>
      <c r="AA84" s="609">
        <v>966780.54700000002</v>
      </c>
      <c r="AB84" s="609">
        <v>-1945.6969999999274</v>
      </c>
      <c r="AC84" s="609"/>
      <c r="AD84" s="609"/>
      <c r="AE84" s="609"/>
      <c r="AF84" s="609"/>
      <c r="AG84" s="609"/>
      <c r="AH84" s="609">
        <v>395052.08</v>
      </c>
      <c r="AI84" s="609">
        <v>173401.845</v>
      </c>
      <c r="AJ84" s="609">
        <v>89732.262000000002</v>
      </c>
      <c r="AK84" s="609">
        <v>37393.574000000001</v>
      </c>
      <c r="AL84" s="609">
        <v>99520.009000000005</v>
      </c>
      <c r="AM84" s="609">
        <v>48610.391000000003</v>
      </c>
      <c r="AN84" s="609">
        <v>8870.4529999999995</v>
      </c>
      <c r="AO84" s="609">
        <v>852580.61499999999</v>
      </c>
      <c r="AP84" s="609">
        <v>928.97500000000002</v>
      </c>
      <c r="AQ84" s="609">
        <v>851651.64</v>
      </c>
      <c r="AR84" s="609">
        <v>0.87914583224608089</v>
      </c>
      <c r="AS84" s="609">
        <v>23013.241000000002</v>
      </c>
      <c r="AT84" s="609">
        <v>68614.157000000007</v>
      </c>
      <c r="AU84" s="609">
        <v>7.0829253801035677E-2</v>
      </c>
      <c r="AV84" s="609">
        <v>943279.03799999994</v>
      </c>
      <c r="AW84" s="609">
        <v>25447.205999999998</v>
      </c>
      <c r="AX84" s="609">
        <v>0</v>
      </c>
      <c r="AY84" s="612" t="s">
        <v>435</v>
      </c>
      <c r="AZ84" s="612" t="s">
        <v>431</v>
      </c>
      <c r="BA84" s="613" t="s">
        <v>555</v>
      </c>
      <c r="BB84" s="614">
        <v>7.799356321007346E-2</v>
      </c>
      <c r="BC84" s="614">
        <v>2.825426059401575E-2</v>
      </c>
      <c r="BD84" s="613" t="s">
        <v>574</v>
      </c>
      <c r="BE84" s="613" t="s">
        <v>574</v>
      </c>
    </row>
    <row r="85" spans="1:57">
      <c r="A85" s="601" t="s">
        <v>85</v>
      </c>
      <c r="B85" s="602" t="s">
        <v>218</v>
      </c>
      <c r="C85" s="601">
        <v>40</v>
      </c>
      <c r="D85" s="601">
        <v>84</v>
      </c>
      <c r="E85" s="603" t="s">
        <v>218</v>
      </c>
      <c r="F85" s="601">
        <v>2015</v>
      </c>
      <c r="G85" s="601" t="s">
        <v>567</v>
      </c>
      <c r="H85" s="604">
        <v>16264.62</v>
      </c>
      <c r="I85" s="609">
        <v>199673.56099999999</v>
      </c>
      <c r="J85" s="605">
        <v>0.86294529116839047</v>
      </c>
      <c r="K85" s="606">
        <v>302.94680829999999</v>
      </c>
      <c r="L85" s="609">
        <v>1884779.97</v>
      </c>
      <c r="M85" s="620">
        <v>167753</v>
      </c>
      <c r="N85" s="617">
        <v>1872674</v>
      </c>
      <c r="O85" s="608">
        <v>362.25670191394767</v>
      </c>
      <c r="P85" s="609">
        <v>678388.70700000005</v>
      </c>
      <c r="Q85" s="609">
        <v>678388.70700000005</v>
      </c>
      <c r="R85" s="609">
        <v>569092.571</v>
      </c>
      <c r="S85" s="618">
        <v>83.888862701837397</v>
      </c>
      <c r="T85" s="609">
        <v>562355.598</v>
      </c>
      <c r="U85" s="617">
        <v>1049080</v>
      </c>
      <c r="V85" s="617">
        <v>6722.4514250745187</v>
      </c>
      <c r="W85" s="617">
        <v>42786</v>
      </c>
      <c r="X85" s="617">
        <v>11537</v>
      </c>
      <c r="Y85" s="617">
        <v>274.17051766618215</v>
      </c>
      <c r="Z85" s="609">
        <v>3.7085897547022624</v>
      </c>
      <c r="AA85" s="609">
        <v>677656.277</v>
      </c>
      <c r="AB85" s="609">
        <v>0</v>
      </c>
      <c r="AC85" s="609"/>
      <c r="AD85" s="609"/>
      <c r="AE85" s="609"/>
      <c r="AF85" s="609"/>
      <c r="AG85" s="609"/>
      <c r="AH85" s="609">
        <v>381435.174</v>
      </c>
      <c r="AI85" s="609">
        <v>0</v>
      </c>
      <c r="AJ85" s="609">
        <v>0</v>
      </c>
      <c r="AK85" s="609">
        <v>13835.291999999999</v>
      </c>
      <c r="AL85" s="609">
        <v>169770.837</v>
      </c>
      <c r="AM85" s="609">
        <v>0</v>
      </c>
      <c r="AN85" s="609">
        <v>4051.268</v>
      </c>
      <c r="AO85" s="609">
        <v>569092.571</v>
      </c>
      <c r="AP85" s="609">
        <v>401.57400000000001</v>
      </c>
      <c r="AQ85" s="609">
        <v>568690.99699999997</v>
      </c>
      <c r="AR85" s="609">
        <v>0.83920272902600146</v>
      </c>
      <c r="AS85" s="609">
        <v>12717.933999999999</v>
      </c>
      <c r="AT85" s="609">
        <v>80736.438999999998</v>
      </c>
      <c r="AU85" s="609">
        <v>0.11914069380043535</v>
      </c>
      <c r="AV85" s="609">
        <v>662145.37</v>
      </c>
      <c r="AW85" s="609">
        <v>15510.906999999999</v>
      </c>
      <c r="AX85" s="609">
        <v>0</v>
      </c>
      <c r="AY85" s="609" t="s">
        <v>435</v>
      </c>
      <c r="AZ85" s="609" t="s">
        <v>431</v>
      </c>
      <c r="BA85" s="613" t="s">
        <v>555</v>
      </c>
      <c r="BB85" s="614">
        <v>0.10593998460202227</v>
      </c>
      <c r="BC85" s="614">
        <v>5.5171388379603767E-2</v>
      </c>
      <c r="BD85" s="613" t="s">
        <v>575</v>
      </c>
      <c r="BE85" s="613" t="s">
        <v>575</v>
      </c>
    </row>
    <row r="86" spans="1:57">
      <c r="A86" s="601" t="s">
        <v>65</v>
      </c>
      <c r="B86" s="603" t="s">
        <v>423</v>
      </c>
      <c r="C86" s="601">
        <v>7</v>
      </c>
      <c r="D86" s="601">
        <v>85</v>
      </c>
      <c r="E86" s="603" t="s">
        <v>196</v>
      </c>
      <c r="F86" s="601">
        <v>2015</v>
      </c>
      <c r="G86" s="601" t="s">
        <v>469</v>
      </c>
      <c r="H86" s="604">
        <v>9734.6020000000008</v>
      </c>
      <c r="I86" s="604">
        <v>55164.714</v>
      </c>
      <c r="J86" s="605">
        <v>1.5630717071161391</v>
      </c>
      <c r="K86" s="606">
        <v>315.30071850000002</v>
      </c>
      <c r="L86" s="604">
        <v>622786.65500000003</v>
      </c>
      <c r="M86" s="607">
        <v>175893</v>
      </c>
      <c r="N86" s="607">
        <v>1868487</v>
      </c>
      <c r="O86" s="608">
        <v>333.32107635750208</v>
      </c>
      <c r="P86" s="609">
        <v>622806.098</v>
      </c>
      <c r="Q86" s="609">
        <v>622806.098</v>
      </c>
      <c r="R86" s="609">
        <v>526543.01500000001</v>
      </c>
      <c r="S86" s="610">
        <v>84.543651176645994</v>
      </c>
      <c r="T86" s="609">
        <v>569947.21</v>
      </c>
      <c r="U86" s="607">
        <v>1017948</v>
      </c>
      <c r="V86" s="607">
        <v>6537.5761244258056</v>
      </c>
      <c r="W86" s="607">
        <v>64131</v>
      </c>
      <c r="X86" s="607">
        <v>11938</v>
      </c>
      <c r="Y86" s="607">
        <v>411.86906839598026</v>
      </c>
      <c r="Z86" s="611">
        <v>5.3720053610319987</v>
      </c>
      <c r="AA86" s="609">
        <v>622806.098</v>
      </c>
      <c r="AB86" s="609">
        <v>0</v>
      </c>
      <c r="AC86" s="609"/>
      <c r="AD86" s="609"/>
      <c r="AE86" s="609"/>
      <c r="AF86" s="609"/>
      <c r="AG86" s="609"/>
      <c r="AH86" s="609">
        <v>183595.77499999999</v>
      </c>
      <c r="AI86" s="609">
        <v>98641.760999999999</v>
      </c>
      <c r="AJ86" s="609">
        <v>0</v>
      </c>
      <c r="AK86" s="609">
        <v>29285.894</v>
      </c>
      <c r="AL86" s="609">
        <v>115769.386</v>
      </c>
      <c r="AM86" s="609">
        <v>97595.081999999995</v>
      </c>
      <c r="AN86" s="609">
        <v>1655.117</v>
      </c>
      <c r="AO86" s="609">
        <v>526543.01500000001</v>
      </c>
      <c r="AP86" s="609">
        <v>0</v>
      </c>
      <c r="AQ86" s="609">
        <v>526543.01500000001</v>
      </c>
      <c r="AR86" s="609">
        <v>0.84543651176645995</v>
      </c>
      <c r="AS86" s="609">
        <v>21540.832999999999</v>
      </c>
      <c r="AT86" s="609">
        <v>55158.544000000002</v>
      </c>
      <c r="AU86" s="609">
        <v>8.8564553521760805E-2</v>
      </c>
      <c r="AV86" s="609">
        <v>603242.39199999999</v>
      </c>
      <c r="AW86" s="609">
        <v>19563.705999999998</v>
      </c>
      <c r="AX86" s="609">
        <v>0</v>
      </c>
      <c r="AY86" s="612" t="s">
        <v>430</v>
      </c>
      <c r="AZ86" s="612" t="s">
        <v>431</v>
      </c>
      <c r="BA86" s="613" t="s">
        <v>555</v>
      </c>
      <c r="BB86" s="614">
        <v>8.8577225534802115E-2</v>
      </c>
      <c r="BC86" s="614">
        <v>1.5630717071161392E-2</v>
      </c>
      <c r="BD86" s="613" t="s">
        <v>573</v>
      </c>
      <c r="BE86" s="613" t="s">
        <v>573</v>
      </c>
    </row>
    <row r="87" spans="1:57">
      <c r="A87" s="601" t="s">
        <v>58</v>
      </c>
      <c r="B87" s="602" t="s">
        <v>155</v>
      </c>
      <c r="C87" s="601">
        <v>42</v>
      </c>
      <c r="D87" s="601">
        <v>86</v>
      </c>
      <c r="E87" s="603" t="s">
        <v>155</v>
      </c>
      <c r="F87" s="601">
        <v>2015</v>
      </c>
      <c r="G87" s="601" t="s">
        <v>567</v>
      </c>
      <c r="H87" s="604">
        <v>7613.1530000000002</v>
      </c>
      <c r="I87" s="609">
        <v>226633.62400000001</v>
      </c>
      <c r="J87" s="605">
        <v>0.25567419565897442</v>
      </c>
      <c r="K87" s="606">
        <v>379.71823699999999</v>
      </c>
      <c r="L87" s="609">
        <v>2977677.5010000002</v>
      </c>
      <c r="M87" s="620">
        <v>155381</v>
      </c>
      <c r="N87" s="617">
        <v>1835443</v>
      </c>
      <c r="O87" s="608">
        <v>299.43237845032507</v>
      </c>
      <c r="P87" s="609">
        <v>549591.06299999997</v>
      </c>
      <c r="Q87" s="609">
        <v>549591.06299999997</v>
      </c>
      <c r="R87" s="609">
        <v>478721.21899999998</v>
      </c>
      <c r="S87" s="618">
        <v>87.104986093996956</v>
      </c>
      <c r="T87" s="609">
        <v>460410.87800000003</v>
      </c>
      <c r="U87" s="617">
        <v>1064080</v>
      </c>
      <c r="V87" s="617">
        <v>6956.8817991078995</v>
      </c>
      <c r="W87" s="617">
        <v>44077</v>
      </c>
      <c r="X87" s="617">
        <v>0</v>
      </c>
      <c r="Y87" s="617">
        <v>288.17239216908399</v>
      </c>
      <c r="Z87" s="609" t="s">
        <v>434</v>
      </c>
      <c r="AA87" s="609">
        <v>545498.18799999997</v>
      </c>
      <c r="AB87" s="609">
        <v>0</v>
      </c>
      <c r="AC87" s="609"/>
      <c r="AD87" s="609"/>
      <c r="AE87" s="609"/>
      <c r="AF87" s="609"/>
      <c r="AG87" s="609"/>
      <c r="AH87" s="609">
        <v>389812.53100000002</v>
      </c>
      <c r="AI87" s="609">
        <v>1795.2180000000001</v>
      </c>
      <c r="AJ87" s="609">
        <v>0</v>
      </c>
      <c r="AK87" s="609">
        <v>0</v>
      </c>
      <c r="AL87" s="609">
        <v>74361.896999999997</v>
      </c>
      <c r="AM87" s="609">
        <v>0</v>
      </c>
      <c r="AN87" s="609">
        <v>12751.573</v>
      </c>
      <c r="AO87" s="609">
        <v>478721.21899999998</v>
      </c>
      <c r="AP87" s="609">
        <v>1251.7650000000001</v>
      </c>
      <c r="AQ87" s="609">
        <v>477469.45400000003</v>
      </c>
      <c r="AR87" s="609">
        <v>0.87529063249610661</v>
      </c>
      <c r="AS87" s="609">
        <v>19666.5</v>
      </c>
      <c r="AT87" s="609">
        <v>37243.351000000002</v>
      </c>
      <c r="AU87" s="609">
        <v>6.8274014138430109E-2</v>
      </c>
      <c r="AV87" s="609">
        <v>534379.30500000005</v>
      </c>
      <c r="AW87" s="609">
        <v>11118.883</v>
      </c>
      <c r="AX87" s="609">
        <v>0</v>
      </c>
      <c r="AY87" s="612" t="s">
        <v>430</v>
      </c>
      <c r="AZ87" s="612" t="s">
        <v>431</v>
      </c>
      <c r="BA87" s="613" t="s">
        <v>555</v>
      </c>
      <c r="BB87" s="614">
        <v>7.6110869603538037E-2</v>
      </c>
      <c r="BC87" s="614">
        <v>5.2839269456492352E-2</v>
      </c>
      <c r="BD87" s="613" t="s">
        <v>575</v>
      </c>
      <c r="BE87" s="613" t="s">
        <v>575</v>
      </c>
    </row>
    <row r="88" spans="1:57">
      <c r="A88" s="601" t="s">
        <v>95</v>
      </c>
      <c r="B88" s="602" t="s">
        <v>418</v>
      </c>
      <c r="C88" s="601">
        <v>1</v>
      </c>
      <c r="D88" s="601">
        <v>87</v>
      </c>
      <c r="E88" s="603" t="s">
        <v>286</v>
      </c>
      <c r="F88" s="601">
        <v>2015</v>
      </c>
      <c r="G88" s="601" t="s">
        <v>567</v>
      </c>
      <c r="H88" s="604">
        <v>53561.190999999999</v>
      </c>
      <c r="I88" s="604">
        <v>160738.58199999999</v>
      </c>
      <c r="J88" s="605">
        <v>3.5646394875134604</v>
      </c>
      <c r="K88" s="606">
        <v>627.67832120000003</v>
      </c>
      <c r="L88" s="604">
        <v>1502569.648</v>
      </c>
      <c r="M88" s="607">
        <v>145047</v>
      </c>
      <c r="N88" s="607">
        <v>1717317</v>
      </c>
      <c r="O88" s="608">
        <v>202.73210013061072</v>
      </c>
      <c r="P88" s="609">
        <v>346331.04100000003</v>
      </c>
      <c r="Q88" s="609">
        <v>348155.28200000001</v>
      </c>
      <c r="R88" s="609">
        <v>270961.89799999999</v>
      </c>
      <c r="S88" s="610">
        <v>77.827886580792978</v>
      </c>
      <c r="T88" s="609">
        <v>268355.016</v>
      </c>
      <c r="U88" s="607">
        <v>1644756</v>
      </c>
      <c r="V88" s="607">
        <v>11492.969556581575</v>
      </c>
      <c r="W88" s="607">
        <v>32779</v>
      </c>
      <c r="X88" s="607">
        <v>14512</v>
      </c>
      <c r="Y88" s="607">
        <v>229.0479858989342</v>
      </c>
      <c r="Z88" s="611">
        <v>2.2587513781697903</v>
      </c>
      <c r="AA88" s="609">
        <v>345982.886</v>
      </c>
      <c r="AB88" s="609">
        <v>-1824.2399999999907</v>
      </c>
      <c r="AC88" s="609"/>
      <c r="AD88" s="609"/>
      <c r="AE88" s="609"/>
      <c r="AF88" s="609"/>
      <c r="AG88" s="609"/>
      <c r="AH88" s="609">
        <v>265896.48599999998</v>
      </c>
      <c r="AI88" s="609">
        <v>5065.4139999999998</v>
      </c>
      <c r="AJ88" s="609">
        <v>0</v>
      </c>
      <c r="AK88" s="609">
        <v>0</v>
      </c>
      <c r="AL88" s="609">
        <v>0</v>
      </c>
      <c r="AM88" s="609">
        <v>0</v>
      </c>
      <c r="AN88" s="609">
        <v>0</v>
      </c>
      <c r="AO88" s="609">
        <v>270961.90000000002</v>
      </c>
      <c r="AP88" s="609">
        <v>0</v>
      </c>
      <c r="AQ88" s="609">
        <v>270961.90000000002</v>
      </c>
      <c r="AR88" s="609">
        <v>0.77905793109023314</v>
      </c>
      <c r="AS88" s="609">
        <v>24432.973999999998</v>
      </c>
      <c r="AT88" s="609">
        <v>30880.438999999998</v>
      </c>
      <c r="AU88" s="609">
        <v>8.8786102099587233E-2</v>
      </c>
      <c r="AV88" s="609">
        <v>326275.31300000002</v>
      </c>
      <c r="AW88" s="609">
        <v>21531.812999999998</v>
      </c>
      <c r="AX88" s="609">
        <v>0</v>
      </c>
      <c r="AY88" s="612" t="s">
        <v>430</v>
      </c>
      <c r="AZ88" s="612" t="s">
        <v>433</v>
      </c>
      <c r="BA88" s="613" t="s">
        <v>555</v>
      </c>
      <c r="BB88" s="614">
        <v>0.10697579457561357</v>
      </c>
      <c r="BC88" s="614">
        <v>0.11474533961645661</v>
      </c>
      <c r="BD88" s="613" t="s">
        <v>581</v>
      </c>
      <c r="BE88" s="613" t="s">
        <v>581</v>
      </c>
    </row>
    <row r="89" spans="1:57">
      <c r="A89" s="601" t="s">
        <v>94</v>
      </c>
      <c r="B89" s="603" t="s">
        <v>420</v>
      </c>
      <c r="C89" s="601">
        <v>3</v>
      </c>
      <c r="D89" s="601">
        <v>88</v>
      </c>
      <c r="E89" s="603" t="s">
        <v>195</v>
      </c>
      <c r="F89" s="601">
        <v>2015</v>
      </c>
      <c r="G89" s="601" t="s">
        <v>567</v>
      </c>
      <c r="H89" s="604">
        <v>18719.164000000001</v>
      </c>
      <c r="I89" s="604">
        <v>33162.239999999998</v>
      </c>
      <c r="J89" s="605">
        <v>3.6735367213141301</v>
      </c>
      <c r="K89" s="606">
        <v>720.6403401</v>
      </c>
      <c r="L89" s="604">
        <v>509567.902</v>
      </c>
      <c r="M89" s="607">
        <v>139587</v>
      </c>
      <c r="N89" s="607">
        <v>1642703</v>
      </c>
      <c r="O89" s="608">
        <v>303.79184855692114</v>
      </c>
      <c r="P89" s="609">
        <v>306391.03499999997</v>
      </c>
      <c r="Q89" s="609">
        <v>499039.78100000002</v>
      </c>
      <c r="R89" s="609">
        <v>408231.658</v>
      </c>
      <c r="S89" s="610">
        <v>81.803430015532157</v>
      </c>
      <c r="T89" s="609">
        <v>396697.77799999999</v>
      </c>
      <c r="U89" s="607">
        <v>706644</v>
      </c>
      <c r="V89" s="607">
        <v>5162.0579009108769</v>
      </c>
      <c r="W89" s="607">
        <v>56180</v>
      </c>
      <c r="X89" s="607">
        <v>12123</v>
      </c>
      <c r="Y89" s="607">
        <v>410.39676679229296</v>
      </c>
      <c r="Z89" s="611">
        <v>4.6341664604470845</v>
      </c>
      <c r="AA89" s="609" t="s">
        <v>20</v>
      </c>
      <c r="AB89" s="609" t="s">
        <v>20</v>
      </c>
      <c r="AC89" s="609"/>
      <c r="AD89" s="609"/>
      <c r="AE89" s="609"/>
      <c r="AF89" s="609"/>
      <c r="AG89" s="609"/>
      <c r="AH89" s="609" t="s">
        <v>20</v>
      </c>
      <c r="AI89" s="609" t="s">
        <v>20</v>
      </c>
      <c r="AJ89" s="609" t="s">
        <v>20</v>
      </c>
      <c r="AK89" s="609" t="s">
        <v>20</v>
      </c>
      <c r="AL89" s="609" t="s">
        <v>20</v>
      </c>
      <c r="AM89" s="609" t="s">
        <v>20</v>
      </c>
      <c r="AN89" s="609" t="s">
        <v>20</v>
      </c>
      <c r="AO89" s="609" t="s">
        <v>20</v>
      </c>
      <c r="AP89" s="609" t="s">
        <v>20</v>
      </c>
      <c r="AQ89" s="609" t="s">
        <v>20</v>
      </c>
      <c r="AR89" s="609" t="s">
        <v>20</v>
      </c>
      <c r="AS89" s="609" t="s">
        <v>20</v>
      </c>
      <c r="AT89" s="609" t="s">
        <v>20</v>
      </c>
      <c r="AU89" s="609" t="s">
        <v>20</v>
      </c>
      <c r="AV89" s="609" t="s">
        <v>20</v>
      </c>
      <c r="AW89" s="609" t="s">
        <v>20</v>
      </c>
      <c r="AX89" s="609" t="s">
        <v>20</v>
      </c>
      <c r="AY89" s="612" t="s">
        <v>430</v>
      </c>
      <c r="AZ89" s="612" t="s">
        <v>433</v>
      </c>
      <c r="BA89" s="613" t="s">
        <v>555</v>
      </c>
      <c r="BB89" s="614">
        <v>6.5079138363781791E-2</v>
      </c>
      <c r="BC89" s="614">
        <v>0.11688656148089668</v>
      </c>
      <c r="BD89" s="613" t="s">
        <v>581</v>
      </c>
      <c r="BE89" s="613" t="s">
        <v>581</v>
      </c>
    </row>
    <row r="90" spans="1:57">
      <c r="A90" s="601" t="s">
        <v>90</v>
      </c>
      <c r="B90" s="602" t="s">
        <v>149</v>
      </c>
      <c r="C90" s="601">
        <v>48</v>
      </c>
      <c r="D90" s="601">
        <v>89</v>
      </c>
      <c r="E90" s="603" t="s">
        <v>149</v>
      </c>
      <c r="F90" s="601">
        <v>2015</v>
      </c>
      <c r="G90" s="601" t="s">
        <v>469</v>
      </c>
      <c r="H90" s="604">
        <v>-15618.528</v>
      </c>
      <c r="I90" s="609">
        <v>20927.073</v>
      </c>
      <c r="J90" s="605">
        <v>-3.585905577991312</v>
      </c>
      <c r="K90" s="606">
        <v>175.36161870000001</v>
      </c>
      <c r="L90" s="609">
        <v>435553.24200000003</v>
      </c>
      <c r="M90" s="617">
        <v>137460</v>
      </c>
      <c r="N90" s="617">
        <v>1640595</v>
      </c>
      <c r="O90" s="608">
        <v>258.14485293445364</v>
      </c>
      <c r="P90" s="609">
        <v>423511.15500000003</v>
      </c>
      <c r="Q90" s="609">
        <v>423511.15500000003</v>
      </c>
      <c r="R90" s="609">
        <v>394152.36</v>
      </c>
      <c r="S90" s="618">
        <v>93.067763468945699</v>
      </c>
      <c r="T90" s="609">
        <v>391491.03899999999</v>
      </c>
      <c r="U90" s="617">
        <v>1231012</v>
      </c>
      <c r="V90" s="617">
        <v>9004.1381328115713</v>
      </c>
      <c r="W90" s="617">
        <v>78782</v>
      </c>
      <c r="X90" s="617">
        <v>19613</v>
      </c>
      <c r="Y90" s="617">
        <v>576.24459418686513</v>
      </c>
      <c r="Z90" s="609">
        <v>4.016825574873808</v>
      </c>
      <c r="AA90" s="609">
        <v>422822.06300000002</v>
      </c>
      <c r="AB90" s="609">
        <v>0</v>
      </c>
      <c r="AC90" s="609"/>
      <c r="AD90" s="609"/>
      <c r="AE90" s="609"/>
      <c r="AF90" s="609"/>
      <c r="AG90" s="609"/>
      <c r="AH90" s="609">
        <v>239157.019</v>
      </c>
      <c r="AI90" s="609">
        <v>13040.556</v>
      </c>
      <c r="AJ90" s="609">
        <v>25839.8</v>
      </c>
      <c r="AK90" s="609">
        <v>28878.555</v>
      </c>
      <c r="AL90" s="609">
        <v>68530.380999999994</v>
      </c>
      <c r="AM90" s="609">
        <v>0</v>
      </c>
      <c r="AN90" s="609">
        <v>18706.048999999999</v>
      </c>
      <c r="AO90" s="609">
        <v>394152.36</v>
      </c>
      <c r="AP90" s="609">
        <v>587.39499999999998</v>
      </c>
      <c r="AQ90" s="609">
        <v>393564.96399999998</v>
      </c>
      <c r="AR90" s="609">
        <v>0.93080517418505659</v>
      </c>
      <c r="AS90" s="609">
        <v>22350.127</v>
      </c>
      <c r="AT90" s="609">
        <v>20192.007000000001</v>
      </c>
      <c r="AU90" s="609">
        <v>4.7755329645605554E-2</v>
      </c>
      <c r="AV90" s="609">
        <v>436107.098</v>
      </c>
      <c r="AW90" s="609">
        <v>-13285.035</v>
      </c>
      <c r="AX90" s="609">
        <v>0</v>
      </c>
      <c r="AY90" s="609" t="s">
        <v>435</v>
      </c>
      <c r="AZ90" s="609" t="s">
        <v>431</v>
      </c>
      <c r="BA90" s="613" t="s">
        <v>555</v>
      </c>
      <c r="BB90" s="614">
        <v>4.8047106488992679E-2</v>
      </c>
      <c r="BC90" s="614">
        <v>-3.5859055779913121E-2</v>
      </c>
      <c r="BD90" s="613" t="s">
        <v>571</v>
      </c>
      <c r="BE90" s="613" t="s">
        <v>571</v>
      </c>
    </row>
    <row r="91" spans="1:57">
      <c r="A91" s="601" t="s">
        <v>95</v>
      </c>
      <c r="B91" s="602" t="s">
        <v>144</v>
      </c>
      <c r="C91" s="601">
        <v>58</v>
      </c>
      <c r="D91" s="601">
        <v>91</v>
      </c>
      <c r="E91" s="603" t="s">
        <v>144</v>
      </c>
      <c r="F91" s="601">
        <v>2015</v>
      </c>
      <c r="G91" s="601" t="s">
        <v>469</v>
      </c>
      <c r="H91" s="604">
        <v>10743.501</v>
      </c>
      <c r="I91" s="609">
        <v>4598.1099999999997</v>
      </c>
      <c r="J91" s="605">
        <v>4.521275307487409</v>
      </c>
      <c r="K91" s="606">
        <v>483.61201640000002</v>
      </c>
      <c r="L91" s="609">
        <v>237621.03099999999</v>
      </c>
      <c r="M91" s="617">
        <v>132932</v>
      </c>
      <c r="N91" s="617">
        <v>1618356</v>
      </c>
      <c r="O91" s="608">
        <v>146.90653601556147</v>
      </c>
      <c r="P91" s="609">
        <v>237747.07399999999</v>
      </c>
      <c r="Q91" s="609">
        <v>237747.07399999999</v>
      </c>
      <c r="R91" s="609">
        <v>207626.99400000001</v>
      </c>
      <c r="S91" s="618">
        <v>87.331040717666212</v>
      </c>
      <c r="T91" s="609">
        <v>203512.88399999999</v>
      </c>
      <c r="U91" s="617">
        <v>384282</v>
      </c>
      <c r="V91" s="617">
        <v>2849.4249720086309</v>
      </c>
      <c r="W91" s="617">
        <v>47276</v>
      </c>
      <c r="X91" s="617">
        <v>12824</v>
      </c>
      <c r="Y91" s="617">
        <v>350.54833423548342</v>
      </c>
      <c r="Z91" s="609">
        <v>3.686525265127885</v>
      </c>
      <c r="AA91" s="609">
        <v>237520.52100000001</v>
      </c>
      <c r="AB91" s="609">
        <v>-100.84599999999045</v>
      </c>
      <c r="AC91" s="609"/>
      <c r="AD91" s="609"/>
      <c r="AE91" s="609"/>
      <c r="AF91" s="609"/>
      <c r="AG91" s="609"/>
      <c r="AH91" s="609">
        <v>187857.17199999999</v>
      </c>
      <c r="AI91" s="609">
        <v>16267.439</v>
      </c>
      <c r="AJ91" s="609">
        <v>0</v>
      </c>
      <c r="AK91" s="609">
        <v>0</v>
      </c>
      <c r="AL91" s="609">
        <v>0</v>
      </c>
      <c r="AM91" s="609">
        <v>3089.395</v>
      </c>
      <c r="AN91" s="609">
        <v>412.98700000000002</v>
      </c>
      <c r="AO91" s="609">
        <v>207626.99400000001</v>
      </c>
      <c r="AP91" s="609">
        <v>180.04599999999999</v>
      </c>
      <c r="AQ91" s="609">
        <v>207446.948</v>
      </c>
      <c r="AR91" s="609">
        <v>0.87301470662779246</v>
      </c>
      <c r="AS91" s="609">
        <v>14953.367</v>
      </c>
      <c r="AT91" s="609">
        <v>4598.1099999999997</v>
      </c>
      <c r="AU91" s="609">
        <v>1.9350574647607342E-2</v>
      </c>
      <c r="AV91" s="609">
        <v>226998.42600000001</v>
      </c>
      <c r="AW91" s="609">
        <v>10622.941000000001</v>
      </c>
      <c r="AX91" s="609">
        <v>0</v>
      </c>
      <c r="AY91" s="609" t="s">
        <v>435</v>
      </c>
      <c r="AZ91" s="609" t="s">
        <v>431</v>
      </c>
      <c r="BA91" s="613" t="s">
        <v>555</v>
      </c>
      <c r="BB91" s="614">
        <v>1.9350602009634409E-2</v>
      </c>
      <c r="BC91" s="614">
        <v>4.5212753074874087E-2</v>
      </c>
      <c r="BD91" s="613" t="s">
        <v>574</v>
      </c>
      <c r="BE91" s="613" t="s">
        <v>574</v>
      </c>
    </row>
    <row r="92" spans="1:57">
      <c r="A92" s="601" t="s">
        <v>65</v>
      </c>
      <c r="B92" s="603" t="s">
        <v>420</v>
      </c>
      <c r="C92" s="601">
        <v>3</v>
      </c>
      <c r="D92" s="601">
        <v>92</v>
      </c>
      <c r="E92" s="603" t="s">
        <v>189</v>
      </c>
      <c r="F92" s="601">
        <v>2015</v>
      </c>
      <c r="G92" s="601" t="s">
        <v>469</v>
      </c>
      <c r="H92" s="604">
        <v>-3885.73</v>
      </c>
      <c r="I92" s="604">
        <v>43276.144999999997</v>
      </c>
      <c r="J92" s="605">
        <v>-0.76745984933364786</v>
      </c>
      <c r="K92" s="606">
        <v>306.5149649</v>
      </c>
      <c r="L92" s="604">
        <v>506310.52600000001</v>
      </c>
      <c r="M92" s="607">
        <v>155124</v>
      </c>
      <c r="N92" s="607">
        <v>1585798</v>
      </c>
      <c r="O92" s="608">
        <v>299.84555536077102</v>
      </c>
      <c r="P92" s="609">
        <v>475494.48200000002</v>
      </c>
      <c r="Q92" s="609">
        <v>475494.48200000002</v>
      </c>
      <c r="R92" s="609">
        <v>414865.43699999998</v>
      </c>
      <c r="S92" s="610">
        <v>87.249264230157763</v>
      </c>
      <c r="T92" s="609">
        <v>394856.94400000002</v>
      </c>
      <c r="U92" s="607">
        <v>729183</v>
      </c>
      <c r="V92" s="607">
        <v>5517.8503188930745</v>
      </c>
      <c r="W92" s="607">
        <v>89564</v>
      </c>
      <c r="X92" s="607">
        <v>20474</v>
      </c>
      <c r="Y92" s="607">
        <v>677.74584152584373</v>
      </c>
      <c r="Z92" s="611">
        <v>4.3745237862655078</v>
      </c>
      <c r="AA92" s="609" t="s">
        <v>20</v>
      </c>
      <c r="AB92" s="609" t="s">
        <v>20</v>
      </c>
      <c r="AC92" s="609"/>
      <c r="AD92" s="609"/>
      <c r="AE92" s="609"/>
      <c r="AF92" s="609"/>
      <c r="AG92" s="609"/>
      <c r="AH92" s="609" t="s">
        <v>20</v>
      </c>
      <c r="AI92" s="609" t="s">
        <v>20</v>
      </c>
      <c r="AJ92" s="609" t="s">
        <v>20</v>
      </c>
      <c r="AK92" s="609" t="s">
        <v>20</v>
      </c>
      <c r="AL92" s="609" t="s">
        <v>20</v>
      </c>
      <c r="AM92" s="609" t="s">
        <v>20</v>
      </c>
      <c r="AN92" s="609" t="s">
        <v>20</v>
      </c>
      <c r="AO92" s="609" t="s">
        <v>20</v>
      </c>
      <c r="AP92" s="609" t="s">
        <v>20</v>
      </c>
      <c r="AQ92" s="609" t="s">
        <v>20</v>
      </c>
      <c r="AR92" s="609" t="s">
        <v>20</v>
      </c>
      <c r="AS92" s="609" t="s">
        <v>20</v>
      </c>
      <c r="AT92" s="609" t="s">
        <v>20</v>
      </c>
      <c r="AU92" s="609" t="s">
        <v>20</v>
      </c>
      <c r="AV92" s="609" t="s">
        <v>20</v>
      </c>
      <c r="AW92" s="609" t="s">
        <v>20</v>
      </c>
      <c r="AX92" s="609" t="s">
        <v>20</v>
      </c>
      <c r="AY92" s="612" t="s">
        <v>430</v>
      </c>
      <c r="AZ92" s="612" t="s">
        <v>433</v>
      </c>
      <c r="BA92" s="613" t="s">
        <v>555</v>
      </c>
      <c r="BB92" s="614">
        <v>8.5473524206368154E-2</v>
      </c>
      <c r="BC92" s="614">
        <v>-7.6745984933364788E-3</v>
      </c>
      <c r="BD92" s="613" t="s">
        <v>572</v>
      </c>
      <c r="BE92" s="613" t="s">
        <v>572</v>
      </c>
    </row>
    <row r="93" spans="1:57">
      <c r="A93" s="601" t="s">
        <v>90</v>
      </c>
      <c r="B93" s="603" t="s">
        <v>420</v>
      </c>
      <c r="C93" s="601">
        <v>3</v>
      </c>
      <c r="D93" s="601">
        <v>93</v>
      </c>
      <c r="E93" s="603" t="s">
        <v>187</v>
      </c>
      <c r="F93" s="601">
        <v>2015</v>
      </c>
      <c r="G93" s="601" t="s">
        <v>469</v>
      </c>
      <c r="H93" s="604">
        <v>-105.099</v>
      </c>
      <c r="I93" s="604">
        <v>29178.355</v>
      </c>
      <c r="J93" s="605">
        <v>-2.1369723321343362E-2</v>
      </c>
      <c r="K93" s="606">
        <v>551.35088169999995</v>
      </c>
      <c r="L93" s="604">
        <v>491812.63799999998</v>
      </c>
      <c r="M93" s="607">
        <v>126145</v>
      </c>
      <c r="N93" s="607">
        <v>1507162</v>
      </c>
      <c r="O93" s="608">
        <v>326.35490345430685</v>
      </c>
      <c r="P93" s="609">
        <v>490852.30699999997</v>
      </c>
      <c r="Q93" s="609">
        <v>491869.70899999997</v>
      </c>
      <c r="R93" s="609">
        <v>425057.58299999998</v>
      </c>
      <c r="S93" s="610">
        <v>86.416702476793503</v>
      </c>
      <c r="T93" s="609">
        <v>395745.48</v>
      </c>
      <c r="U93" s="607">
        <v>503518</v>
      </c>
      <c r="V93" s="607">
        <v>4009.0023501123305</v>
      </c>
      <c r="W93" s="607">
        <v>52010</v>
      </c>
      <c r="X93" s="607">
        <v>12099</v>
      </c>
      <c r="Y93" s="607">
        <v>414.10279717774199</v>
      </c>
      <c r="Z93" s="611">
        <v>4.2987023720968676</v>
      </c>
      <c r="AA93" s="609" t="s">
        <v>20</v>
      </c>
      <c r="AB93" s="609" t="s">
        <v>20</v>
      </c>
      <c r="AC93" s="609"/>
      <c r="AD93" s="609"/>
      <c r="AE93" s="609"/>
      <c r="AF93" s="609"/>
      <c r="AG93" s="609"/>
      <c r="AH93" s="609" t="s">
        <v>20</v>
      </c>
      <c r="AI93" s="609" t="s">
        <v>20</v>
      </c>
      <c r="AJ93" s="609" t="s">
        <v>20</v>
      </c>
      <c r="AK93" s="609" t="s">
        <v>20</v>
      </c>
      <c r="AL93" s="609" t="s">
        <v>20</v>
      </c>
      <c r="AM93" s="609" t="s">
        <v>20</v>
      </c>
      <c r="AN93" s="609" t="s">
        <v>20</v>
      </c>
      <c r="AO93" s="609" t="s">
        <v>20</v>
      </c>
      <c r="AP93" s="609" t="s">
        <v>20</v>
      </c>
      <c r="AQ93" s="609" t="s">
        <v>20</v>
      </c>
      <c r="AR93" s="609" t="s">
        <v>20</v>
      </c>
      <c r="AS93" s="609" t="s">
        <v>20</v>
      </c>
      <c r="AT93" s="609" t="s">
        <v>20</v>
      </c>
      <c r="AU93" s="609" t="s">
        <v>20</v>
      </c>
      <c r="AV93" s="609" t="s">
        <v>20</v>
      </c>
      <c r="AW93" s="609" t="s">
        <v>20</v>
      </c>
      <c r="AX93" s="609" t="s">
        <v>20</v>
      </c>
      <c r="AY93" s="612" t="s">
        <v>430</v>
      </c>
      <c r="AZ93" s="612" t="s">
        <v>433</v>
      </c>
      <c r="BA93" s="613" t="s">
        <v>555</v>
      </c>
      <c r="BB93" s="614">
        <v>5.932819278222777E-2</v>
      </c>
      <c r="BC93" s="614">
        <v>-2.1369723321343362E-4</v>
      </c>
      <c r="BD93" s="613" t="s">
        <v>572</v>
      </c>
      <c r="BE93" s="613" t="s">
        <v>572</v>
      </c>
    </row>
    <row r="94" spans="1:57">
      <c r="A94" s="601" t="s">
        <v>64</v>
      </c>
      <c r="B94" s="602" t="s">
        <v>426</v>
      </c>
      <c r="C94" s="601">
        <v>8</v>
      </c>
      <c r="D94" s="601">
        <v>94</v>
      </c>
      <c r="E94" s="603" t="s">
        <v>233</v>
      </c>
      <c r="F94" s="601">
        <v>2015</v>
      </c>
      <c r="G94" s="601" t="s">
        <v>567</v>
      </c>
      <c r="H94" s="604">
        <v>-102885.89</v>
      </c>
      <c r="I94" s="609">
        <v>523929.15600000002</v>
      </c>
      <c r="J94" s="605">
        <v>-1.7766724786105241</v>
      </c>
      <c r="K94" s="606">
        <v>365.98611039999997</v>
      </c>
      <c r="L94" s="609">
        <v>5790931.7130000005</v>
      </c>
      <c r="M94" s="607">
        <v>150045</v>
      </c>
      <c r="N94" s="607">
        <v>1499976</v>
      </c>
      <c r="O94" s="608">
        <v>705.84477418305346</v>
      </c>
      <c r="P94" s="609">
        <v>1061870.8910000001</v>
      </c>
      <c r="Q94" s="609">
        <v>1058750.2209999999</v>
      </c>
      <c r="R94" s="609">
        <v>880644.68</v>
      </c>
      <c r="S94" s="610">
        <v>83.177756427594659</v>
      </c>
      <c r="T94" s="609">
        <v>878820.40800000005</v>
      </c>
      <c r="U94" s="607">
        <v>1226634</v>
      </c>
      <c r="V94" s="607">
        <v>9813.2290116641871</v>
      </c>
      <c r="W94" s="607">
        <v>94730</v>
      </c>
      <c r="X94" s="607">
        <v>23474</v>
      </c>
      <c r="Y94" s="607">
        <v>757.85212563401012</v>
      </c>
      <c r="Z94" s="611">
        <v>4.0355286700178921</v>
      </c>
      <c r="AA94" s="609">
        <v>301161.87300000002</v>
      </c>
      <c r="AB94" s="609">
        <v>3120.6689999999944</v>
      </c>
      <c r="AC94" s="609"/>
      <c r="AD94" s="609"/>
      <c r="AE94" s="609"/>
      <c r="AF94" s="609"/>
      <c r="AG94" s="609"/>
      <c r="AH94" s="609">
        <v>737156.62600000005</v>
      </c>
      <c r="AI94" s="609">
        <v>-5543.0159999999996</v>
      </c>
      <c r="AJ94" s="609">
        <v>0</v>
      </c>
      <c r="AK94" s="609">
        <v>2723.752</v>
      </c>
      <c r="AL94" s="609">
        <v>146307.318</v>
      </c>
      <c r="AM94" s="609">
        <v>0</v>
      </c>
      <c r="AN94" s="609">
        <v>0</v>
      </c>
      <c r="AO94" s="609">
        <v>880644.68</v>
      </c>
      <c r="AP94" s="609">
        <v>615065.80200000003</v>
      </c>
      <c r="AQ94" s="609">
        <v>265578.87800000003</v>
      </c>
      <c r="AR94" s="609">
        <v>0.89108108018514109</v>
      </c>
      <c r="AS94" s="609">
        <v>17675.153999999999</v>
      </c>
      <c r="AT94" s="609">
        <v>16922.297999999999</v>
      </c>
      <c r="AU94" s="609">
        <v>5.6778384239784499E-2</v>
      </c>
      <c r="AV94" s="609">
        <v>294099.68199999997</v>
      </c>
      <c r="AW94" s="609">
        <v>3941.5219999999999</v>
      </c>
      <c r="AX94" s="609">
        <v>0</v>
      </c>
      <c r="AY94" s="612" t="s">
        <v>435</v>
      </c>
      <c r="AZ94" s="612" t="s">
        <v>433</v>
      </c>
      <c r="BA94" s="613" t="s">
        <v>555</v>
      </c>
      <c r="BB94" s="614">
        <v>9.0474069107711469E-2</v>
      </c>
      <c r="BC94" s="614">
        <v>7.7748366616341907E-2</v>
      </c>
      <c r="BD94" s="613" t="s">
        <v>576</v>
      </c>
      <c r="BE94" s="613" t="s">
        <v>576</v>
      </c>
    </row>
    <row r="95" spans="1:57">
      <c r="A95" s="601" t="s">
        <v>79</v>
      </c>
      <c r="B95" s="602" t="s">
        <v>221</v>
      </c>
      <c r="C95" s="601">
        <v>26</v>
      </c>
      <c r="D95" s="601">
        <v>95</v>
      </c>
      <c r="E95" s="603" t="s">
        <v>221</v>
      </c>
      <c r="F95" s="601">
        <v>2015</v>
      </c>
      <c r="G95" s="601" t="s">
        <v>567</v>
      </c>
      <c r="H95" s="604">
        <v>-122092.601</v>
      </c>
      <c r="I95" s="609">
        <v>132551.89499999999</v>
      </c>
      <c r="J95" s="605">
        <v>-9.3419726071821092</v>
      </c>
      <c r="K95" s="606">
        <v>478.73782940000001</v>
      </c>
      <c r="L95" s="609">
        <v>1306925.273</v>
      </c>
      <c r="M95" s="607">
        <v>125440</v>
      </c>
      <c r="N95" s="607">
        <v>1489626</v>
      </c>
      <c r="O95" s="608">
        <v>585.87853528335302</v>
      </c>
      <c r="P95" s="609">
        <v>872739.89899999998</v>
      </c>
      <c r="Q95" s="609">
        <v>872739.89899999998</v>
      </c>
      <c r="R95" s="609">
        <v>730805.06099999999</v>
      </c>
      <c r="S95" s="610">
        <v>83.736868434383325</v>
      </c>
      <c r="T95" s="609">
        <v>729904.90500000003</v>
      </c>
      <c r="U95" s="607">
        <v>626776</v>
      </c>
      <c r="V95" s="607">
        <v>5049.1277676410054</v>
      </c>
      <c r="W95" s="607">
        <v>596777</v>
      </c>
      <c r="X95" s="607">
        <v>38389</v>
      </c>
      <c r="Y95" s="607">
        <v>4807.4644239560803</v>
      </c>
      <c r="Z95" s="611">
        <v>15.54552085232749</v>
      </c>
      <c r="AA95" s="609">
        <v>867529.696</v>
      </c>
      <c r="AB95" s="609">
        <v>0</v>
      </c>
      <c r="AC95" s="609"/>
      <c r="AD95" s="609"/>
      <c r="AE95" s="609"/>
      <c r="AF95" s="609"/>
      <c r="AG95" s="609"/>
      <c r="AH95" s="609">
        <v>646256.16200000001</v>
      </c>
      <c r="AI95" s="609">
        <v>0</v>
      </c>
      <c r="AJ95" s="609">
        <v>0</v>
      </c>
      <c r="AK95" s="609">
        <v>0</v>
      </c>
      <c r="AL95" s="609">
        <v>84548.899000000005</v>
      </c>
      <c r="AM95" s="609">
        <v>0</v>
      </c>
      <c r="AN95" s="609">
        <v>0</v>
      </c>
      <c r="AO95" s="609">
        <v>730805.06099999999</v>
      </c>
      <c r="AP95" s="609">
        <v>4216.1719999999996</v>
      </c>
      <c r="AQ95" s="609">
        <v>726588.88899999997</v>
      </c>
      <c r="AR95" s="609">
        <v>0.83753777230929505</v>
      </c>
      <c r="AS95" s="609">
        <v>80957.308999999994</v>
      </c>
      <c r="AT95" s="609">
        <v>82854.366999999998</v>
      </c>
      <c r="AU95" s="609">
        <v>9.5506087436573461E-2</v>
      </c>
      <c r="AV95" s="609">
        <v>959965.56499999994</v>
      </c>
      <c r="AW95" s="609">
        <v>-92435.869000000006</v>
      </c>
      <c r="AX95" s="609">
        <v>0</v>
      </c>
      <c r="AY95" s="601" t="s">
        <v>430</v>
      </c>
      <c r="AZ95" s="609" t="s">
        <v>431</v>
      </c>
      <c r="BA95" s="613" t="s">
        <v>555</v>
      </c>
      <c r="BB95" s="614">
        <v>0.1014227039130798</v>
      </c>
      <c r="BC95" s="614">
        <v>6.1208611743086935E-2</v>
      </c>
      <c r="BD95" s="613" t="s">
        <v>575</v>
      </c>
      <c r="BE95" s="613" t="s">
        <v>575</v>
      </c>
    </row>
    <row r="96" spans="1:57">
      <c r="A96" s="601" t="s">
        <v>63</v>
      </c>
      <c r="B96" s="603" t="s">
        <v>419</v>
      </c>
      <c r="C96" s="601">
        <v>2</v>
      </c>
      <c r="D96" s="601">
        <v>96</v>
      </c>
      <c r="E96" s="603" t="s">
        <v>267</v>
      </c>
      <c r="F96" s="601">
        <v>2015</v>
      </c>
      <c r="G96" s="601" t="s">
        <v>469</v>
      </c>
      <c r="H96" s="604">
        <v>20790.661</v>
      </c>
      <c r="I96" s="604">
        <v>101452.36900000001</v>
      </c>
      <c r="J96" s="605">
        <v>1.8647125581102735</v>
      </c>
      <c r="K96" s="606">
        <v>352.17525810000001</v>
      </c>
      <c r="L96" s="604">
        <v>1114952.5919999999</v>
      </c>
      <c r="M96" s="607">
        <v>121224</v>
      </c>
      <c r="N96" s="607">
        <v>1485998</v>
      </c>
      <c r="O96" s="608">
        <v>728.98785731878513</v>
      </c>
      <c r="P96" s="609">
        <v>1083274.4979999999</v>
      </c>
      <c r="Q96" s="609">
        <v>1083274.4979999999</v>
      </c>
      <c r="R96" s="609">
        <v>979202.505</v>
      </c>
      <c r="S96" s="610">
        <v>90.392832731487431</v>
      </c>
      <c r="T96" s="609">
        <v>987602.37800000003</v>
      </c>
      <c r="U96" s="607">
        <v>665985</v>
      </c>
      <c r="V96" s="607">
        <v>5378.0826084557311</v>
      </c>
      <c r="W96" s="607">
        <v>58630</v>
      </c>
      <c r="X96" s="607">
        <v>15109</v>
      </c>
      <c r="Y96" s="607">
        <v>473.45958742878526</v>
      </c>
      <c r="Z96" s="611">
        <v>3.8804685948772253</v>
      </c>
      <c r="AA96" s="609">
        <v>1076247.139</v>
      </c>
      <c r="AB96" s="609">
        <v>0</v>
      </c>
      <c r="AC96" s="609"/>
      <c r="AD96" s="609"/>
      <c r="AE96" s="609"/>
      <c r="AF96" s="609"/>
      <c r="AG96" s="609"/>
      <c r="AH96" s="609">
        <v>703839.56599999999</v>
      </c>
      <c r="AI96" s="609">
        <v>120140.09699999999</v>
      </c>
      <c r="AJ96" s="609">
        <v>0</v>
      </c>
      <c r="AK96" s="609">
        <v>19552.395</v>
      </c>
      <c r="AL96" s="609">
        <v>134830.18400000001</v>
      </c>
      <c r="AM96" s="609">
        <v>0</v>
      </c>
      <c r="AN96" s="609">
        <v>840.26300000000003</v>
      </c>
      <c r="AO96" s="609">
        <v>979202.505</v>
      </c>
      <c r="AP96" s="609">
        <v>5184.12</v>
      </c>
      <c r="AQ96" s="609">
        <v>974018.38500000001</v>
      </c>
      <c r="AR96" s="609">
        <v>0.90501368106308155</v>
      </c>
      <c r="AS96" s="609">
        <v>20384.636999999999</v>
      </c>
      <c r="AT96" s="609">
        <v>97463.638999999996</v>
      </c>
      <c r="AU96" s="609">
        <v>9.0558790326317418E-2</v>
      </c>
      <c r="AV96" s="609">
        <v>1056257.068</v>
      </c>
      <c r="AW96" s="609">
        <v>19990.071</v>
      </c>
      <c r="AX96" s="609">
        <v>0</v>
      </c>
      <c r="AY96" s="612" t="s">
        <v>430</v>
      </c>
      <c r="AZ96" s="612" t="s">
        <v>433</v>
      </c>
      <c r="BA96" s="613" t="s">
        <v>555</v>
      </c>
      <c r="BB96" s="614">
        <v>9.0992540604811656E-2</v>
      </c>
      <c r="BC96" s="614">
        <v>1.8647125581102736E-2</v>
      </c>
      <c r="BD96" s="613" t="s">
        <v>573</v>
      </c>
      <c r="BE96" s="613" t="s">
        <v>573</v>
      </c>
    </row>
    <row r="97" spans="1:57">
      <c r="A97" s="601" t="s">
        <v>63</v>
      </c>
      <c r="B97" s="602" t="s">
        <v>418</v>
      </c>
      <c r="C97" s="601">
        <v>1</v>
      </c>
      <c r="D97" s="601">
        <v>97</v>
      </c>
      <c r="E97" s="603" t="s">
        <v>284</v>
      </c>
      <c r="F97" s="601">
        <v>2015</v>
      </c>
      <c r="G97" s="601" t="s">
        <v>567</v>
      </c>
      <c r="H97" s="604">
        <v>13966.672</v>
      </c>
      <c r="I97" s="604">
        <v>85885.732000000004</v>
      </c>
      <c r="J97" s="605">
        <v>1.3622960005516653</v>
      </c>
      <c r="K97" s="606">
        <v>441.61805459999999</v>
      </c>
      <c r="L97" s="604">
        <v>1025230.346</v>
      </c>
      <c r="M97" s="607">
        <v>111669</v>
      </c>
      <c r="N97" s="607">
        <v>1375495</v>
      </c>
      <c r="O97" s="608">
        <v>625.46782503753195</v>
      </c>
      <c r="P97" s="609">
        <v>860327.86600000004</v>
      </c>
      <c r="Q97" s="609">
        <v>860327.86600000004</v>
      </c>
      <c r="R97" s="609">
        <v>715119.55700000003</v>
      </c>
      <c r="S97" s="610">
        <v>83.121747564085055</v>
      </c>
      <c r="T97" s="609">
        <v>723313.15500000003</v>
      </c>
      <c r="U97" s="607">
        <v>1106081</v>
      </c>
      <c r="V97" s="607">
        <v>9649.5966906459125</v>
      </c>
      <c r="W97" s="607">
        <v>76994</v>
      </c>
      <c r="X97" s="607">
        <v>15940</v>
      </c>
      <c r="Y97" s="607">
        <v>671.70582226761996</v>
      </c>
      <c r="Z97" s="611">
        <v>4.8302383939774156</v>
      </c>
      <c r="AA97" s="609">
        <v>342153.44199999998</v>
      </c>
      <c r="AB97" s="609">
        <v>0</v>
      </c>
      <c r="AC97" s="609"/>
      <c r="AD97" s="609"/>
      <c r="AE97" s="609"/>
      <c r="AF97" s="609"/>
      <c r="AG97" s="609"/>
      <c r="AH97" s="609">
        <v>596831.11499999999</v>
      </c>
      <c r="AI97" s="609">
        <v>20571.645</v>
      </c>
      <c r="AJ97" s="609">
        <v>0</v>
      </c>
      <c r="AK97" s="609">
        <v>0</v>
      </c>
      <c r="AL97" s="609">
        <v>97393.615999999995</v>
      </c>
      <c r="AM97" s="609">
        <v>0</v>
      </c>
      <c r="AN97" s="609">
        <v>323.18099999999998</v>
      </c>
      <c r="AO97" s="609">
        <v>715119.55700000003</v>
      </c>
      <c r="AP97" s="609">
        <v>429044.44699999999</v>
      </c>
      <c r="AQ97" s="609">
        <v>286075.11</v>
      </c>
      <c r="AR97" s="609">
        <v>0.83610180370478338</v>
      </c>
      <c r="AS97" s="609">
        <v>15267.32</v>
      </c>
      <c r="AT97" s="609">
        <v>27487.845000000001</v>
      </c>
      <c r="AU97" s="609">
        <v>8.0337771379193096E-2</v>
      </c>
      <c r="AV97" s="609">
        <v>328830.27500000002</v>
      </c>
      <c r="AW97" s="609">
        <v>13323.166999999999</v>
      </c>
      <c r="AX97" s="609">
        <v>0</v>
      </c>
      <c r="AY97" s="612" t="s">
        <v>430</v>
      </c>
      <c r="AZ97" s="612" t="s">
        <v>433</v>
      </c>
      <c r="BA97" s="613" t="s">
        <v>555</v>
      </c>
      <c r="BB97" s="614">
        <v>8.3772132121418888E-2</v>
      </c>
      <c r="BC97" s="614">
        <v>8.5010392237730534E-2</v>
      </c>
      <c r="BD97" s="613" t="s">
        <v>576</v>
      </c>
      <c r="BE97" s="613" t="s">
        <v>576</v>
      </c>
    </row>
    <row r="98" spans="1:57">
      <c r="A98" s="601" t="s">
        <v>63</v>
      </c>
      <c r="B98" s="603" t="s">
        <v>420</v>
      </c>
      <c r="C98" s="601">
        <v>3</v>
      </c>
      <c r="D98" s="601">
        <v>98</v>
      </c>
      <c r="E98" s="603" t="s">
        <v>188</v>
      </c>
      <c r="F98" s="601">
        <v>2015</v>
      </c>
      <c r="G98" s="601" t="s">
        <v>469</v>
      </c>
      <c r="H98" s="604">
        <v>87160.051000000007</v>
      </c>
      <c r="I98" s="604">
        <v>61585.235999999997</v>
      </c>
      <c r="J98" s="605">
        <v>8.6736868238393132</v>
      </c>
      <c r="K98" s="606">
        <v>526.67973959999995</v>
      </c>
      <c r="L98" s="604">
        <v>1004878.926</v>
      </c>
      <c r="M98" s="607">
        <v>112370</v>
      </c>
      <c r="N98" s="607">
        <v>1345048</v>
      </c>
      <c r="O98" s="608">
        <v>721.53497496000148</v>
      </c>
      <c r="P98" s="609">
        <v>932747.52500000002</v>
      </c>
      <c r="Q98" s="609">
        <v>970499.17500000005</v>
      </c>
      <c r="R98" s="609">
        <v>820596.04700000002</v>
      </c>
      <c r="S98" s="610">
        <v>84.554017987702053</v>
      </c>
      <c r="T98" s="609">
        <v>830717.73</v>
      </c>
      <c r="U98" s="607">
        <v>727229</v>
      </c>
      <c r="V98" s="607">
        <v>6488.0569317972295</v>
      </c>
      <c r="W98" s="607">
        <v>100418</v>
      </c>
      <c r="X98" s="607">
        <v>15932</v>
      </c>
      <c r="Y98" s="607">
        <v>895.89070427226386</v>
      </c>
      <c r="Z98" s="611">
        <v>6.3029123776048204</v>
      </c>
      <c r="AA98" s="609" t="s">
        <v>20</v>
      </c>
      <c r="AB98" s="609" t="s">
        <v>20</v>
      </c>
      <c r="AC98" s="609"/>
      <c r="AD98" s="609"/>
      <c r="AE98" s="609"/>
      <c r="AF98" s="609"/>
      <c r="AG98" s="609"/>
      <c r="AH98" s="609" t="s">
        <v>20</v>
      </c>
      <c r="AI98" s="609" t="s">
        <v>20</v>
      </c>
      <c r="AJ98" s="609" t="s">
        <v>20</v>
      </c>
      <c r="AK98" s="609" t="s">
        <v>20</v>
      </c>
      <c r="AL98" s="609" t="s">
        <v>20</v>
      </c>
      <c r="AM98" s="609" t="s">
        <v>20</v>
      </c>
      <c r="AN98" s="609" t="s">
        <v>20</v>
      </c>
      <c r="AO98" s="609" t="s">
        <v>20</v>
      </c>
      <c r="AP98" s="609" t="s">
        <v>20</v>
      </c>
      <c r="AQ98" s="609" t="s">
        <v>20</v>
      </c>
      <c r="AR98" s="609" t="s">
        <v>20</v>
      </c>
      <c r="AS98" s="609" t="s">
        <v>20</v>
      </c>
      <c r="AT98" s="609" t="s">
        <v>20</v>
      </c>
      <c r="AU98" s="609" t="s">
        <v>20</v>
      </c>
      <c r="AV98" s="609" t="s">
        <v>20</v>
      </c>
      <c r="AW98" s="609" t="s">
        <v>20</v>
      </c>
      <c r="AX98" s="609" t="s">
        <v>20</v>
      </c>
      <c r="AY98" s="612" t="s">
        <v>430</v>
      </c>
      <c r="AZ98" s="612" t="s">
        <v>433</v>
      </c>
      <c r="BA98" s="613" t="s">
        <v>555</v>
      </c>
      <c r="BB98" s="614">
        <v>6.1286225043194906E-2</v>
      </c>
      <c r="BC98" s="614">
        <v>8.6736868238393133E-2</v>
      </c>
      <c r="BD98" s="613" t="s">
        <v>576</v>
      </c>
      <c r="BE98" s="613" t="s">
        <v>576</v>
      </c>
    </row>
    <row r="99" spans="1:57">
      <c r="A99" s="601" t="s">
        <v>90</v>
      </c>
      <c r="B99" s="602" t="s">
        <v>205</v>
      </c>
      <c r="C99" s="601">
        <v>56</v>
      </c>
      <c r="D99" s="601">
        <v>99</v>
      </c>
      <c r="E99" s="603" t="s">
        <v>205</v>
      </c>
      <c r="F99" s="601">
        <v>2015</v>
      </c>
      <c r="G99" s="601" t="s">
        <v>567</v>
      </c>
      <c r="H99" s="604">
        <v>14584.007</v>
      </c>
      <c r="I99" s="609">
        <v>21468.6</v>
      </c>
      <c r="J99" s="605">
        <v>4.1065425740528605</v>
      </c>
      <c r="K99" s="606">
        <v>623.21640760000003</v>
      </c>
      <c r="L99" s="609">
        <v>355140.772</v>
      </c>
      <c r="M99" s="617">
        <v>111871</v>
      </c>
      <c r="N99" s="617">
        <v>1321303</v>
      </c>
      <c r="O99" s="608">
        <v>228.75722147001861</v>
      </c>
      <c r="P99" s="609">
        <v>306633.00900000002</v>
      </c>
      <c r="Q99" s="609">
        <v>302257.603</v>
      </c>
      <c r="R99" s="609">
        <v>264381.59700000001</v>
      </c>
      <c r="S99" s="618">
        <v>87.468965007308682</v>
      </c>
      <c r="T99" s="609">
        <v>266443.565</v>
      </c>
      <c r="U99" s="617">
        <v>463570</v>
      </c>
      <c r="V99" s="617">
        <v>4210.1168316427038</v>
      </c>
      <c r="W99" s="617">
        <v>0</v>
      </c>
      <c r="X99" s="617">
        <v>0</v>
      </c>
      <c r="Y99" s="617">
        <v>0</v>
      </c>
      <c r="Z99" s="609" t="s">
        <v>434</v>
      </c>
      <c r="AA99" s="609">
        <v>305833.83399999997</v>
      </c>
      <c r="AB99" s="609">
        <v>4375.405999999959</v>
      </c>
      <c r="AC99" s="609"/>
      <c r="AD99" s="609"/>
      <c r="AE99" s="609"/>
      <c r="AF99" s="609"/>
      <c r="AG99" s="609"/>
      <c r="AH99" s="609">
        <v>185972.70300000001</v>
      </c>
      <c r="AI99" s="609">
        <v>2131.4259999999999</v>
      </c>
      <c r="AJ99" s="609">
        <v>0</v>
      </c>
      <c r="AK99" s="609">
        <v>0</v>
      </c>
      <c r="AL99" s="609">
        <v>49278.790999999997</v>
      </c>
      <c r="AM99" s="609">
        <v>26998.677</v>
      </c>
      <c r="AN99" s="609">
        <v>0</v>
      </c>
      <c r="AO99" s="609">
        <v>264381.59700000001</v>
      </c>
      <c r="AP99" s="609">
        <v>662.88400000000001</v>
      </c>
      <c r="AQ99" s="609">
        <v>263718.71299999999</v>
      </c>
      <c r="AR99" s="609">
        <v>0.87480955417176121</v>
      </c>
      <c r="AS99" s="609">
        <v>10106.118</v>
      </c>
      <c r="AT99" s="609">
        <v>17827.513999999999</v>
      </c>
      <c r="AU99" s="609">
        <v>5.9137553785691466E-2</v>
      </c>
      <c r="AV99" s="609">
        <v>291652.34499999997</v>
      </c>
      <c r="AW99" s="609">
        <v>9806.0830000000005</v>
      </c>
      <c r="AX99" s="609">
        <v>0</v>
      </c>
      <c r="AY99" s="609" t="s">
        <v>435</v>
      </c>
      <c r="AZ99" s="609" t="s">
        <v>431</v>
      </c>
      <c r="BA99" s="613" t="s">
        <v>555</v>
      </c>
      <c r="BB99" s="614">
        <v>6.0450958303373846E-2</v>
      </c>
      <c r="BC99" s="614">
        <v>6.4859391623539292E-2</v>
      </c>
      <c r="BD99" s="613" t="s">
        <v>575</v>
      </c>
      <c r="BE99" s="613" t="s">
        <v>575</v>
      </c>
    </row>
    <row r="100" spans="1:57">
      <c r="A100" s="601" t="s">
        <v>87</v>
      </c>
      <c r="B100" s="603" t="s">
        <v>421</v>
      </c>
      <c r="C100" s="601">
        <v>4</v>
      </c>
      <c r="D100" s="601">
        <v>100</v>
      </c>
      <c r="E100" s="603" t="s">
        <v>321</v>
      </c>
      <c r="F100" s="601">
        <v>2015</v>
      </c>
      <c r="G100" s="601" t="s">
        <v>469</v>
      </c>
      <c r="H100" s="604">
        <v>17330.867999999999</v>
      </c>
      <c r="I100" s="609">
        <v>48725.374000000003</v>
      </c>
      <c r="J100" s="605">
        <v>4.6929740568733909</v>
      </c>
      <c r="K100" s="606">
        <v>750.98105710000004</v>
      </c>
      <c r="L100" s="609">
        <v>369293.92300000001</v>
      </c>
      <c r="M100" s="607">
        <v>99443</v>
      </c>
      <c r="N100" s="607">
        <v>1300049</v>
      </c>
      <c r="O100" s="608">
        <v>282.92846269640609</v>
      </c>
      <c r="P100" s="609">
        <v>367820.86499999999</v>
      </c>
      <c r="Q100" s="609">
        <v>367820.86499999999</v>
      </c>
      <c r="R100" s="609">
        <v>277042.50799999997</v>
      </c>
      <c r="S100" s="610">
        <v>75.319954456634747</v>
      </c>
      <c r="T100" s="609">
        <v>292172.91200000001</v>
      </c>
      <c r="U100" s="607">
        <v>526008</v>
      </c>
      <c r="V100" s="607">
        <v>4855.2754550020809</v>
      </c>
      <c r="W100" s="607">
        <v>43196</v>
      </c>
      <c r="X100" s="607">
        <v>9209</v>
      </c>
      <c r="Y100" s="607">
        <v>398.71727911794096</v>
      </c>
      <c r="Z100" s="611">
        <v>4.6906287327614287</v>
      </c>
      <c r="AA100" s="609" t="s">
        <v>20</v>
      </c>
      <c r="AB100" s="609" t="s">
        <v>20</v>
      </c>
      <c r="AC100" s="609"/>
      <c r="AD100" s="609"/>
      <c r="AE100" s="609"/>
      <c r="AF100" s="609"/>
      <c r="AG100" s="609"/>
      <c r="AH100" s="609" t="s">
        <v>20</v>
      </c>
      <c r="AI100" s="609" t="s">
        <v>20</v>
      </c>
      <c r="AJ100" s="609" t="s">
        <v>20</v>
      </c>
      <c r="AK100" s="609" t="s">
        <v>20</v>
      </c>
      <c r="AL100" s="609" t="s">
        <v>20</v>
      </c>
      <c r="AM100" s="609" t="s">
        <v>20</v>
      </c>
      <c r="AN100" s="609" t="s">
        <v>20</v>
      </c>
      <c r="AO100" s="609" t="s">
        <v>20</v>
      </c>
      <c r="AP100" s="609" t="s">
        <v>20</v>
      </c>
      <c r="AQ100" s="609" t="s">
        <v>20</v>
      </c>
      <c r="AR100" s="609" t="s">
        <v>20</v>
      </c>
      <c r="AS100" s="609" t="s">
        <v>20</v>
      </c>
      <c r="AT100" s="609" t="s">
        <v>20</v>
      </c>
      <c r="AU100" s="609" t="s">
        <v>20</v>
      </c>
      <c r="AV100" s="609" t="s">
        <v>20</v>
      </c>
      <c r="AW100" s="609" t="s">
        <v>20</v>
      </c>
      <c r="AX100" s="609" t="s">
        <v>20</v>
      </c>
      <c r="AY100" s="612" t="s">
        <v>430</v>
      </c>
      <c r="AZ100" s="612" t="s">
        <v>433</v>
      </c>
      <c r="BA100" s="613" t="s">
        <v>551</v>
      </c>
      <c r="BB100" s="614">
        <v>0.13194198703345575</v>
      </c>
      <c r="BC100" s="652">
        <v>4.6929740568733912E-2</v>
      </c>
      <c r="BD100" s="613" t="s">
        <v>574</v>
      </c>
      <c r="BE100" s="613" t="s">
        <v>574</v>
      </c>
    </row>
    <row r="101" spans="1:57">
      <c r="A101" s="601" t="s">
        <v>69</v>
      </c>
      <c r="B101" s="602" t="s">
        <v>395</v>
      </c>
      <c r="C101" s="601">
        <v>49</v>
      </c>
      <c r="D101" s="601">
        <v>101</v>
      </c>
      <c r="E101" s="603" t="s">
        <v>395</v>
      </c>
      <c r="F101" s="601">
        <v>2015</v>
      </c>
      <c r="G101" s="601" t="s">
        <v>469</v>
      </c>
      <c r="H101" s="604">
        <v>15164.894</v>
      </c>
      <c r="I101" s="609">
        <v>41764.758999999998</v>
      </c>
      <c r="J101" s="605">
        <v>3.3547237827444016</v>
      </c>
      <c r="K101" s="606">
        <v>364.81256439999999</v>
      </c>
      <c r="L101" s="609">
        <v>452045.98</v>
      </c>
      <c r="M101" s="617">
        <v>110535</v>
      </c>
      <c r="N101" s="617">
        <v>1283404</v>
      </c>
      <c r="O101" s="608">
        <v>344.346354694235</v>
      </c>
      <c r="P101" s="609">
        <v>442308.93400000001</v>
      </c>
      <c r="Q101" s="609">
        <v>441935.489</v>
      </c>
      <c r="R101" s="609">
        <v>378877.49300000002</v>
      </c>
      <c r="S101" s="618">
        <v>85.731402530562562</v>
      </c>
      <c r="T101" s="609">
        <v>359341.28</v>
      </c>
      <c r="U101" s="617">
        <v>1316584</v>
      </c>
      <c r="V101" s="617">
        <v>12310.237462248831</v>
      </c>
      <c r="W101" s="617">
        <v>45461</v>
      </c>
      <c r="X101" s="617">
        <v>10351</v>
      </c>
      <c r="Y101" s="617">
        <v>425.06646387263868</v>
      </c>
      <c r="Z101" s="609">
        <v>4.391942807458217</v>
      </c>
      <c r="AA101" s="609">
        <v>441935.489</v>
      </c>
      <c r="AB101" s="609">
        <v>0</v>
      </c>
      <c r="AC101" s="609"/>
      <c r="AD101" s="609"/>
      <c r="AE101" s="609"/>
      <c r="AF101" s="609"/>
      <c r="AG101" s="609"/>
      <c r="AH101" s="609">
        <v>277115.598</v>
      </c>
      <c r="AI101" s="609">
        <v>11475.254999999999</v>
      </c>
      <c r="AJ101" s="609">
        <v>5163.9620000000004</v>
      </c>
      <c r="AK101" s="609">
        <v>17771.776999999998</v>
      </c>
      <c r="AL101" s="609">
        <v>62689.684999999998</v>
      </c>
      <c r="AM101" s="609">
        <v>0</v>
      </c>
      <c r="AN101" s="609">
        <v>4661.2169999999996</v>
      </c>
      <c r="AO101" s="609">
        <v>378877.49400000001</v>
      </c>
      <c r="AP101" s="609">
        <v>277.00099999999998</v>
      </c>
      <c r="AQ101" s="609">
        <v>378600.49300000002</v>
      </c>
      <c r="AR101" s="609">
        <v>0.8566872369917321</v>
      </c>
      <c r="AS101" s="609">
        <v>9066.7270000000008</v>
      </c>
      <c r="AT101" s="609">
        <v>41315.853000000003</v>
      </c>
      <c r="AU101" s="609">
        <v>9.3488425411338713E-2</v>
      </c>
      <c r="AV101" s="609">
        <v>428983.07299999997</v>
      </c>
      <c r="AW101" s="609">
        <v>12952.415999999999</v>
      </c>
      <c r="AX101" s="609">
        <v>0</v>
      </c>
      <c r="AY101" s="609" t="s">
        <v>435</v>
      </c>
      <c r="AZ101" s="609" t="s">
        <v>431</v>
      </c>
      <c r="BA101" s="613" t="s">
        <v>555</v>
      </c>
      <c r="BB101" s="614">
        <v>9.2390510806002524E-2</v>
      </c>
      <c r="BC101" s="614">
        <v>3.3547237827444017E-2</v>
      </c>
      <c r="BD101" s="613" t="s">
        <v>574</v>
      </c>
      <c r="BE101" s="613" t="s">
        <v>574</v>
      </c>
    </row>
    <row r="102" spans="1:57">
      <c r="A102" s="601" t="s">
        <v>87</v>
      </c>
      <c r="B102" s="603" t="s">
        <v>419</v>
      </c>
      <c r="C102" s="601">
        <v>2</v>
      </c>
      <c r="D102" s="601">
        <v>102</v>
      </c>
      <c r="E102" s="603" t="s">
        <v>178</v>
      </c>
      <c r="F102" s="601">
        <v>2015</v>
      </c>
      <c r="G102" s="601" t="s">
        <v>469</v>
      </c>
      <c r="H102" s="604">
        <v>-1437.3810000000001</v>
      </c>
      <c r="I102" s="604">
        <v>46162.849000000002</v>
      </c>
      <c r="J102" s="605">
        <v>-0.32992384112191053</v>
      </c>
      <c r="K102" s="606">
        <v>352.18975060000002</v>
      </c>
      <c r="L102" s="604">
        <v>435670.54599999997</v>
      </c>
      <c r="M102" s="607">
        <v>103464</v>
      </c>
      <c r="N102" s="607">
        <v>1281028</v>
      </c>
      <c r="O102" s="608">
        <v>336.98591834058271</v>
      </c>
      <c r="P102" s="609">
        <v>431688.397</v>
      </c>
      <c r="Q102" s="609">
        <v>431688.397</v>
      </c>
      <c r="R102" s="609">
        <v>373071.24099999998</v>
      </c>
      <c r="S102" s="610">
        <v>86.421419614852425</v>
      </c>
      <c r="T102" s="609">
        <v>371348.06900000002</v>
      </c>
      <c r="U102" s="607">
        <v>661812</v>
      </c>
      <c r="V102" s="607">
        <v>6199.5085197200997</v>
      </c>
      <c r="W102" s="607">
        <v>55853</v>
      </c>
      <c r="X102" s="607">
        <v>11845</v>
      </c>
      <c r="Y102" s="607">
        <v>523.20167865183271</v>
      </c>
      <c r="Z102" s="611">
        <v>4.7153229210637404</v>
      </c>
      <c r="AA102" s="609">
        <v>429126.34100000001</v>
      </c>
      <c r="AB102" s="609">
        <v>0</v>
      </c>
      <c r="AC102" s="609"/>
      <c r="AD102" s="609"/>
      <c r="AE102" s="609"/>
      <c r="AF102" s="609"/>
      <c r="AG102" s="609"/>
      <c r="AH102" s="609">
        <v>246217.94500000001</v>
      </c>
      <c r="AI102" s="609">
        <v>18311.319</v>
      </c>
      <c r="AJ102" s="609">
        <v>0</v>
      </c>
      <c r="AK102" s="609">
        <v>40079.197</v>
      </c>
      <c r="AL102" s="609">
        <v>67031.013999999996</v>
      </c>
      <c r="AM102" s="609">
        <v>0</v>
      </c>
      <c r="AN102" s="609">
        <v>1431.7670000000001</v>
      </c>
      <c r="AO102" s="609">
        <v>373071.24200000003</v>
      </c>
      <c r="AP102" s="609">
        <v>641.1</v>
      </c>
      <c r="AQ102" s="609">
        <v>372430.14199999999</v>
      </c>
      <c r="AR102" s="609">
        <v>0.86787993748442482</v>
      </c>
      <c r="AS102" s="609">
        <v>11897.581</v>
      </c>
      <c r="AT102" s="609">
        <v>45429.023999999998</v>
      </c>
      <c r="AU102" s="609">
        <v>0.10586398377255521</v>
      </c>
      <c r="AV102" s="609">
        <v>428555.81699999998</v>
      </c>
      <c r="AW102" s="609">
        <v>570.524</v>
      </c>
      <c r="AX102" s="609">
        <v>0</v>
      </c>
      <c r="AY102" s="612" t="s">
        <v>430</v>
      </c>
      <c r="AZ102" s="612" t="s">
        <v>433</v>
      </c>
      <c r="BA102" s="613" t="s">
        <v>555</v>
      </c>
      <c r="BB102" s="614">
        <v>0.10595815903515314</v>
      </c>
      <c r="BC102" s="614">
        <v>-3.2992384112191051E-3</v>
      </c>
      <c r="BD102" s="613" t="s">
        <v>572</v>
      </c>
      <c r="BE102" s="613" t="s">
        <v>572</v>
      </c>
    </row>
    <row r="103" spans="1:57">
      <c r="A103" s="601" t="s">
        <v>70</v>
      </c>
      <c r="B103" s="602" t="s">
        <v>327</v>
      </c>
      <c r="C103" s="601">
        <v>34</v>
      </c>
      <c r="D103" s="601">
        <v>103</v>
      </c>
      <c r="E103" s="603" t="s">
        <v>327</v>
      </c>
      <c r="F103" s="601">
        <v>2015</v>
      </c>
      <c r="G103" s="601" t="s">
        <v>567</v>
      </c>
      <c r="H103" s="604">
        <v>76815</v>
      </c>
      <c r="I103" s="609">
        <v>100700</v>
      </c>
      <c r="J103" s="605">
        <v>5.3904733567529863</v>
      </c>
      <c r="K103" s="606">
        <v>664.26974259999997</v>
      </c>
      <c r="L103" s="609">
        <v>1425014</v>
      </c>
      <c r="M103" s="620">
        <v>104292</v>
      </c>
      <c r="N103" s="620">
        <v>1262724</v>
      </c>
      <c r="O103" s="621">
        <v>553.97616581295676</v>
      </c>
      <c r="P103" s="604">
        <v>699519</v>
      </c>
      <c r="Q103" s="604">
        <v>699519</v>
      </c>
      <c r="R103" s="604">
        <v>516381</v>
      </c>
      <c r="S103" s="622">
        <v>73.819438785794233</v>
      </c>
      <c r="T103" s="604">
        <v>525013</v>
      </c>
      <c r="U103" s="620">
        <v>1097578</v>
      </c>
      <c r="V103" s="620">
        <v>10430.573902135384</v>
      </c>
      <c r="W103" s="620">
        <v>58812</v>
      </c>
      <c r="X103" s="620">
        <v>7971</v>
      </c>
      <c r="Y103" s="620">
        <v>558.90598420557467</v>
      </c>
      <c r="Z103" s="605">
        <v>7.3782461422657128</v>
      </c>
      <c r="AA103" s="609">
        <v>699519</v>
      </c>
      <c r="AB103" s="609">
        <v>0</v>
      </c>
      <c r="AC103" s="609"/>
      <c r="AD103" s="609"/>
      <c r="AE103" s="609"/>
      <c r="AF103" s="609"/>
      <c r="AG103" s="609"/>
      <c r="AH103" s="609">
        <v>477086</v>
      </c>
      <c r="AI103" s="609">
        <v>30439</v>
      </c>
      <c r="AJ103" s="609">
        <v>0</v>
      </c>
      <c r="AK103" s="609">
        <v>0</v>
      </c>
      <c r="AL103" s="609">
        <v>84908</v>
      </c>
      <c r="AM103" s="609">
        <v>0</v>
      </c>
      <c r="AN103" s="609">
        <v>0</v>
      </c>
      <c r="AO103" s="609">
        <v>592433</v>
      </c>
      <c r="AP103" s="609">
        <v>0</v>
      </c>
      <c r="AQ103" s="609">
        <v>592433</v>
      </c>
      <c r="AR103" s="609">
        <v>0.84691480860419799</v>
      </c>
      <c r="AS103" s="609">
        <v>13896</v>
      </c>
      <c r="AT103" s="609">
        <v>39492</v>
      </c>
      <c r="AU103" s="609">
        <v>5.6455936150411924E-2</v>
      </c>
      <c r="AV103" s="609">
        <v>645821</v>
      </c>
      <c r="AW103" s="609">
        <v>53698</v>
      </c>
      <c r="AX103" s="609">
        <v>0</v>
      </c>
      <c r="AY103" s="612" t="s">
        <v>435</v>
      </c>
      <c r="AZ103" s="612" t="s">
        <v>431</v>
      </c>
      <c r="BA103" s="613" t="s">
        <v>555</v>
      </c>
      <c r="BB103" s="614">
        <v>7.0665972404481636E-2</v>
      </c>
      <c r="BC103" s="614">
        <v>0.19113963973757603</v>
      </c>
      <c r="BD103" s="613" t="s">
        <v>582</v>
      </c>
      <c r="BE103" s="613" t="s">
        <v>582</v>
      </c>
    </row>
    <row r="104" spans="1:57">
      <c r="A104" s="601" t="s">
        <v>71</v>
      </c>
      <c r="B104" s="603" t="s">
        <v>422</v>
      </c>
      <c r="C104" s="601">
        <v>5</v>
      </c>
      <c r="D104" s="601">
        <v>104</v>
      </c>
      <c r="E104" s="603" t="s">
        <v>249</v>
      </c>
      <c r="F104" s="601">
        <v>2015</v>
      </c>
      <c r="G104" s="601" t="s">
        <v>469</v>
      </c>
      <c r="H104" s="604">
        <v>-725.048</v>
      </c>
      <c r="I104" s="604">
        <v>25995.527999999998</v>
      </c>
      <c r="J104" s="605">
        <v>-0.23472210622681963</v>
      </c>
      <c r="K104" s="606">
        <v>349.93520610000002</v>
      </c>
      <c r="L104" s="604">
        <v>308896.342</v>
      </c>
      <c r="M104" s="607">
        <v>110109</v>
      </c>
      <c r="N104" s="607">
        <v>1245177</v>
      </c>
      <c r="O104" s="608">
        <v>243.21322269845973</v>
      </c>
      <c r="P104" s="609">
        <v>302843.511</v>
      </c>
      <c r="Q104" s="609">
        <v>302843.511</v>
      </c>
      <c r="R104" s="609">
        <v>269752.65299999999</v>
      </c>
      <c r="S104" s="610">
        <v>89.073281481008848</v>
      </c>
      <c r="T104" s="609">
        <v>266772.94500000001</v>
      </c>
      <c r="U104" s="607">
        <v>387991</v>
      </c>
      <c r="V104" s="607">
        <v>3739.140700478727</v>
      </c>
      <c r="W104" s="607">
        <v>51367</v>
      </c>
      <c r="X104" s="607">
        <v>15364</v>
      </c>
      <c r="Y104" s="607">
        <v>495.03323623870341</v>
      </c>
      <c r="Z104" s="611">
        <v>3.3433350689924497</v>
      </c>
      <c r="AA104" s="609">
        <v>302745.37300000002</v>
      </c>
      <c r="AB104" s="609">
        <v>0</v>
      </c>
      <c r="AC104" s="609"/>
      <c r="AD104" s="609"/>
      <c r="AE104" s="609"/>
      <c r="AF104" s="609"/>
      <c r="AG104" s="609"/>
      <c r="AH104" s="609">
        <v>226542.59599999999</v>
      </c>
      <c r="AI104" s="609">
        <v>7415.7030000000004</v>
      </c>
      <c r="AJ104" s="609">
        <v>0</v>
      </c>
      <c r="AK104" s="609">
        <v>35789.788999999997</v>
      </c>
      <c r="AL104" s="609">
        <v>4.5650000000000004</v>
      </c>
      <c r="AM104" s="609">
        <v>0</v>
      </c>
      <c r="AN104" s="609">
        <v>0</v>
      </c>
      <c r="AO104" s="609">
        <v>269752.65299999999</v>
      </c>
      <c r="AP104" s="609">
        <v>0</v>
      </c>
      <c r="AQ104" s="609">
        <v>269752.65299999999</v>
      </c>
      <c r="AR104" s="609">
        <v>0.89102155493553969</v>
      </c>
      <c r="AS104" s="609">
        <v>6024.5469999999996</v>
      </c>
      <c r="AT104" s="609">
        <v>25610.118999999999</v>
      </c>
      <c r="AU104" s="609">
        <v>8.4592932820809777E-2</v>
      </c>
      <c r="AV104" s="609">
        <v>301387.31900000002</v>
      </c>
      <c r="AW104" s="609">
        <v>1358.0540000000001</v>
      </c>
      <c r="AX104" s="609">
        <v>0</v>
      </c>
      <c r="AY104" s="612" t="s">
        <v>430</v>
      </c>
      <c r="AZ104" s="612" t="s">
        <v>433</v>
      </c>
      <c r="BA104" s="613" t="s">
        <v>555</v>
      </c>
      <c r="BB104" s="614">
        <v>8.4156153587600591E-2</v>
      </c>
      <c r="BC104" s="614">
        <v>-2.3472210622681963E-3</v>
      </c>
      <c r="BD104" s="613" t="s">
        <v>572</v>
      </c>
      <c r="BE104" s="613" t="s">
        <v>572</v>
      </c>
    </row>
    <row r="105" spans="1:57">
      <c r="A105" s="601" t="s">
        <v>96</v>
      </c>
      <c r="B105" s="603" t="s">
        <v>420</v>
      </c>
      <c r="C105" s="601">
        <v>3</v>
      </c>
      <c r="D105" s="601">
        <v>105</v>
      </c>
      <c r="E105" s="603" t="s">
        <v>271</v>
      </c>
      <c r="F105" s="601">
        <v>2015</v>
      </c>
      <c r="G105" s="601" t="s">
        <v>469</v>
      </c>
      <c r="H105" s="604">
        <v>2005.5530000000001</v>
      </c>
      <c r="I105" s="604">
        <v>17911.508999999998</v>
      </c>
      <c r="J105" s="605">
        <v>0.63735113254986497</v>
      </c>
      <c r="K105" s="606">
        <v>548.71790899999996</v>
      </c>
      <c r="L105" s="604">
        <v>314670.03000000003</v>
      </c>
      <c r="M105" s="607">
        <v>126548</v>
      </c>
      <c r="N105" s="607">
        <v>1228936</v>
      </c>
      <c r="O105" s="608">
        <v>256.05078702226967</v>
      </c>
      <c r="P105" s="609">
        <v>311652.66800000001</v>
      </c>
      <c r="Q105" s="609">
        <v>314670.03000000003</v>
      </c>
      <c r="R105" s="609">
        <v>266529.70899999997</v>
      </c>
      <c r="S105" s="610">
        <v>84.701332694441845</v>
      </c>
      <c r="T105" s="609">
        <v>254914.84599999999</v>
      </c>
      <c r="U105" s="607">
        <v>645454</v>
      </c>
      <c r="V105" s="607">
        <v>6302.5641693302177</v>
      </c>
      <c r="W105" s="607">
        <v>39780</v>
      </c>
      <c r="X105" s="607">
        <v>11002</v>
      </c>
      <c r="Y105" s="607">
        <v>388.43357180520383</v>
      </c>
      <c r="Z105" s="611">
        <v>3.615706235229958</v>
      </c>
      <c r="AA105" s="609" t="s">
        <v>20</v>
      </c>
      <c r="AB105" s="609" t="s">
        <v>20</v>
      </c>
      <c r="AC105" s="609"/>
      <c r="AD105" s="609"/>
      <c r="AE105" s="609"/>
      <c r="AF105" s="609"/>
      <c r="AG105" s="609"/>
      <c r="AH105" s="609" t="s">
        <v>20</v>
      </c>
      <c r="AI105" s="609" t="s">
        <v>20</v>
      </c>
      <c r="AJ105" s="609" t="s">
        <v>20</v>
      </c>
      <c r="AK105" s="609" t="s">
        <v>20</v>
      </c>
      <c r="AL105" s="609" t="s">
        <v>20</v>
      </c>
      <c r="AM105" s="609" t="s">
        <v>20</v>
      </c>
      <c r="AN105" s="609" t="s">
        <v>20</v>
      </c>
      <c r="AO105" s="609" t="s">
        <v>20</v>
      </c>
      <c r="AP105" s="609" t="s">
        <v>20</v>
      </c>
      <c r="AQ105" s="609" t="s">
        <v>20</v>
      </c>
      <c r="AR105" s="609" t="s">
        <v>20</v>
      </c>
      <c r="AS105" s="609" t="s">
        <v>20</v>
      </c>
      <c r="AT105" s="609" t="s">
        <v>20</v>
      </c>
      <c r="AU105" s="609" t="s">
        <v>20</v>
      </c>
      <c r="AV105" s="609" t="s">
        <v>20</v>
      </c>
      <c r="AW105" s="609" t="s">
        <v>20</v>
      </c>
      <c r="AX105" s="609" t="s">
        <v>20</v>
      </c>
      <c r="AY105" s="612" t="s">
        <v>430</v>
      </c>
      <c r="AZ105" s="612" t="s">
        <v>433</v>
      </c>
      <c r="BA105" s="613" t="s">
        <v>555</v>
      </c>
      <c r="BB105" s="614">
        <v>5.6921560022732375E-2</v>
      </c>
      <c r="BC105" s="614">
        <v>6.3735113254986498E-3</v>
      </c>
      <c r="BD105" s="613" t="s">
        <v>573</v>
      </c>
      <c r="BE105" s="613" t="s">
        <v>573</v>
      </c>
    </row>
    <row r="106" spans="1:57">
      <c r="A106" s="601" t="s">
        <v>54</v>
      </c>
      <c r="B106" s="603" t="s">
        <v>423</v>
      </c>
      <c r="C106" s="601">
        <v>7</v>
      </c>
      <c r="D106" s="601">
        <v>106</v>
      </c>
      <c r="E106" s="603" t="s">
        <v>315</v>
      </c>
      <c r="F106" s="601">
        <v>2015</v>
      </c>
      <c r="G106" s="601" t="s">
        <v>469</v>
      </c>
      <c r="H106" s="604">
        <v>9525.0120000000006</v>
      </c>
      <c r="I106" s="604">
        <v>51536.309000000001</v>
      </c>
      <c r="J106" s="605">
        <v>1.9954881284632675</v>
      </c>
      <c r="K106" s="606">
        <v>373.15003050000001</v>
      </c>
      <c r="L106" s="604">
        <v>477327.42</v>
      </c>
      <c r="M106" s="607">
        <v>98258</v>
      </c>
      <c r="N106" s="607">
        <v>1198943</v>
      </c>
      <c r="O106" s="608">
        <v>380.31832956195581</v>
      </c>
      <c r="P106" s="609">
        <v>455979.99900000001</v>
      </c>
      <c r="Q106" s="609">
        <v>455979.99900000001</v>
      </c>
      <c r="R106" s="609">
        <v>367671.73599999998</v>
      </c>
      <c r="S106" s="610">
        <v>80.633303391888447</v>
      </c>
      <c r="T106" s="609">
        <v>348563.75599999999</v>
      </c>
      <c r="U106" s="607">
        <v>645196</v>
      </c>
      <c r="V106" s="607">
        <v>6457.6481117117328</v>
      </c>
      <c r="W106" s="607">
        <v>35218</v>
      </c>
      <c r="X106" s="607">
        <v>7550</v>
      </c>
      <c r="Y106" s="607">
        <v>352.49048536919605</v>
      </c>
      <c r="Z106" s="611">
        <v>4.6646357615894036</v>
      </c>
      <c r="AA106" s="609">
        <v>455979.99900000001</v>
      </c>
      <c r="AB106" s="609">
        <v>0</v>
      </c>
      <c r="AC106" s="609"/>
      <c r="AD106" s="609"/>
      <c r="AE106" s="609"/>
      <c r="AF106" s="609"/>
      <c r="AG106" s="609"/>
      <c r="AH106" s="609">
        <v>181558.69899999999</v>
      </c>
      <c r="AI106" s="609">
        <v>85103.967000000004</v>
      </c>
      <c r="AJ106" s="609">
        <v>0</v>
      </c>
      <c r="AK106" s="609">
        <v>52747.777000000002</v>
      </c>
      <c r="AL106" s="609">
        <v>39824.623</v>
      </c>
      <c r="AM106" s="609">
        <v>8436.6710000000003</v>
      </c>
      <c r="AN106" s="609">
        <v>0</v>
      </c>
      <c r="AO106" s="609">
        <v>367671.73700000002</v>
      </c>
      <c r="AP106" s="609">
        <v>0</v>
      </c>
      <c r="AQ106" s="609">
        <v>367671.73700000002</v>
      </c>
      <c r="AR106" s="609">
        <v>0.80633303611196339</v>
      </c>
      <c r="AS106" s="609">
        <v>20770.838</v>
      </c>
      <c r="AT106" s="609">
        <v>47447.972000000002</v>
      </c>
      <c r="AU106" s="609">
        <v>0.10405713431303376</v>
      </c>
      <c r="AV106" s="609">
        <v>435890.54700000002</v>
      </c>
      <c r="AW106" s="609">
        <v>20089.452000000001</v>
      </c>
      <c r="AX106" s="609">
        <v>0</v>
      </c>
      <c r="AY106" s="612" t="s">
        <v>430</v>
      </c>
      <c r="AZ106" s="612" t="s">
        <v>431</v>
      </c>
      <c r="BA106" s="613" t="s">
        <v>551</v>
      </c>
      <c r="BB106" s="614">
        <v>0.10796846533559711</v>
      </c>
      <c r="BC106" s="652">
        <v>1.9954881284632676E-2</v>
      </c>
      <c r="BD106" s="613" t="s">
        <v>573</v>
      </c>
      <c r="BE106" s="613" t="s">
        <v>573</v>
      </c>
    </row>
    <row r="107" spans="1:57">
      <c r="A107" s="601" t="s">
        <v>90</v>
      </c>
      <c r="B107" s="602" t="s">
        <v>148</v>
      </c>
      <c r="C107" s="601">
        <v>57</v>
      </c>
      <c r="D107" s="601">
        <v>107</v>
      </c>
      <c r="E107" s="603" t="s">
        <v>148</v>
      </c>
      <c r="F107" s="601">
        <v>2015</v>
      </c>
      <c r="G107" s="601" t="s">
        <v>567</v>
      </c>
      <c r="H107" s="604">
        <v>11284.575000000001</v>
      </c>
      <c r="I107" s="609">
        <v>19753.191999999999</v>
      </c>
      <c r="J107" s="605">
        <v>3.7977454145705032</v>
      </c>
      <c r="K107" s="606">
        <v>630.10910809999996</v>
      </c>
      <c r="L107" s="609">
        <v>297138.79599999997</v>
      </c>
      <c r="M107" s="617">
        <v>99099</v>
      </c>
      <c r="N107" s="617">
        <v>1195887</v>
      </c>
      <c r="O107" s="608">
        <v>219.43550184925499</v>
      </c>
      <c r="P107" s="609">
        <v>262006.38800000001</v>
      </c>
      <c r="Q107" s="609">
        <v>262420.06400000001</v>
      </c>
      <c r="R107" s="609">
        <v>223836.43799999999</v>
      </c>
      <c r="S107" s="618">
        <v>85.296998479506499</v>
      </c>
      <c r="T107" s="609">
        <v>222943.258</v>
      </c>
      <c r="U107" s="617">
        <v>2310316</v>
      </c>
      <c r="V107" s="617">
        <v>23182.618424650489</v>
      </c>
      <c r="W107" s="617">
        <v>42114</v>
      </c>
      <c r="X107" s="617">
        <v>11129</v>
      </c>
      <c r="Y107" s="617">
        <v>422.58842181577359</v>
      </c>
      <c r="Z107" s="609">
        <v>3.7841674903405518</v>
      </c>
      <c r="AA107" s="609">
        <v>260076.83900000001</v>
      </c>
      <c r="AB107" s="609">
        <v>0</v>
      </c>
      <c r="AC107" s="609"/>
      <c r="AD107" s="609"/>
      <c r="AE107" s="609"/>
      <c r="AF107" s="609"/>
      <c r="AG107" s="609"/>
      <c r="AH107" s="609">
        <v>144011.68100000001</v>
      </c>
      <c r="AI107" s="609">
        <v>26280.448</v>
      </c>
      <c r="AJ107" s="609">
        <v>0</v>
      </c>
      <c r="AK107" s="609">
        <v>14393.073</v>
      </c>
      <c r="AL107" s="609">
        <v>37958.784</v>
      </c>
      <c r="AM107" s="609">
        <v>0</v>
      </c>
      <c r="AN107" s="609">
        <v>1192.454</v>
      </c>
      <c r="AO107" s="609">
        <v>223836.43799999999</v>
      </c>
      <c r="AP107" s="609">
        <v>1146.4069999999999</v>
      </c>
      <c r="AQ107" s="609">
        <v>222690.03099999999</v>
      </c>
      <c r="AR107" s="609">
        <v>0.8562470685826814</v>
      </c>
      <c r="AS107" s="609">
        <v>9778.3089999999993</v>
      </c>
      <c r="AT107" s="609">
        <v>16963.659</v>
      </c>
      <c r="AU107" s="609">
        <v>6.5225565895162235E-2</v>
      </c>
      <c r="AV107" s="609">
        <v>249431.99900000001</v>
      </c>
      <c r="AW107" s="609">
        <v>10644.84</v>
      </c>
      <c r="AX107" s="609">
        <v>0</v>
      </c>
      <c r="AY107" s="609" t="s">
        <v>435</v>
      </c>
      <c r="AZ107" s="609" t="s">
        <v>431</v>
      </c>
      <c r="BA107" s="613" t="s">
        <v>551</v>
      </c>
      <c r="BB107" s="614">
        <v>6.647799703677873E-2</v>
      </c>
      <c r="BC107" s="614">
        <v>8.0552018168156242E-2</v>
      </c>
      <c r="BD107" s="613" t="s">
        <v>576</v>
      </c>
      <c r="BE107" s="613" t="s">
        <v>576</v>
      </c>
    </row>
    <row r="108" spans="1:57">
      <c r="A108" s="601" t="s">
        <v>81</v>
      </c>
      <c r="B108" s="602" t="s">
        <v>202</v>
      </c>
      <c r="C108" s="601">
        <v>46</v>
      </c>
      <c r="D108" s="601">
        <v>108</v>
      </c>
      <c r="E108" s="603" t="s">
        <v>202</v>
      </c>
      <c r="F108" s="601">
        <v>2015</v>
      </c>
      <c r="G108" s="601" t="s">
        <v>567</v>
      </c>
      <c r="H108" s="604">
        <v>85702.312999999995</v>
      </c>
      <c r="I108" s="609">
        <v>77325.737999999998</v>
      </c>
      <c r="J108" s="605">
        <v>5.6671019937132145</v>
      </c>
      <c r="K108" s="606">
        <v>512.71567059999995</v>
      </c>
      <c r="L108" s="609">
        <v>1512277.5819999999</v>
      </c>
      <c r="M108" s="617">
        <v>96422</v>
      </c>
      <c r="N108" s="617">
        <v>1172734</v>
      </c>
      <c r="O108" s="608">
        <v>419.91208918646515</v>
      </c>
      <c r="P108" s="609">
        <v>492445.18400000001</v>
      </c>
      <c r="Q108" s="609">
        <v>492445.18400000001</v>
      </c>
      <c r="R108" s="609">
        <v>435522.69500000001</v>
      </c>
      <c r="S108" s="618">
        <v>88.440847661939969</v>
      </c>
      <c r="T108" s="609">
        <v>424501.00699999998</v>
      </c>
      <c r="U108" s="617">
        <v>669923</v>
      </c>
      <c r="V108" s="617">
        <v>6854.9867233319746</v>
      </c>
      <c r="W108" s="617">
        <v>82820</v>
      </c>
      <c r="X108" s="617">
        <v>14522</v>
      </c>
      <c r="Y108" s="617">
        <v>847.4556037430483</v>
      </c>
      <c r="Z108" s="609">
        <v>5.7030712023137307</v>
      </c>
      <c r="AA108" s="609">
        <v>492445.18400000001</v>
      </c>
      <c r="AB108" s="609">
        <v>0</v>
      </c>
      <c r="AC108" s="609"/>
      <c r="AD108" s="609"/>
      <c r="AE108" s="609"/>
      <c r="AF108" s="609"/>
      <c r="AG108" s="609"/>
      <c r="AH108" s="609">
        <v>239327.587</v>
      </c>
      <c r="AI108" s="609">
        <v>48662.743000000002</v>
      </c>
      <c r="AJ108" s="609">
        <v>0</v>
      </c>
      <c r="AK108" s="609">
        <v>14386.003000000001</v>
      </c>
      <c r="AL108" s="609">
        <v>120809.147</v>
      </c>
      <c r="AM108" s="609">
        <v>10676.608</v>
      </c>
      <c r="AN108" s="609">
        <v>1660.607</v>
      </c>
      <c r="AO108" s="609">
        <v>435522.69500000001</v>
      </c>
      <c r="AP108" s="609">
        <v>5711.7780000000002</v>
      </c>
      <c r="AQ108" s="609">
        <v>429810.91700000002</v>
      </c>
      <c r="AR108" s="609">
        <v>0.87280966687248585</v>
      </c>
      <c r="AS108" s="609">
        <v>23728.81</v>
      </c>
      <c r="AT108" s="609">
        <v>18358.897000000001</v>
      </c>
      <c r="AU108" s="609">
        <v>3.7281097666293755E-2</v>
      </c>
      <c r="AV108" s="609">
        <v>471898.62400000001</v>
      </c>
      <c r="AW108" s="609">
        <v>20546.560000000001</v>
      </c>
      <c r="AX108" s="609">
        <v>0</v>
      </c>
      <c r="AY108" s="612" t="s">
        <v>430</v>
      </c>
      <c r="AZ108" s="604" t="s">
        <v>431</v>
      </c>
      <c r="BA108" s="613" t="s">
        <v>551</v>
      </c>
      <c r="BB108" s="614">
        <v>5.1131973997614946E-2</v>
      </c>
      <c r="BC108" s="614">
        <v>6.4459549382985357E-2</v>
      </c>
      <c r="BD108" s="613" t="s">
        <v>575</v>
      </c>
      <c r="BE108" s="613" t="s">
        <v>575</v>
      </c>
    </row>
    <row r="109" spans="1:57">
      <c r="A109" s="601" t="s">
        <v>61</v>
      </c>
      <c r="B109" s="603" t="s">
        <v>421</v>
      </c>
      <c r="C109" s="601">
        <v>4</v>
      </c>
      <c r="D109" s="601">
        <v>109</v>
      </c>
      <c r="E109" s="603" t="s">
        <v>251</v>
      </c>
      <c r="F109" s="601">
        <v>2015</v>
      </c>
      <c r="G109" s="601" t="s">
        <v>567</v>
      </c>
      <c r="H109" s="604">
        <v>-5929.6390000000001</v>
      </c>
      <c r="I109" s="609">
        <v>40349.794000000002</v>
      </c>
      <c r="J109" s="605">
        <v>-1.2686066694866822</v>
      </c>
      <c r="K109" s="606">
        <v>325.78400970000001</v>
      </c>
      <c r="L109" s="609">
        <v>467413.51299999998</v>
      </c>
      <c r="M109" s="607">
        <v>94587</v>
      </c>
      <c r="N109" s="607">
        <v>1157446</v>
      </c>
      <c r="O109" s="608">
        <v>356.05252772051568</v>
      </c>
      <c r="P109" s="609">
        <v>412948.18099999998</v>
      </c>
      <c r="Q109" s="609">
        <v>412111.57400000002</v>
      </c>
      <c r="R109" s="609">
        <v>364436.32799999998</v>
      </c>
      <c r="S109" s="610">
        <v>88.43147123065269</v>
      </c>
      <c r="T109" s="609">
        <v>356220.40100000001</v>
      </c>
      <c r="U109" s="607">
        <v>597698</v>
      </c>
      <c r="V109" s="607">
        <v>6196.7262403602417</v>
      </c>
      <c r="W109" s="607">
        <v>403376</v>
      </c>
      <c r="X109" s="607">
        <v>26402</v>
      </c>
      <c r="Y109" s="607">
        <v>4182.0629212939521</v>
      </c>
      <c r="Z109" s="611">
        <v>15.278236497235058</v>
      </c>
      <c r="AA109" s="609" t="s">
        <v>20</v>
      </c>
      <c r="AB109" s="609" t="s">
        <v>20</v>
      </c>
      <c r="AC109" s="609"/>
      <c r="AD109" s="609"/>
      <c r="AE109" s="609"/>
      <c r="AF109" s="609"/>
      <c r="AG109" s="609"/>
      <c r="AH109" s="609" t="s">
        <v>20</v>
      </c>
      <c r="AI109" s="609" t="s">
        <v>20</v>
      </c>
      <c r="AJ109" s="609" t="s">
        <v>20</v>
      </c>
      <c r="AK109" s="609" t="s">
        <v>20</v>
      </c>
      <c r="AL109" s="609" t="s">
        <v>20</v>
      </c>
      <c r="AM109" s="609" t="s">
        <v>20</v>
      </c>
      <c r="AN109" s="609" t="s">
        <v>20</v>
      </c>
      <c r="AO109" s="609" t="s">
        <v>20</v>
      </c>
      <c r="AP109" s="609" t="s">
        <v>20</v>
      </c>
      <c r="AQ109" s="609" t="s">
        <v>20</v>
      </c>
      <c r="AR109" s="609" t="s">
        <v>20</v>
      </c>
      <c r="AS109" s="609" t="s">
        <v>20</v>
      </c>
      <c r="AT109" s="609" t="s">
        <v>20</v>
      </c>
      <c r="AU109" s="609" t="s">
        <v>20</v>
      </c>
      <c r="AV109" s="609" t="s">
        <v>20</v>
      </c>
      <c r="AW109" s="609" t="s">
        <v>20</v>
      </c>
      <c r="AX109" s="609" t="s">
        <v>20</v>
      </c>
      <c r="AY109" s="612" t="s">
        <v>430</v>
      </c>
      <c r="AZ109" s="612" t="s">
        <v>433</v>
      </c>
      <c r="BA109" s="613" t="s">
        <v>551</v>
      </c>
      <c r="BB109" s="614">
        <v>8.6325689946409406E-2</v>
      </c>
      <c r="BC109" s="614">
        <v>2.9359597747063676E-2</v>
      </c>
      <c r="BD109" s="613" t="s">
        <v>574</v>
      </c>
      <c r="BE109" s="613" t="s">
        <v>574</v>
      </c>
    </row>
    <row r="110" spans="1:57">
      <c r="A110" s="601" t="s">
        <v>70</v>
      </c>
      <c r="B110" s="602" t="s">
        <v>394</v>
      </c>
      <c r="C110" s="601">
        <v>47</v>
      </c>
      <c r="D110" s="601">
        <v>110</v>
      </c>
      <c r="E110" s="603" t="s">
        <v>394</v>
      </c>
      <c r="F110" s="601">
        <v>2015</v>
      </c>
      <c r="G110" s="601" t="s">
        <v>567</v>
      </c>
      <c r="H110" s="604">
        <v>51955.392</v>
      </c>
      <c r="I110" s="609">
        <v>43187.499000000003</v>
      </c>
      <c r="J110" s="605">
        <v>5.8049158033733752</v>
      </c>
      <c r="K110" s="606">
        <v>1624.7237994</v>
      </c>
      <c r="L110" s="609">
        <v>895024.04099999997</v>
      </c>
      <c r="M110" s="617">
        <v>96316</v>
      </c>
      <c r="N110" s="617">
        <v>1140573</v>
      </c>
      <c r="O110" s="608">
        <v>463.02156284604325</v>
      </c>
      <c r="P110" s="609">
        <v>528109.89300000004</v>
      </c>
      <c r="Q110" s="609">
        <v>528109.89300000004</v>
      </c>
      <c r="R110" s="609">
        <v>439149.484</v>
      </c>
      <c r="S110" s="618">
        <v>83.154943662454727</v>
      </c>
      <c r="T110" s="609">
        <v>418367.95699999999</v>
      </c>
      <c r="U110" s="617">
        <v>540822</v>
      </c>
      <c r="V110" s="617">
        <v>5690.0031826108452</v>
      </c>
      <c r="W110" s="617">
        <v>59572</v>
      </c>
      <c r="X110" s="617">
        <v>12631</v>
      </c>
      <c r="Y110" s="617">
        <v>626.75865551788445</v>
      </c>
      <c r="Z110" s="609">
        <v>4.7163328319214628</v>
      </c>
      <c r="AA110" s="609">
        <v>528109.89300000004</v>
      </c>
      <c r="AB110" s="609">
        <v>0</v>
      </c>
      <c r="AC110" s="609"/>
      <c r="AD110" s="609"/>
      <c r="AE110" s="609"/>
      <c r="AF110" s="609"/>
      <c r="AG110" s="609"/>
      <c r="AH110" s="609">
        <v>325494.05499999999</v>
      </c>
      <c r="AI110" s="609">
        <v>17148.618999999999</v>
      </c>
      <c r="AJ110" s="609">
        <v>439.15</v>
      </c>
      <c r="AK110" s="609">
        <v>14296.002</v>
      </c>
      <c r="AL110" s="609">
        <v>74805.892000000007</v>
      </c>
      <c r="AM110" s="609">
        <v>0</v>
      </c>
      <c r="AN110" s="609">
        <v>6965.7659999999996</v>
      </c>
      <c r="AO110" s="609">
        <v>439149.484</v>
      </c>
      <c r="AP110" s="609">
        <v>0</v>
      </c>
      <c r="AQ110" s="609">
        <v>439149.484</v>
      </c>
      <c r="AR110" s="609">
        <v>0.83154943662454728</v>
      </c>
      <c r="AS110" s="609">
        <v>40326.813000000002</v>
      </c>
      <c r="AT110" s="609">
        <v>26884.865000000002</v>
      </c>
      <c r="AU110" s="609">
        <v>5.0907709467961054E-2</v>
      </c>
      <c r="AV110" s="609">
        <v>506361.16200000001</v>
      </c>
      <c r="AW110" s="609">
        <v>21748.731</v>
      </c>
      <c r="AX110" s="609">
        <v>0</v>
      </c>
      <c r="AY110" s="609" t="s">
        <v>430</v>
      </c>
      <c r="AZ110" s="609" t="s">
        <v>431</v>
      </c>
      <c r="BA110" s="613" t="s">
        <v>551</v>
      </c>
      <c r="BB110" s="614">
        <v>4.8252892684030158E-2</v>
      </c>
      <c r="BC110" s="614">
        <v>0.12019767069142256</v>
      </c>
      <c r="BD110" s="613" t="s">
        <v>581</v>
      </c>
      <c r="BE110" s="613" t="s">
        <v>581</v>
      </c>
    </row>
    <row r="111" spans="1:57">
      <c r="A111" s="601" t="s">
        <v>84</v>
      </c>
      <c r="B111" s="603" t="s">
        <v>419</v>
      </c>
      <c r="C111" s="601">
        <v>2</v>
      </c>
      <c r="D111" s="601">
        <v>111</v>
      </c>
      <c r="E111" s="603" t="s">
        <v>172</v>
      </c>
      <c r="F111" s="601">
        <v>2015</v>
      </c>
      <c r="G111" s="601" t="s">
        <v>567</v>
      </c>
      <c r="H111" s="604">
        <v>14122.023999999999</v>
      </c>
      <c r="I111" s="604">
        <v>33966.483999999997</v>
      </c>
      <c r="J111" s="605">
        <v>2.7008065579220237</v>
      </c>
      <c r="K111" s="606">
        <v>256.39712709999998</v>
      </c>
      <c r="L111" s="604">
        <v>522881.728</v>
      </c>
      <c r="M111" s="607">
        <v>95704</v>
      </c>
      <c r="N111" s="607">
        <v>1138973</v>
      </c>
      <c r="O111" s="608">
        <v>386.68552546899707</v>
      </c>
      <c r="P111" s="609">
        <v>440424.37300000002</v>
      </c>
      <c r="Q111" s="609">
        <v>440424.37300000002</v>
      </c>
      <c r="R111" s="609">
        <v>391252.57900000003</v>
      </c>
      <c r="S111" s="610">
        <v>88.835360390011843</v>
      </c>
      <c r="T111" s="609">
        <v>364439.00900000002</v>
      </c>
      <c r="U111" s="607">
        <v>771591</v>
      </c>
      <c r="V111" s="607">
        <v>8129.3340579627438</v>
      </c>
      <c r="W111" s="607">
        <v>40695</v>
      </c>
      <c r="X111" s="607">
        <v>8252</v>
      </c>
      <c r="Y111" s="607">
        <v>428.75467636195066</v>
      </c>
      <c r="Z111" s="611">
        <v>4.9315317498788174</v>
      </c>
      <c r="AA111" s="609">
        <v>437731.6</v>
      </c>
      <c r="AB111" s="609">
        <v>-30478.210000000021</v>
      </c>
      <c r="AC111" s="609"/>
      <c r="AD111" s="609"/>
      <c r="AE111" s="609"/>
      <c r="AF111" s="609"/>
      <c r="AG111" s="609"/>
      <c r="AH111" s="609">
        <v>254355.39199999999</v>
      </c>
      <c r="AI111" s="609">
        <v>42641.021000000001</v>
      </c>
      <c r="AJ111" s="609">
        <v>0</v>
      </c>
      <c r="AK111" s="609">
        <v>34312.078999999998</v>
      </c>
      <c r="AL111" s="609">
        <v>54346.048000000003</v>
      </c>
      <c r="AM111" s="609">
        <v>0</v>
      </c>
      <c r="AN111" s="609">
        <v>5598.0389999999998</v>
      </c>
      <c r="AO111" s="609">
        <v>391252.57900000003</v>
      </c>
      <c r="AP111" s="609">
        <v>6160.7790000000005</v>
      </c>
      <c r="AQ111" s="609">
        <v>385091.8</v>
      </c>
      <c r="AR111" s="609">
        <v>0.82247700021492498</v>
      </c>
      <c r="AS111" s="609">
        <v>19242.673999999999</v>
      </c>
      <c r="AT111" s="609">
        <v>27676.871999999999</v>
      </c>
      <c r="AU111" s="609">
        <v>5.9112114716263632E-2</v>
      </c>
      <c r="AV111" s="609">
        <v>432011.34600000002</v>
      </c>
      <c r="AW111" s="609">
        <v>36198.464</v>
      </c>
      <c r="AX111" s="609">
        <v>0</v>
      </c>
      <c r="AY111" s="612" t="s">
        <v>430</v>
      </c>
      <c r="AZ111" s="612" t="s">
        <v>433</v>
      </c>
      <c r="BA111" s="613" t="s">
        <v>551</v>
      </c>
      <c r="BB111" s="614">
        <v>6.4960166288312138E-2</v>
      </c>
      <c r="BC111" s="614">
        <v>4.6686229811569446E-2</v>
      </c>
      <c r="BD111" s="613" t="s">
        <v>574</v>
      </c>
      <c r="BE111" s="613" t="s">
        <v>574</v>
      </c>
    </row>
    <row r="112" spans="1:57">
      <c r="A112" s="601" t="s">
        <v>90</v>
      </c>
      <c r="B112" s="602" t="s">
        <v>396</v>
      </c>
      <c r="C112" s="601">
        <v>51</v>
      </c>
      <c r="D112" s="601">
        <v>112</v>
      </c>
      <c r="E112" s="603" t="s">
        <v>396</v>
      </c>
      <c r="F112" s="601">
        <v>2015</v>
      </c>
      <c r="G112" s="601" t="s">
        <v>567</v>
      </c>
      <c r="H112" s="604">
        <v>-1170.81</v>
      </c>
      <c r="I112" s="609">
        <v>60806.021000000001</v>
      </c>
      <c r="J112" s="605">
        <v>-0.2295531646999891</v>
      </c>
      <c r="K112" s="606">
        <v>392.91499729999998</v>
      </c>
      <c r="L112" s="609">
        <v>510038.71</v>
      </c>
      <c r="M112" s="617">
        <v>95530</v>
      </c>
      <c r="N112" s="617">
        <v>1131873</v>
      </c>
      <c r="O112" s="608">
        <v>240.1892323608744</v>
      </c>
      <c r="P112" s="609">
        <v>271996.75</v>
      </c>
      <c r="Q112" s="609">
        <v>271863.70699999999</v>
      </c>
      <c r="R112" s="609">
        <v>225115.611</v>
      </c>
      <c r="S112" s="618">
        <v>82.804583768880931</v>
      </c>
      <c r="T112" s="609">
        <v>227101.88200000001</v>
      </c>
      <c r="U112" s="617">
        <v>439339</v>
      </c>
      <c r="V112" s="617">
        <v>4657.826452260987</v>
      </c>
      <c r="W112" s="617">
        <v>57566</v>
      </c>
      <c r="X112" s="617">
        <v>18601</v>
      </c>
      <c r="Y112" s="617">
        <v>610.30875372060291</v>
      </c>
      <c r="Z112" s="609">
        <v>3.0947798505456694</v>
      </c>
      <c r="AA112" s="609">
        <v>269592.80499999999</v>
      </c>
      <c r="AB112" s="609">
        <v>133.04300000000512</v>
      </c>
      <c r="AC112" s="609"/>
      <c r="AD112" s="609"/>
      <c r="AE112" s="609"/>
      <c r="AF112" s="609"/>
      <c r="AG112" s="609"/>
      <c r="AH112" s="609">
        <v>163334.73800000001</v>
      </c>
      <c r="AI112" s="609">
        <v>0</v>
      </c>
      <c r="AJ112" s="609">
        <v>15525.924999999999</v>
      </c>
      <c r="AK112" s="609">
        <v>9547.2620000000006</v>
      </c>
      <c r="AL112" s="609">
        <v>36676.720000000001</v>
      </c>
      <c r="AM112" s="609">
        <v>0</v>
      </c>
      <c r="AN112" s="609">
        <v>0</v>
      </c>
      <c r="AO112" s="609">
        <v>225084.64499999999</v>
      </c>
      <c r="AP112" s="609">
        <v>2933.5050000000001</v>
      </c>
      <c r="AQ112" s="609">
        <v>222151.139</v>
      </c>
      <c r="AR112" s="609">
        <v>0.82443158618985202</v>
      </c>
      <c r="AS112" s="609">
        <v>8850.7080000000005</v>
      </c>
      <c r="AT112" s="609">
        <v>28793.447</v>
      </c>
      <c r="AU112" s="609">
        <v>0.10685620289384803</v>
      </c>
      <c r="AV112" s="609">
        <v>259795.29399999999</v>
      </c>
      <c r="AW112" s="609">
        <v>9664.4680000000008</v>
      </c>
      <c r="AX112" s="609">
        <v>0</v>
      </c>
      <c r="AY112" s="609" t="s">
        <v>435</v>
      </c>
      <c r="AZ112" s="609" t="s">
        <v>431</v>
      </c>
      <c r="BA112" s="613" t="s">
        <v>551</v>
      </c>
      <c r="BB112" s="614">
        <v>0.11921844324325892</v>
      </c>
      <c r="BC112" s="614">
        <v>5.273571906793173E-2</v>
      </c>
      <c r="BD112" s="613" t="s">
        <v>575</v>
      </c>
      <c r="BE112" s="613" t="s">
        <v>575</v>
      </c>
    </row>
    <row r="113" spans="1:57">
      <c r="A113" s="601" t="s">
        <v>61</v>
      </c>
      <c r="B113" s="603" t="s">
        <v>420</v>
      </c>
      <c r="C113" s="601">
        <v>3</v>
      </c>
      <c r="D113" s="601">
        <v>113</v>
      </c>
      <c r="E113" s="603" t="s">
        <v>317</v>
      </c>
      <c r="F113" s="601">
        <v>2015</v>
      </c>
      <c r="G113" s="601" t="s">
        <v>469</v>
      </c>
      <c r="H113" s="604">
        <v>-191.66800000000001</v>
      </c>
      <c r="I113" s="604">
        <v>23717.325000000001</v>
      </c>
      <c r="J113" s="605">
        <v>-7.1694824382392788E-2</v>
      </c>
      <c r="K113" s="606">
        <v>157.241637</v>
      </c>
      <c r="L113" s="604">
        <v>267338.68400000001</v>
      </c>
      <c r="M113" s="607">
        <v>95517</v>
      </c>
      <c r="N113" s="607">
        <v>1115606</v>
      </c>
      <c r="O113" s="608">
        <v>240.2728203326264</v>
      </c>
      <c r="P113" s="609">
        <v>268049.8</v>
      </c>
      <c r="Q113" s="609">
        <v>268049.8</v>
      </c>
      <c r="R113" s="609">
        <v>238295.29300000001</v>
      </c>
      <c r="S113" s="610">
        <v>88.899634694747022</v>
      </c>
      <c r="T113" s="609">
        <v>231603.36600000001</v>
      </c>
      <c r="U113" s="607">
        <v>577425</v>
      </c>
      <c r="V113" s="607">
        <v>6211.0637626545576</v>
      </c>
      <c r="W113" s="607">
        <v>39289</v>
      </c>
      <c r="X113" s="607">
        <v>8206</v>
      </c>
      <c r="Y113" s="607">
        <v>422.61156716618592</v>
      </c>
      <c r="Z113" s="611">
        <v>4.7878381671947352</v>
      </c>
      <c r="AA113" s="609" t="s">
        <v>20</v>
      </c>
      <c r="AB113" s="609" t="s">
        <v>20</v>
      </c>
      <c r="AC113" s="609"/>
      <c r="AD113" s="609"/>
      <c r="AE113" s="609"/>
      <c r="AF113" s="609"/>
      <c r="AG113" s="609"/>
      <c r="AH113" s="609" t="s">
        <v>20</v>
      </c>
      <c r="AI113" s="609" t="s">
        <v>20</v>
      </c>
      <c r="AJ113" s="609" t="s">
        <v>20</v>
      </c>
      <c r="AK113" s="609" t="s">
        <v>20</v>
      </c>
      <c r="AL113" s="609" t="s">
        <v>20</v>
      </c>
      <c r="AM113" s="609" t="s">
        <v>20</v>
      </c>
      <c r="AN113" s="609" t="s">
        <v>20</v>
      </c>
      <c r="AO113" s="609" t="s">
        <v>20</v>
      </c>
      <c r="AP113" s="609" t="s">
        <v>20</v>
      </c>
      <c r="AQ113" s="609" t="s">
        <v>20</v>
      </c>
      <c r="AR113" s="609" t="s">
        <v>20</v>
      </c>
      <c r="AS113" s="609" t="s">
        <v>20</v>
      </c>
      <c r="AT113" s="609" t="s">
        <v>20</v>
      </c>
      <c r="AU113" s="609" t="s">
        <v>20</v>
      </c>
      <c r="AV113" s="609" t="s">
        <v>20</v>
      </c>
      <c r="AW113" s="609" t="s">
        <v>20</v>
      </c>
      <c r="AX113" s="609" t="s">
        <v>20</v>
      </c>
      <c r="AY113" s="612" t="s">
        <v>430</v>
      </c>
      <c r="AZ113" s="612" t="s">
        <v>433</v>
      </c>
      <c r="BA113" s="613" t="s">
        <v>551</v>
      </c>
      <c r="BB113" s="614">
        <v>8.8716397661327606E-2</v>
      </c>
      <c r="BC113" s="652">
        <v>-7.1694824382392787E-4</v>
      </c>
      <c r="BD113" s="613" t="s">
        <v>572</v>
      </c>
      <c r="BE113" s="613" t="s">
        <v>572</v>
      </c>
    </row>
    <row r="114" spans="1:57" ht="10.9" customHeight="1">
      <c r="A114" s="601" t="s">
        <v>56</v>
      </c>
      <c r="B114" s="603" t="s">
        <v>420</v>
      </c>
      <c r="C114" s="601">
        <v>3</v>
      </c>
      <c r="D114" s="601">
        <v>114</v>
      </c>
      <c r="E114" s="603" t="s">
        <v>170</v>
      </c>
      <c r="F114" s="601">
        <v>2015</v>
      </c>
      <c r="G114" s="601" t="s">
        <v>567</v>
      </c>
      <c r="H114" s="604">
        <v>21810.919000000002</v>
      </c>
      <c r="I114" s="604">
        <v>85788.144</v>
      </c>
      <c r="J114" s="605">
        <v>2.2116016996021921</v>
      </c>
      <c r="K114" s="606">
        <v>130.84963730000001</v>
      </c>
      <c r="L114" s="604">
        <v>986204.65899999999</v>
      </c>
      <c r="M114" s="607">
        <v>91310</v>
      </c>
      <c r="N114" s="607">
        <v>1100918</v>
      </c>
      <c r="O114" s="608">
        <v>552.58132394964935</v>
      </c>
      <c r="P114" s="609">
        <v>607708.34</v>
      </c>
      <c r="Q114" s="609">
        <v>608346.72600000002</v>
      </c>
      <c r="R114" s="609">
        <v>523526.84700000001</v>
      </c>
      <c r="S114" s="610">
        <v>86.057313144806827</v>
      </c>
      <c r="T114" s="609">
        <v>523848.16100000002</v>
      </c>
      <c r="U114" s="607">
        <v>526426</v>
      </c>
      <c r="V114" s="607">
        <v>5738.0404353457752</v>
      </c>
      <c r="W114" s="607">
        <v>50774</v>
      </c>
      <c r="X114" s="607">
        <v>9034</v>
      </c>
      <c r="Y114" s="607">
        <v>553.43631405790438</v>
      </c>
      <c r="Z114" s="611">
        <v>5.6203232233783487</v>
      </c>
      <c r="AA114" s="609" t="s">
        <v>20</v>
      </c>
      <c r="AB114" s="609" t="s">
        <v>20</v>
      </c>
      <c r="AC114" s="609"/>
      <c r="AD114" s="609"/>
      <c r="AE114" s="609"/>
      <c r="AF114" s="609"/>
      <c r="AG114" s="609"/>
      <c r="AH114" s="609" t="s">
        <v>20</v>
      </c>
      <c r="AI114" s="609" t="s">
        <v>20</v>
      </c>
      <c r="AJ114" s="609" t="s">
        <v>20</v>
      </c>
      <c r="AK114" s="609" t="s">
        <v>20</v>
      </c>
      <c r="AL114" s="609" t="s">
        <v>20</v>
      </c>
      <c r="AM114" s="609" t="s">
        <v>20</v>
      </c>
      <c r="AN114" s="609" t="s">
        <v>20</v>
      </c>
      <c r="AO114" s="609" t="s">
        <v>20</v>
      </c>
      <c r="AP114" s="609" t="s">
        <v>20</v>
      </c>
      <c r="AQ114" s="609" t="s">
        <v>20</v>
      </c>
      <c r="AR114" s="609" t="s">
        <v>20</v>
      </c>
      <c r="AS114" s="609" t="s">
        <v>20</v>
      </c>
      <c r="AT114" s="609" t="s">
        <v>20</v>
      </c>
      <c r="AU114" s="609" t="s">
        <v>20</v>
      </c>
      <c r="AV114" s="609" t="s">
        <v>20</v>
      </c>
      <c r="AW114" s="609" t="s">
        <v>20</v>
      </c>
      <c r="AX114" s="609" t="s">
        <v>20</v>
      </c>
      <c r="AY114" s="612" t="s">
        <v>430</v>
      </c>
      <c r="AZ114" s="612" t="s">
        <v>433</v>
      </c>
      <c r="BA114" s="613" t="s">
        <v>551</v>
      </c>
      <c r="BB114" s="614">
        <v>8.6988175544605695E-2</v>
      </c>
      <c r="BC114" s="614">
        <v>5.2438693007326065E-2</v>
      </c>
      <c r="BD114" s="613" t="s">
        <v>575</v>
      </c>
      <c r="BE114" s="613" t="s">
        <v>575</v>
      </c>
    </row>
    <row r="115" spans="1:57">
      <c r="A115" s="601" t="s">
        <v>69</v>
      </c>
      <c r="B115" s="602" t="s">
        <v>318</v>
      </c>
      <c r="C115" s="601">
        <v>32</v>
      </c>
      <c r="D115" s="601">
        <v>115</v>
      </c>
      <c r="E115" s="603" t="s">
        <v>318</v>
      </c>
      <c r="F115" s="601">
        <v>2015</v>
      </c>
      <c r="G115" s="601" t="s">
        <v>567</v>
      </c>
      <c r="H115" s="604">
        <v>27483.353999999999</v>
      </c>
      <c r="I115" s="609">
        <v>49048.805999999997</v>
      </c>
      <c r="J115" s="605">
        <v>5.4756592389746963</v>
      </c>
      <c r="K115" s="606">
        <v>418.5532905</v>
      </c>
      <c r="L115" s="609">
        <v>501918.63299999997</v>
      </c>
      <c r="M115" s="607">
        <v>85471</v>
      </c>
      <c r="N115" s="607">
        <v>1094918</v>
      </c>
      <c r="O115" s="608">
        <v>408.10576225799559</v>
      </c>
      <c r="P115" s="609">
        <v>446842.34499999997</v>
      </c>
      <c r="Q115" s="609">
        <v>446842.34499999997</v>
      </c>
      <c r="R115" s="609">
        <v>355434.016</v>
      </c>
      <c r="S115" s="610">
        <v>79.543494473425525</v>
      </c>
      <c r="T115" s="609">
        <v>342979.69900000002</v>
      </c>
      <c r="U115" s="607">
        <v>652394</v>
      </c>
      <c r="V115" s="607">
        <v>7150.058725858923</v>
      </c>
      <c r="W115" s="607">
        <v>40032</v>
      </c>
      <c r="X115" s="607">
        <v>9090</v>
      </c>
      <c r="Y115" s="607">
        <v>438.73970470848047</v>
      </c>
      <c r="Z115" s="611">
        <v>4.4039603960396043</v>
      </c>
      <c r="AA115" s="609">
        <v>445129.886</v>
      </c>
      <c r="AB115" s="609">
        <v>923.92499999998836</v>
      </c>
      <c r="AC115" s="609"/>
      <c r="AD115" s="609"/>
      <c r="AE115" s="609"/>
      <c r="AF115" s="609"/>
      <c r="AG115" s="609"/>
      <c r="AH115" s="609">
        <v>233170.08300000001</v>
      </c>
      <c r="AI115" s="609">
        <v>37953.716999999997</v>
      </c>
      <c r="AJ115" s="609">
        <v>5952.0190000000002</v>
      </c>
      <c r="AK115" s="609">
        <v>23385.918000000001</v>
      </c>
      <c r="AL115" s="609">
        <v>50737.754000000001</v>
      </c>
      <c r="AM115" s="609">
        <v>0</v>
      </c>
      <c r="AN115" s="609">
        <v>4234.5259999999998</v>
      </c>
      <c r="AO115" s="609">
        <v>355434.016</v>
      </c>
      <c r="AP115" s="609">
        <v>1070.0060000000001</v>
      </c>
      <c r="AQ115" s="609">
        <v>354364.01</v>
      </c>
      <c r="AR115" s="609">
        <v>0.79774708381277215</v>
      </c>
      <c r="AS115" s="609">
        <v>4016.2510000000002</v>
      </c>
      <c r="AT115" s="609">
        <v>42276.650999999998</v>
      </c>
      <c r="AU115" s="609">
        <v>9.5173533702308868E-2</v>
      </c>
      <c r="AV115" s="609">
        <v>400656.913</v>
      </c>
      <c r="AW115" s="609">
        <v>43549.048000000003</v>
      </c>
      <c r="AX115" s="609">
        <v>0</v>
      </c>
      <c r="AY115" s="609" t="s">
        <v>435</v>
      </c>
      <c r="AZ115" s="609" t="s">
        <v>431</v>
      </c>
      <c r="BA115" s="613" t="s">
        <v>551</v>
      </c>
      <c r="BB115" s="614">
        <v>9.7722624296356822E-2</v>
      </c>
      <c r="BC115" s="614">
        <v>0.10684243096938793</v>
      </c>
      <c r="BD115" s="613" t="s">
        <v>581</v>
      </c>
      <c r="BE115" s="613" t="s">
        <v>581</v>
      </c>
    </row>
    <row r="116" spans="1:57">
      <c r="A116" s="601" t="s">
        <v>96</v>
      </c>
      <c r="B116" s="603" t="s">
        <v>424</v>
      </c>
      <c r="C116" s="601">
        <v>6</v>
      </c>
      <c r="D116" s="601">
        <v>116</v>
      </c>
      <c r="E116" s="603" t="s">
        <v>212</v>
      </c>
      <c r="F116" s="601">
        <v>2015</v>
      </c>
      <c r="G116" s="601" t="s">
        <v>567</v>
      </c>
      <c r="H116" s="604">
        <v>18554.403999999999</v>
      </c>
      <c r="I116" s="609">
        <v>18856.95</v>
      </c>
      <c r="J116" s="605">
        <v>5.4128135584917505</v>
      </c>
      <c r="K116" s="606">
        <v>564.33505700000001</v>
      </c>
      <c r="L116" s="609">
        <v>342786.68199999997</v>
      </c>
      <c r="M116" s="607">
        <v>121537</v>
      </c>
      <c r="N116" s="607">
        <v>1084029</v>
      </c>
      <c r="O116" s="608">
        <v>272.47846136957588</v>
      </c>
      <c r="P116" s="609">
        <v>295374.554</v>
      </c>
      <c r="Q116" s="609">
        <v>295374.554</v>
      </c>
      <c r="R116" s="609">
        <v>247904.538</v>
      </c>
      <c r="S116" s="610">
        <v>83.928874252316263</v>
      </c>
      <c r="T116" s="609">
        <v>232998.78599999999</v>
      </c>
      <c r="U116" s="607">
        <v>410723</v>
      </c>
      <c r="V116" s="607">
        <v>4546.6274426237678</v>
      </c>
      <c r="W116" s="607">
        <v>45762</v>
      </c>
      <c r="X116" s="607">
        <v>11595</v>
      </c>
      <c r="Y116" s="607">
        <v>506.57685357126053</v>
      </c>
      <c r="Z116" s="611">
        <v>3.9467011642949545</v>
      </c>
      <c r="AA116" s="609" t="s">
        <v>20</v>
      </c>
      <c r="AB116" s="609" t="s">
        <v>20</v>
      </c>
      <c r="AC116" s="609"/>
      <c r="AD116" s="609"/>
      <c r="AE116" s="609"/>
      <c r="AF116" s="609"/>
      <c r="AG116" s="609"/>
      <c r="AH116" s="609" t="s">
        <v>20</v>
      </c>
      <c r="AI116" s="609" t="s">
        <v>20</v>
      </c>
      <c r="AJ116" s="609" t="s">
        <v>20</v>
      </c>
      <c r="AK116" s="609" t="s">
        <v>20</v>
      </c>
      <c r="AL116" s="609" t="s">
        <v>20</v>
      </c>
      <c r="AM116" s="609" t="s">
        <v>20</v>
      </c>
      <c r="AN116" s="609" t="s">
        <v>20</v>
      </c>
      <c r="AO116" s="609" t="s">
        <v>20</v>
      </c>
      <c r="AP116" s="609" t="s">
        <v>20</v>
      </c>
      <c r="AQ116" s="609" t="s">
        <v>20</v>
      </c>
      <c r="AR116" s="609" t="s">
        <v>20</v>
      </c>
      <c r="AS116" s="609" t="s">
        <v>20</v>
      </c>
      <c r="AT116" s="609" t="s">
        <v>20</v>
      </c>
      <c r="AU116" s="609" t="s">
        <v>20</v>
      </c>
      <c r="AV116" s="609" t="s">
        <v>20</v>
      </c>
      <c r="AW116" s="609" t="s">
        <v>20</v>
      </c>
      <c r="AX116" s="609" t="s">
        <v>20</v>
      </c>
      <c r="AY116" s="612" t="s">
        <v>430</v>
      </c>
      <c r="AZ116" s="612" t="s">
        <v>433</v>
      </c>
      <c r="BA116" s="613" t="s">
        <v>555</v>
      </c>
      <c r="BB116" s="614">
        <v>5.5010742803595858E-2</v>
      </c>
      <c r="BC116" s="614">
        <v>0.10570051467324149</v>
      </c>
      <c r="BD116" s="613" t="s">
        <v>581</v>
      </c>
      <c r="BE116" s="613" t="s">
        <v>581</v>
      </c>
    </row>
    <row r="117" spans="1:57">
      <c r="A117" s="601" t="s">
        <v>91</v>
      </c>
      <c r="B117" s="602" t="s">
        <v>397</v>
      </c>
      <c r="C117" s="601">
        <v>54</v>
      </c>
      <c r="D117" s="601">
        <v>117</v>
      </c>
      <c r="E117" s="603" t="s">
        <v>397</v>
      </c>
      <c r="F117" s="601">
        <v>2015</v>
      </c>
      <c r="G117" s="601" t="s">
        <v>567</v>
      </c>
      <c r="H117" s="604">
        <v>-373979</v>
      </c>
      <c r="I117" s="609">
        <v>161548.28400000001</v>
      </c>
      <c r="J117" s="605">
        <v>-18.429796560645116</v>
      </c>
      <c r="K117" s="606">
        <v>356.92174290000003</v>
      </c>
      <c r="L117" s="609">
        <v>2029208.5090000001</v>
      </c>
      <c r="M117" s="617">
        <v>96293</v>
      </c>
      <c r="N117" s="617">
        <v>1074124</v>
      </c>
      <c r="O117" s="608">
        <v>267.87052332877767</v>
      </c>
      <c r="P117" s="609">
        <v>287726.158</v>
      </c>
      <c r="Q117" s="609">
        <v>287726.158</v>
      </c>
      <c r="R117" s="609">
        <v>261752.234</v>
      </c>
      <c r="S117" s="618">
        <v>90.972692861661884</v>
      </c>
      <c r="T117" s="609">
        <v>258094.745</v>
      </c>
      <c r="U117" s="617">
        <v>574666</v>
      </c>
      <c r="V117" s="617">
        <v>6420.1079205007991</v>
      </c>
      <c r="W117" s="617">
        <v>39145</v>
      </c>
      <c r="X117" s="617">
        <v>10780</v>
      </c>
      <c r="Y117" s="617">
        <v>437.32380991393916</v>
      </c>
      <c r="Z117" s="609">
        <v>3.63126159554731</v>
      </c>
      <c r="AA117" s="609">
        <v>287439.91899999999</v>
      </c>
      <c r="AB117" s="609">
        <v>-728.52199999999721</v>
      </c>
      <c r="AC117" s="609"/>
      <c r="AD117" s="609"/>
      <c r="AE117" s="609"/>
      <c r="AF117" s="609"/>
      <c r="AG117" s="609"/>
      <c r="AH117" s="609">
        <v>144344.397</v>
      </c>
      <c r="AI117" s="609">
        <v>14231.45</v>
      </c>
      <c r="AJ117" s="609">
        <v>0</v>
      </c>
      <c r="AK117" s="609">
        <v>25760.577000000001</v>
      </c>
      <c r="AL117" s="609">
        <v>39450.224999999999</v>
      </c>
      <c r="AM117" s="609">
        <v>8144.4830000000002</v>
      </c>
      <c r="AN117" s="609">
        <v>29821.101999999999</v>
      </c>
      <c r="AO117" s="609">
        <v>261752.234</v>
      </c>
      <c r="AP117" s="609">
        <v>402.94</v>
      </c>
      <c r="AQ117" s="609">
        <v>261349.29399999999</v>
      </c>
      <c r="AR117" s="609">
        <v>0.9069323937523055</v>
      </c>
      <c r="AS117" s="609">
        <v>13083.915000000001</v>
      </c>
      <c r="AT117" s="609">
        <v>6825.4520000000002</v>
      </c>
      <c r="AU117" s="609">
        <v>2.3685633223105095E-2</v>
      </c>
      <c r="AV117" s="609">
        <v>281258.66100000002</v>
      </c>
      <c r="AW117" s="609">
        <v>6909.78</v>
      </c>
      <c r="AX117" s="609">
        <v>0</v>
      </c>
      <c r="AY117" s="609" t="s">
        <v>435</v>
      </c>
      <c r="AZ117" s="609" t="s">
        <v>431</v>
      </c>
      <c r="BA117" s="613" t="s">
        <v>551</v>
      </c>
      <c r="BB117" s="614">
        <v>7.9611475747069227E-2</v>
      </c>
      <c r="BC117" s="614">
        <v>1.0661595636311916E-2</v>
      </c>
      <c r="BD117" s="613" t="s">
        <v>573</v>
      </c>
      <c r="BE117" s="613" t="s">
        <v>573</v>
      </c>
    </row>
    <row r="118" spans="1:57">
      <c r="A118" s="601" t="s">
        <v>69</v>
      </c>
      <c r="B118" s="602" t="s">
        <v>398</v>
      </c>
      <c r="C118" s="601">
        <v>55</v>
      </c>
      <c r="D118" s="601">
        <v>118</v>
      </c>
      <c r="E118" s="603" t="s">
        <v>398</v>
      </c>
      <c r="F118" s="601">
        <v>2015</v>
      </c>
      <c r="G118" s="601" t="s">
        <v>469</v>
      </c>
      <c r="H118" s="604">
        <v>-1158.5809999999999</v>
      </c>
      <c r="I118" s="609">
        <v>53119.267999999996</v>
      </c>
      <c r="J118" s="605">
        <v>-0.27687314048234879</v>
      </c>
      <c r="K118" s="606">
        <v>328.47108659999998</v>
      </c>
      <c r="L118" s="609">
        <v>418451.93</v>
      </c>
      <c r="M118" s="617">
        <v>88533</v>
      </c>
      <c r="N118" s="617">
        <v>1036110</v>
      </c>
      <c r="O118" s="608">
        <v>407.81775101099305</v>
      </c>
      <c r="P118" s="609">
        <v>422544.05</v>
      </c>
      <c r="Q118" s="609">
        <v>422544.05</v>
      </c>
      <c r="R118" s="609">
        <v>357394.26</v>
      </c>
      <c r="S118" s="618">
        <v>84.581538895175541</v>
      </c>
      <c r="T118" s="609">
        <v>353756.47700000001</v>
      </c>
      <c r="U118" s="617">
        <v>719272</v>
      </c>
      <c r="V118" s="617">
        <v>8330.4513999478822</v>
      </c>
      <c r="W118" s="617">
        <v>52469</v>
      </c>
      <c r="X118" s="617">
        <v>11603</v>
      </c>
      <c r="Y118" s="617">
        <v>607.68451226221157</v>
      </c>
      <c r="Z118" s="609">
        <v>4.5220201671981384</v>
      </c>
      <c r="AA118" s="609">
        <v>418451.93</v>
      </c>
      <c r="AB118" s="609">
        <v>0</v>
      </c>
      <c r="AC118" s="609"/>
      <c r="AD118" s="609"/>
      <c r="AE118" s="609"/>
      <c r="AF118" s="609"/>
      <c r="AG118" s="609"/>
      <c r="AH118" s="609">
        <v>186233.36199999999</v>
      </c>
      <c r="AI118" s="609">
        <v>16400.326000000001</v>
      </c>
      <c r="AJ118" s="609">
        <v>0</v>
      </c>
      <c r="AK118" s="609">
        <v>17002.722000000002</v>
      </c>
      <c r="AL118" s="609">
        <v>41357.394</v>
      </c>
      <c r="AM118" s="609">
        <v>93935.796000000002</v>
      </c>
      <c r="AN118" s="609">
        <v>2464.66</v>
      </c>
      <c r="AO118" s="609">
        <v>357394.26</v>
      </c>
      <c r="AP118" s="609">
        <v>-1345.5920000000001</v>
      </c>
      <c r="AQ118" s="609">
        <v>358739.85200000001</v>
      </c>
      <c r="AR118" s="609">
        <v>0.85730241942007535</v>
      </c>
      <c r="AS118" s="609">
        <v>11809.096</v>
      </c>
      <c r="AT118" s="609">
        <v>53119.267999999996</v>
      </c>
      <c r="AU118" s="609">
        <v>0.1269423419794001</v>
      </c>
      <c r="AV118" s="609">
        <v>420058.21600000001</v>
      </c>
      <c r="AW118" s="609">
        <v>-1606.2860000000001</v>
      </c>
      <c r="AX118" s="609">
        <v>0</v>
      </c>
      <c r="AY118" s="609" t="s">
        <v>430</v>
      </c>
      <c r="AZ118" s="609" t="s">
        <v>431</v>
      </c>
      <c r="BA118" s="613" t="s">
        <v>551</v>
      </c>
      <c r="BB118" s="614">
        <v>0.1269423419794001</v>
      </c>
      <c r="BC118" s="652">
        <v>-2.7687314048234881E-3</v>
      </c>
      <c r="BD118" s="613" t="s">
        <v>572</v>
      </c>
      <c r="BE118" s="613" t="s">
        <v>572</v>
      </c>
    </row>
    <row r="119" spans="1:57">
      <c r="A119" s="601" t="s">
        <v>76</v>
      </c>
      <c r="B119" s="603" t="s">
        <v>424</v>
      </c>
      <c r="C119" s="601">
        <v>6</v>
      </c>
      <c r="D119" s="601">
        <v>119</v>
      </c>
      <c r="E119" s="603" t="s">
        <v>211</v>
      </c>
      <c r="F119" s="601">
        <v>2015</v>
      </c>
      <c r="G119" s="601" t="s">
        <v>567</v>
      </c>
      <c r="H119" s="604">
        <v>-4188.7</v>
      </c>
      <c r="I119" s="609">
        <v>66277.998000000007</v>
      </c>
      <c r="J119" s="605">
        <v>-0.69420031821644057</v>
      </c>
      <c r="K119" s="606">
        <v>364.1670641</v>
      </c>
      <c r="L119" s="609">
        <v>603384.91500000004</v>
      </c>
      <c r="M119" s="607">
        <v>86956</v>
      </c>
      <c r="N119" s="607">
        <v>1028247</v>
      </c>
      <c r="O119" s="608">
        <v>269.56139526786853</v>
      </c>
      <c r="P119" s="609">
        <v>277175.696</v>
      </c>
      <c r="Q119" s="609">
        <v>277175.696</v>
      </c>
      <c r="R119" s="609">
        <v>240614.41</v>
      </c>
      <c r="S119" s="610">
        <v>86.809346372129255</v>
      </c>
      <c r="T119" s="609">
        <v>237052.85800000001</v>
      </c>
      <c r="U119" s="607">
        <v>457091</v>
      </c>
      <c r="V119" s="607">
        <v>5334.410895436602</v>
      </c>
      <c r="W119" s="607">
        <v>37227</v>
      </c>
      <c r="X119" s="607">
        <v>9917</v>
      </c>
      <c r="Y119" s="607">
        <v>434.45203341220542</v>
      </c>
      <c r="Z119" s="611">
        <v>3.75385701320964</v>
      </c>
      <c r="AA119" s="609" t="s">
        <v>20</v>
      </c>
      <c r="AB119" s="609" t="s">
        <v>20</v>
      </c>
      <c r="AC119" s="609"/>
      <c r="AD119" s="609"/>
      <c r="AE119" s="609"/>
      <c r="AF119" s="609"/>
      <c r="AG119" s="609"/>
      <c r="AH119" s="609" t="s">
        <v>20</v>
      </c>
      <c r="AI119" s="609" t="s">
        <v>20</v>
      </c>
      <c r="AJ119" s="609" t="s">
        <v>20</v>
      </c>
      <c r="AK119" s="609" t="s">
        <v>20</v>
      </c>
      <c r="AL119" s="609" t="s">
        <v>20</v>
      </c>
      <c r="AM119" s="609" t="s">
        <v>20</v>
      </c>
      <c r="AN119" s="609" t="s">
        <v>20</v>
      </c>
      <c r="AO119" s="609" t="s">
        <v>20</v>
      </c>
      <c r="AP119" s="609" t="s">
        <v>20</v>
      </c>
      <c r="AQ119" s="609" t="s">
        <v>20</v>
      </c>
      <c r="AR119" s="609" t="s">
        <v>20</v>
      </c>
      <c r="AS119" s="609" t="s">
        <v>20</v>
      </c>
      <c r="AT119" s="609" t="s">
        <v>20</v>
      </c>
      <c r="AU119" s="609" t="s">
        <v>20</v>
      </c>
      <c r="AV119" s="609" t="s">
        <v>20</v>
      </c>
      <c r="AW119" s="609" t="s">
        <v>20</v>
      </c>
      <c r="AX119" s="609" t="s">
        <v>20</v>
      </c>
      <c r="AY119" s="612" t="s">
        <v>430</v>
      </c>
      <c r="AZ119" s="612" t="s">
        <v>433</v>
      </c>
      <c r="BA119" s="613" t="s">
        <v>551</v>
      </c>
      <c r="BB119" s="614">
        <v>0.1098436443343964</v>
      </c>
      <c r="BC119" s="614">
        <v>2.2062891944311006E-2</v>
      </c>
      <c r="BD119" s="613" t="s">
        <v>573</v>
      </c>
      <c r="BE119" s="613" t="s">
        <v>573</v>
      </c>
    </row>
    <row r="120" spans="1:57">
      <c r="A120" s="601" t="s">
        <v>79</v>
      </c>
      <c r="B120" s="602" t="s">
        <v>418</v>
      </c>
      <c r="C120" s="601">
        <v>1</v>
      </c>
      <c r="D120" s="601">
        <v>120</v>
      </c>
      <c r="E120" s="603" t="s">
        <v>281</v>
      </c>
      <c r="F120" s="601">
        <v>2015</v>
      </c>
      <c r="G120" s="601" t="s">
        <v>469</v>
      </c>
      <c r="H120" s="604">
        <v>14946.959000000001</v>
      </c>
      <c r="I120" s="604">
        <v>97777.447</v>
      </c>
      <c r="J120" s="605">
        <v>1.6265908634431141</v>
      </c>
      <c r="K120" s="606">
        <v>1578.7059435000001</v>
      </c>
      <c r="L120" s="604">
        <v>918913.25199999998</v>
      </c>
      <c r="M120" s="607">
        <v>86539</v>
      </c>
      <c r="N120" s="607">
        <v>1012031</v>
      </c>
      <c r="O120" s="608">
        <v>908.2427060040651</v>
      </c>
      <c r="P120" s="609">
        <v>943962.02399999998</v>
      </c>
      <c r="Q120" s="609">
        <v>919169.77399999998</v>
      </c>
      <c r="R120" s="609">
        <v>761736.397</v>
      </c>
      <c r="S120" s="610">
        <v>82.872219969234976</v>
      </c>
      <c r="T120" s="609">
        <v>745129.473</v>
      </c>
      <c r="U120" s="607">
        <v>1439884</v>
      </c>
      <c r="V120" s="607">
        <v>17073.200326867456</v>
      </c>
      <c r="W120" s="607">
        <v>848870</v>
      </c>
      <c r="X120" s="607">
        <v>54080</v>
      </c>
      <c r="Y120" s="607">
        <v>10065.343848162755</v>
      </c>
      <c r="Z120" s="611">
        <v>15.696560650887575</v>
      </c>
      <c r="AA120" s="609">
        <v>943705.50300000003</v>
      </c>
      <c r="AB120" s="609">
        <v>24792.251000000047</v>
      </c>
      <c r="AC120" s="609"/>
      <c r="AD120" s="609"/>
      <c r="AE120" s="609"/>
      <c r="AF120" s="609"/>
      <c r="AG120" s="609"/>
      <c r="AH120" s="609">
        <v>676334.745</v>
      </c>
      <c r="AI120" s="609">
        <v>36183.887000000002</v>
      </c>
      <c r="AJ120" s="609">
        <v>0</v>
      </c>
      <c r="AK120" s="609">
        <v>0</v>
      </c>
      <c r="AL120" s="609">
        <v>48946.277999999998</v>
      </c>
      <c r="AM120" s="609">
        <v>0</v>
      </c>
      <c r="AN120" s="609">
        <v>271.48700000000002</v>
      </c>
      <c r="AO120" s="609">
        <v>761736.397</v>
      </c>
      <c r="AP120" s="609">
        <v>2404.3249999999998</v>
      </c>
      <c r="AQ120" s="609">
        <v>759332.07200000004</v>
      </c>
      <c r="AR120" s="609">
        <v>0.82633705667790291</v>
      </c>
      <c r="AS120" s="609">
        <v>45351.415000000001</v>
      </c>
      <c r="AT120" s="609">
        <v>97777.447</v>
      </c>
      <c r="AU120" s="609">
        <v>0.10640552499073112</v>
      </c>
      <c r="AV120" s="609">
        <v>902460.93400000001</v>
      </c>
      <c r="AW120" s="609">
        <v>16452.317999999999</v>
      </c>
      <c r="AX120" s="609">
        <v>0</v>
      </c>
      <c r="AY120" s="612" t="s">
        <v>430</v>
      </c>
      <c r="AZ120" s="612" t="s">
        <v>433</v>
      </c>
      <c r="BA120" s="613" t="s">
        <v>551</v>
      </c>
      <c r="BB120" s="614">
        <v>0.10640552499073112</v>
      </c>
      <c r="BC120" s="652">
        <v>1.6265908634431142E-2</v>
      </c>
      <c r="BD120" s="613" t="s">
        <v>573</v>
      </c>
      <c r="BE120" s="613" t="s">
        <v>573</v>
      </c>
    </row>
    <row r="121" spans="1:57">
      <c r="A121" s="601" t="s">
        <v>95</v>
      </c>
      <c r="B121" s="603" t="s">
        <v>420</v>
      </c>
      <c r="C121" s="601">
        <v>3</v>
      </c>
      <c r="D121" s="601">
        <v>121</v>
      </c>
      <c r="E121" s="603" t="s">
        <v>206</v>
      </c>
      <c r="F121" s="601">
        <v>2015</v>
      </c>
      <c r="G121" s="601" t="s">
        <v>567</v>
      </c>
      <c r="H121" s="604">
        <v>6819.2610000000004</v>
      </c>
      <c r="I121" s="604">
        <v>67606.489000000001</v>
      </c>
      <c r="J121" s="605">
        <v>1.0011369847085196</v>
      </c>
      <c r="K121" s="606">
        <v>416.79335120000002</v>
      </c>
      <c r="L121" s="604">
        <v>681151.64099999995</v>
      </c>
      <c r="M121" s="607">
        <v>83502</v>
      </c>
      <c r="N121" s="607">
        <v>1002996</v>
      </c>
      <c r="O121" s="608">
        <v>177.45518327092032</v>
      </c>
      <c r="P121" s="609">
        <v>177986.83900000001</v>
      </c>
      <c r="Q121" s="609">
        <v>177986.83900000001</v>
      </c>
      <c r="R121" s="609">
        <v>139305.60000000001</v>
      </c>
      <c r="S121" s="610">
        <v>78.26735998159954</v>
      </c>
      <c r="T121" s="609">
        <v>137892.52600000001</v>
      </c>
      <c r="U121" s="607">
        <v>452867</v>
      </c>
      <c r="V121" s="607">
        <v>5418.171159207016</v>
      </c>
      <c r="W121" s="607">
        <v>33429</v>
      </c>
      <c r="X121" s="607">
        <v>9045</v>
      </c>
      <c r="Y121" s="607">
        <v>399.94975054736011</v>
      </c>
      <c r="Z121" s="611">
        <v>3.6958540630182419</v>
      </c>
      <c r="AA121" s="609" t="s">
        <v>20</v>
      </c>
      <c r="AB121" s="609" t="s">
        <v>20</v>
      </c>
      <c r="AC121" s="609"/>
      <c r="AD121" s="609"/>
      <c r="AE121" s="609"/>
      <c r="AF121" s="609"/>
      <c r="AG121" s="609"/>
      <c r="AH121" s="609" t="s">
        <v>20</v>
      </c>
      <c r="AI121" s="609" t="s">
        <v>20</v>
      </c>
      <c r="AJ121" s="609" t="s">
        <v>20</v>
      </c>
      <c r="AK121" s="609" t="s">
        <v>20</v>
      </c>
      <c r="AL121" s="609" t="s">
        <v>20</v>
      </c>
      <c r="AM121" s="609" t="s">
        <v>20</v>
      </c>
      <c r="AN121" s="609" t="s">
        <v>20</v>
      </c>
      <c r="AO121" s="609" t="s">
        <v>20</v>
      </c>
      <c r="AP121" s="609" t="s">
        <v>20</v>
      </c>
      <c r="AQ121" s="609" t="s">
        <v>20</v>
      </c>
      <c r="AR121" s="609" t="s">
        <v>20</v>
      </c>
      <c r="AS121" s="609" t="s">
        <v>20</v>
      </c>
      <c r="AT121" s="609" t="s">
        <v>20</v>
      </c>
      <c r="AU121" s="609" t="s">
        <v>20</v>
      </c>
      <c r="AV121" s="609" t="s">
        <v>20</v>
      </c>
      <c r="AW121" s="609" t="s">
        <v>20</v>
      </c>
      <c r="AX121" s="609" t="s">
        <v>20</v>
      </c>
      <c r="AY121" s="612" t="s">
        <v>430</v>
      </c>
      <c r="AZ121" s="612" t="s">
        <v>433</v>
      </c>
      <c r="BA121" s="613" t="s">
        <v>551</v>
      </c>
      <c r="BB121" s="614">
        <v>9.9253213132903556E-2</v>
      </c>
      <c r="BC121" s="614">
        <v>0.11807318705110106</v>
      </c>
      <c r="BD121" s="613" t="s">
        <v>581</v>
      </c>
      <c r="BE121" s="613" t="s">
        <v>581</v>
      </c>
    </row>
    <row r="122" spans="1:57">
      <c r="A122" s="601" t="s">
        <v>87</v>
      </c>
      <c r="B122" s="602" t="s">
        <v>332</v>
      </c>
      <c r="C122" s="601">
        <v>52</v>
      </c>
      <c r="D122" s="601">
        <v>122</v>
      </c>
      <c r="E122" s="603" t="s">
        <v>332</v>
      </c>
      <c r="F122" s="601">
        <v>2015</v>
      </c>
      <c r="G122" s="601" t="s">
        <v>567</v>
      </c>
      <c r="H122" s="604">
        <v>14440.432000000001</v>
      </c>
      <c r="I122" s="609">
        <v>75693.248000000007</v>
      </c>
      <c r="J122" s="605">
        <v>2.1734262981094461</v>
      </c>
      <c r="K122" s="606">
        <v>1007.920202</v>
      </c>
      <c r="L122" s="609">
        <v>664408.63500000001</v>
      </c>
      <c r="M122" s="617">
        <v>79150</v>
      </c>
      <c r="N122" s="617">
        <v>986926</v>
      </c>
      <c r="O122" s="608">
        <v>329.49806976409576</v>
      </c>
      <c r="P122" s="609">
        <v>325190.212</v>
      </c>
      <c r="Q122" s="609">
        <v>325190.212</v>
      </c>
      <c r="R122" s="609">
        <v>260850.09899999999</v>
      </c>
      <c r="S122" s="618">
        <v>80.214621896430259</v>
      </c>
      <c r="T122" s="609">
        <v>266321.55900000001</v>
      </c>
      <c r="U122" s="617">
        <v>682008</v>
      </c>
      <c r="V122" s="617">
        <v>8292.5123058871686</v>
      </c>
      <c r="W122" s="617">
        <v>48867</v>
      </c>
      <c r="X122" s="617">
        <v>12062</v>
      </c>
      <c r="Y122" s="617">
        <v>594.17220744007147</v>
      </c>
      <c r="Z122" s="609">
        <v>4.0513181893549994</v>
      </c>
      <c r="AA122" s="609" t="s">
        <v>20</v>
      </c>
      <c r="AB122" s="609" t="s">
        <v>20</v>
      </c>
      <c r="AC122" s="609"/>
      <c r="AD122" s="609"/>
      <c r="AE122" s="609"/>
      <c r="AF122" s="609"/>
      <c r="AG122" s="609"/>
      <c r="AH122" s="609" t="s">
        <v>20</v>
      </c>
      <c r="AI122" s="609" t="s">
        <v>20</v>
      </c>
      <c r="AJ122" s="609" t="s">
        <v>20</v>
      </c>
      <c r="AK122" s="609" t="s">
        <v>20</v>
      </c>
      <c r="AL122" s="609" t="s">
        <v>20</v>
      </c>
      <c r="AM122" s="609" t="s">
        <v>20</v>
      </c>
      <c r="AN122" s="609" t="s">
        <v>20</v>
      </c>
      <c r="AO122" s="609" t="s">
        <v>20</v>
      </c>
      <c r="AP122" s="609" t="s">
        <v>20</v>
      </c>
      <c r="AQ122" s="609" t="s">
        <v>20</v>
      </c>
      <c r="AR122" s="609" t="s">
        <v>20</v>
      </c>
      <c r="AS122" s="609" t="s">
        <v>20</v>
      </c>
      <c r="AT122" s="609" t="s">
        <v>20</v>
      </c>
      <c r="AU122" s="609" t="s">
        <v>20</v>
      </c>
      <c r="AV122" s="609" t="s">
        <v>20</v>
      </c>
      <c r="AW122" s="609" t="s">
        <v>20</v>
      </c>
      <c r="AX122" s="609" t="s">
        <v>20</v>
      </c>
      <c r="AY122" s="612" t="s">
        <v>430</v>
      </c>
      <c r="AZ122" s="609" t="s">
        <v>431</v>
      </c>
      <c r="BA122" s="613" t="s">
        <v>551</v>
      </c>
      <c r="BB122" s="614">
        <v>0.11392574390608275</v>
      </c>
      <c r="BC122" s="614">
        <v>8.3928037129614649E-2</v>
      </c>
      <c r="BD122" s="613" t="s">
        <v>576</v>
      </c>
      <c r="BE122" s="613" t="s">
        <v>576</v>
      </c>
    </row>
    <row r="123" spans="1:57">
      <c r="A123" s="601" t="s">
        <v>71</v>
      </c>
      <c r="B123" s="603" t="s">
        <v>419</v>
      </c>
      <c r="C123" s="601">
        <v>2</v>
      </c>
      <c r="D123" s="601">
        <v>124</v>
      </c>
      <c r="E123" s="603" t="s">
        <v>231</v>
      </c>
      <c r="F123" s="601">
        <v>2015</v>
      </c>
      <c r="G123" s="601" t="s">
        <v>469</v>
      </c>
      <c r="H123" s="604">
        <v>-15593.918</v>
      </c>
      <c r="I123" s="604">
        <v>25288.75</v>
      </c>
      <c r="J123" s="605">
        <v>-5.8494033224635542</v>
      </c>
      <c r="K123" s="606">
        <v>341.20673579999999</v>
      </c>
      <c r="L123" s="604">
        <v>266589.89199999999</v>
      </c>
      <c r="M123" s="607">
        <v>93506</v>
      </c>
      <c r="N123" s="607">
        <v>982990</v>
      </c>
      <c r="O123" s="608">
        <v>278.18305272688428</v>
      </c>
      <c r="P123" s="609">
        <v>273451.15899999999</v>
      </c>
      <c r="Q123" s="609">
        <v>273451.15899999999</v>
      </c>
      <c r="R123" s="609">
        <v>257875.84299999999</v>
      </c>
      <c r="S123" s="610">
        <v>94.304168957645572</v>
      </c>
      <c r="T123" s="609">
        <v>240003.18799999999</v>
      </c>
      <c r="U123" s="607">
        <v>359392</v>
      </c>
      <c r="V123" s="607">
        <v>4387.3325262718845</v>
      </c>
      <c r="W123" s="607">
        <v>48837</v>
      </c>
      <c r="X123" s="607">
        <v>10412</v>
      </c>
      <c r="Y123" s="607">
        <v>596.18510869896943</v>
      </c>
      <c r="Z123" s="611">
        <v>4.690453323088744</v>
      </c>
      <c r="AA123" s="609">
        <v>266589.89199999999</v>
      </c>
      <c r="AB123" s="609">
        <v>0</v>
      </c>
      <c r="AC123" s="609"/>
      <c r="AD123" s="609"/>
      <c r="AE123" s="609"/>
      <c r="AF123" s="609"/>
      <c r="AG123" s="609"/>
      <c r="AH123" s="609">
        <v>180312.02600000001</v>
      </c>
      <c r="AI123" s="609">
        <v>29376.377</v>
      </c>
      <c r="AJ123" s="609">
        <v>0</v>
      </c>
      <c r="AK123" s="609">
        <v>47845.129000000001</v>
      </c>
      <c r="AL123" s="609">
        <v>0</v>
      </c>
      <c r="AM123" s="609">
        <v>0</v>
      </c>
      <c r="AN123" s="609">
        <v>342.31099999999998</v>
      </c>
      <c r="AO123" s="609">
        <v>257875.84299999999</v>
      </c>
      <c r="AP123" s="609">
        <v>5079.2650000000003</v>
      </c>
      <c r="AQ123" s="609">
        <v>252796.57800000001</v>
      </c>
      <c r="AR123" s="609">
        <v>0.94826017634607096</v>
      </c>
      <c r="AS123" s="609">
        <v>8183.8680000000004</v>
      </c>
      <c r="AT123" s="609">
        <v>25288.75</v>
      </c>
      <c r="AU123" s="609">
        <v>9.4860123203770991E-2</v>
      </c>
      <c r="AV123" s="609">
        <v>287437.973</v>
      </c>
      <c r="AW123" s="609">
        <v>-20848.080999999998</v>
      </c>
      <c r="AX123" s="609">
        <v>0</v>
      </c>
      <c r="AY123" s="612" t="s">
        <v>430</v>
      </c>
      <c r="AZ123" s="612" t="s">
        <v>433</v>
      </c>
      <c r="BA123" s="613" t="s">
        <v>551</v>
      </c>
      <c r="BB123" s="614">
        <v>9.4860123203770991E-2</v>
      </c>
      <c r="BC123" s="652">
        <v>-5.849403322463554E-2</v>
      </c>
      <c r="BD123" s="613" t="s">
        <v>570</v>
      </c>
      <c r="BE123" s="613" t="s">
        <v>570</v>
      </c>
    </row>
    <row r="124" spans="1:57">
      <c r="A124" s="601" t="s">
        <v>86</v>
      </c>
      <c r="B124" s="602" t="s">
        <v>418</v>
      </c>
      <c r="C124" s="601">
        <v>1</v>
      </c>
      <c r="D124" s="601">
        <v>125</v>
      </c>
      <c r="E124" s="603" t="s">
        <v>274</v>
      </c>
      <c r="F124" s="601">
        <v>2015</v>
      </c>
      <c r="G124" s="601" t="s">
        <v>567</v>
      </c>
      <c r="H124" s="604">
        <v>27515.048999999999</v>
      </c>
      <c r="I124" s="604">
        <v>53702.328999999998</v>
      </c>
      <c r="J124" s="605">
        <v>3.5803215898070451</v>
      </c>
      <c r="K124" s="606">
        <v>580.9165405</v>
      </c>
      <c r="L124" s="604">
        <v>768507.75300000003</v>
      </c>
      <c r="M124" s="607">
        <v>84208</v>
      </c>
      <c r="N124" s="607">
        <v>981091</v>
      </c>
      <c r="O124" s="608">
        <v>518.15630354370796</v>
      </c>
      <c r="P124" s="609">
        <v>508358.48599999998</v>
      </c>
      <c r="Q124" s="609">
        <v>508358.48599999998</v>
      </c>
      <c r="R124" s="609">
        <v>417246.34399999998</v>
      </c>
      <c r="S124" s="610">
        <v>82.077186766977661</v>
      </c>
      <c r="T124" s="609">
        <v>403870.70899999997</v>
      </c>
      <c r="U124" s="607">
        <v>822463</v>
      </c>
      <c r="V124" s="607">
        <v>10059.776310250527</v>
      </c>
      <c r="W124" s="607">
        <v>68505</v>
      </c>
      <c r="X124" s="607">
        <v>14977</v>
      </c>
      <c r="Y124" s="607">
        <v>837.9039253239506</v>
      </c>
      <c r="Z124" s="611">
        <v>4.5740134873472655</v>
      </c>
      <c r="AA124" s="609">
        <v>507232.326</v>
      </c>
      <c r="AB124" s="609">
        <v>0</v>
      </c>
      <c r="AC124" s="609"/>
      <c r="AD124" s="609"/>
      <c r="AE124" s="609"/>
      <c r="AF124" s="609"/>
      <c r="AG124" s="609"/>
      <c r="AH124" s="609">
        <v>348998.185</v>
      </c>
      <c r="AI124" s="609">
        <v>0</v>
      </c>
      <c r="AJ124" s="609">
        <v>0</v>
      </c>
      <c r="AK124" s="609">
        <v>0</v>
      </c>
      <c r="AL124" s="609">
        <v>87311.262000000002</v>
      </c>
      <c r="AM124" s="609">
        <v>0</v>
      </c>
      <c r="AN124" s="609">
        <v>187.23699999999999</v>
      </c>
      <c r="AO124" s="609">
        <v>436496.68400000001</v>
      </c>
      <c r="AP124" s="609">
        <v>363.47800000000001</v>
      </c>
      <c r="AQ124" s="609">
        <v>436133.20600000001</v>
      </c>
      <c r="AR124" s="609">
        <v>0.85982928067561692</v>
      </c>
      <c r="AS124" s="609">
        <v>19890.440999999999</v>
      </c>
      <c r="AT124" s="609">
        <v>30225.835999999999</v>
      </c>
      <c r="AU124" s="609">
        <v>5.9589727331376748E-2</v>
      </c>
      <c r="AV124" s="609">
        <v>486249.48300000001</v>
      </c>
      <c r="AW124" s="609">
        <v>20982.843000000001</v>
      </c>
      <c r="AX124" s="609">
        <v>0</v>
      </c>
      <c r="AY124" s="612" t="s">
        <v>430</v>
      </c>
      <c r="AZ124" s="612" t="s">
        <v>433</v>
      </c>
      <c r="BA124" s="613" t="s">
        <v>551</v>
      </c>
      <c r="BB124" s="614">
        <v>6.9878708172251836E-2</v>
      </c>
      <c r="BC124" s="614">
        <v>0.10934942415797155</v>
      </c>
      <c r="BD124" s="613" t="s">
        <v>581</v>
      </c>
      <c r="BE124" s="613" t="s">
        <v>581</v>
      </c>
    </row>
    <row r="125" spans="1:57">
      <c r="A125" s="601" t="s">
        <v>95</v>
      </c>
      <c r="B125" s="603" t="s">
        <v>421</v>
      </c>
      <c r="C125" s="601">
        <v>4</v>
      </c>
      <c r="D125" s="601">
        <v>126</v>
      </c>
      <c r="E125" s="603" t="s">
        <v>257</v>
      </c>
      <c r="F125" s="601">
        <v>2015</v>
      </c>
      <c r="G125" s="601" t="s">
        <v>567</v>
      </c>
      <c r="H125" s="604">
        <v>4188.4279999999999</v>
      </c>
      <c r="I125" s="609">
        <v>40778.258000000002</v>
      </c>
      <c r="J125" s="605">
        <v>1.5744181421315759</v>
      </c>
      <c r="K125" s="606">
        <v>346.9113845</v>
      </c>
      <c r="L125" s="609">
        <v>266030.217</v>
      </c>
      <c r="M125" s="607">
        <v>73312</v>
      </c>
      <c r="N125" s="607">
        <v>933285</v>
      </c>
      <c r="O125" s="608">
        <v>156.3701452396642</v>
      </c>
      <c r="P125" s="609">
        <v>145937.91099999999</v>
      </c>
      <c r="Q125" s="609">
        <v>145937.91099999999</v>
      </c>
      <c r="R125" s="609">
        <v>102380.626</v>
      </c>
      <c r="S125" s="610">
        <v>70.1535504369389</v>
      </c>
      <c r="T125" s="609">
        <v>110333.034</v>
      </c>
      <c r="U125" s="607">
        <v>353681</v>
      </c>
      <c r="V125" s="607">
        <v>4547.5626416367986</v>
      </c>
      <c r="W125" s="607">
        <v>26817</v>
      </c>
      <c r="X125" s="607">
        <v>6962</v>
      </c>
      <c r="Y125" s="607">
        <v>344.80785612112055</v>
      </c>
      <c r="Z125" s="611">
        <v>3.8519103705831657</v>
      </c>
      <c r="AA125" s="609" t="s">
        <v>20</v>
      </c>
      <c r="AB125" s="609" t="s">
        <v>20</v>
      </c>
      <c r="AC125" s="609"/>
      <c r="AD125" s="609"/>
      <c r="AE125" s="609"/>
      <c r="AF125" s="609"/>
      <c r="AG125" s="609"/>
      <c r="AH125" s="609" t="s">
        <v>20</v>
      </c>
      <c r="AI125" s="609" t="s">
        <v>20</v>
      </c>
      <c r="AJ125" s="609" t="s">
        <v>20</v>
      </c>
      <c r="AK125" s="609" t="s">
        <v>20</v>
      </c>
      <c r="AL125" s="609" t="s">
        <v>20</v>
      </c>
      <c r="AM125" s="609" t="s">
        <v>20</v>
      </c>
      <c r="AN125" s="609" t="s">
        <v>20</v>
      </c>
      <c r="AO125" s="609" t="s">
        <v>20</v>
      </c>
      <c r="AP125" s="609" t="s">
        <v>20</v>
      </c>
      <c r="AQ125" s="609" t="s">
        <v>20</v>
      </c>
      <c r="AR125" s="609" t="s">
        <v>20</v>
      </c>
      <c r="AS125" s="609" t="s">
        <v>20</v>
      </c>
      <c r="AT125" s="609" t="s">
        <v>20</v>
      </c>
      <c r="AU125" s="609" t="s">
        <v>20</v>
      </c>
      <c r="AV125" s="609" t="s">
        <v>20</v>
      </c>
      <c r="AW125" s="609" t="s">
        <v>20</v>
      </c>
      <c r="AX125" s="609" t="s">
        <v>20</v>
      </c>
      <c r="AY125" s="612" t="s">
        <v>430</v>
      </c>
      <c r="AZ125" s="612" t="s">
        <v>433</v>
      </c>
      <c r="BA125" s="613" t="s">
        <v>551</v>
      </c>
      <c r="BB125" s="614">
        <v>0.15328430905275697</v>
      </c>
      <c r="BC125" s="614">
        <v>0.14518018657785398</v>
      </c>
      <c r="BD125" s="613" t="s">
        <v>581</v>
      </c>
      <c r="BE125" s="613" t="s">
        <v>581</v>
      </c>
    </row>
    <row r="126" spans="1:57">
      <c r="A126" s="601" t="s">
        <v>81</v>
      </c>
      <c r="B126" s="602" t="s">
        <v>236</v>
      </c>
      <c r="C126" s="601">
        <v>50</v>
      </c>
      <c r="D126" s="601">
        <v>127</v>
      </c>
      <c r="E126" s="603" t="s">
        <v>236</v>
      </c>
      <c r="F126" s="601">
        <v>2015</v>
      </c>
      <c r="G126" s="601" t="s">
        <v>567</v>
      </c>
      <c r="H126" s="604">
        <v>-43876.733999999997</v>
      </c>
      <c r="I126" s="609">
        <v>116549.136</v>
      </c>
      <c r="J126" s="605">
        <v>-2.9101841532544617</v>
      </c>
      <c r="K126" s="606">
        <v>654.11699320000002</v>
      </c>
      <c r="L126" s="609">
        <v>1507696.135</v>
      </c>
      <c r="M126" s="617">
        <v>79563</v>
      </c>
      <c r="N126" s="617">
        <v>908135</v>
      </c>
      <c r="O126" s="608">
        <v>430.44276566809998</v>
      </c>
      <c r="P126" s="609">
        <v>390900.141</v>
      </c>
      <c r="Q126" s="609">
        <v>390900.141</v>
      </c>
      <c r="R126" s="609">
        <v>365769.60399999999</v>
      </c>
      <c r="S126" s="618">
        <v>93.571110786578089</v>
      </c>
      <c r="T126" s="609">
        <v>352602.913</v>
      </c>
      <c r="U126" s="617">
        <v>484729</v>
      </c>
      <c r="V126" s="617">
        <v>6405.157823451359</v>
      </c>
      <c r="W126" s="617">
        <v>56037</v>
      </c>
      <c r="X126" s="617">
        <v>11624</v>
      </c>
      <c r="Y126" s="617">
        <v>740.46700105160573</v>
      </c>
      <c r="Z126" s="609">
        <v>4.8208017894012389</v>
      </c>
      <c r="AA126" s="609">
        <v>388142.58299999998</v>
      </c>
      <c r="AB126" s="609">
        <v>0</v>
      </c>
      <c r="AC126" s="609"/>
      <c r="AD126" s="609"/>
      <c r="AE126" s="609"/>
      <c r="AF126" s="609"/>
      <c r="AG126" s="609"/>
      <c r="AH126" s="609">
        <v>208074.046</v>
      </c>
      <c r="AI126" s="609">
        <v>21792.466</v>
      </c>
      <c r="AJ126" s="609">
        <v>0</v>
      </c>
      <c r="AK126" s="609">
        <v>23926.346000000001</v>
      </c>
      <c r="AL126" s="609">
        <v>100650.02499999999</v>
      </c>
      <c r="AM126" s="609">
        <v>9373.2960000000003</v>
      </c>
      <c r="AN126" s="609">
        <v>1953.425</v>
      </c>
      <c r="AO126" s="609">
        <v>365769.60399999999</v>
      </c>
      <c r="AP126" s="609">
        <v>3535.04</v>
      </c>
      <c r="AQ126" s="609">
        <v>362234.56400000001</v>
      </c>
      <c r="AR126" s="609">
        <v>0.93325128410350178</v>
      </c>
      <c r="AS126" s="609">
        <v>9949.6720000000005</v>
      </c>
      <c r="AT126" s="609">
        <v>26195.164000000001</v>
      </c>
      <c r="AU126" s="609">
        <v>6.7488508469064318E-2</v>
      </c>
      <c r="AV126" s="609">
        <v>373879.39899999998</v>
      </c>
      <c r="AW126" s="609">
        <v>14263.183999999999</v>
      </c>
      <c r="AX126" s="609">
        <v>0</v>
      </c>
      <c r="AY126" s="612" t="s">
        <v>430</v>
      </c>
      <c r="AZ126" s="609" t="s">
        <v>431</v>
      </c>
      <c r="BA126" s="613" t="s">
        <v>551</v>
      </c>
      <c r="BB126" s="614">
        <v>7.730280213260611E-2</v>
      </c>
      <c r="BC126" s="614">
        <v>-1.3013909998387044E-2</v>
      </c>
      <c r="BD126" s="613" t="s">
        <v>572</v>
      </c>
      <c r="BE126" s="613" t="s">
        <v>572</v>
      </c>
    </row>
    <row r="127" spans="1:57">
      <c r="A127" s="601" t="s">
        <v>64</v>
      </c>
      <c r="B127" s="603" t="s">
        <v>420</v>
      </c>
      <c r="C127" s="601">
        <v>3</v>
      </c>
      <c r="D127" s="601">
        <v>128</v>
      </c>
      <c r="E127" s="603" t="s">
        <v>316</v>
      </c>
      <c r="F127" s="601">
        <v>2015</v>
      </c>
      <c r="G127" s="601" t="s">
        <v>469</v>
      </c>
      <c r="H127" s="604">
        <v>61870.26</v>
      </c>
      <c r="I127" s="604">
        <v>21523.178</v>
      </c>
      <c r="J127" s="605">
        <v>12.616372702339698</v>
      </c>
      <c r="K127" s="606">
        <v>725.65193599999998</v>
      </c>
      <c r="L127" s="604">
        <v>490396.57799999998</v>
      </c>
      <c r="M127" s="607">
        <v>92929</v>
      </c>
      <c r="N127" s="607">
        <v>903414</v>
      </c>
      <c r="O127" s="608">
        <v>538.89571115789659</v>
      </c>
      <c r="P127" s="609">
        <v>493212.24400000001</v>
      </c>
      <c r="Q127" s="609">
        <v>486845.93</v>
      </c>
      <c r="R127" s="609">
        <v>351304.55699999997</v>
      </c>
      <c r="S127" s="610">
        <v>72.159288052382394</v>
      </c>
      <c r="T127" s="609">
        <v>321938.58299999998</v>
      </c>
      <c r="U127" s="607">
        <v>522793</v>
      </c>
      <c r="V127" s="607">
        <v>6944.2315483266811</v>
      </c>
      <c r="W127" s="607">
        <v>67921</v>
      </c>
      <c r="X127" s="607">
        <v>13365</v>
      </c>
      <c r="Y127" s="607">
        <v>902.19102205633294</v>
      </c>
      <c r="Z127" s="611">
        <v>5.0820052375607929</v>
      </c>
      <c r="AA127" s="609">
        <v>4161.7929999999997</v>
      </c>
      <c r="AB127" s="609" t="s">
        <v>20</v>
      </c>
      <c r="AC127" s="609"/>
      <c r="AD127" s="609"/>
      <c r="AE127" s="609"/>
      <c r="AF127" s="609"/>
      <c r="AG127" s="609"/>
      <c r="AH127" s="609">
        <v>-2361.634</v>
      </c>
      <c r="AI127" s="609">
        <v>-252.393</v>
      </c>
      <c r="AJ127" s="609">
        <v>0</v>
      </c>
      <c r="AK127" s="609">
        <v>-71.227000000000004</v>
      </c>
      <c r="AL127" s="609">
        <v>-29.456</v>
      </c>
      <c r="AM127" s="609">
        <v>0</v>
      </c>
      <c r="AN127" s="609">
        <v>0</v>
      </c>
      <c r="AO127" s="609">
        <v>-2714.71</v>
      </c>
      <c r="AP127" s="609">
        <v>0</v>
      </c>
      <c r="AQ127" s="609">
        <v>-2714.71</v>
      </c>
      <c r="AR127" s="609" t="s">
        <v>20</v>
      </c>
      <c r="AS127" s="609">
        <v>1718.366</v>
      </c>
      <c r="AT127" s="609">
        <v>7472.9769999999999</v>
      </c>
      <c r="AU127" s="609" t="s">
        <v>20</v>
      </c>
      <c r="AV127" s="609">
        <v>6476.6329999999998</v>
      </c>
      <c r="AW127" s="609">
        <v>10425.224</v>
      </c>
      <c r="AX127" s="609" t="s">
        <v>20</v>
      </c>
      <c r="AY127" s="612" t="s">
        <v>430</v>
      </c>
      <c r="AZ127" s="612" t="s">
        <v>433</v>
      </c>
      <c r="BA127" s="613" t="s">
        <v>551</v>
      </c>
      <c r="BB127" s="614">
        <v>4.388933154423439E-2</v>
      </c>
      <c r="BC127" s="652">
        <v>0.12616372702339698</v>
      </c>
      <c r="BD127" s="613" t="s">
        <v>581</v>
      </c>
      <c r="BE127" s="613" t="s">
        <v>581</v>
      </c>
    </row>
    <row r="128" spans="1:57">
      <c r="A128" s="601" t="s">
        <v>91</v>
      </c>
      <c r="B128" s="603" t="s">
        <v>421</v>
      </c>
      <c r="C128" s="601">
        <v>4</v>
      </c>
      <c r="D128" s="601">
        <v>129</v>
      </c>
      <c r="E128" s="603" t="s">
        <v>255</v>
      </c>
      <c r="F128" s="601">
        <v>2015</v>
      </c>
      <c r="G128" s="601" t="s">
        <v>567</v>
      </c>
      <c r="H128" s="604">
        <v>577.98</v>
      </c>
      <c r="I128" s="609">
        <v>35788.862000000001</v>
      </c>
      <c r="J128" s="605">
        <v>0.16814128378136373</v>
      </c>
      <c r="K128" s="606">
        <v>434.27994519999999</v>
      </c>
      <c r="L128" s="609">
        <v>343746.63199999998</v>
      </c>
      <c r="M128" s="607">
        <v>79654</v>
      </c>
      <c r="N128" s="607">
        <v>898935</v>
      </c>
      <c r="O128" s="608">
        <v>235.74636542130409</v>
      </c>
      <c r="P128" s="609">
        <v>211920.658</v>
      </c>
      <c r="Q128" s="609">
        <v>211920.65900000001</v>
      </c>
      <c r="R128" s="609">
        <v>173369.13800000001</v>
      </c>
      <c r="S128" s="610">
        <v>81.808512118679275</v>
      </c>
      <c r="T128" s="609">
        <v>174183.75399999999</v>
      </c>
      <c r="U128" s="607">
        <v>420108</v>
      </c>
      <c r="V128" s="607">
        <v>5608.0762235311786</v>
      </c>
      <c r="W128" s="607">
        <v>30470</v>
      </c>
      <c r="X128" s="607">
        <v>7583</v>
      </c>
      <c r="Y128" s="607">
        <v>406.74798511572027</v>
      </c>
      <c r="Z128" s="611">
        <v>4.0181986021363576</v>
      </c>
      <c r="AA128" s="609" t="s">
        <v>20</v>
      </c>
      <c r="AB128" s="609" t="s">
        <v>20</v>
      </c>
      <c r="AC128" s="609"/>
      <c r="AD128" s="609"/>
      <c r="AE128" s="609"/>
      <c r="AF128" s="609"/>
      <c r="AG128" s="609"/>
      <c r="AH128" s="609" t="s">
        <v>20</v>
      </c>
      <c r="AI128" s="609" t="s">
        <v>20</v>
      </c>
      <c r="AJ128" s="609" t="s">
        <v>20</v>
      </c>
      <c r="AK128" s="609" t="s">
        <v>20</v>
      </c>
      <c r="AL128" s="609" t="s">
        <v>20</v>
      </c>
      <c r="AM128" s="609" t="s">
        <v>20</v>
      </c>
      <c r="AN128" s="609" t="s">
        <v>20</v>
      </c>
      <c r="AO128" s="609" t="s">
        <v>20</v>
      </c>
      <c r="AP128" s="609" t="s">
        <v>20</v>
      </c>
      <c r="AQ128" s="609" t="s">
        <v>20</v>
      </c>
      <c r="AR128" s="609" t="s">
        <v>20</v>
      </c>
      <c r="AS128" s="609" t="s">
        <v>20</v>
      </c>
      <c r="AT128" s="609" t="s">
        <v>20</v>
      </c>
      <c r="AU128" s="609" t="s">
        <v>20</v>
      </c>
      <c r="AV128" s="609" t="s">
        <v>20</v>
      </c>
      <c r="AW128" s="609" t="s">
        <v>20</v>
      </c>
      <c r="AX128" s="609" t="s">
        <v>20</v>
      </c>
      <c r="AY128" s="612" t="s">
        <v>430</v>
      </c>
      <c r="AZ128" s="612" t="s">
        <v>433</v>
      </c>
      <c r="BA128" s="613" t="s">
        <v>551</v>
      </c>
      <c r="BB128" s="614">
        <v>0.10411407318166831</v>
      </c>
      <c r="BC128" s="614">
        <v>7.7800805631538919E-2</v>
      </c>
      <c r="BD128" s="613" t="s">
        <v>576</v>
      </c>
      <c r="BE128" s="613" t="s">
        <v>576</v>
      </c>
    </row>
    <row r="129" spans="1:57">
      <c r="A129" s="601" t="s">
        <v>66</v>
      </c>
      <c r="B129" s="602" t="s">
        <v>223</v>
      </c>
      <c r="C129" s="601">
        <v>68</v>
      </c>
      <c r="D129" s="601">
        <v>130</v>
      </c>
      <c r="E129" s="603" t="s">
        <v>223</v>
      </c>
      <c r="F129" s="601">
        <v>2015</v>
      </c>
      <c r="G129" s="601" t="s">
        <v>567</v>
      </c>
      <c r="H129" s="604">
        <v>-20468.187000000002</v>
      </c>
      <c r="I129" s="609">
        <v>48600.421999999999</v>
      </c>
      <c r="J129" s="605">
        <v>-2.2780942423462616</v>
      </c>
      <c r="K129" s="606">
        <v>115.4355388</v>
      </c>
      <c r="L129" s="609">
        <v>898478.50100000005</v>
      </c>
      <c r="M129" s="617">
        <v>81894</v>
      </c>
      <c r="N129" s="617">
        <v>863888</v>
      </c>
      <c r="O129" s="608">
        <v>446.11794815994665</v>
      </c>
      <c r="P129" s="609">
        <v>385395.94199999998</v>
      </c>
      <c r="Q129" s="609">
        <v>385395.94199999998</v>
      </c>
      <c r="R129" s="609">
        <v>382186.94300000003</v>
      </c>
      <c r="S129" s="618">
        <v>99.167350080712595</v>
      </c>
      <c r="T129" s="609">
        <v>369829.47100000002</v>
      </c>
      <c r="U129" s="617">
        <v>449010</v>
      </c>
      <c r="V129" s="617">
        <v>6237.0585075843164</v>
      </c>
      <c r="W129" s="617">
        <v>27570</v>
      </c>
      <c r="X129" s="617">
        <v>12583</v>
      </c>
      <c r="Y129" s="617">
        <v>382.96631044765064</v>
      </c>
      <c r="Z129" s="609">
        <v>2.1910514185806247</v>
      </c>
      <c r="AA129" s="609">
        <v>385395.94199999998</v>
      </c>
      <c r="AB129" s="609">
        <v>0</v>
      </c>
      <c r="AC129" s="609"/>
      <c r="AD129" s="609"/>
      <c r="AE129" s="609"/>
      <c r="AF129" s="609"/>
      <c r="AG129" s="609"/>
      <c r="AH129" s="609">
        <v>271936.89</v>
      </c>
      <c r="AI129" s="609">
        <v>1128.4190000000001</v>
      </c>
      <c r="AJ129" s="609">
        <v>0</v>
      </c>
      <c r="AK129" s="609">
        <v>22346.637999999999</v>
      </c>
      <c r="AL129" s="609">
        <v>81083.11</v>
      </c>
      <c r="AM129" s="609">
        <v>3584.3919999999998</v>
      </c>
      <c r="AN129" s="609">
        <v>2107.4940000000001</v>
      </c>
      <c r="AO129" s="609">
        <v>382186.94300000003</v>
      </c>
      <c r="AP129" s="609">
        <v>0</v>
      </c>
      <c r="AQ129" s="609">
        <v>382186.94300000003</v>
      </c>
      <c r="AR129" s="609">
        <v>0.99167350080712591</v>
      </c>
      <c r="AS129" s="609">
        <v>6669.4459999999999</v>
      </c>
      <c r="AT129" s="609">
        <v>12848.281999999999</v>
      </c>
      <c r="AU129" s="609">
        <v>3.333787567488191E-2</v>
      </c>
      <c r="AV129" s="609">
        <v>401704.67099999997</v>
      </c>
      <c r="AW129" s="609">
        <v>-16308.728999999999</v>
      </c>
      <c r="AX129" s="609">
        <v>0</v>
      </c>
      <c r="AY129" s="609" t="s">
        <v>435</v>
      </c>
      <c r="AZ129" s="609" t="s">
        <v>431</v>
      </c>
      <c r="BA129" s="613" t="s">
        <v>551</v>
      </c>
      <c r="BB129" s="614">
        <v>5.4091914214873346E-2</v>
      </c>
      <c r="BC129" s="614">
        <v>-4.5765415021999253E-2</v>
      </c>
      <c r="BD129" s="613" t="s">
        <v>571</v>
      </c>
      <c r="BE129" s="613" t="s">
        <v>571</v>
      </c>
    </row>
    <row r="130" spans="1:57">
      <c r="A130" s="601" t="s">
        <v>77</v>
      </c>
      <c r="B130" s="603" t="s">
        <v>419</v>
      </c>
      <c r="C130" s="601">
        <v>2</v>
      </c>
      <c r="D130" s="601">
        <v>131</v>
      </c>
      <c r="E130" s="603" t="s">
        <v>219</v>
      </c>
      <c r="F130" s="601">
        <v>2015</v>
      </c>
      <c r="G130" s="601" t="s">
        <v>469</v>
      </c>
      <c r="H130" s="604">
        <v>-16726.165000000001</v>
      </c>
      <c r="I130" s="604">
        <v>35045.786</v>
      </c>
      <c r="J130" s="605">
        <v>-5.1346295426195958</v>
      </c>
      <c r="K130" s="606">
        <v>706.49020559999997</v>
      </c>
      <c r="L130" s="604">
        <v>325752.12800000003</v>
      </c>
      <c r="M130" s="607">
        <v>72337</v>
      </c>
      <c r="N130" s="607">
        <v>849106</v>
      </c>
      <c r="O130" s="608">
        <v>388.59331226018895</v>
      </c>
      <c r="P130" s="609">
        <v>329956.913</v>
      </c>
      <c r="Q130" s="609">
        <v>329956.913</v>
      </c>
      <c r="R130" s="609">
        <v>302683.06300000002</v>
      </c>
      <c r="S130" s="610">
        <v>91.734117721000743</v>
      </c>
      <c r="T130" s="609">
        <v>303048.42</v>
      </c>
      <c r="U130" s="607">
        <v>344171</v>
      </c>
      <c r="V130" s="607">
        <v>4864.0004899270525</v>
      </c>
      <c r="W130" s="607">
        <v>28023</v>
      </c>
      <c r="X130" s="607">
        <v>6179</v>
      </c>
      <c r="Y130" s="607">
        <v>396.03535954286036</v>
      </c>
      <c r="Z130" s="611">
        <v>4.5351998705292118</v>
      </c>
      <c r="AA130" s="609">
        <v>325752.12800000003</v>
      </c>
      <c r="AB130" s="609">
        <v>0</v>
      </c>
      <c r="AC130" s="609"/>
      <c r="AD130" s="609"/>
      <c r="AE130" s="609"/>
      <c r="AF130" s="609"/>
      <c r="AG130" s="609"/>
      <c r="AH130" s="609">
        <v>136408.54399999999</v>
      </c>
      <c r="AI130" s="609">
        <v>62619.337</v>
      </c>
      <c r="AJ130" s="609">
        <v>0</v>
      </c>
      <c r="AK130" s="609">
        <v>24575.665000000001</v>
      </c>
      <c r="AL130" s="609">
        <v>79079.516000000003</v>
      </c>
      <c r="AM130" s="609">
        <v>0</v>
      </c>
      <c r="AN130" s="609">
        <v>0</v>
      </c>
      <c r="AO130" s="609">
        <v>302683.06199999998</v>
      </c>
      <c r="AP130" s="609">
        <v>426.48399999999998</v>
      </c>
      <c r="AQ130" s="609">
        <v>302256.57799999998</v>
      </c>
      <c r="AR130" s="609">
        <v>0.92787291937506533</v>
      </c>
      <c r="AS130" s="609">
        <v>9538.1640000000007</v>
      </c>
      <c r="AT130" s="609">
        <v>35045.786999999997</v>
      </c>
      <c r="AU130" s="609">
        <v>0.1075842150753348</v>
      </c>
      <c r="AV130" s="609">
        <v>348597.25599999999</v>
      </c>
      <c r="AW130" s="609">
        <v>-22845.128000000001</v>
      </c>
      <c r="AX130" s="609">
        <v>0</v>
      </c>
      <c r="AY130" s="612" t="s">
        <v>430</v>
      </c>
      <c r="AZ130" s="612" t="s">
        <v>433</v>
      </c>
      <c r="BA130" s="613" t="s">
        <v>551</v>
      </c>
      <c r="BB130" s="614">
        <v>0.10758421200551604</v>
      </c>
      <c r="BC130" s="652">
        <v>-5.1346295426195961E-2</v>
      </c>
      <c r="BD130" s="613" t="s">
        <v>570</v>
      </c>
      <c r="BE130" s="613" t="s">
        <v>570</v>
      </c>
    </row>
    <row r="131" spans="1:57">
      <c r="A131" s="601" t="s">
        <v>87</v>
      </c>
      <c r="B131" s="603" t="s">
        <v>422</v>
      </c>
      <c r="C131" s="601">
        <v>5</v>
      </c>
      <c r="D131" s="601">
        <v>132</v>
      </c>
      <c r="E131" s="603" t="s">
        <v>295</v>
      </c>
      <c r="F131" s="601">
        <v>2015</v>
      </c>
      <c r="G131" s="601" t="s">
        <v>469</v>
      </c>
      <c r="H131" s="604">
        <v>12493.064</v>
      </c>
      <c r="I131" s="604">
        <v>22045.588</v>
      </c>
      <c r="J131" s="605">
        <v>5.6089993623786123</v>
      </c>
      <c r="K131" s="606">
        <v>609.80874340000003</v>
      </c>
      <c r="L131" s="604">
        <v>222732.49100000001</v>
      </c>
      <c r="M131" s="607">
        <v>59726</v>
      </c>
      <c r="N131" s="607">
        <v>782557</v>
      </c>
      <c r="O131" s="608">
        <v>284.7545967897546</v>
      </c>
      <c r="P131" s="609">
        <v>222836.70300000001</v>
      </c>
      <c r="Q131" s="609">
        <v>222836.70300000001</v>
      </c>
      <c r="R131" s="609">
        <v>172565.05900000001</v>
      </c>
      <c r="S131" s="610">
        <v>77.440141896193836</v>
      </c>
      <c r="T131" s="609">
        <v>169266.511</v>
      </c>
      <c r="U131" s="607">
        <v>302800</v>
      </c>
      <c r="V131" s="607">
        <v>4643.2400451340927</v>
      </c>
      <c r="W131" s="607">
        <v>35290</v>
      </c>
      <c r="X131" s="607">
        <v>7185</v>
      </c>
      <c r="Y131" s="607">
        <v>541.14907923640067</v>
      </c>
      <c r="Z131" s="611">
        <v>4.911621433542102</v>
      </c>
      <c r="AA131" s="609">
        <v>222732.49100000001</v>
      </c>
      <c r="AB131" s="609">
        <v>0</v>
      </c>
      <c r="AC131" s="609"/>
      <c r="AD131" s="609"/>
      <c r="AE131" s="609"/>
      <c r="AF131" s="609"/>
      <c r="AG131" s="609"/>
      <c r="AH131" s="609">
        <v>115840.265</v>
      </c>
      <c r="AI131" s="609">
        <v>2159.0450000000001</v>
      </c>
      <c r="AJ131" s="609">
        <v>0</v>
      </c>
      <c r="AK131" s="609">
        <v>17421.947</v>
      </c>
      <c r="AL131" s="609">
        <v>37143.803</v>
      </c>
      <c r="AM131" s="609">
        <v>0</v>
      </c>
      <c r="AN131" s="609">
        <v>0</v>
      </c>
      <c r="AO131" s="609">
        <v>172565.06</v>
      </c>
      <c r="AP131" s="609">
        <v>0</v>
      </c>
      <c r="AQ131" s="609">
        <v>172565.06</v>
      </c>
      <c r="AR131" s="609">
        <v>0.77476375011672627</v>
      </c>
      <c r="AS131" s="609">
        <v>3871.3240000000001</v>
      </c>
      <c r="AT131" s="609">
        <v>22045.588</v>
      </c>
      <c r="AU131" s="609">
        <v>9.8977872069863387E-2</v>
      </c>
      <c r="AV131" s="609">
        <v>198481.97200000001</v>
      </c>
      <c r="AW131" s="609">
        <v>24250.519</v>
      </c>
      <c r="AX131" s="609">
        <v>0</v>
      </c>
      <c r="AY131" s="612" t="s">
        <v>430</v>
      </c>
      <c r="AZ131" s="612" t="s">
        <v>433</v>
      </c>
      <c r="BA131" s="613" t="s">
        <v>551</v>
      </c>
      <c r="BB131" s="614">
        <v>9.8977872069863387E-2</v>
      </c>
      <c r="BC131" s="652">
        <v>5.6089993623786125E-2</v>
      </c>
      <c r="BD131" s="613" t="s">
        <v>575</v>
      </c>
      <c r="BE131" s="613" t="s">
        <v>575</v>
      </c>
    </row>
    <row r="132" spans="1:57">
      <c r="A132" s="601" t="s">
        <v>58</v>
      </c>
      <c r="B132" s="602" t="s">
        <v>141</v>
      </c>
      <c r="C132" s="601">
        <v>59</v>
      </c>
      <c r="D132" s="601">
        <v>133</v>
      </c>
      <c r="E132" s="603" t="s">
        <v>141</v>
      </c>
      <c r="F132" s="601">
        <v>2015</v>
      </c>
      <c r="G132" s="601" t="s">
        <v>567</v>
      </c>
      <c r="H132" s="604">
        <v>-19174.86</v>
      </c>
      <c r="I132" s="609">
        <v>17330.649000000001</v>
      </c>
      <c r="J132" s="605">
        <v>-7.0757381433481061</v>
      </c>
      <c r="K132" s="606">
        <v>449.02560590000002</v>
      </c>
      <c r="L132" s="609">
        <v>270994.48300000001</v>
      </c>
      <c r="M132" s="617">
        <v>67584</v>
      </c>
      <c r="N132" s="617">
        <v>777057</v>
      </c>
      <c r="O132" s="608">
        <v>338.69813282680678</v>
      </c>
      <c r="P132" s="609">
        <v>235195.37899999999</v>
      </c>
      <c r="Q132" s="609">
        <v>263187.755</v>
      </c>
      <c r="R132" s="609">
        <v>262023.53099999999</v>
      </c>
      <c r="S132" s="618">
        <v>99.557645073571138</v>
      </c>
      <c r="T132" s="609">
        <v>252830.66200000001</v>
      </c>
      <c r="U132" s="617">
        <v>363034</v>
      </c>
      <c r="V132" s="617">
        <v>5606.2914303583902</v>
      </c>
      <c r="W132" s="617">
        <v>58111</v>
      </c>
      <c r="X132" s="617">
        <v>6766</v>
      </c>
      <c r="Y132" s="617">
        <v>897.40134893579238</v>
      </c>
      <c r="Z132" s="609">
        <v>8.588678687555424</v>
      </c>
      <c r="AA132" s="609">
        <v>263187.755</v>
      </c>
      <c r="AB132" s="609">
        <v>-390.67399999999907</v>
      </c>
      <c r="AC132" s="609"/>
      <c r="AD132" s="609"/>
      <c r="AE132" s="609"/>
      <c r="AF132" s="609"/>
      <c r="AG132" s="609"/>
      <c r="AH132" s="609">
        <v>178089.87100000001</v>
      </c>
      <c r="AI132" s="609">
        <v>12625.589</v>
      </c>
      <c r="AJ132" s="609">
        <v>0</v>
      </c>
      <c r="AK132" s="609">
        <v>23341.712</v>
      </c>
      <c r="AL132" s="609">
        <v>31168.368999999999</v>
      </c>
      <c r="AM132" s="609">
        <v>15326.129000000001</v>
      </c>
      <c r="AN132" s="609">
        <v>1471.86</v>
      </c>
      <c r="AO132" s="609">
        <v>262023.53099999999</v>
      </c>
      <c r="AP132" s="609">
        <v>2671.8110000000001</v>
      </c>
      <c r="AQ132" s="609">
        <v>259351.72</v>
      </c>
      <c r="AR132" s="609">
        <v>0.98396413160198326</v>
      </c>
      <c r="AS132" s="609">
        <v>6322.6559999999999</v>
      </c>
      <c r="AT132" s="609">
        <v>13974.021000000001</v>
      </c>
      <c r="AU132" s="609">
        <v>5.3016557739632028E-2</v>
      </c>
      <c r="AV132" s="609">
        <v>279648.397</v>
      </c>
      <c r="AW132" s="609">
        <v>-16069.967000000001</v>
      </c>
      <c r="AX132" s="609">
        <v>0</v>
      </c>
      <c r="AY132" s="609" t="s">
        <v>435</v>
      </c>
      <c r="AZ132" s="609" t="s">
        <v>431</v>
      </c>
      <c r="BA132" s="613" t="s">
        <v>551</v>
      </c>
      <c r="BB132" s="614">
        <v>6.3952036248649397E-2</v>
      </c>
      <c r="BC132" s="614">
        <v>-5.9528486984360723E-2</v>
      </c>
      <c r="BD132" s="613" t="s">
        <v>570</v>
      </c>
      <c r="BE132" s="613" t="s">
        <v>570</v>
      </c>
    </row>
    <row r="133" spans="1:57">
      <c r="A133" s="601" t="s">
        <v>90</v>
      </c>
      <c r="B133" s="602" t="s">
        <v>150</v>
      </c>
      <c r="C133" s="601">
        <v>65</v>
      </c>
      <c r="D133" s="601">
        <v>134</v>
      </c>
      <c r="E133" s="603" t="s">
        <v>150</v>
      </c>
      <c r="F133" s="601">
        <v>2015</v>
      </c>
      <c r="G133" s="601" t="s">
        <v>469</v>
      </c>
      <c r="H133" s="604">
        <v>2614.884</v>
      </c>
      <c r="I133" s="609">
        <v>10468.873</v>
      </c>
      <c r="J133" s="605">
        <v>1.3620757930824556</v>
      </c>
      <c r="K133" s="606">
        <v>499.53358229999998</v>
      </c>
      <c r="L133" s="609">
        <v>191977.86300000001</v>
      </c>
      <c r="M133" s="617">
        <v>65524</v>
      </c>
      <c r="N133" s="617">
        <v>768765</v>
      </c>
      <c r="O133" s="608">
        <v>231.58839697436798</v>
      </c>
      <c r="P133" s="609">
        <v>177882.24799999999</v>
      </c>
      <c r="Q133" s="609">
        <v>178037.054</v>
      </c>
      <c r="R133" s="609">
        <v>160561.389</v>
      </c>
      <c r="S133" s="618">
        <v>90.184254003663753</v>
      </c>
      <c r="T133" s="609">
        <v>158559.21599999999</v>
      </c>
      <c r="U133" s="617">
        <v>475282</v>
      </c>
      <c r="V133" s="617">
        <v>7418.8913387055863</v>
      </c>
      <c r="W133" s="617">
        <v>25143</v>
      </c>
      <c r="X133" s="617">
        <v>6752</v>
      </c>
      <c r="Y133" s="617">
        <v>392.46843964020212</v>
      </c>
      <c r="Z133" s="609">
        <v>3.7237855450236967</v>
      </c>
      <c r="AA133" s="609">
        <v>177292.13500000001</v>
      </c>
      <c r="AB133" s="609">
        <v>-154.8059999999823</v>
      </c>
      <c r="AC133" s="609"/>
      <c r="AD133" s="609"/>
      <c r="AE133" s="609"/>
      <c r="AF133" s="609"/>
      <c r="AG133" s="609"/>
      <c r="AH133" s="609">
        <v>96423.997000000003</v>
      </c>
      <c r="AI133" s="609">
        <v>16374.75</v>
      </c>
      <c r="AJ133" s="609">
        <v>5816.8580000000002</v>
      </c>
      <c r="AK133" s="609">
        <v>12746.611999999999</v>
      </c>
      <c r="AL133" s="609">
        <v>27979.421999999999</v>
      </c>
      <c r="AM133" s="609">
        <v>1219.75</v>
      </c>
      <c r="AN133" s="609">
        <v>0</v>
      </c>
      <c r="AO133" s="609">
        <v>160561.389</v>
      </c>
      <c r="AP133" s="609">
        <v>816.63699999999994</v>
      </c>
      <c r="AQ133" s="609">
        <v>159744.75200000001</v>
      </c>
      <c r="AR133" s="609">
        <v>0.90023953695544412</v>
      </c>
      <c r="AS133" s="609">
        <v>7065.9489999999996</v>
      </c>
      <c r="AT133" s="609">
        <v>9296.1869999999999</v>
      </c>
      <c r="AU133" s="609">
        <v>5.2388544697425925E-2</v>
      </c>
      <c r="AV133" s="609">
        <v>176106.88800000001</v>
      </c>
      <c r="AW133" s="609">
        <v>1340.0530000000001</v>
      </c>
      <c r="AX133" s="609">
        <v>0</v>
      </c>
      <c r="AY133" s="609" t="s">
        <v>435</v>
      </c>
      <c r="AZ133" s="609" t="s">
        <v>431</v>
      </c>
      <c r="BA133" s="613" t="s">
        <v>551</v>
      </c>
      <c r="BB133" s="614">
        <v>5.4531667539189137E-2</v>
      </c>
      <c r="BC133" s="652">
        <v>1.3620757930824557E-2</v>
      </c>
      <c r="BD133" s="613" t="s">
        <v>573</v>
      </c>
      <c r="BE133" s="613" t="s">
        <v>573</v>
      </c>
    </row>
    <row r="134" spans="1:57">
      <c r="A134" s="601" t="s">
        <v>69</v>
      </c>
      <c r="B134" s="602" t="s">
        <v>269</v>
      </c>
      <c r="C134" s="601">
        <v>53</v>
      </c>
      <c r="D134" s="601">
        <v>135</v>
      </c>
      <c r="E134" s="603" t="s">
        <v>269</v>
      </c>
      <c r="F134" s="601">
        <v>2015</v>
      </c>
      <c r="G134" s="601" t="s">
        <v>469</v>
      </c>
      <c r="H134" s="604">
        <v>5869.0550000000003</v>
      </c>
      <c r="I134" s="609">
        <v>49602.366000000002</v>
      </c>
      <c r="J134" s="605">
        <v>1.8204226266467849</v>
      </c>
      <c r="K134" s="606">
        <v>303.32922200000002</v>
      </c>
      <c r="L134" s="609">
        <v>322400.68400000001</v>
      </c>
      <c r="M134" s="617">
        <v>62307</v>
      </c>
      <c r="N134" s="617">
        <v>767100</v>
      </c>
      <c r="O134" s="608">
        <v>418.70214183287709</v>
      </c>
      <c r="P134" s="609">
        <v>321186.413</v>
      </c>
      <c r="Q134" s="609">
        <v>321186.413</v>
      </c>
      <c r="R134" s="609">
        <v>263151.511</v>
      </c>
      <c r="S134" s="618">
        <v>81.931084363771021</v>
      </c>
      <c r="T134" s="609">
        <v>253486.92300000001</v>
      </c>
      <c r="U134" s="617">
        <v>425086</v>
      </c>
      <c r="V134" s="617">
        <v>6649.7614391865463</v>
      </c>
      <c r="W134" s="617">
        <v>56852</v>
      </c>
      <c r="X134" s="617">
        <v>10879</v>
      </c>
      <c r="Y134" s="617">
        <v>889.35471255377399</v>
      </c>
      <c r="Z134" s="609">
        <v>5.2258479639672766</v>
      </c>
      <c r="AA134" s="609">
        <v>320431.30499999999</v>
      </c>
      <c r="AB134" s="609">
        <v>1247.1329999999725</v>
      </c>
      <c r="AC134" s="609"/>
      <c r="AD134" s="609"/>
      <c r="AE134" s="609"/>
      <c r="AF134" s="609"/>
      <c r="AG134" s="609"/>
      <c r="AH134" s="609">
        <v>192740.723</v>
      </c>
      <c r="AI134" s="609">
        <v>11939.852000000001</v>
      </c>
      <c r="AJ134" s="609">
        <v>0</v>
      </c>
      <c r="AK134" s="609">
        <v>26329.716</v>
      </c>
      <c r="AL134" s="609">
        <v>31701.361000000001</v>
      </c>
      <c r="AM134" s="609">
        <v>779.00300000000004</v>
      </c>
      <c r="AN134" s="609">
        <v>-339.14400000000001</v>
      </c>
      <c r="AO134" s="609">
        <v>263151.511</v>
      </c>
      <c r="AP134" s="609">
        <v>429.43200000000002</v>
      </c>
      <c r="AQ134" s="609">
        <v>262722.07900000003</v>
      </c>
      <c r="AR134" s="609">
        <v>0.82310497213502176</v>
      </c>
      <c r="AS134" s="609">
        <v>568.51099999999997</v>
      </c>
      <c r="AT134" s="609">
        <v>49232.955999999998</v>
      </c>
      <c r="AU134" s="609">
        <v>0.15424623248548802</v>
      </c>
      <c r="AV134" s="609">
        <v>312523.54599999997</v>
      </c>
      <c r="AW134" s="609">
        <v>6660.6260000000002</v>
      </c>
      <c r="AX134" s="609">
        <v>0</v>
      </c>
      <c r="AY134" s="612" t="s">
        <v>430</v>
      </c>
      <c r="AZ134" s="612" t="s">
        <v>433</v>
      </c>
      <c r="BA134" s="613" t="s">
        <v>551</v>
      </c>
      <c r="BB134" s="614">
        <v>0.15385316614278646</v>
      </c>
      <c r="BC134" s="652">
        <v>1.8204226266467848E-2</v>
      </c>
      <c r="BD134" s="613" t="s">
        <v>573</v>
      </c>
      <c r="BE134" s="613" t="s">
        <v>573</v>
      </c>
    </row>
    <row r="135" spans="1:57">
      <c r="A135" s="601" t="s">
        <v>76</v>
      </c>
      <c r="B135" s="602" t="s">
        <v>418</v>
      </c>
      <c r="C135" s="601">
        <v>1</v>
      </c>
      <c r="D135" s="601">
        <v>137</v>
      </c>
      <c r="E135" s="603" t="s">
        <v>273</v>
      </c>
      <c r="F135" s="601">
        <v>2015</v>
      </c>
      <c r="G135" s="601" t="s">
        <v>567</v>
      </c>
      <c r="H135" s="604">
        <v>-11573.6</v>
      </c>
      <c r="I135" s="604">
        <v>26501.77</v>
      </c>
      <c r="J135" s="605">
        <v>-4.0411185276691493</v>
      </c>
      <c r="K135" s="606">
        <v>275.97203309999998</v>
      </c>
      <c r="L135" s="604">
        <v>286395.95500000002</v>
      </c>
      <c r="M135" s="607">
        <v>59692</v>
      </c>
      <c r="N135" s="607">
        <v>718180</v>
      </c>
      <c r="O135" s="608">
        <v>255.61120053468491</v>
      </c>
      <c r="P135" s="609">
        <v>183574.85200000001</v>
      </c>
      <c r="Q135" s="609">
        <v>183574.85200000001</v>
      </c>
      <c r="R135" s="609">
        <v>155113.15599999999</v>
      </c>
      <c r="S135" s="610">
        <v>84.49586330049172</v>
      </c>
      <c r="T135" s="609">
        <v>150695.685</v>
      </c>
      <c r="U135" s="607">
        <v>493584</v>
      </c>
      <c r="V135" s="607">
        <v>8247.2472082207805</v>
      </c>
      <c r="W135" s="607">
        <v>29065</v>
      </c>
      <c r="X135" s="607">
        <v>5672</v>
      </c>
      <c r="Y135" s="607">
        <v>485.64426745384168</v>
      </c>
      <c r="Z135" s="611">
        <v>5.1242947813822282</v>
      </c>
      <c r="AA135" s="609">
        <v>182868.641</v>
      </c>
      <c r="AB135" s="609">
        <v>0</v>
      </c>
      <c r="AC135" s="609"/>
      <c r="AD135" s="609"/>
      <c r="AE135" s="609"/>
      <c r="AF135" s="609"/>
      <c r="AG135" s="609"/>
      <c r="AH135" s="609">
        <v>143625.62</v>
      </c>
      <c r="AI135" s="609">
        <v>1655.652</v>
      </c>
      <c r="AJ135" s="609">
        <v>0</v>
      </c>
      <c r="AK135" s="609">
        <v>0</v>
      </c>
      <c r="AL135" s="609">
        <v>1360.085</v>
      </c>
      <c r="AM135" s="609">
        <v>7022.0150000000003</v>
      </c>
      <c r="AN135" s="609">
        <v>1449.7840000000001</v>
      </c>
      <c r="AO135" s="609">
        <v>155113.15599999999</v>
      </c>
      <c r="AP135" s="609">
        <v>0</v>
      </c>
      <c r="AQ135" s="609">
        <v>155113.15599999999</v>
      </c>
      <c r="AR135" s="609">
        <v>0.8482217352946807</v>
      </c>
      <c r="AS135" s="609">
        <v>11475.805</v>
      </c>
      <c r="AT135" s="609">
        <v>12290.986999999999</v>
      </c>
      <c r="AU135" s="609">
        <v>6.7212108827341258E-2</v>
      </c>
      <c r="AV135" s="609">
        <v>178879.948</v>
      </c>
      <c r="AW135" s="609">
        <v>3988.6930000000002</v>
      </c>
      <c r="AX135" s="609">
        <v>0</v>
      </c>
      <c r="AY135" s="612" t="s">
        <v>430</v>
      </c>
      <c r="AZ135" s="612" t="s">
        <v>433</v>
      </c>
      <c r="BA135" s="613" t="s">
        <v>551</v>
      </c>
      <c r="BB135" s="614">
        <v>9.2535420062060586E-2</v>
      </c>
      <c r="BC135" s="614">
        <v>6.2505946933022166E-2</v>
      </c>
      <c r="BD135" s="613" t="s">
        <v>575</v>
      </c>
      <c r="BE135" s="613" t="s">
        <v>575</v>
      </c>
    </row>
    <row r="136" spans="1:57">
      <c r="A136" s="601" t="s">
        <v>69</v>
      </c>
      <c r="B136" s="602" t="s">
        <v>227</v>
      </c>
      <c r="C136" s="601">
        <v>33</v>
      </c>
      <c r="D136" s="601">
        <v>138</v>
      </c>
      <c r="E136" s="603" t="s">
        <v>227</v>
      </c>
      <c r="F136" s="601">
        <v>2015</v>
      </c>
      <c r="G136" s="601" t="s">
        <v>469</v>
      </c>
      <c r="H136" s="604">
        <v>37914.752</v>
      </c>
      <c r="I136" s="609">
        <v>34274.152000000002</v>
      </c>
      <c r="J136" s="605">
        <v>14.650940121407338</v>
      </c>
      <c r="K136" s="606">
        <v>96.794031500000003</v>
      </c>
      <c r="L136" s="609">
        <v>258787.16099999999</v>
      </c>
      <c r="M136" s="607">
        <v>0</v>
      </c>
      <c r="N136" s="607">
        <v>716924</v>
      </c>
      <c r="O136" s="608">
        <v>361.14806032438582</v>
      </c>
      <c r="P136" s="609">
        <v>258915.712</v>
      </c>
      <c r="Q136" s="609">
        <v>258915.712</v>
      </c>
      <c r="R136" s="609">
        <v>230892.89</v>
      </c>
      <c r="S136" s="610">
        <v>89.176855362103325</v>
      </c>
      <c r="T136" s="609">
        <v>255785.19899999999</v>
      </c>
      <c r="U136" s="607">
        <v>167673</v>
      </c>
      <c r="V136" s="607">
        <v>2806.5401632530088</v>
      </c>
      <c r="W136" s="607">
        <v>30702</v>
      </c>
      <c r="X136" s="607">
        <v>7484</v>
      </c>
      <c r="Y136" s="607">
        <v>513.89547567106138</v>
      </c>
      <c r="Z136" s="611">
        <v>4.102351683591662</v>
      </c>
      <c r="AA136" s="609">
        <v>258787.16099999999</v>
      </c>
      <c r="AB136" s="609">
        <v>0</v>
      </c>
      <c r="AC136" s="609"/>
      <c r="AD136" s="609"/>
      <c r="AE136" s="609"/>
      <c r="AF136" s="609"/>
      <c r="AG136" s="609"/>
      <c r="AH136" s="609">
        <v>179972.12599999999</v>
      </c>
      <c r="AI136" s="609">
        <v>0</v>
      </c>
      <c r="AJ136" s="609">
        <v>0</v>
      </c>
      <c r="AK136" s="609">
        <v>13307.986000000001</v>
      </c>
      <c r="AL136" s="609">
        <v>32605.11</v>
      </c>
      <c r="AM136" s="609">
        <v>1986.069</v>
      </c>
      <c r="AN136" s="609">
        <v>3021.5990000000002</v>
      </c>
      <c r="AO136" s="609">
        <v>230892.89</v>
      </c>
      <c r="AP136" s="609">
        <v>0</v>
      </c>
      <c r="AQ136" s="609">
        <v>230892.89</v>
      </c>
      <c r="AR136" s="609">
        <v>0.89221153440452183</v>
      </c>
      <c r="AS136" s="609">
        <v>5005.8389999999999</v>
      </c>
      <c r="AT136" s="609">
        <v>34274.152000000002</v>
      </c>
      <c r="AU136" s="609">
        <v>0.13244146992284522</v>
      </c>
      <c r="AV136" s="609">
        <v>270172.88099999999</v>
      </c>
      <c r="AW136" s="609">
        <v>-11385.72</v>
      </c>
      <c r="AX136" s="609">
        <v>0</v>
      </c>
      <c r="AY136" s="612" t="s">
        <v>435</v>
      </c>
      <c r="AZ136" s="612" t="s">
        <v>431</v>
      </c>
      <c r="BA136" s="613" t="s">
        <v>553</v>
      </c>
      <c r="BB136" s="614">
        <v>0.13244146992284522</v>
      </c>
      <c r="BC136" s="652">
        <v>0.14650940121407338</v>
      </c>
      <c r="BD136" s="613" t="s">
        <v>581</v>
      </c>
      <c r="BE136" s="613" t="s">
        <v>581</v>
      </c>
    </row>
    <row r="137" spans="1:57">
      <c r="A137" s="601" t="s">
        <v>59</v>
      </c>
      <c r="B137" s="602" t="s">
        <v>425</v>
      </c>
      <c r="C137" s="601">
        <v>9</v>
      </c>
      <c r="D137" s="601">
        <v>139</v>
      </c>
      <c r="E137" s="603" t="s">
        <v>245</v>
      </c>
      <c r="F137" s="601">
        <v>2015</v>
      </c>
      <c r="G137" s="601" t="s">
        <v>469</v>
      </c>
      <c r="H137" s="604">
        <v>-3611.8389999999999</v>
      </c>
      <c r="I137" s="609">
        <v>18301.460999999999</v>
      </c>
      <c r="J137" s="605">
        <v>-2.3802117403430945</v>
      </c>
      <c r="K137" s="606">
        <v>200.1684788</v>
      </c>
      <c r="L137" s="609">
        <v>151744.44099999999</v>
      </c>
      <c r="M137" s="607">
        <v>60374</v>
      </c>
      <c r="N137" s="607">
        <v>711889</v>
      </c>
      <c r="O137" s="608">
        <v>208.45299899282051</v>
      </c>
      <c r="P137" s="609">
        <v>148395.397</v>
      </c>
      <c r="Q137" s="609">
        <v>148395.397</v>
      </c>
      <c r="R137" s="609">
        <v>132713.16899999999</v>
      </c>
      <c r="S137" s="610">
        <v>89.432133127417686</v>
      </c>
      <c r="T137" s="609">
        <v>139632.984</v>
      </c>
      <c r="U137" s="607">
        <v>415985</v>
      </c>
      <c r="V137" s="607">
        <v>7012.0763208871049</v>
      </c>
      <c r="W137" s="607">
        <v>22424</v>
      </c>
      <c r="X137" s="607">
        <v>6456</v>
      </c>
      <c r="Y137" s="607">
        <v>377.99151272178671</v>
      </c>
      <c r="Z137" s="611">
        <v>3.4733581164807932</v>
      </c>
      <c r="AA137" s="609">
        <v>147955.505</v>
      </c>
      <c r="AB137" s="609">
        <v>-438.28699999998207</v>
      </c>
      <c r="AC137" s="609"/>
      <c r="AD137" s="609"/>
      <c r="AE137" s="609"/>
      <c r="AF137" s="609"/>
      <c r="AG137" s="609"/>
      <c r="AH137" s="609">
        <v>124536.19899999999</v>
      </c>
      <c r="AI137" s="609">
        <v>1227.6410000000001</v>
      </c>
      <c r="AJ137" s="609">
        <v>3433.529</v>
      </c>
      <c r="AK137" s="609">
        <v>2919.1390000000001</v>
      </c>
      <c r="AL137" s="609">
        <v>10.275</v>
      </c>
      <c r="AM137" s="609">
        <v>25.242000000000001</v>
      </c>
      <c r="AN137" s="609">
        <v>561.14400000000001</v>
      </c>
      <c r="AO137" s="609">
        <v>132713.16899999999</v>
      </c>
      <c r="AP137" s="609">
        <v>338.18799999999999</v>
      </c>
      <c r="AQ137" s="609">
        <v>132374.981</v>
      </c>
      <c r="AR137" s="609">
        <v>0.89205201387400368</v>
      </c>
      <c r="AS137" s="609">
        <v>959.88599999999997</v>
      </c>
      <c r="AT137" s="609">
        <v>17774.382000000001</v>
      </c>
      <c r="AU137" s="609">
        <v>0.1197784742908922</v>
      </c>
      <c r="AV137" s="609">
        <v>151109.24900000001</v>
      </c>
      <c r="AW137" s="609">
        <v>-2715.4569999999999</v>
      </c>
      <c r="AX137" s="609">
        <v>0</v>
      </c>
      <c r="AY137" s="612" t="s">
        <v>430</v>
      </c>
      <c r="AZ137" s="612" t="s">
        <v>433</v>
      </c>
      <c r="BA137" s="613" t="s">
        <v>551</v>
      </c>
      <c r="BB137" s="614">
        <v>0.12060712655694583</v>
      </c>
      <c r="BC137" s="652">
        <v>-2.3802117403430946E-2</v>
      </c>
      <c r="BD137" s="613" t="s">
        <v>572</v>
      </c>
      <c r="BE137" s="613" t="s">
        <v>572</v>
      </c>
    </row>
    <row r="138" spans="1:57">
      <c r="A138" s="601" t="s">
        <v>78</v>
      </c>
      <c r="B138" s="603" t="s">
        <v>422</v>
      </c>
      <c r="C138" s="601">
        <v>5</v>
      </c>
      <c r="D138" s="601">
        <v>140</v>
      </c>
      <c r="E138" s="603" t="s">
        <v>291</v>
      </c>
      <c r="F138" s="601">
        <v>2015</v>
      </c>
      <c r="G138" s="601" t="s">
        <v>469</v>
      </c>
      <c r="H138" s="604">
        <v>1340.596</v>
      </c>
      <c r="I138" s="604">
        <v>42731.712</v>
      </c>
      <c r="J138" s="605">
        <v>0.38300908134212064</v>
      </c>
      <c r="K138" s="606">
        <v>394.64614779999999</v>
      </c>
      <c r="L138" s="604">
        <v>350016.766</v>
      </c>
      <c r="M138" s="607">
        <v>56393</v>
      </c>
      <c r="N138" s="607">
        <v>710522</v>
      </c>
      <c r="O138" s="608">
        <v>479.35699668694286</v>
      </c>
      <c r="P138" s="609">
        <v>340593.69199999998</v>
      </c>
      <c r="Q138" s="609">
        <v>340593.69199999998</v>
      </c>
      <c r="R138" s="609">
        <v>289588.16700000002</v>
      </c>
      <c r="S138" s="610">
        <v>85.024524470641126</v>
      </c>
      <c r="T138" s="609">
        <v>270304.37599999999</v>
      </c>
      <c r="U138" s="607">
        <v>341247</v>
      </c>
      <c r="V138" s="607">
        <v>5763.3176734851277</v>
      </c>
      <c r="W138" s="607">
        <v>106870</v>
      </c>
      <c r="X138" s="607">
        <v>8454</v>
      </c>
      <c r="Y138" s="607">
        <v>1804.9265188129291</v>
      </c>
      <c r="Z138" s="611">
        <v>12.641353205583156</v>
      </c>
      <c r="AA138" s="609">
        <v>340541.09299999999</v>
      </c>
      <c r="AB138" s="609">
        <v>0</v>
      </c>
      <c r="AC138" s="609"/>
      <c r="AD138" s="609"/>
      <c r="AE138" s="609"/>
      <c r="AF138" s="609"/>
      <c r="AG138" s="609"/>
      <c r="AH138" s="609">
        <v>214574.01</v>
      </c>
      <c r="AI138" s="609">
        <v>9737.3349999999991</v>
      </c>
      <c r="AJ138" s="609">
        <v>0</v>
      </c>
      <c r="AK138" s="609">
        <v>20999.863000000001</v>
      </c>
      <c r="AL138" s="609">
        <v>44276.961000000003</v>
      </c>
      <c r="AM138" s="609">
        <v>0</v>
      </c>
      <c r="AN138" s="609">
        <v>0</v>
      </c>
      <c r="AO138" s="609">
        <v>289588.16899999999</v>
      </c>
      <c r="AP138" s="609">
        <v>0</v>
      </c>
      <c r="AQ138" s="609">
        <v>289588.16899999999</v>
      </c>
      <c r="AR138" s="609">
        <v>0.85037657702003089</v>
      </c>
      <c r="AS138" s="609">
        <v>6883.8339999999998</v>
      </c>
      <c r="AT138" s="609">
        <v>41698.373</v>
      </c>
      <c r="AU138" s="609">
        <v>0.1224474046073494</v>
      </c>
      <c r="AV138" s="609">
        <v>338170.37599999999</v>
      </c>
      <c r="AW138" s="609">
        <v>2370.7170000000001</v>
      </c>
      <c r="AX138" s="609">
        <v>0</v>
      </c>
      <c r="AY138" s="612" t="s">
        <v>430</v>
      </c>
      <c r="AZ138" s="612" t="s">
        <v>433</v>
      </c>
      <c r="BA138" s="613" t="s">
        <v>551</v>
      </c>
      <c r="BB138" s="614">
        <v>0.1220847575055876</v>
      </c>
      <c r="BC138" s="652">
        <v>3.8300908134212062E-3</v>
      </c>
      <c r="BD138" s="613" t="s">
        <v>573</v>
      </c>
      <c r="BE138" s="613" t="s">
        <v>573</v>
      </c>
    </row>
    <row r="139" spans="1:57">
      <c r="A139" s="601" t="s">
        <v>92</v>
      </c>
      <c r="B139" s="602" t="s">
        <v>159</v>
      </c>
      <c r="C139" s="601">
        <v>61</v>
      </c>
      <c r="D139" s="601">
        <v>141</v>
      </c>
      <c r="E139" s="603" t="s">
        <v>159</v>
      </c>
      <c r="F139" s="601">
        <v>2015</v>
      </c>
      <c r="G139" s="601" t="s">
        <v>469</v>
      </c>
      <c r="H139" s="604">
        <v>1868.3920000000001</v>
      </c>
      <c r="I139" s="609">
        <v>10066.666999999999</v>
      </c>
      <c r="J139" s="605">
        <v>0.9904290556616091</v>
      </c>
      <c r="K139" s="606">
        <v>817.99236150000002</v>
      </c>
      <c r="L139" s="609">
        <v>188644.70800000001</v>
      </c>
      <c r="M139" s="617">
        <v>58429</v>
      </c>
      <c r="N139" s="617">
        <v>706089</v>
      </c>
      <c r="O139" s="608">
        <v>268.68729437790421</v>
      </c>
      <c r="P139" s="609">
        <v>189717.14300000001</v>
      </c>
      <c r="Q139" s="609">
        <v>189717.14300000001</v>
      </c>
      <c r="R139" s="609">
        <v>165856.29</v>
      </c>
      <c r="S139" s="618">
        <v>87.422932570727141</v>
      </c>
      <c r="T139" s="609">
        <v>163061.519</v>
      </c>
      <c r="U139" s="617">
        <v>432579</v>
      </c>
      <c r="V139" s="617">
        <v>7351.6907925204896</v>
      </c>
      <c r="W139" s="617">
        <v>23973</v>
      </c>
      <c r="X139" s="617">
        <v>5804</v>
      </c>
      <c r="Y139" s="617">
        <v>407.42172728933605</v>
      </c>
      <c r="Z139" s="609">
        <v>4.1304272915230875</v>
      </c>
      <c r="AA139" s="609">
        <v>188644.70800000001</v>
      </c>
      <c r="AB139" s="609">
        <v>0</v>
      </c>
      <c r="AC139" s="609"/>
      <c r="AD139" s="609"/>
      <c r="AE139" s="609"/>
      <c r="AF139" s="609"/>
      <c r="AG139" s="609"/>
      <c r="AH139" s="609">
        <v>111261.698</v>
      </c>
      <c r="AI139" s="609">
        <v>4376.67</v>
      </c>
      <c r="AJ139" s="609">
        <v>0</v>
      </c>
      <c r="AK139" s="609">
        <v>11153.617</v>
      </c>
      <c r="AL139" s="609">
        <v>38826.25</v>
      </c>
      <c r="AM139" s="609">
        <v>0</v>
      </c>
      <c r="AN139" s="609">
        <v>238.05500000000001</v>
      </c>
      <c r="AO139" s="609">
        <v>165856.29</v>
      </c>
      <c r="AP139" s="609">
        <v>2676.55</v>
      </c>
      <c r="AQ139" s="609">
        <v>163179.74</v>
      </c>
      <c r="AR139" s="609">
        <v>0.8650109601802346</v>
      </c>
      <c r="AS139" s="609">
        <v>13583.992</v>
      </c>
      <c r="AT139" s="609">
        <v>10066.666999999999</v>
      </c>
      <c r="AU139" s="609">
        <v>5.3363103087948796E-2</v>
      </c>
      <c r="AV139" s="609">
        <v>186830.399</v>
      </c>
      <c r="AW139" s="609">
        <v>1814.309</v>
      </c>
      <c r="AX139" s="609">
        <v>0</v>
      </c>
      <c r="AY139" s="609" t="s">
        <v>435</v>
      </c>
      <c r="AZ139" s="609" t="s">
        <v>431</v>
      </c>
      <c r="BA139" s="613" t="s">
        <v>551</v>
      </c>
      <c r="BB139" s="614">
        <v>5.3363103087948796E-2</v>
      </c>
      <c r="BC139" s="652">
        <v>9.9042905566160914E-3</v>
      </c>
      <c r="BD139" s="613" t="s">
        <v>573</v>
      </c>
      <c r="BE139" s="613" t="s">
        <v>573</v>
      </c>
    </row>
    <row r="140" spans="1:57">
      <c r="A140" s="601" t="s">
        <v>95</v>
      </c>
      <c r="B140" s="602" t="s">
        <v>167</v>
      </c>
      <c r="C140" s="601">
        <v>73</v>
      </c>
      <c r="D140" s="601">
        <v>142</v>
      </c>
      <c r="E140" s="603" t="s">
        <v>167</v>
      </c>
      <c r="F140" s="601">
        <v>2015</v>
      </c>
      <c r="G140" s="601" t="s">
        <v>567</v>
      </c>
      <c r="H140" s="604">
        <v>18605.776999999998</v>
      </c>
      <c r="I140" s="609">
        <v>89910.805999999997</v>
      </c>
      <c r="J140" s="605">
        <v>1.6063146378665027</v>
      </c>
      <c r="K140" s="606">
        <v>485.94889169999999</v>
      </c>
      <c r="L140" s="609">
        <v>1158289.7</v>
      </c>
      <c r="M140" s="617">
        <v>55691</v>
      </c>
      <c r="N140" s="617">
        <v>662287</v>
      </c>
      <c r="O140" s="608">
        <v>181.57304763644765</v>
      </c>
      <c r="P140" s="609">
        <v>120253.469</v>
      </c>
      <c r="Q140" s="609">
        <v>120253.469</v>
      </c>
      <c r="R140" s="609">
        <v>90843.392000000007</v>
      </c>
      <c r="S140" s="618">
        <v>75.543261043055665</v>
      </c>
      <c r="T140" s="609">
        <v>88157.971999999994</v>
      </c>
      <c r="U140" s="617">
        <v>0</v>
      </c>
      <c r="V140" s="617">
        <v>0</v>
      </c>
      <c r="W140" s="617">
        <v>15774</v>
      </c>
      <c r="X140" s="617">
        <v>4270</v>
      </c>
      <c r="Y140" s="617">
        <v>285.80962634024223</v>
      </c>
      <c r="Z140" s="609">
        <v>3.6941451990632319</v>
      </c>
      <c r="AA140" s="609">
        <v>120253.469</v>
      </c>
      <c r="AB140" s="609">
        <v>0</v>
      </c>
      <c r="AC140" s="609"/>
      <c r="AD140" s="609"/>
      <c r="AE140" s="609"/>
      <c r="AF140" s="609"/>
      <c r="AG140" s="609"/>
      <c r="AH140" s="609">
        <v>78680.956000000006</v>
      </c>
      <c r="AI140" s="609">
        <v>655.15499999999997</v>
      </c>
      <c r="AJ140" s="609">
        <v>6021.7470000000003</v>
      </c>
      <c r="AK140" s="609">
        <v>5485.5339999999997</v>
      </c>
      <c r="AL140" s="609">
        <v>0</v>
      </c>
      <c r="AM140" s="609">
        <v>0</v>
      </c>
      <c r="AN140" s="609">
        <v>0</v>
      </c>
      <c r="AO140" s="609">
        <v>90843.392000000007</v>
      </c>
      <c r="AP140" s="609">
        <v>16.300999999999998</v>
      </c>
      <c r="AQ140" s="609">
        <v>90827.091</v>
      </c>
      <c r="AR140" s="609">
        <v>0.75529705508952927</v>
      </c>
      <c r="AS140" s="609">
        <v>2659.9470000000001</v>
      </c>
      <c r="AT140" s="609">
        <v>11468.907999999999</v>
      </c>
      <c r="AU140" s="609">
        <v>9.5372782967283881E-2</v>
      </c>
      <c r="AV140" s="609">
        <v>104955.946</v>
      </c>
      <c r="AW140" s="609">
        <v>15297.522999999999</v>
      </c>
      <c r="AX140" s="609">
        <v>0</v>
      </c>
      <c r="AY140" s="609" t="s">
        <v>435</v>
      </c>
      <c r="AZ140" s="609" t="s">
        <v>431</v>
      </c>
      <c r="BA140" s="613" t="s">
        <v>551</v>
      </c>
      <c r="BB140" s="614">
        <v>7.762376372681204E-2</v>
      </c>
      <c r="BC140" s="614">
        <v>0.16694362584263131</v>
      </c>
      <c r="BD140" s="613" t="s">
        <v>582</v>
      </c>
      <c r="BE140" s="613" t="s">
        <v>582</v>
      </c>
    </row>
    <row r="141" spans="1:57">
      <c r="A141" s="601" t="s">
        <v>94</v>
      </c>
      <c r="B141" s="602" t="s">
        <v>145</v>
      </c>
      <c r="C141" s="601" t="s">
        <v>20</v>
      </c>
      <c r="D141" s="601">
        <v>143</v>
      </c>
      <c r="E141" s="603" t="s">
        <v>145</v>
      </c>
      <c r="F141" s="601">
        <v>2015</v>
      </c>
      <c r="G141" s="601" t="s">
        <v>469</v>
      </c>
      <c r="H141" s="609">
        <v>3907.2869999999998</v>
      </c>
      <c r="I141" s="609">
        <v>17876.261999999999</v>
      </c>
      <c r="J141" s="615">
        <v>2.7104133305636937</v>
      </c>
      <c r="K141" s="616">
        <v>408.36282940000001</v>
      </c>
      <c r="L141" s="609">
        <v>144158.345</v>
      </c>
      <c r="M141" s="617">
        <v>55730</v>
      </c>
      <c r="N141" s="617">
        <v>625787</v>
      </c>
      <c r="O141" s="608">
        <v>228.15059596955513</v>
      </c>
      <c r="P141" s="609">
        <v>142773.677</v>
      </c>
      <c r="Q141" s="609">
        <v>142773.677</v>
      </c>
      <c r="R141" s="609">
        <v>131977.981</v>
      </c>
      <c r="S141" s="618">
        <v>92.43859496593339</v>
      </c>
      <c r="T141" s="609">
        <v>129387.141</v>
      </c>
      <c r="U141" s="617">
        <v>264854</v>
      </c>
      <c r="V141" s="617">
        <v>5078.8015730592042</v>
      </c>
      <c r="W141" s="617">
        <v>16010</v>
      </c>
      <c r="X141" s="617">
        <v>4963</v>
      </c>
      <c r="Y141" s="617">
        <v>307.00541877667644</v>
      </c>
      <c r="Z141" s="609">
        <v>3.225871448720532</v>
      </c>
      <c r="AA141" s="609">
        <v>141986.984</v>
      </c>
      <c r="AB141" s="609">
        <v>0</v>
      </c>
      <c r="AC141" s="609"/>
      <c r="AD141" s="609"/>
      <c r="AE141" s="609"/>
      <c r="AF141" s="609"/>
      <c r="AG141" s="609"/>
      <c r="AH141" s="609">
        <v>95905.975000000006</v>
      </c>
      <c r="AI141" s="609">
        <v>0</v>
      </c>
      <c r="AJ141" s="609">
        <v>0</v>
      </c>
      <c r="AK141" s="609">
        <v>5709.8069999999998</v>
      </c>
      <c r="AL141" s="609">
        <v>30362.199000000001</v>
      </c>
      <c r="AM141" s="609">
        <v>0</v>
      </c>
      <c r="AN141" s="609">
        <v>0</v>
      </c>
      <c r="AO141" s="609">
        <v>131977.981</v>
      </c>
      <c r="AP141" s="609">
        <v>674.27700000000004</v>
      </c>
      <c r="AQ141" s="609">
        <v>131303.704</v>
      </c>
      <c r="AR141" s="609">
        <v>0.92475873704029099</v>
      </c>
      <c r="AS141" s="609">
        <v>5096.741</v>
      </c>
      <c r="AT141" s="609">
        <v>17371.062999999998</v>
      </c>
      <c r="AU141" s="609">
        <v>0.1223426437454295</v>
      </c>
      <c r="AV141" s="609">
        <v>153771.508</v>
      </c>
      <c r="AW141" s="609">
        <v>-11784.523999999999</v>
      </c>
      <c r="AX141" s="609">
        <v>0</v>
      </c>
      <c r="AY141" s="601" t="s">
        <v>435</v>
      </c>
      <c r="AZ141" s="609" t="s">
        <v>431</v>
      </c>
      <c r="BA141" s="613" t="s">
        <v>551</v>
      </c>
      <c r="BB141" s="614">
        <v>0.12400435091010513</v>
      </c>
      <c r="BC141" s="652">
        <v>2.7104133305636938E-2</v>
      </c>
      <c r="BD141" s="613" t="s">
        <v>574</v>
      </c>
      <c r="BE141" s="613" t="s">
        <v>574</v>
      </c>
    </row>
    <row r="142" spans="1:57">
      <c r="A142" s="601" t="s">
        <v>56</v>
      </c>
      <c r="B142" s="602" t="s">
        <v>228</v>
      </c>
      <c r="C142" s="601">
        <v>43</v>
      </c>
      <c r="D142" s="601">
        <v>144</v>
      </c>
      <c r="E142" s="603" t="s">
        <v>228</v>
      </c>
      <c r="F142" s="601">
        <v>2015</v>
      </c>
      <c r="G142" s="601" t="s">
        <v>567</v>
      </c>
      <c r="H142" s="604">
        <v>46054.71</v>
      </c>
      <c r="I142" s="609">
        <v>223274.842</v>
      </c>
      <c r="J142" s="605">
        <v>2.0806285753902096</v>
      </c>
      <c r="K142" s="606">
        <v>459.65726360000002</v>
      </c>
      <c r="L142" s="609">
        <v>2213499.8309999998</v>
      </c>
      <c r="M142" s="620">
        <v>53122</v>
      </c>
      <c r="N142" s="607">
        <v>624169</v>
      </c>
      <c r="O142" s="608">
        <v>1329.8404598754505</v>
      </c>
      <c r="P142" s="609">
        <v>825835.34</v>
      </c>
      <c r="Q142" s="609">
        <v>830045.19</v>
      </c>
      <c r="R142" s="609">
        <v>699916.78899999999</v>
      </c>
      <c r="S142" s="610">
        <v>84.322732958671821</v>
      </c>
      <c r="T142" s="609">
        <v>689271.99300000002</v>
      </c>
      <c r="U142" s="607">
        <v>1702866</v>
      </c>
      <c r="V142" s="607">
        <v>32738.556384568921</v>
      </c>
      <c r="W142" s="607">
        <v>30112</v>
      </c>
      <c r="X142" s="607">
        <v>5572</v>
      </c>
      <c r="Y142" s="607">
        <v>578.92013220778347</v>
      </c>
      <c r="Z142" s="611">
        <v>5.4041636755204596</v>
      </c>
      <c r="AA142" s="609">
        <v>825835.34</v>
      </c>
      <c r="AB142" s="609">
        <v>-4203.7690000000875</v>
      </c>
      <c r="AC142" s="609"/>
      <c r="AD142" s="609"/>
      <c r="AE142" s="609"/>
      <c r="AF142" s="609"/>
      <c r="AG142" s="609"/>
      <c r="AH142" s="609">
        <v>500069.43</v>
      </c>
      <c r="AI142" s="609">
        <v>4687.098</v>
      </c>
      <c r="AJ142" s="609">
        <v>74306.228000000003</v>
      </c>
      <c r="AK142" s="609">
        <v>14733.727000000001</v>
      </c>
      <c r="AL142" s="609">
        <v>104928.87699999999</v>
      </c>
      <c r="AM142" s="609">
        <v>0</v>
      </c>
      <c r="AN142" s="609">
        <v>1191.4290000000001</v>
      </c>
      <c r="AO142" s="609">
        <v>699916.78899999999</v>
      </c>
      <c r="AP142" s="609">
        <v>0</v>
      </c>
      <c r="AQ142" s="609">
        <v>699916.78899999999</v>
      </c>
      <c r="AR142" s="609">
        <v>0.84323350720574297</v>
      </c>
      <c r="AS142" s="609">
        <v>56826.300999999999</v>
      </c>
      <c r="AT142" s="609">
        <v>103244.902</v>
      </c>
      <c r="AU142" s="609">
        <v>0.12438558723381792</v>
      </c>
      <c r="AV142" s="609">
        <v>829742.94499999995</v>
      </c>
      <c r="AW142" s="609">
        <v>296.16399999999999</v>
      </c>
      <c r="AX142" s="609">
        <v>0</v>
      </c>
      <c r="AY142" s="612" t="s">
        <v>430</v>
      </c>
      <c r="AZ142" s="612" t="s">
        <v>433</v>
      </c>
      <c r="BA142" s="613" t="s">
        <v>551</v>
      </c>
      <c r="BB142" s="614">
        <v>0.10086959975015242</v>
      </c>
      <c r="BC142" s="614">
        <v>5.5903070663129384E-2</v>
      </c>
      <c r="BD142" s="613" t="s">
        <v>575</v>
      </c>
      <c r="BE142" s="613" t="s">
        <v>575</v>
      </c>
    </row>
    <row r="143" spans="1:57">
      <c r="A143" s="601" t="s">
        <v>66</v>
      </c>
      <c r="B143" s="603" t="s">
        <v>419</v>
      </c>
      <c r="C143" s="601">
        <v>2</v>
      </c>
      <c r="D143" s="601">
        <v>145</v>
      </c>
      <c r="E143" s="603" t="s">
        <v>204</v>
      </c>
      <c r="F143" s="601">
        <v>2015</v>
      </c>
      <c r="G143" s="601" t="s">
        <v>469</v>
      </c>
      <c r="H143" s="604">
        <v>26599.173999999999</v>
      </c>
      <c r="I143" s="604">
        <v>21295.244999999999</v>
      </c>
      <c r="J143" s="605">
        <v>12.085404316103602</v>
      </c>
      <c r="K143" s="606">
        <v>1029.6441652999999</v>
      </c>
      <c r="L143" s="604">
        <v>220093.37299999999</v>
      </c>
      <c r="M143" s="607">
        <v>49051</v>
      </c>
      <c r="N143" s="607">
        <v>565620</v>
      </c>
      <c r="O143" s="608">
        <v>388.55975036243416</v>
      </c>
      <c r="P143" s="609">
        <v>219777.166</v>
      </c>
      <c r="Q143" s="609">
        <v>219777.166</v>
      </c>
      <c r="R143" s="609">
        <v>146617.152</v>
      </c>
      <c r="S143" s="610">
        <v>66.711731099490109</v>
      </c>
      <c r="T143" s="609">
        <v>141480.848</v>
      </c>
      <c r="U143" s="607">
        <v>184247</v>
      </c>
      <c r="V143" s="607">
        <v>3908.9211838336691</v>
      </c>
      <c r="W143" s="607">
        <v>18199</v>
      </c>
      <c r="X143" s="607">
        <v>3399</v>
      </c>
      <c r="Y143" s="607">
        <v>386.10374456348785</v>
      </c>
      <c r="Z143" s="611">
        <v>5.3542218299499851</v>
      </c>
      <c r="AA143" s="609">
        <v>217209.25099999999</v>
      </c>
      <c r="AB143" s="609">
        <v>0</v>
      </c>
      <c r="AC143" s="609"/>
      <c r="AD143" s="609"/>
      <c r="AE143" s="609"/>
      <c r="AF143" s="609"/>
      <c r="AG143" s="609"/>
      <c r="AH143" s="609">
        <v>73563.395999999993</v>
      </c>
      <c r="AI143" s="609">
        <v>30672.287</v>
      </c>
      <c r="AJ143" s="609">
        <v>0</v>
      </c>
      <c r="AK143" s="609">
        <v>16917.589</v>
      </c>
      <c r="AL143" s="609">
        <v>25583.68</v>
      </c>
      <c r="AM143" s="609">
        <v>0</v>
      </c>
      <c r="AN143" s="609">
        <v>-119.8</v>
      </c>
      <c r="AO143" s="609">
        <v>146617.152</v>
      </c>
      <c r="AP143" s="609">
        <v>-20</v>
      </c>
      <c r="AQ143" s="609">
        <v>146637.152</v>
      </c>
      <c r="AR143" s="609">
        <v>0.67509625545368701</v>
      </c>
      <c r="AS143" s="609">
        <v>6555.0259999999998</v>
      </c>
      <c r="AT143" s="609">
        <v>20882.467000000001</v>
      </c>
      <c r="AU143" s="609">
        <v>9.6139860083583648E-2</v>
      </c>
      <c r="AV143" s="609">
        <v>174074.64499999999</v>
      </c>
      <c r="AW143" s="609">
        <v>43134.606</v>
      </c>
      <c r="AX143" s="609">
        <v>0</v>
      </c>
      <c r="AY143" s="612" t="s">
        <v>430</v>
      </c>
      <c r="AZ143" s="612" t="s">
        <v>433</v>
      </c>
      <c r="BA143" s="613" t="s">
        <v>554</v>
      </c>
      <c r="BB143" s="614">
        <v>9.6755502947378613E-2</v>
      </c>
      <c r="BC143" s="652">
        <v>0.12085404316103603</v>
      </c>
      <c r="BD143" s="613" t="s">
        <v>581</v>
      </c>
      <c r="BE143" s="613" t="s">
        <v>581</v>
      </c>
    </row>
    <row r="144" spans="1:57">
      <c r="A144" s="601" t="s">
        <v>58</v>
      </c>
      <c r="B144" s="603" t="s">
        <v>422</v>
      </c>
      <c r="C144" s="601">
        <v>5</v>
      </c>
      <c r="D144" s="601">
        <v>146</v>
      </c>
      <c r="E144" s="603" t="s">
        <v>289</v>
      </c>
      <c r="F144" s="601">
        <v>2015</v>
      </c>
      <c r="G144" s="601" t="s">
        <v>567</v>
      </c>
      <c r="H144" s="604">
        <v>1021.783</v>
      </c>
      <c r="I144" s="604">
        <v>76085.638999999996</v>
      </c>
      <c r="J144" s="605">
        <v>0.13820321112293529</v>
      </c>
      <c r="K144" s="606">
        <v>353.84298280000002</v>
      </c>
      <c r="L144" s="604">
        <v>739333.76199999999</v>
      </c>
      <c r="M144" s="607">
        <v>49042</v>
      </c>
      <c r="N144" s="607">
        <v>564775</v>
      </c>
      <c r="O144" s="608">
        <v>921.08494710282855</v>
      </c>
      <c r="P144" s="609">
        <v>520205.75099999999</v>
      </c>
      <c r="Q144" s="609">
        <v>520205.75099999999</v>
      </c>
      <c r="R144" s="609">
        <v>451147.35399999999</v>
      </c>
      <c r="S144" s="610">
        <v>86.724791706503069</v>
      </c>
      <c r="T144" s="609">
        <v>449485.01</v>
      </c>
      <c r="U144" s="607">
        <v>201722</v>
      </c>
      <c r="V144" s="607">
        <v>4286.067903147271</v>
      </c>
      <c r="W144" s="607">
        <v>76957</v>
      </c>
      <c r="X144" s="607">
        <v>13492</v>
      </c>
      <c r="Y144" s="607">
        <v>1635.1361161524501</v>
      </c>
      <c r="Z144" s="611">
        <v>5.7038986065816779</v>
      </c>
      <c r="AA144" s="609">
        <v>520112.67200000002</v>
      </c>
      <c r="AB144" s="609">
        <v>0</v>
      </c>
      <c r="AC144" s="609"/>
      <c r="AD144" s="609"/>
      <c r="AE144" s="609"/>
      <c r="AF144" s="609"/>
      <c r="AG144" s="609"/>
      <c r="AH144" s="609">
        <v>354076.73200000002</v>
      </c>
      <c r="AI144" s="609">
        <v>11356.585999999999</v>
      </c>
      <c r="AJ144" s="609">
        <v>0</v>
      </c>
      <c r="AK144" s="609">
        <v>17220.423999999999</v>
      </c>
      <c r="AL144" s="609">
        <v>68493.611999999994</v>
      </c>
      <c r="AM144" s="609">
        <v>0</v>
      </c>
      <c r="AN144" s="609">
        <v>0</v>
      </c>
      <c r="AO144" s="609">
        <v>451147.35399999999</v>
      </c>
      <c r="AP144" s="609">
        <v>918.32600000000002</v>
      </c>
      <c r="AQ144" s="609">
        <v>450229.02799999999</v>
      </c>
      <c r="AR144" s="609">
        <v>0.86563749017828195</v>
      </c>
      <c r="AS144" s="609">
        <v>10034.23</v>
      </c>
      <c r="AT144" s="609">
        <v>44628.135000000002</v>
      </c>
      <c r="AU144" s="609">
        <v>8.5804744630409616E-2</v>
      </c>
      <c r="AV144" s="609">
        <v>504891.39299999998</v>
      </c>
      <c r="AW144" s="609">
        <v>15221.279</v>
      </c>
      <c r="AX144" s="609">
        <v>0</v>
      </c>
      <c r="AY144" s="612" t="s">
        <v>430</v>
      </c>
      <c r="AZ144" s="612" t="s">
        <v>433</v>
      </c>
      <c r="BA144" s="613" t="s">
        <v>554</v>
      </c>
      <c r="BB144" s="614">
        <v>0.10291108415525058</v>
      </c>
      <c r="BC144" s="614">
        <v>2.9840998779718741E-2</v>
      </c>
      <c r="BD144" s="613" t="s">
        <v>574</v>
      </c>
      <c r="BE144" s="613" t="s">
        <v>574</v>
      </c>
    </row>
    <row r="145" spans="1:57">
      <c r="A145" s="601" t="s">
        <v>96</v>
      </c>
      <c r="B145" s="602" t="s">
        <v>225</v>
      </c>
      <c r="C145" s="601">
        <v>70</v>
      </c>
      <c r="D145" s="601">
        <v>147</v>
      </c>
      <c r="E145" s="603" t="s">
        <v>225</v>
      </c>
      <c r="F145" s="601">
        <v>2015</v>
      </c>
      <c r="G145" s="601" t="s">
        <v>567</v>
      </c>
      <c r="H145" s="604">
        <v>-8378.5329999999994</v>
      </c>
      <c r="I145" s="609">
        <v>32300.627</v>
      </c>
      <c r="J145" s="605">
        <v>-2.0551884345513147</v>
      </c>
      <c r="K145" s="606">
        <v>918.00803689999998</v>
      </c>
      <c r="L145" s="609">
        <v>407677.11900000001</v>
      </c>
      <c r="M145" s="617">
        <v>67735</v>
      </c>
      <c r="N145" s="617">
        <v>552293</v>
      </c>
      <c r="O145" s="608">
        <v>265.98395779052061</v>
      </c>
      <c r="P145" s="609">
        <v>146901.07800000001</v>
      </c>
      <c r="Q145" s="609">
        <v>146901.07800000001</v>
      </c>
      <c r="R145" s="609">
        <v>141350.573</v>
      </c>
      <c r="S145" s="618">
        <v>96.221603629076156</v>
      </c>
      <c r="T145" s="609">
        <v>120292.98699999999</v>
      </c>
      <c r="U145" s="617">
        <v>245195</v>
      </c>
      <c r="V145" s="617">
        <v>5327.4982663187839</v>
      </c>
      <c r="W145" s="617">
        <v>15984</v>
      </c>
      <c r="X145" s="617">
        <v>1997</v>
      </c>
      <c r="Y145" s="617">
        <v>347.29391826439951</v>
      </c>
      <c r="Z145" s="609">
        <v>8.004006009013521</v>
      </c>
      <c r="AA145" s="609">
        <v>146648.995</v>
      </c>
      <c r="AB145" s="609">
        <v>8359.622000000003</v>
      </c>
      <c r="AC145" s="609"/>
      <c r="AD145" s="609"/>
      <c r="AE145" s="609"/>
      <c r="AF145" s="609"/>
      <c r="AG145" s="609"/>
      <c r="AH145" s="609">
        <v>79696.785999999993</v>
      </c>
      <c r="AI145" s="609">
        <v>20567.236000000001</v>
      </c>
      <c r="AJ145" s="609">
        <v>0</v>
      </c>
      <c r="AK145" s="609">
        <v>11605.739</v>
      </c>
      <c r="AL145" s="609">
        <v>38553.606</v>
      </c>
      <c r="AM145" s="609">
        <v>-9072.7939999999999</v>
      </c>
      <c r="AN145" s="609">
        <v>0</v>
      </c>
      <c r="AO145" s="609">
        <v>141350.573</v>
      </c>
      <c r="AP145" s="609">
        <v>342.91199999999998</v>
      </c>
      <c r="AQ145" s="609">
        <v>141007.66099999999</v>
      </c>
      <c r="AR145" s="609">
        <v>1.0196565212570601</v>
      </c>
      <c r="AS145" s="609">
        <v>2116.1610000000001</v>
      </c>
      <c r="AT145" s="609">
        <v>6277.5429999999997</v>
      </c>
      <c r="AU145" s="609">
        <v>4.5394254553457261E-2</v>
      </c>
      <c r="AV145" s="609">
        <v>149401.36499999999</v>
      </c>
      <c r="AW145" s="609">
        <v>-11111.992</v>
      </c>
      <c r="AX145" s="609">
        <v>0</v>
      </c>
      <c r="AY145" s="612" t="s">
        <v>430</v>
      </c>
      <c r="AZ145" s="609" t="s">
        <v>431</v>
      </c>
      <c r="BA145" s="613" t="s">
        <v>551</v>
      </c>
      <c r="BB145" s="614">
        <v>7.9230904788649664E-2</v>
      </c>
      <c r="BC145" s="614">
        <v>-4.1446941079411243E-2</v>
      </c>
      <c r="BD145" s="613" t="s">
        <v>571</v>
      </c>
      <c r="BE145" s="613" t="s">
        <v>571</v>
      </c>
    </row>
    <row r="146" spans="1:57">
      <c r="A146" s="601" t="s">
        <v>69</v>
      </c>
      <c r="B146" s="603" t="s">
        <v>424</v>
      </c>
      <c r="C146" s="601">
        <v>6</v>
      </c>
      <c r="D146" s="601">
        <v>148</v>
      </c>
      <c r="E146" s="603" t="s">
        <v>312</v>
      </c>
      <c r="F146" s="601">
        <v>2015</v>
      </c>
      <c r="G146" s="601" t="s">
        <v>567</v>
      </c>
      <c r="H146" s="604">
        <v>5587.3339999999998</v>
      </c>
      <c r="I146" s="609">
        <v>34989.913999999997</v>
      </c>
      <c r="J146" s="605">
        <v>1.9804069673449844</v>
      </c>
      <c r="K146" s="606">
        <v>472.59761409999999</v>
      </c>
      <c r="L146" s="609">
        <v>282130.59700000001</v>
      </c>
      <c r="M146" s="607">
        <v>41583</v>
      </c>
      <c r="N146" s="607">
        <v>512833</v>
      </c>
      <c r="O146" s="608">
        <v>449.45738476268104</v>
      </c>
      <c r="P146" s="609">
        <v>230496.579</v>
      </c>
      <c r="Q146" s="609">
        <v>230496.579</v>
      </c>
      <c r="R146" s="609">
        <v>180291.77799999999</v>
      </c>
      <c r="S146" s="610">
        <v>78.218852003005225</v>
      </c>
      <c r="T146" s="609">
        <v>157215.905</v>
      </c>
      <c r="U146" s="607">
        <v>236733</v>
      </c>
      <c r="V146" s="607">
        <v>5539.4173151883751</v>
      </c>
      <c r="W146" s="607">
        <v>19499</v>
      </c>
      <c r="X146" s="607">
        <v>4993</v>
      </c>
      <c r="Y146" s="607">
        <v>456.26548993532009</v>
      </c>
      <c r="Z146" s="611">
        <v>3.9052673743240538</v>
      </c>
      <c r="AA146" s="609" t="s">
        <v>20</v>
      </c>
      <c r="AB146" s="609" t="s">
        <v>20</v>
      </c>
      <c r="AC146" s="609"/>
      <c r="AD146" s="609"/>
      <c r="AE146" s="609"/>
      <c r="AF146" s="609"/>
      <c r="AG146" s="609"/>
      <c r="AH146" s="609" t="s">
        <v>20</v>
      </c>
      <c r="AI146" s="609" t="s">
        <v>20</v>
      </c>
      <c r="AJ146" s="609" t="s">
        <v>20</v>
      </c>
      <c r="AK146" s="609" t="s">
        <v>20</v>
      </c>
      <c r="AL146" s="609" t="s">
        <v>20</v>
      </c>
      <c r="AM146" s="609" t="s">
        <v>20</v>
      </c>
      <c r="AN146" s="609" t="s">
        <v>20</v>
      </c>
      <c r="AO146" s="609" t="s">
        <v>20</v>
      </c>
      <c r="AP146" s="609" t="s">
        <v>20</v>
      </c>
      <c r="AQ146" s="609" t="s">
        <v>20</v>
      </c>
      <c r="AR146" s="609" t="s">
        <v>20</v>
      </c>
      <c r="AS146" s="609" t="s">
        <v>20</v>
      </c>
      <c r="AT146" s="609" t="s">
        <v>20</v>
      </c>
      <c r="AU146" s="609" t="s">
        <v>20</v>
      </c>
      <c r="AV146" s="609" t="s">
        <v>20</v>
      </c>
      <c r="AW146" s="609" t="s">
        <v>20</v>
      </c>
      <c r="AX146" s="609" t="s">
        <v>20</v>
      </c>
      <c r="AY146" s="612" t="s">
        <v>430</v>
      </c>
      <c r="AZ146" s="612" t="s">
        <v>433</v>
      </c>
      <c r="BA146" s="613" t="s">
        <v>554</v>
      </c>
      <c r="BB146" s="614">
        <v>0.12402027419946939</v>
      </c>
      <c r="BC146" s="614">
        <v>9.3791205770478378E-2</v>
      </c>
      <c r="BD146" s="613" t="s">
        <v>576</v>
      </c>
      <c r="BE146" s="613" t="s">
        <v>576</v>
      </c>
    </row>
    <row r="147" spans="1:57">
      <c r="A147" s="601" t="s">
        <v>95</v>
      </c>
      <c r="B147" s="602" t="s">
        <v>405</v>
      </c>
      <c r="C147" s="601">
        <v>78</v>
      </c>
      <c r="D147" s="601">
        <v>149</v>
      </c>
      <c r="E147" s="603" t="s">
        <v>405</v>
      </c>
      <c r="F147" s="601">
        <v>2015</v>
      </c>
      <c r="G147" s="601" t="s">
        <v>567</v>
      </c>
      <c r="H147" s="609">
        <v>5290.3959999999997</v>
      </c>
      <c r="I147" s="609">
        <v>136398.1</v>
      </c>
      <c r="J147" s="615">
        <v>0.43342853674588233</v>
      </c>
      <c r="K147" s="616">
        <v>417.37900810000002</v>
      </c>
      <c r="L147" s="609">
        <v>1220592.4509999999</v>
      </c>
      <c r="M147" s="617">
        <v>42058</v>
      </c>
      <c r="N147" s="617">
        <v>509286</v>
      </c>
      <c r="O147" s="608">
        <v>144.31238832404583</v>
      </c>
      <c r="P147" s="609">
        <v>73496.278999999995</v>
      </c>
      <c r="Q147" s="609">
        <v>73496.278999999995</v>
      </c>
      <c r="R147" s="609">
        <v>65239.42</v>
      </c>
      <c r="S147" s="618">
        <v>88.765609480719434</v>
      </c>
      <c r="T147" s="609">
        <v>65010.55</v>
      </c>
      <c r="U147" s="617">
        <v>154600</v>
      </c>
      <c r="V147" s="617">
        <v>3642.7469044898153</v>
      </c>
      <c r="W147" s="617">
        <v>12189</v>
      </c>
      <c r="X147" s="617">
        <v>3078</v>
      </c>
      <c r="Y147" s="617">
        <v>287.20208291608253</v>
      </c>
      <c r="Z147" s="609">
        <v>3.960038986354776</v>
      </c>
      <c r="AA147" s="609">
        <v>73496.278999999995</v>
      </c>
      <c r="AB147" s="609">
        <v>0</v>
      </c>
      <c r="AC147" s="609"/>
      <c r="AD147" s="609"/>
      <c r="AE147" s="609"/>
      <c r="AF147" s="609"/>
      <c r="AG147" s="609"/>
      <c r="AH147" s="609">
        <v>45792.633000000002</v>
      </c>
      <c r="AI147" s="609">
        <v>6422.2049999999999</v>
      </c>
      <c r="AJ147" s="609">
        <v>0</v>
      </c>
      <c r="AK147" s="609">
        <v>13024.581</v>
      </c>
      <c r="AL147" s="609">
        <v>0</v>
      </c>
      <c r="AM147" s="609">
        <v>0</v>
      </c>
      <c r="AN147" s="609">
        <v>0</v>
      </c>
      <c r="AO147" s="609">
        <v>65239.419000000002</v>
      </c>
      <c r="AP147" s="609">
        <v>0</v>
      </c>
      <c r="AQ147" s="609">
        <v>65239.419000000002</v>
      </c>
      <c r="AR147" s="609">
        <v>0.88765608120106332</v>
      </c>
      <c r="AS147" s="609">
        <v>1147.2670000000001</v>
      </c>
      <c r="AT147" s="609">
        <v>8221.1880000000001</v>
      </c>
      <c r="AU147" s="609">
        <v>0.11185856089394676</v>
      </c>
      <c r="AV147" s="609">
        <v>74607.873999999996</v>
      </c>
      <c r="AW147" s="609">
        <v>-1111.595</v>
      </c>
      <c r="AX147" s="609">
        <v>0</v>
      </c>
      <c r="AY147" s="612" t="s">
        <v>435</v>
      </c>
      <c r="AZ147" s="612" t="s">
        <v>433</v>
      </c>
      <c r="BA147" s="613" t="s">
        <v>554</v>
      </c>
      <c r="BB147" s="614">
        <v>0.11174745500699482</v>
      </c>
      <c r="BC147" s="614">
        <v>5.9645018581086506E-4</v>
      </c>
      <c r="BD147" s="613" t="s">
        <v>573</v>
      </c>
      <c r="BE147" s="613" t="s">
        <v>573</v>
      </c>
    </row>
    <row r="148" spans="1:57">
      <c r="A148" s="601" t="s">
        <v>90</v>
      </c>
      <c r="B148" s="602" t="s">
        <v>265</v>
      </c>
      <c r="C148" s="601">
        <v>64</v>
      </c>
      <c r="D148" s="601">
        <v>150</v>
      </c>
      <c r="E148" s="603" t="s">
        <v>265</v>
      </c>
      <c r="F148" s="601">
        <v>2015</v>
      </c>
      <c r="G148" s="601" t="s">
        <v>567</v>
      </c>
      <c r="H148" s="604">
        <v>-12184.023999999999</v>
      </c>
      <c r="I148" s="609">
        <v>82009.467000000004</v>
      </c>
      <c r="J148" s="605">
        <v>-1.7685777132143026</v>
      </c>
      <c r="K148" s="606">
        <v>331.262674</v>
      </c>
      <c r="L148" s="609">
        <v>688916.51800000004</v>
      </c>
      <c r="M148" s="617">
        <v>43923</v>
      </c>
      <c r="N148" s="617">
        <v>506447</v>
      </c>
      <c r="O148" s="608">
        <v>223.0510438407178</v>
      </c>
      <c r="P148" s="609">
        <v>112963.53200000001</v>
      </c>
      <c r="Q148" s="609">
        <v>112963.53200000001</v>
      </c>
      <c r="R148" s="609">
        <v>85437.317999999999</v>
      </c>
      <c r="S148" s="618">
        <v>75.632654616358849</v>
      </c>
      <c r="T148" s="609">
        <v>88358.493000000002</v>
      </c>
      <c r="U148" s="617">
        <v>250193</v>
      </c>
      <c r="V148" s="617">
        <v>5928.1938682626214</v>
      </c>
      <c r="W148" s="617">
        <v>21652</v>
      </c>
      <c r="X148" s="617">
        <v>5122</v>
      </c>
      <c r="Y148" s="617">
        <v>513.03295310269391</v>
      </c>
      <c r="Z148" s="609">
        <v>4.2272549785240141</v>
      </c>
      <c r="AA148" s="609">
        <v>112294.772</v>
      </c>
      <c r="AB148" s="609">
        <v>0</v>
      </c>
      <c r="AC148" s="609"/>
      <c r="AD148" s="609"/>
      <c r="AE148" s="609"/>
      <c r="AF148" s="609"/>
      <c r="AG148" s="609"/>
      <c r="AH148" s="609">
        <v>54627.762999999999</v>
      </c>
      <c r="AI148" s="609">
        <v>3233.393</v>
      </c>
      <c r="AJ148" s="609">
        <v>4627.7150000000001</v>
      </c>
      <c r="AK148" s="609">
        <v>6630.0720000000001</v>
      </c>
      <c r="AL148" s="609">
        <v>16318.375</v>
      </c>
      <c r="AM148" s="609">
        <v>0</v>
      </c>
      <c r="AN148" s="609">
        <v>0</v>
      </c>
      <c r="AO148" s="609">
        <v>85437.317999999999</v>
      </c>
      <c r="AP148" s="609">
        <v>560.90599999999995</v>
      </c>
      <c r="AQ148" s="609">
        <v>84876.411999999997</v>
      </c>
      <c r="AR148" s="609">
        <v>0.75583582822537809</v>
      </c>
      <c r="AS148" s="609">
        <v>2294.2080000000001</v>
      </c>
      <c r="AT148" s="609">
        <v>14726.736000000001</v>
      </c>
      <c r="AU148" s="609">
        <v>0.1311435584908619</v>
      </c>
      <c r="AV148" s="609">
        <v>101897.356</v>
      </c>
      <c r="AW148" s="609">
        <v>10397.415999999999</v>
      </c>
      <c r="AX148" s="609">
        <v>0</v>
      </c>
      <c r="AY148" s="609" t="s">
        <v>435</v>
      </c>
      <c r="AZ148" s="609" t="s">
        <v>431</v>
      </c>
      <c r="BA148" s="613" t="s">
        <v>554</v>
      </c>
      <c r="BB148" s="614">
        <v>0.11904122612429507</v>
      </c>
      <c r="BC148" s="614">
        <v>0.12463222771211641</v>
      </c>
      <c r="BD148" s="613" t="s">
        <v>581</v>
      </c>
      <c r="BE148" s="613" t="s">
        <v>581</v>
      </c>
    </row>
    <row r="149" spans="1:57">
      <c r="A149" s="601" t="s">
        <v>92</v>
      </c>
      <c r="B149" s="603" t="s">
        <v>424</v>
      </c>
      <c r="C149" s="601">
        <v>6</v>
      </c>
      <c r="D149" s="601">
        <v>151</v>
      </c>
      <c r="E149" s="603" t="s">
        <v>213</v>
      </c>
      <c r="F149" s="601">
        <v>2015</v>
      </c>
      <c r="G149" s="601" t="s">
        <v>567</v>
      </c>
      <c r="H149" s="604">
        <v>14860.734</v>
      </c>
      <c r="I149" s="609">
        <v>54623.311000000002</v>
      </c>
      <c r="J149" s="605">
        <v>3.2095801173991303</v>
      </c>
      <c r="K149" s="606">
        <v>418.34220590000001</v>
      </c>
      <c r="L149" s="609">
        <v>463011.77899999998</v>
      </c>
      <c r="M149" s="607">
        <v>40839</v>
      </c>
      <c r="N149" s="607">
        <v>494996</v>
      </c>
      <c r="O149" s="608">
        <v>354.87526565871241</v>
      </c>
      <c r="P149" s="609">
        <v>175661.837</v>
      </c>
      <c r="Q149" s="609">
        <v>175661.837</v>
      </c>
      <c r="R149" s="609">
        <v>143728.302</v>
      </c>
      <c r="S149" s="610">
        <v>81.821017276507249</v>
      </c>
      <c r="T149" s="609">
        <v>142838.75399999999</v>
      </c>
      <c r="U149" s="607">
        <v>236779</v>
      </c>
      <c r="V149" s="607">
        <v>5740.1433546937751</v>
      </c>
      <c r="W149" s="607">
        <v>40048</v>
      </c>
      <c r="X149" s="607">
        <v>10002</v>
      </c>
      <c r="Y149" s="607">
        <v>970.86845146223402</v>
      </c>
      <c r="Z149" s="611">
        <v>4.003999200159968</v>
      </c>
      <c r="AA149" s="609" t="s">
        <v>20</v>
      </c>
      <c r="AB149" s="609" t="s">
        <v>20</v>
      </c>
      <c r="AC149" s="609"/>
      <c r="AD149" s="609"/>
      <c r="AE149" s="609"/>
      <c r="AF149" s="609"/>
      <c r="AG149" s="609"/>
      <c r="AH149" s="609" t="s">
        <v>20</v>
      </c>
      <c r="AI149" s="609" t="s">
        <v>20</v>
      </c>
      <c r="AJ149" s="609" t="s">
        <v>20</v>
      </c>
      <c r="AK149" s="609" t="s">
        <v>20</v>
      </c>
      <c r="AL149" s="609" t="s">
        <v>20</v>
      </c>
      <c r="AM149" s="609" t="s">
        <v>20</v>
      </c>
      <c r="AN149" s="609" t="s">
        <v>20</v>
      </c>
      <c r="AO149" s="609" t="s">
        <v>20</v>
      </c>
      <c r="AP149" s="609" t="s">
        <v>20</v>
      </c>
      <c r="AQ149" s="609" t="s">
        <v>20</v>
      </c>
      <c r="AR149" s="609" t="s">
        <v>20</v>
      </c>
      <c r="AS149" s="609" t="s">
        <v>20</v>
      </c>
      <c r="AT149" s="609" t="s">
        <v>20</v>
      </c>
      <c r="AU149" s="609" t="s">
        <v>20</v>
      </c>
      <c r="AV149" s="609" t="s">
        <v>20</v>
      </c>
      <c r="AW149" s="609" t="s">
        <v>20</v>
      </c>
      <c r="AX149" s="609" t="s">
        <v>20</v>
      </c>
      <c r="AY149" s="612" t="s">
        <v>430</v>
      </c>
      <c r="AZ149" s="612" t="s">
        <v>433</v>
      </c>
      <c r="BA149" s="613" t="s">
        <v>554</v>
      </c>
      <c r="BB149" s="614">
        <v>0.11797391227923816</v>
      </c>
      <c r="BC149" s="614">
        <v>6.3815914955689376E-2</v>
      </c>
      <c r="BD149" s="613" t="s">
        <v>575</v>
      </c>
      <c r="BE149" s="613" t="s">
        <v>575</v>
      </c>
    </row>
    <row r="150" spans="1:57">
      <c r="A150" s="601" t="s">
        <v>69</v>
      </c>
      <c r="B150" s="602" t="s">
        <v>177</v>
      </c>
      <c r="C150" s="601">
        <v>62</v>
      </c>
      <c r="D150" s="601">
        <v>152</v>
      </c>
      <c r="E150" s="603" t="s">
        <v>177</v>
      </c>
      <c r="F150" s="601">
        <v>2015</v>
      </c>
      <c r="G150" s="601" t="s">
        <v>567</v>
      </c>
      <c r="H150" s="604">
        <v>13073.352000000001</v>
      </c>
      <c r="I150" s="609">
        <v>24713.441999999999</v>
      </c>
      <c r="J150" s="605">
        <v>5.2702760459418316</v>
      </c>
      <c r="K150" s="606">
        <v>470.27410630000003</v>
      </c>
      <c r="L150" s="609">
        <v>248058.20199999999</v>
      </c>
      <c r="M150" s="617">
        <v>41898</v>
      </c>
      <c r="N150" s="617">
        <v>490939</v>
      </c>
      <c r="O150" s="608">
        <v>437.06121738138546</v>
      </c>
      <c r="P150" s="609">
        <v>214570.397</v>
      </c>
      <c r="Q150" s="609">
        <v>214570.397</v>
      </c>
      <c r="R150" s="609">
        <v>175571.98199999999</v>
      </c>
      <c r="S150" s="618">
        <v>81.824885657456278</v>
      </c>
      <c r="T150" s="609">
        <v>166230.62899999999</v>
      </c>
      <c r="U150" s="617">
        <v>138483</v>
      </c>
      <c r="V150" s="617">
        <v>3384.9337697758783</v>
      </c>
      <c r="W150" s="617">
        <v>9903</v>
      </c>
      <c r="X150" s="617">
        <v>2889</v>
      </c>
      <c r="Y150" s="617">
        <v>242.05858568987185</v>
      </c>
      <c r="Z150" s="609">
        <v>3.4278296988577361</v>
      </c>
      <c r="AA150" s="609">
        <v>214152.36600000001</v>
      </c>
      <c r="AB150" s="609">
        <v>-295.07999999998719</v>
      </c>
      <c r="AC150" s="609"/>
      <c r="AD150" s="609"/>
      <c r="AE150" s="609"/>
      <c r="AF150" s="609"/>
      <c r="AG150" s="609"/>
      <c r="AH150" s="609">
        <v>134033.83100000001</v>
      </c>
      <c r="AI150" s="609">
        <v>11614.868</v>
      </c>
      <c r="AJ150" s="609">
        <v>0</v>
      </c>
      <c r="AK150" s="609">
        <v>5213.1310000000003</v>
      </c>
      <c r="AL150" s="609">
        <v>24710.151999999998</v>
      </c>
      <c r="AM150" s="609">
        <v>0</v>
      </c>
      <c r="AN150" s="609">
        <v>0</v>
      </c>
      <c r="AO150" s="609">
        <v>175571.98199999999</v>
      </c>
      <c r="AP150" s="609">
        <v>126.667</v>
      </c>
      <c r="AQ150" s="609">
        <v>175445.315</v>
      </c>
      <c r="AR150" s="609">
        <v>0.81812732337227279</v>
      </c>
      <c r="AS150" s="609">
        <v>1173.047</v>
      </c>
      <c r="AT150" s="609">
        <v>22675.574000000001</v>
      </c>
      <c r="AU150" s="609">
        <v>0.10573953862803291</v>
      </c>
      <c r="AV150" s="609">
        <v>199293.93599999999</v>
      </c>
      <c r="AW150" s="609">
        <v>15153.51</v>
      </c>
      <c r="AX150" s="609">
        <v>0</v>
      </c>
      <c r="AY150" s="609" t="s">
        <v>435</v>
      </c>
      <c r="AZ150" s="609" t="s">
        <v>433</v>
      </c>
      <c r="BA150" s="613" t="s">
        <v>554</v>
      </c>
      <c r="BB150" s="614">
        <v>9.9627594656192822E-2</v>
      </c>
      <c r="BC150" s="614">
        <v>8.2123548769244367E-2</v>
      </c>
      <c r="BD150" s="613" t="s">
        <v>576</v>
      </c>
      <c r="BE150" s="613" t="s">
        <v>576</v>
      </c>
    </row>
    <row r="151" spans="1:57">
      <c r="A151" s="601" t="s">
        <v>56</v>
      </c>
      <c r="B151" s="602" t="s">
        <v>215</v>
      </c>
      <c r="C151" s="601">
        <v>37</v>
      </c>
      <c r="D151" s="601">
        <v>153</v>
      </c>
      <c r="E151" s="603" t="s">
        <v>215</v>
      </c>
      <c r="F151" s="601">
        <v>2015</v>
      </c>
      <c r="G151" s="601" t="s">
        <v>469</v>
      </c>
      <c r="H151" s="604">
        <v>-21510.344000000001</v>
      </c>
      <c r="I151" s="609">
        <v>28829.530999999999</v>
      </c>
      <c r="J151" s="605">
        <v>-4.878881735910932</v>
      </c>
      <c r="K151" s="606">
        <v>197.15520849999999</v>
      </c>
      <c r="L151" s="609">
        <v>440886.76799999998</v>
      </c>
      <c r="M151" s="607">
        <v>42320</v>
      </c>
      <c r="N151" s="607">
        <v>489934</v>
      </c>
      <c r="O151" s="608">
        <v>887.84851633077108</v>
      </c>
      <c r="P151" s="609">
        <v>434987.17499999999</v>
      </c>
      <c r="Q151" s="609">
        <v>434987.17499999999</v>
      </c>
      <c r="R151" s="609">
        <v>426637.24</v>
      </c>
      <c r="S151" s="610">
        <v>98.080418118074405</v>
      </c>
      <c r="T151" s="609">
        <v>430807.96899999998</v>
      </c>
      <c r="U151" s="607">
        <v>357372</v>
      </c>
      <c r="V151" s="607">
        <v>8753.146342160373</v>
      </c>
      <c r="W151" s="607">
        <v>164838</v>
      </c>
      <c r="X151" s="607">
        <v>124770</v>
      </c>
      <c r="Y151" s="607">
        <v>4037.3927916821449</v>
      </c>
      <c r="Z151" s="611">
        <v>1.3211348881942775</v>
      </c>
      <c r="AA151" s="609" t="s">
        <v>20</v>
      </c>
      <c r="AB151" s="609" t="s">
        <v>20</v>
      </c>
      <c r="AC151" s="609"/>
      <c r="AD151" s="609"/>
      <c r="AE151" s="609"/>
      <c r="AF151" s="609"/>
      <c r="AG151" s="609"/>
      <c r="AH151" s="609" t="s">
        <v>20</v>
      </c>
      <c r="AI151" s="609" t="s">
        <v>20</v>
      </c>
      <c r="AJ151" s="609" t="s">
        <v>20</v>
      </c>
      <c r="AK151" s="609" t="s">
        <v>20</v>
      </c>
      <c r="AL151" s="609" t="s">
        <v>20</v>
      </c>
      <c r="AM151" s="609" t="s">
        <v>20</v>
      </c>
      <c r="AN151" s="609" t="s">
        <v>20</v>
      </c>
      <c r="AO151" s="609" t="s">
        <v>20</v>
      </c>
      <c r="AP151" s="609" t="s">
        <v>20</v>
      </c>
      <c r="AQ151" s="609" t="s">
        <v>20</v>
      </c>
      <c r="AR151" s="609" t="s">
        <v>20</v>
      </c>
      <c r="AS151" s="609" t="s">
        <v>20</v>
      </c>
      <c r="AT151" s="609" t="s">
        <v>20</v>
      </c>
      <c r="AU151" s="609" t="s">
        <v>20</v>
      </c>
      <c r="AV151" s="609" t="s">
        <v>20</v>
      </c>
      <c r="AW151" s="609" t="s">
        <v>20</v>
      </c>
      <c r="AX151" s="609" t="s">
        <v>20</v>
      </c>
      <c r="AY151" s="612"/>
      <c r="AZ151" s="612"/>
      <c r="BA151" s="613" t="s">
        <v>554</v>
      </c>
      <c r="BB151" s="614">
        <v>6.5389875796862201E-2</v>
      </c>
      <c r="BC151" s="652">
        <v>-4.8788817359109317E-2</v>
      </c>
      <c r="BD151" s="613" t="s">
        <v>571</v>
      </c>
      <c r="BE151" s="613" t="s">
        <v>571</v>
      </c>
    </row>
    <row r="152" spans="1:57">
      <c r="A152" s="601" t="s">
        <v>95</v>
      </c>
      <c r="B152" s="603" t="s">
        <v>419</v>
      </c>
      <c r="C152" s="601">
        <v>2</v>
      </c>
      <c r="D152" s="601">
        <v>154</v>
      </c>
      <c r="E152" s="603" t="s">
        <v>242</v>
      </c>
      <c r="F152" s="601">
        <v>2015</v>
      </c>
      <c r="G152" s="601" t="s">
        <v>567</v>
      </c>
      <c r="H152" s="604">
        <v>15757.178</v>
      </c>
      <c r="I152" s="604">
        <v>18304.004000000001</v>
      </c>
      <c r="J152" s="605">
        <v>8.0078065296361132</v>
      </c>
      <c r="K152" s="606">
        <v>756.16051730000004</v>
      </c>
      <c r="L152" s="604">
        <v>196772.71100000001</v>
      </c>
      <c r="M152" s="607">
        <v>38707</v>
      </c>
      <c r="N152" s="607">
        <v>481204</v>
      </c>
      <c r="O152" s="608">
        <v>208.6373201386522</v>
      </c>
      <c r="P152" s="609">
        <v>100397.113</v>
      </c>
      <c r="Q152" s="609">
        <v>100397.113</v>
      </c>
      <c r="R152" s="609">
        <v>139803.59099999999</v>
      </c>
      <c r="S152" s="610">
        <v>139.2506087301534</v>
      </c>
      <c r="T152" s="609">
        <v>137627.989</v>
      </c>
      <c r="U152" s="607">
        <v>203763</v>
      </c>
      <c r="V152" s="607">
        <v>5081.3293322582522</v>
      </c>
      <c r="W152" s="607">
        <v>26852</v>
      </c>
      <c r="X152" s="607">
        <v>6807</v>
      </c>
      <c r="Y152" s="607">
        <v>669.62036890798913</v>
      </c>
      <c r="Z152" s="611">
        <v>3.9447627442338771</v>
      </c>
      <c r="AA152" s="609">
        <v>100179.08</v>
      </c>
      <c r="AB152" s="609">
        <v>-85133.575999999986</v>
      </c>
      <c r="AC152" s="609"/>
      <c r="AD152" s="609"/>
      <c r="AE152" s="609"/>
      <c r="AF152" s="609"/>
      <c r="AG152" s="609"/>
      <c r="AH152" s="609">
        <v>105887.287</v>
      </c>
      <c r="AI152" s="609">
        <v>19309.775000000001</v>
      </c>
      <c r="AJ152" s="609">
        <v>0</v>
      </c>
      <c r="AK152" s="609">
        <v>13899.834000000001</v>
      </c>
      <c r="AL152" s="609">
        <v>0</v>
      </c>
      <c r="AM152" s="609">
        <v>0</v>
      </c>
      <c r="AN152" s="609">
        <v>706.69500000000005</v>
      </c>
      <c r="AO152" s="609">
        <v>139803.59099999999</v>
      </c>
      <c r="AP152" s="609">
        <v>390.62299999999999</v>
      </c>
      <c r="AQ152" s="609">
        <v>139412.96799999999</v>
      </c>
      <c r="AR152" s="609">
        <v>0.75231217882927548</v>
      </c>
      <c r="AS152" s="609">
        <v>5516.6279999999997</v>
      </c>
      <c r="AT152" s="609">
        <v>16185.396000000001</v>
      </c>
      <c r="AU152" s="609">
        <v>8.7341017874138088E-2</v>
      </c>
      <c r="AV152" s="609">
        <v>161114.992</v>
      </c>
      <c r="AW152" s="609">
        <v>24197.664000000001</v>
      </c>
      <c r="AX152" s="609">
        <v>0</v>
      </c>
      <c r="AY152" s="612" t="s">
        <v>430</v>
      </c>
      <c r="AZ152" s="612" t="s">
        <v>433</v>
      </c>
      <c r="BA152" s="613" t="s">
        <v>554</v>
      </c>
      <c r="BB152" s="614">
        <v>9.302104904170376E-2</v>
      </c>
      <c r="BC152" s="614">
        <v>-0.4855271363432378</v>
      </c>
      <c r="BD152" s="613" t="s">
        <v>580</v>
      </c>
      <c r="BE152" s="613" t="s">
        <v>580</v>
      </c>
    </row>
    <row r="153" spans="1:57">
      <c r="A153" s="601" t="s">
        <v>84</v>
      </c>
      <c r="B153" s="602" t="s">
        <v>262</v>
      </c>
      <c r="C153" s="601">
        <v>67</v>
      </c>
      <c r="D153" s="601">
        <v>155</v>
      </c>
      <c r="E153" s="603" t="s">
        <v>262</v>
      </c>
      <c r="F153" s="601">
        <v>2015</v>
      </c>
      <c r="G153" s="601" t="s">
        <v>469</v>
      </c>
      <c r="H153" s="604">
        <v>4509.4449999999997</v>
      </c>
      <c r="I153" s="609">
        <v>4378.2039999999997</v>
      </c>
      <c r="J153" s="605">
        <v>3.4521164480178377</v>
      </c>
      <c r="K153" s="606">
        <v>412.26071130000003</v>
      </c>
      <c r="L153" s="609">
        <v>130628.41499999999</v>
      </c>
      <c r="M153" s="617">
        <v>36463</v>
      </c>
      <c r="N153" s="617">
        <v>468853</v>
      </c>
      <c r="O153" s="608">
        <v>279.42202993262282</v>
      </c>
      <c r="P153" s="609">
        <v>131007.857</v>
      </c>
      <c r="Q153" s="609">
        <v>131007.857</v>
      </c>
      <c r="R153" s="609">
        <v>114873.929</v>
      </c>
      <c r="S153" s="618">
        <v>87.68476305966901</v>
      </c>
      <c r="T153" s="609">
        <v>126572.19100000001</v>
      </c>
      <c r="U153" s="617">
        <v>167814</v>
      </c>
      <c r="V153" s="617">
        <v>4295.0946245411678</v>
      </c>
      <c r="W153" s="617">
        <v>15288</v>
      </c>
      <c r="X153" s="617">
        <v>3756</v>
      </c>
      <c r="Y153" s="617">
        <v>391.28682124247899</v>
      </c>
      <c r="Z153" s="609">
        <v>4.0702875399361025</v>
      </c>
      <c r="AA153" s="609">
        <v>130628.41499999999</v>
      </c>
      <c r="AB153" s="609">
        <v>0</v>
      </c>
      <c r="AC153" s="609"/>
      <c r="AD153" s="609"/>
      <c r="AE153" s="609"/>
      <c r="AF153" s="609"/>
      <c r="AG153" s="609"/>
      <c r="AH153" s="609">
        <v>45704.724000000002</v>
      </c>
      <c r="AI153" s="609">
        <v>17759.673999999999</v>
      </c>
      <c r="AJ153" s="609">
        <v>9717.3760000000002</v>
      </c>
      <c r="AK153" s="609">
        <v>7248.4470000000001</v>
      </c>
      <c r="AL153" s="609">
        <v>30770.455999999998</v>
      </c>
      <c r="AM153" s="609">
        <v>3673.25</v>
      </c>
      <c r="AN153" s="609">
        <v>0</v>
      </c>
      <c r="AO153" s="609">
        <v>114873.927</v>
      </c>
      <c r="AP153" s="609">
        <v>419.84300000000002</v>
      </c>
      <c r="AQ153" s="609">
        <v>114454.084</v>
      </c>
      <c r="AR153" s="609">
        <v>0.87618060741225412</v>
      </c>
      <c r="AS153" s="609">
        <v>7405.1210000000001</v>
      </c>
      <c r="AT153" s="609">
        <v>4378.2039999999997</v>
      </c>
      <c r="AU153" s="609">
        <v>3.3516474956846107E-2</v>
      </c>
      <c r="AV153" s="609">
        <v>126237.409</v>
      </c>
      <c r="AW153" s="609">
        <v>4391.0060000000003</v>
      </c>
      <c r="AX153" s="609">
        <v>0</v>
      </c>
      <c r="AY153" s="604" t="s">
        <v>435</v>
      </c>
      <c r="AZ153" s="604" t="s">
        <v>431</v>
      </c>
      <c r="BA153" s="613" t="s">
        <v>554</v>
      </c>
      <c r="BB153" s="614">
        <v>3.3516474956846107E-2</v>
      </c>
      <c r="BC153" s="652">
        <v>3.4521164480178376E-2</v>
      </c>
      <c r="BD153" s="613" t="s">
        <v>574</v>
      </c>
      <c r="BE153" s="613" t="s">
        <v>574</v>
      </c>
    </row>
    <row r="154" spans="1:57">
      <c r="A154" s="601" t="s">
        <v>95</v>
      </c>
      <c r="B154" s="602" t="s">
        <v>404</v>
      </c>
      <c r="C154" s="601">
        <v>76</v>
      </c>
      <c r="D154" s="601">
        <v>156</v>
      </c>
      <c r="E154" s="603" t="s">
        <v>404</v>
      </c>
      <c r="F154" s="601">
        <v>2015</v>
      </c>
      <c r="G154" s="601" t="s">
        <v>567</v>
      </c>
      <c r="H154" s="609">
        <v>5953.65</v>
      </c>
      <c r="I154" s="609">
        <v>33662.703000000001</v>
      </c>
      <c r="J154" s="615">
        <v>1.4758552410262991</v>
      </c>
      <c r="K154" s="616">
        <v>372.2187965</v>
      </c>
      <c r="L154" s="609">
        <v>403403.38500000001</v>
      </c>
      <c r="M154" s="617">
        <v>37367</v>
      </c>
      <c r="N154" s="617">
        <v>457679</v>
      </c>
      <c r="O154" s="608">
        <v>186.01154083975888</v>
      </c>
      <c r="P154" s="609">
        <v>85133.576000000001</v>
      </c>
      <c r="Q154" s="609">
        <v>85133.576000000001</v>
      </c>
      <c r="R154" s="609">
        <v>74892.258000000002</v>
      </c>
      <c r="S154" s="618">
        <v>87.970295057263897</v>
      </c>
      <c r="T154" s="609">
        <v>74892.258000000002</v>
      </c>
      <c r="U154" s="617">
        <v>190257</v>
      </c>
      <c r="V154" s="617">
        <v>4988.3957970542669</v>
      </c>
      <c r="W154" s="617">
        <v>12641</v>
      </c>
      <c r="X154" s="617">
        <v>3253</v>
      </c>
      <c r="Y154" s="617">
        <v>331.4375359149098</v>
      </c>
      <c r="Z154" s="609">
        <v>3.8859514294497388</v>
      </c>
      <c r="AA154" s="609">
        <v>85133.576000000001</v>
      </c>
      <c r="AB154" s="609">
        <v>0</v>
      </c>
      <c r="AC154" s="609"/>
      <c r="AD154" s="609"/>
      <c r="AE154" s="609"/>
      <c r="AF154" s="609"/>
      <c r="AG154" s="609"/>
      <c r="AH154" s="609">
        <v>57384.495999999999</v>
      </c>
      <c r="AI154" s="609">
        <v>9811.2530000000006</v>
      </c>
      <c r="AJ154" s="609">
        <v>0</v>
      </c>
      <c r="AK154" s="609">
        <v>7696.509</v>
      </c>
      <c r="AL154" s="609">
        <v>0</v>
      </c>
      <c r="AM154" s="609">
        <v>0</v>
      </c>
      <c r="AN154" s="609">
        <v>0</v>
      </c>
      <c r="AO154" s="609">
        <v>74892.258000000002</v>
      </c>
      <c r="AP154" s="609">
        <v>0</v>
      </c>
      <c r="AQ154" s="609">
        <v>74892.258000000002</v>
      </c>
      <c r="AR154" s="609">
        <v>0.87970295057263892</v>
      </c>
      <c r="AS154" s="609">
        <v>10241.317999999999</v>
      </c>
      <c r="AT154" s="609">
        <v>0</v>
      </c>
      <c r="AU154" s="609">
        <v>0</v>
      </c>
      <c r="AV154" s="609">
        <v>85133.576000000001</v>
      </c>
      <c r="AW154" s="609">
        <v>0</v>
      </c>
      <c r="AX154" s="609">
        <v>0</v>
      </c>
      <c r="AY154" s="612" t="s">
        <v>435</v>
      </c>
      <c r="AZ154" s="612" t="s">
        <v>433</v>
      </c>
      <c r="BA154" s="613" t="s">
        <v>554</v>
      </c>
      <c r="BB154" s="614">
        <v>8.3446753923495209E-2</v>
      </c>
      <c r="BC154" s="614">
        <v>3.6850295503865871E-2</v>
      </c>
      <c r="BD154" s="613" t="s">
        <v>574</v>
      </c>
      <c r="BE154" s="613" t="s">
        <v>574</v>
      </c>
    </row>
    <row r="155" spans="1:57">
      <c r="A155" s="601" t="s">
        <v>95</v>
      </c>
      <c r="B155" s="602" t="s">
        <v>153</v>
      </c>
      <c r="C155" s="601">
        <v>80</v>
      </c>
      <c r="D155" s="601">
        <v>157</v>
      </c>
      <c r="E155" s="603" t="s">
        <v>153</v>
      </c>
      <c r="F155" s="601">
        <v>2015</v>
      </c>
      <c r="G155" s="601" t="s">
        <v>567</v>
      </c>
      <c r="H155" s="609">
        <v>6544.7219999999998</v>
      </c>
      <c r="I155" s="609">
        <v>16028.495000000001</v>
      </c>
      <c r="J155" s="615">
        <v>3.9976605515234511</v>
      </c>
      <c r="K155" s="616">
        <v>512.7216128</v>
      </c>
      <c r="L155" s="609">
        <v>163713.79999999999</v>
      </c>
      <c r="M155" s="617">
        <v>40074</v>
      </c>
      <c r="N155" s="617">
        <v>455418</v>
      </c>
      <c r="O155" s="608">
        <v>181.87812515096022</v>
      </c>
      <c r="P155" s="609">
        <v>82830.572</v>
      </c>
      <c r="Q155" s="609">
        <v>82830.572</v>
      </c>
      <c r="R155" s="609">
        <v>67498.126999999993</v>
      </c>
      <c r="S155" s="618">
        <v>81.489388966189921</v>
      </c>
      <c r="T155" s="609">
        <v>61600.258000000002</v>
      </c>
      <c r="U155" s="617">
        <v>231565</v>
      </c>
      <c r="V155" s="617">
        <v>6101.6033621859478</v>
      </c>
      <c r="W155" s="617">
        <v>11512</v>
      </c>
      <c r="X155" s="617">
        <v>2833</v>
      </c>
      <c r="Y155" s="617">
        <v>303.33451905721779</v>
      </c>
      <c r="Z155" s="609">
        <v>4.0635368866925523</v>
      </c>
      <c r="AA155" s="609">
        <v>82671.225999999995</v>
      </c>
      <c r="AB155" s="609">
        <v>-46707.735000000001</v>
      </c>
      <c r="AC155" s="609"/>
      <c r="AD155" s="609"/>
      <c r="AE155" s="609"/>
      <c r="AF155" s="609"/>
      <c r="AG155" s="609"/>
      <c r="AH155" s="609">
        <v>94587.331999999995</v>
      </c>
      <c r="AI155" s="609">
        <v>0</v>
      </c>
      <c r="AJ155" s="609">
        <v>0</v>
      </c>
      <c r="AK155" s="609">
        <v>12168.07</v>
      </c>
      <c r="AL155" s="609">
        <v>-5.0000000000000001E-3</v>
      </c>
      <c r="AM155" s="609">
        <v>0</v>
      </c>
      <c r="AN155" s="609">
        <v>-20.126000000000001</v>
      </c>
      <c r="AO155" s="609">
        <v>106735.27099999999</v>
      </c>
      <c r="AP155" s="609">
        <v>107.026</v>
      </c>
      <c r="AQ155" s="609">
        <v>106628.245</v>
      </c>
      <c r="AR155" s="609">
        <v>0.82415443883492001</v>
      </c>
      <c r="AS155" s="609">
        <v>3433.3130000000001</v>
      </c>
      <c r="AT155" s="609">
        <v>13415.701999999999</v>
      </c>
      <c r="AU155" s="609">
        <v>0.10369307263180139</v>
      </c>
      <c r="AV155" s="609">
        <v>123477.26</v>
      </c>
      <c r="AW155" s="609">
        <v>5901.701</v>
      </c>
      <c r="AX155" s="609">
        <v>0</v>
      </c>
      <c r="AY155" s="612" t="s">
        <v>430</v>
      </c>
      <c r="AZ155" s="612" t="s">
        <v>431</v>
      </c>
      <c r="BA155" s="613" t="s">
        <v>554</v>
      </c>
      <c r="BB155" s="614">
        <v>9.7905582791432383E-2</v>
      </c>
      <c r="BC155" s="614">
        <v>8.7200527546668377E-2</v>
      </c>
      <c r="BD155" s="613" t="s">
        <v>576</v>
      </c>
      <c r="BE155" s="613" t="s">
        <v>576</v>
      </c>
    </row>
    <row r="156" spans="1:57">
      <c r="A156" s="601" t="s">
        <v>52</v>
      </c>
      <c r="B156" s="602" t="s">
        <v>263</v>
      </c>
      <c r="C156" s="601">
        <v>86</v>
      </c>
      <c r="D156" s="601">
        <v>158</v>
      </c>
      <c r="E156" s="603" t="s">
        <v>263</v>
      </c>
      <c r="F156" s="601">
        <v>2015</v>
      </c>
      <c r="G156" s="601" t="s">
        <v>567</v>
      </c>
      <c r="H156" s="609">
        <v>-21841.031999999999</v>
      </c>
      <c r="I156" s="609">
        <v>29314.751</v>
      </c>
      <c r="J156" s="615">
        <v>-4.5405781526052129</v>
      </c>
      <c r="K156" s="616">
        <v>224.73841089999999</v>
      </c>
      <c r="L156" s="609">
        <v>481018.74400000001</v>
      </c>
      <c r="M156" s="617">
        <v>35560</v>
      </c>
      <c r="N156" s="617">
        <v>399891</v>
      </c>
      <c r="O156" s="608">
        <v>399.93856575916936</v>
      </c>
      <c r="P156" s="609">
        <v>159931.83300000001</v>
      </c>
      <c r="Q156" s="609">
        <v>159931.83300000001</v>
      </c>
      <c r="R156" s="609">
        <v>141598.73199999999</v>
      </c>
      <c r="S156" s="618">
        <v>88.536928104863264</v>
      </c>
      <c r="T156" s="609">
        <v>133560.609</v>
      </c>
      <c r="U156" s="617">
        <v>313894</v>
      </c>
      <c r="V156" s="617">
        <v>9419.3867828983402</v>
      </c>
      <c r="W156" s="617">
        <v>4294</v>
      </c>
      <c r="X156" s="617">
        <v>669</v>
      </c>
      <c r="Y156" s="617">
        <v>128.85511301829749</v>
      </c>
      <c r="Z156" s="609">
        <v>6.4185351270553062</v>
      </c>
      <c r="AA156" s="609">
        <v>159831.85999999999</v>
      </c>
      <c r="AB156" s="609">
        <v>0</v>
      </c>
      <c r="AC156" s="609"/>
      <c r="AD156" s="609"/>
      <c r="AE156" s="609"/>
      <c r="AF156" s="609"/>
      <c r="AG156" s="609"/>
      <c r="AH156" s="609">
        <v>91781.535000000003</v>
      </c>
      <c r="AI156" s="609">
        <v>0</v>
      </c>
      <c r="AJ156" s="609">
        <v>0</v>
      </c>
      <c r="AK156" s="609">
        <v>12075.75</v>
      </c>
      <c r="AL156" s="609">
        <v>37396.392999999996</v>
      </c>
      <c r="AM156" s="609">
        <v>345.05399999999997</v>
      </c>
      <c r="AN156" s="609">
        <v>0</v>
      </c>
      <c r="AO156" s="609">
        <v>141598.73199999999</v>
      </c>
      <c r="AP156" s="609">
        <v>0</v>
      </c>
      <c r="AQ156" s="609">
        <v>141598.73199999999</v>
      </c>
      <c r="AR156" s="609">
        <v>0.88592306940556154</v>
      </c>
      <c r="AS156" s="609">
        <v>10053.852999999999</v>
      </c>
      <c r="AT156" s="609">
        <v>7616.924</v>
      </c>
      <c r="AU156" s="609">
        <v>4.7655855346987769E-2</v>
      </c>
      <c r="AV156" s="609">
        <v>159269.50899999999</v>
      </c>
      <c r="AW156" s="609">
        <v>562.351</v>
      </c>
      <c r="AX156" s="609">
        <v>0</v>
      </c>
      <c r="AY156" s="612" t="s">
        <v>430</v>
      </c>
      <c r="AZ156" s="612" t="s">
        <v>431</v>
      </c>
      <c r="BA156" s="613" t="s">
        <v>554</v>
      </c>
      <c r="BB156" s="614">
        <v>6.0943053395856858E-2</v>
      </c>
      <c r="BC156" s="614">
        <v>5.368766555551048E-2</v>
      </c>
      <c r="BD156" s="613" t="s">
        <v>575</v>
      </c>
      <c r="BE156" s="613" t="s">
        <v>575</v>
      </c>
    </row>
    <row r="157" spans="1:57">
      <c r="A157" s="601" t="s">
        <v>87</v>
      </c>
      <c r="B157" s="602" t="s">
        <v>140</v>
      </c>
      <c r="C157" s="601">
        <v>71</v>
      </c>
      <c r="D157" s="601">
        <v>159</v>
      </c>
      <c r="E157" s="603" t="s">
        <v>140</v>
      </c>
      <c r="F157" s="601">
        <v>2015</v>
      </c>
      <c r="G157" s="601" t="s">
        <v>567</v>
      </c>
      <c r="H157" s="604">
        <v>-10312.823</v>
      </c>
      <c r="I157" s="609">
        <v>11385.406999999999</v>
      </c>
      <c r="J157" s="605">
        <v>-7.7559072930785744</v>
      </c>
      <c r="K157" s="606">
        <v>212.40494799999999</v>
      </c>
      <c r="L157" s="609">
        <v>132967.33199999999</v>
      </c>
      <c r="M157" s="617">
        <v>32065</v>
      </c>
      <c r="N157" s="617">
        <v>393674</v>
      </c>
      <c r="O157" s="608">
        <v>23.742449336252839</v>
      </c>
      <c r="P157" s="609">
        <v>9346.7849999999999</v>
      </c>
      <c r="Q157" s="609">
        <v>9346.7849999999999</v>
      </c>
      <c r="R157" s="609">
        <v>9037.5239999999994</v>
      </c>
      <c r="S157" s="618">
        <v>96.691258010107205</v>
      </c>
      <c r="T157" s="609">
        <v>9037.5239999999994</v>
      </c>
      <c r="U157" s="617">
        <v>262730</v>
      </c>
      <c r="V157" s="617">
        <v>8008.5553021027554</v>
      </c>
      <c r="W157" s="617">
        <v>22853</v>
      </c>
      <c r="X157" s="617">
        <v>5086</v>
      </c>
      <c r="Y157" s="617">
        <v>696.60683712919831</v>
      </c>
      <c r="Z157" s="609">
        <v>4.4933149823043648</v>
      </c>
      <c r="AA157" s="609">
        <v>123620.54700000001</v>
      </c>
      <c r="AB157" s="609">
        <v>0</v>
      </c>
      <c r="AC157" s="609"/>
      <c r="AD157" s="609"/>
      <c r="AE157" s="609"/>
      <c r="AF157" s="609"/>
      <c r="AG157" s="609"/>
      <c r="AH157" s="609">
        <v>52987.23</v>
      </c>
      <c r="AI157" s="609">
        <v>28805.72</v>
      </c>
      <c r="AJ157" s="609">
        <v>0</v>
      </c>
      <c r="AK157" s="609">
        <v>10831.565000000001</v>
      </c>
      <c r="AL157" s="609">
        <v>27165.671999999999</v>
      </c>
      <c r="AM157" s="609">
        <v>1344.616</v>
      </c>
      <c r="AN157" s="609">
        <v>0</v>
      </c>
      <c r="AO157" s="609">
        <v>121134.804</v>
      </c>
      <c r="AP157" s="609">
        <v>0</v>
      </c>
      <c r="AQ157" s="609">
        <v>121134.804</v>
      </c>
      <c r="AR157" s="609">
        <v>0.97989215336508739</v>
      </c>
      <c r="AS157" s="609">
        <v>10876.946</v>
      </c>
      <c r="AT157" s="609">
        <v>10627.701999999999</v>
      </c>
      <c r="AU157" s="609">
        <v>8.5970352485173832E-2</v>
      </c>
      <c r="AV157" s="609">
        <v>132709.45199999999</v>
      </c>
      <c r="AW157" s="609">
        <v>-9088.9050000000007</v>
      </c>
      <c r="AX157" s="609">
        <v>0</v>
      </c>
      <c r="AY157" s="609" t="s">
        <v>435</v>
      </c>
      <c r="AZ157" s="609" t="s">
        <v>433</v>
      </c>
      <c r="BA157" s="613" t="s">
        <v>554</v>
      </c>
      <c r="BB157" s="614">
        <v>8.5625595616222488E-2</v>
      </c>
      <c r="BC157" s="614">
        <v>-5.253817571729455E-2</v>
      </c>
      <c r="BD157" s="613" t="s">
        <v>570</v>
      </c>
      <c r="BE157" s="613" t="s">
        <v>570</v>
      </c>
    </row>
    <row r="158" spans="1:57">
      <c r="A158" s="601" t="s">
        <v>81</v>
      </c>
      <c r="B158" s="602" t="s">
        <v>158</v>
      </c>
      <c r="C158" s="601">
        <v>60</v>
      </c>
      <c r="D158" s="601">
        <v>160</v>
      </c>
      <c r="E158" s="603" t="s">
        <v>158</v>
      </c>
      <c r="F158" s="601">
        <v>2015</v>
      </c>
      <c r="G158" s="601" t="s">
        <v>567</v>
      </c>
      <c r="H158" s="604">
        <v>63816.849000000002</v>
      </c>
      <c r="I158" s="609">
        <v>243854.59400000001</v>
      </c>
      <c r="J158" s="605">
        <v>2.8460169692235624</v>
      </c>
      <c r="K158" s="606">
        <v>718.73624240000004</v>
      </c>
      <c r="L158" s="609">
        <v>2242321.4509999999</v>
      </c>
      <c r="M158" s="617">
        <v>26657</v>
      </c>
      <c r="N158" s="617">
        <v>370726</v>
      </c>
      <c r="O158" s="608">
        <v>450.41260122030826</v>
      </c>
      <c r="P158" s="609">
        <v>166979.66200000001</v>
      </c>
      <c r="Q158" s="609">
        <v>166979.66200000001</v>
      </c>
      <c r="R158" s="609">
        <v>151552.12400000001</v>
      </c>
      <c r="S158" s="618">
        <v>90.760828106119888</v>
      </c>
      <c r="T158" s="609">
        <v>155141.59700000001</v>
      </c>
      <c r="U158" s="617">
        <v>246204</v>
      </c>
      <c r="V158" s="617">
        <v>7969.3574230024333</v>
      </c>
      <c r="W158" s="617">
        <v>1939</v>
      </c>
      <c r="X158" s="617">
        <v>-309</v>
      </c>
      <c r="Y158" s="617">
        <v>62.763334646072842</v>
      </c>
      <c r="Z158" s="609">
        <v>-6.275080906148867</v>
      </c>
      <c r="AA158" s="609">
        <v>166979.66200000001</v>
      </c>
      <c r="AB158" s="609">
        <v>0</v>
      </c>
      <c r="AC158" s="609"/>
      <c r="AD158" s="609"/>
      <c r="AE158" s="609"/>
      <c r="AF158" s="609"/>
      <c r="AG158" s="609"/>
      <c r="AH158" s="609">
        <v>81834.354000000007</v>
      </c>
      <c r="AI158" s="609">
        <v>10751.829</v>
      </c>
      <c r="AJ158" s="609">
        <v>0</v>
      </c>
      <c r="AK158" s="609">
        <v>13462.3</v>
      </c>
      <c r="AL158" s="609">
        <v>47553.091</v>
      </c>
      <c r="AM158" s="609">
        <v>-213.11500000000001</v>
      </c>
      <c r="AN158" s="609">
        <v>-836.33399999999995</v>
      </c>
      <c r="AO158" s="609">
        <v>152552.125</v>
      </c>
      <c r="AP158" s="609">
        <v>1000</v>
      </c>
      <c r="AQ158" s="609">
        <v>151552.125</v>
      </c>
      <c r="AR158" s="609">
        <v>0.90760828704995211</v>
      </c>
      <c r="AS158" s="609">
        <v>2975.1669999999999</v>
      </c>
      <c r="AT158" s="609">
        <v>12988.195</v>
      </c>
      <c r="AU158" s="609">
        <v>7.7783095524531595E-2</v>
      </c>
      <c r="AV158" s="609">
        <v>163373.04</v>
      </c>
      <c r="AW158" s="609">
        <v>3606.6219999999998</v>
      </c>
      <c r="AX158" s="609">
        <v>0</v>
      </c>
      <c r="AY158" s="612" t="s">
        <v>430</v>
      </c>
      <c r="AZ158" s="612" t="s">
        <v>431</v>
      </c>
      <c r="BA158" s="613" t="s">
        <v>554</v>
      </c>
      <c r="BB158" s="614">
        <v>0.10875095267507211</v>
      </c>
      <c r="BC158" s="614">
        <v>-1.6359233736270948E-2</v>
      </c>
      <c r="BD158" s="613" t="s">
        <v>572</v>
      </c>
      <c r="BE158" s="613" t="s">
        <v>572</v>
      </c>
    </row>
    <row r="159" spans="1:57">
      <c r="A159" s="601" t="s">
        <v>66</v>
      </c>
      <c r="B159" s="602" t="s">
        <v>214</v>
      </c>
      <c r="C159" s="601">
        <v>63</v>
      </c>
      <c r="D159" s="601">
        <v>161</v>
      </c>
      <c r="E159" s="603" t="s">
        <v>214</v>
      </c>
      <c r="F159" s="601">
        <v>2015</v>
      </c>
      <c r="G159" s="601" t="s">
        <v>567</v>
      </c>
      <c r="H159" s="604">
        <v>8801.8040000000001</v>
      </c>
      <c r="I159" s="609">
        <v>117663.66499999999</v>
      </c>
      <c r="J159" s="605">
        <v>0.80317127184413528</v>
      </c>
      <c r="K159" s="606">
        <v>403.35877110000001</v>
      </c>
      <c r="L159" s="609">
        <v>1095881.328</v>
      </c>
      <c r="M159" s="617">
        <v>31660</v>
      </c>
      <c r="N159" s="617">
        <v>366032</v>
      </c>
      <c r="O159" s="608">
        <v>432.86752524369456</v>
      </c>
      <c r="P159" s="609">
        <v>158443.36600000001</v>
      </c>
      <c r="Q159" s="609">
        <v>158443.36600000001</v>
      </c>
      <c r="R159" s="609">
        <v>130397.606</v>
      </c>
      <c r="S159" s="618">
        <v>82.299189478213933</v>
      </c>
      <c r="T159" s="609">
        <v>131356.35200000001</v>
      </c>
      <c r="U159" s="617">
        <v>103721</v>
      </c>
      <c r="V159" s="617">
        <v>3400.3912226253442</v>
      </c>
      <c r="W159" s="617">
        <v>26270</v>
      </c>
      <c r="X159" s="617">
        <v>4808</v>
      </c>
      <c r="Y159" s="617">
        <v>861.23617607203744</v>
      </c>
      <c r="Z159" s="609">
        <v>5.4638103161397673</v>
      </c>
      <c r="AA159" s="609">
        <v>156975.88099999999</v>
      </c>
      <c r="AB159" s="609">
        <v>0</v>
      </c>
      <c r="AC159" s="609"/>
      <c r="AD159" s="609"/>
      <c r="AE159" s="609"/>
      <c r="AF159" s="609"/>
      <c r="AG159" s="609"/>
      <c r="AH159" s="609">
        <v>88972.673999999999</v>
      </c>
      <c r="AI159" s="609">
        <v>11806.290999999999</v>
      </c>
      <c r="AJ159" s="609">
        <v>457.43700000000001</v>
      </c>
      <c r="AK159" s="609">
        <v>332.68099999999998</v>
      </c>
      <c r="AL159" s="609">
        <v>23161.968000000001</v>
      </c>
      <c r="AM159" s="609">
        <v>-28.146999999999998</v>
      </c>
      <c r="AN159" s="609">
        <v>5694.7030000000004</v>
      </c>
      <c r="AO159" s="609">
        <v>130397.607</v>
      </c>
      <c r="AP159" s="609">
        <v>459.78500000000003</v>
      </c>
      <c r="AQ159" s="609">
        <v>129937.822</v>
      </c>
      <c r="AR159" s="609">
        <v>0.82775660293953057</v>
      </c>
      <c r="AS159" s="609">
        <v>2181.3380000000002</v>
      </c>
      <c r="AT159" s="609">
        <v>15305.361999999999</v>
      </c>
      <c r="AU159" s="609">
        <v>9.7501360734519468E-2</v>
      </c>
      <c r="AV159" s="609">
        <v>145424.522</v>
      </c>
      <c r="AW159" s="609">
        <v>11551.359</v>
      </c>
      <c r="AX159" s="609">
        <v>0</v>
      </c>
      <c r="AY159" s="612" t="s">
        <v>430</v>
      </c>
      <c r="AZ159" s="612" t="s">
        <v>431</v>
      </c>
      <c r="BA159" s="613" t="s">
        <v>554</v>
      </c>
      <c r="BB159" s="614">
        <v>0.10736898420811491</v>
      </c>
      <c r="BC159" s="614">
        <v>6.9639121009745786E-2</v>
      </c>
      <c r="BD159" s="613" t="s">
        <v>575</v>
      </c>
      <c r="BE159" s="613" t="s">
        <v>575</v>
      </c>
    </row>
    <row r="160" spans="1:57">
      <c r="A160" s="601" t="s">
        <v>81</v>
      </c>
      <c r="B160" s="602" t="s">
        <v>259</v>
      </c>
      <c r="C160" s="601">
        <v>72</v>
      </c>
      <c r="D160" s="601">
        <v>162</v>
      </c>
      <c r="E160" s="603" t="s">
        <v>259</v>
      </c>
      <c r="F160" s="601">
        <v>2015</v>
      </c>
      <c r="G160" s="601" t="s">
        <v>567</v>
      </c>
      <c r="H160" s="604">
        <v>5777.7809999999999</v>
      </c>
      <c r="I160" s="609">
        <v>122745.48699999999</v>
      </c>
      <c r="J160" s="605">
        <v>0.37034627128721354</v>
      </c>
      <c r="K160" s="606">
        <v>763.60302669999999</v>
      </c>
      <c r="L160" s="609">
        <v>1560102.382</v>
      </c>
      <c r="M160" s="617">
        <v>33346</v>
      </c>
      <c r="N160" s="617">
        <v>358742</v>
      </c>
      <c r="O160" s="608">
        <v>413.40241176109851</v>
      </c>
      <c r="P160" s="609">
        <v>148304.80799999999</v>
      </c>
      <c r="Q160" s="609">
        <v>148304.80799999999</v>
      </c>
      <c r="R160" s="609">
        <v>133556.57</v>
      </c>
      <c r="S160" s="618">
        <v>90.05545524862552</v>
      </c>
      <c r="T160" s="609">
        <v>128618.197</v>
      </c>
      <c r="U160" s="617">
        <v>317289</v>
      </c>
      <c r="V160" s="617">
        <v>10613.387894364196</v>
      </c>
      <c r="W160" s="617">
        <v>17516</v>
      </c>
      <c r="X160" s="617">
        <v>3622</v>
      </c>
      <c r="Y160" s="617">
        <v>585.91411097669072</v>
      </c>
      <c r="Z160" s="609">
        <v>4.8360022087244614</v>
      </c>
      <c r="AA160" s="609">
        <v>147167.59599999999</v>
      </c>
      <c r="AB160" s="609">
        <v>0</v>
      </c>
      <c r="AC160" s="609"/>
      <c r="AD160" s="609"/>
      <c r="AE160" s="609"/>
      <c r="AF160" s="609"/>
      <c r="AG160" s="609"/>
      <c r="AH160" s="609">
        <v>87857.596999999994</v>
      </c>
      <c r="AI160" s="609">
        <v>5665.7709999999997</v>
      </c>
      <c r="AJ160" s="609">
        <v>0</v>
      </c>
      <c r="AK160" s="609">
        <v>8531.1569999999992</v>
      </c>
      <c r="AL160" s="609">
        <v>27965.956999999999</v>
      </c>
      <c r="AM160" s="609">
        <v>2377.6489999999999</v>
      </c>
      <c r="AN160" s="609">
        <v>1158.44</v>
      </c>
      <c r="AO160" s="609">
        <v>133556.571</v>
      </c>
      <c r="AP160" s="609">
        <v>1022.212</v>
      </c>
      <c r="AQ160" s="609">
        <v>132534.359</v>
      </c>
      <c r="AR160" s="609">
        <v>0.90056753390196032</v>
      </c>
      <c r="AS160" s="609">
        <v>3790.9050000000002</v>
      </c>
      <c r="AT160" s="609">
        <v>10139.198</v>
      </c>
      <c r="AU160" s="609">
        <v>6.8895587585734566E-2</v>
      </c>
      <c r="AV160" s="609">
        <v>146464.462</v>
      </c>
      <c r="AW160" s="609">
        <v>703.13400000000001</v>
      </c>
      <c r="AX160" s="609">
        <v>0</v>
      </c>
      <c r="AY160" s="612" t="s">
        <v>430</v>
      </c>
      <c r="AZ160" s="612" t="s">
        <v>431</v>
      </c>
      <c r="BA160" s="613" t="s">
        <v>554</v>
      </c>
      <c r="BB160" s="614">
        <v>7.8677840900828772E-2</v>
      </c>
      <c r="BC160" s="614">
        <v>2.0767606612916073E-2</v>
      </c>
      <c r="BD160" s="613" t="s">
        <v>573</v>
      </c>
      <c r="BE160" s="613" t="s">
        <v>573</v>
      </c>
    </row>
    <row r="161" spans="1:57">
      <c r="A161" s="601" t="s">
        <v>54</v>
      </c>
      <c r="B161" s="602" t="s">
        <v>174</v>
      </c>
      <c r="C161" s="601">
        <v>69</v>
      </c>
      <c r="D161" s="601">
        <v>163</v>
      </c>
      <c r="E161" s="603" t="s">
        <v>174</v>
      </c>
      <c r="F161" s="601">
        <v>2015</v>
      </c>
      <c r="G161" s="601" t="s">
        <v>469</v>
      </c>
      <c r="H161" s="604">
        <v>4328.0829999999996</v>
      </c>
      <c r="I161" s="609">
        <v>14235.571</v>
      </c>
      <c r="J161" s="605">
        <v>3.2897222428586002</v>
      </c>
      <c r="K161" s="606">
        <v>279.54513179999998</v>
      </c>
      <c r="L161" s="609">
        <v>131563.78200000001</v>
      </c>
      <c r="M161" s="617">
        <v>28304</v>
      </c>
      <c r="N161" s="617">
        <v>332101</v>
      </c>
      <c r="O161" s="608">
        <v>370.51893550456037</v>
      </c>
      <c r="P161" s="609">
        <v>123049.709</v>
      </c>
      <c r="Q161" s="609">
        <v>123049.709</v>
      </c>
      <c r="R161" s="609">
        <v>93473.645000000004</v>
      </c>
      <c r="S161" s="618">
        <v>75.964133324362436</v>
      </c>
      <c r="T161" s="609">
        <v>86306.130999999994</v>
      </c>
      <c r="U161" s="617">
        <v>173832</v>
      </c>
      <c r="V161" s="617">
        <v>6281.1734984236728</v>
      </c>
      <c r="W161" s="617">
        <v>11251</v>
      </c>
      <c r="X161" s="617">
        <v>2199</v>
      </c>
      <c r="Y161" s="617">
        <v>406.53897458905573</v>
      </c>
      <c r="Z161" s="609">
        <v>5.1164165529786265</v>
      </c>
      <c r="AA161" s="609">
        <v>122576.19500000001</v>
      </c>
      <c r="AB161" s="609">
        <v>0</v>
      </c>
      <c r="AC161" s="609"/>
      <c r="AD161" s="609"/>
      <c r="AE161" s="609"/>
      <c r="AF161" s="609"/>
      <c r="AG161" s="609"/>
      <c r="AH161" s="609">
        <v>74817.323999999993</v>
      </c>
      <c r="AI161" s="609">
        <v>10356.241</v>
      </c>
      <c r="AJ161" s="609">
        <v>0</v>
      </c>
      <c r="AK161" s="609">
        <v>0</v>
      </c>
      <c r="AL161" s="609">
        <v>8300.08</v>
      </c>
      <c r="AM161" s="609">
        <v>0</v>
      </c>
      <c r="AN161" s="609">
        <v>0</v>
      </c>
      <c r="AO161" s="609">
        <v>93473.645000000004</v>
      </c>
      <c r="AP161" s="609">
        <v>32.802999999999997</v>
      </c>
      <c r="AQ161" s="609">
        <v>93440.842000000004</v>
      </c>
      <c r="AR161" s="609">
        <v>0.76230822795568098</v>
      </c>
      <c r="AS161" s="609">
        <v>5631.2169999999996</v>
      </c>
      <c r="AT161" s="609">
        <v>13261.769</v>
      </c>
      <c r="AU161" s="609">
        <v>0.10819204332456232</v>
      </c>
      <c r="AV161" s="609">
        <v>112333.82799999999</v>
      </c>
      <c r="AW161" s="609">
        <v>10242.367</v>
      </c>
      <c r="AX161" s="609">
        <v>0</v>
      </c>
      <c r="AY161" s="612" t="s">
        <v>430</v>
      </c>
      <c r="AZ161" s="612" t="s">
        <v>433</v>
      </c>
      <c r="BA161" s="613" t="s">
        <v>554</v>
      </c>
      <c r="BB161" s="614">
        <v>0.1082028107097134</v>
      </c>
      <c r="BC161" s="652">
        <v>3.2897222428586004E-2</v>
      </c>
      <c r="BD161" s="613" t="s">
        <v>574</v>
      </c>
      <c r="BE161" s="613" t="s">
        <v>574</v>
      </c>
    </row>
    <row r="162" spans="1:57">
      <c r="A162" s="601" t="s">
        <v>96</v>
      </c>
      <c r="B162" s="602" t="s">
        <v>333</v>
      </c>
      <c r="C162" s="601">
        <v>99</v>
      </c>
      <c r="D162" s="601">
        <v>164</v>
      </c>
      <c r="E162" s="603" t="s">
        <v>333</v>
      </c>
      <c r="F162" s="601">
        <v>2015</v>
      </c>
      <c r="G162" s="601" t="s">
        <v>469</v>
      </c>
      <c r="H162" s="609">
        <v>802.44799999999998</v>
      </c>
      <c r="I162" s="609">
        <v>5397.527</v>
      </c>
      <c r="J162" s="615">
        <v>0.86415413588893997</v>
      </c>
      <c r="K162" s="616">
        <v>464.89803089999998</v>
      </c>
      <c r="L162" s="609">
        <v>92859.36</v>
      </c>
      <c r="M162" s="617">
        <v>157586</v>
      </c>
      <c r="N162" s="617">
        <v>305361</v>
      </c>
      <c r="O162" s="608">
        <v>304.09698684507845</v>
      </c>
      <c r="P162" s="609">
        <v>92859.36</v>
      </c>
      <c r="Q162" s="609">
        <v>92859.36</v>
      </c>
      <c r="R162" s="609">
        <v>84015.694000000003</v>
      </c>
      <c r="S162" s="618">
        <v>90.476279397144239</v>
      </c>
      <c r="T162" s="609">
        <v>62556.368999999999</v>
      </c>
      <c r="U162" s="617">
        <v>63831</v>
      </c>
      <c r="V162" s="617">
        <v>2508.4146305520353</v>
      </c>
      <c r="W162" s="617">
        <v>10558</v>
      </c>
      <c r="X162" s="617">
        <v>2619</v>
      </c>
      <c r="Y162" s="617">
        <v>414.90563627968208</v>
      </c>
      <c r="Z162" s="609">
        <v>4.0313096601756397</v>
      </c>
      <c r="AA162" s="609" t="s">
        <v>20</v>
      </c>
      <c r="AB162" s="609" t="s">
        <v>20</v>
      </c>
      <c r="AC162" s="609"/>
      <c r="AD162" s="609"/>
      <c r="AE162" s="609"/>
      <c r="AF162" s="609"/>
      <c r="AG162" s="609"/>
      <c r="AH162" s="609" t="s">
        <v>20</v>
      </c>
      <c r="AI162" s="609" t="s">
        <v>20</v>
      </c>
      <c r="AJ162" s="609" t="s">
        <v>20</v>
      </c>
      <c r="AK162" s="609" t="s">
        <v>20</v>
      </c>
      <c r="AL162" s="609" t="s">
        <v>20</v>
      </c>
      <c r="AM162" s="609" t="s">
        <v>20</v>
      </c>
      <c r="AN162" s="609" t="s">
        <v>20</v>
      </c>
      <c r="AO162" s="609" t="s">
        <v>20</v>
      </c>
      <c r="AP162" s="609" t="s">
        <v>20</v>
      </c>
      <c r="AQ162" s="609" t="s">
        <v>20</v>
      </c>
      <c r="AR162" s="609" t="s">
        <v>20</v>
      </c>
      <c r="AS162" s="609" t="s">
        <v>20</v>
      </c>
      <c r="AT162" s="609" t="s">
        <v>20</v>
      </c>
      <c r="AU162" s="609" t="s">
        <v>20</v>
      </c>
      <c r="AV162" s="609" t="s">
        <v>20</v>
      </c>
      <c r="AW162" s="609" t="s">
        <v>20</v>
      </c>
      <c r="AX162" s="609" t="s">
        <v>20</v>
      </c>
      <c r="AY162" s="612" t="s">
        <v>435</v>
      </c>
      <c r="AZ162" s="612" t="s">
        <v>431</v>
      </c>
      <c r="BA162" s="613" t="s">
        <v>555</v>
      </c>
      <c r="BB162" s="614">
        <v>5.8125825980278135E-2</v>
      </c>
      <c r="BC162" s="614">
        <v>8.6415413588893999E-3</v>
      </c>
      <c r="BD162" s="613" t="s">
        <v>573</v>
      </c>
      <c r="BE162" s="613" t="s">
        <v>573</v>
      </c>
    </row>
    <row r="163" spans="1:57">
      <c r="A163" s="601" t="s">
        <v>58</v>
      </c>
      <c r="B163" s="602" t="s">
        <v>427</v>
      </c>
      <c r="C163" s="601">
        <v>31</v>
      </c>
      <c r="D163" s="601">
        <v>165</v>
      </c>
      <c r="E163" s="603" t="s">
        <v>237</v>
      </c>
      <c r="F163" s="601">
        <v>2015</v>
      </c>
      <c r="G163" s="601" t="s">
        <v>567</v>
      </c>
      <c r="H163" s="604">
        <v>-17366.026999999998</v>
      </c>
      <c r="I163" s="609">
        <v>85291.202000000005</v>
      </c>
      <c r="J163" s="605">
        <v>-1.3667272149386964</v>
      </c>
      <c r="K163" s="606">
        <v>354.01928900000001</v>
      </c>
      <c r="L163" s="609">
        <v>1270628.6089999999</v>
      </c>
      <c r="M163" s="607">
        <v>26519</v>
      </c>
      <c r="N163" s="607">
        <v>302796</v>
      </c>
      <c r="O163" s="608">
        <v>302.48384390810975</v>
      </c>
      <c r="P163" s="609">
        <v>91590.898000000001</v>
      </c>
      <c r="Q163" s="609">
        <v>91590.898000000001</v>
      </c>
      <c r="R163" s="609">
        <v>110839.428</v>
      </c>
      <c r="S163" s="610">
        <v>121.01576730910533</v>
      </c>
      <c r="T163" s="609">
        <v>110462.04</v>
      </c>
      <c r="U163" s="607">
        <v>97219</v>
      </c>
      <c r="V163" s="607">
        <v>3852.8514247215949</v>
      </c>
      <c r="W163" s="607">
        <v>8812</v>
      </c>
      <c r="X163" s="607">
        <v>1852</v>
      </c>
      <c r="Y163" s="607">
        <v>349.22522094083143</v>
      </c>
      <c r="Z163" s="611">
        <v>4.7580993520518362</v>
      </c>
      <c r="AA163" s="609" t="s">
        <v>20</v>
      </c>
      <c r="AB163" s="609" t="s">
        <v>20</v>
      </c>
      <c r="AC163" s="609"/>
      <c r="AD163" s="609"/>
      <c r="AE163" s="609"/>
      <c r="AF163" s="609"/>
      <c r="AG163" s="609"/>
      <c r="AH163" s="609" t="s">
        <v>20</v>
      </c>
      <c r="AI163" s="609" t="s">
        <v>20</v>
      </c>
      <c r="AJ163" s="609" t="s">
        <v>20</v>
      </c>
      <c r="AK163" s="609" t="s">
        <v>20</v>
      </c>
      <c r="AL163" s="609" t="s">
        <v>20</v>
      </c>
      <c r="AM163" s="609" t="s">
        <v>20</v>
      </c>
      <c r="AN163" s="609" t="s">
        <v>20</v>
      </c>
      <c r="AO163" s="609" t="s">
        <v>20</v>
      </c>
      <c r="AP163" s="609" t="s">
        <v>20</v>
      </c>
      <c r="AQ163" s="609" t="s">
        <v>20</v>
      </c>
      <c r="AR163" s="609" t="s">
        <v>20</v>
      </c>
      <c r="AS163" s="609" t="s">
        <v>20</v>
      </c>
      <c r="AT163" s="609" t="s">
        <v>20</v>
      </c>
      <c r="AU163" s="609" t="s">
        <v>20</v>
      </c>
      <c r="AV163" s="609" t="s">
        <v>20</v>
      </c>
      <c r="AW163" s="609" t="s">
        <v>20</v>
      </c>
      <c r="AX163" s="609" t="s">
        <v>20</v>
      </c>
      <c r="AY163" s="612" t="s">
        <v>435</v>
      </c>
      <c r="AZ163" s="612" t="s">
        <v>431</v>
      </c>
      <c r="BA163" s="613" t="s">
        <v>554</v>
      </c>
      <c r="BB163" s="614">
        <v>6.7125201963715589E-2</v>
      </c>
      <c r="BC163" s="614">
        <v>-0.27728287505476884</v>
      </c>
      <c r="BD163" s="613" t="s">
        <v>580</v>
      </c>
      <c r="BE163" s="613" t="s">
        <v>580</v>
      </c>
    </row>
    <row r="164" spans="1:57">
      <c r="A164" s="601" t="s">
        <v>65</v>
      </c>
      <c r="B164" s="603" t="s">
        <v>424</v>
      </c>
      <c r="C164" s="601">
        <v>6</v>
      </c>
      <c r="D164" s="601">
        <v>166</v>
      </c>
      <c r="E164" s="603" t="s">
        <v>310</v>
      </c>
      <c r="F164" s="601">
        <v>2015</v>
      </c>
      <c r="G164" s="601" t="s">
        <v>469</v>
      </c>
      <c r="H164" s="604">
        <v>-11873.011</v>
      </c>
      <c r="I164" s="609">
        <v>15855.492</v>
      </c>
      <c r="J164" s="605">
        <v>-6.571897661727288</v>
      </c>
      <c r="K164" s="606">
        <v>292.207943</v>
      </c>
      <c r="L164" s="609">
        <v>180663.35800000001</v>
      </c>
      <c r="M164" s="607">
        <v>37986</v>
      </c>
      <c r="N164" s="607">
        <v>299879</v>
      </c>
      <c r="O164" s="608">
        <v>601.50913535125835</v>
      </c>
      <c r="P164" s="609">
        <v>180379.95800000001</v>
      </c>
      <c r="Q164" s="609">
        <v>180379.95800000001</v>
      </c>
      <c r="R164" s="609">
        <v>169648.60200000001</v>
      </c>
      <c r="S164" s="610">
        <v>94.050693813777258</v>
      </c>
      <c r="T164" s="609">
        <v>123890.31600000001</v>
      </c>
      <c r="U164" s="607">
        <v>47827</v>
      </c>
      <c r="V164" s="607">
        <v>1913.8519202745108</v>
      </c>
      <c r="W164" s="607">
        <v>4724</v>
      </c>
      <c r="X164" s="607">
        <v>996</v>
      </c>
      <c r="Y164" s="607">
        <v>189.03624461866286</v>
      </c>
      <c r="Z164" s="611">
        <v>4.7429718875502012</v>
      </c>
      <c r="AA164" s="609" t="s">
        <v>20</v>
      </c>
      <c r="AB164" s="609" t="s">
        <v>20</v>
      </c>
      <c r="AC164" s="609"/>
      <c r="AD164" s="609"/>
      <c r="AE164" s="609"/>
      <c r="AF164" s="609"/>
      <c r="AG164" s="609"/>
      <c r="AH164" s="609" t="s">
        <v>20</v>
      </c>
      <c r="AI164" s="609" t="s">
        <v>20</v>
      </c>
      <c r="AJ164" s="609" t="s">
        <v>20</v>
      </c>
      <c r="AK164" s="609" t="s">
        <v>20</v>
      </c>
      <c r="AL164" s="609" t="s">
        <v>20</v>
      </c>
      <c r="AM164" s="609" t="s">
        <v>20</v>
      </c>
      <c r="AN164" s="609" t="s">
        <v>20</v>
      </c>
      <c r="AO164" s="609" t="s">
        <v>20</v>
      </c>
      <c r="AP164" s="609" t="s">
        <v>20</v>
      </c>
      <c r="AQ164" s="609" t="s">
        <v>20</v>
      </c>
      <c r="AR164" s="609" t="s">
        <v>20</v>
      </c>
      <c r="AS164" s="609" t="s">
        <v>20</v>
      </c>
      <c r="AT164" s="609" t="s">
        <v>20</v>
      </c>
      <c r="AU164" s="609" t="s">
        <v>20</v>
      </c>
      <c r="AV164" s="609" t="s">
        <v>20</v>
      </c>
      <c r="AW164" s="609" t="s">
        <v>20</v>
      </c>
      <c r="AX164" s="609" t="s">
        <v>20</v>
      </c>
      <c r="AY164" s="612" t="s">
        <v>430</v>
      </c>
      <c r="AZ164" s="612" t="s">
        <v>433</v>
      </c>
      <c r="BA164" s="613" t="s">
        <v>554</v>
      </c>
      <c r="BB164" s="614">
        <v>8.7762633084678965E-2</v>
      </c>
      <c r="BC164" s="652">
        <v>-6.5718976617272884E-2</v>
      </c>
      <c r="BD164" s="613" t="s">
        <v>570</v>
      </c>
      <c r="BE164" s="613" t="s">
        <v>570</v>
      </c>
    </row>
    <row r="165" spans="1:57">
      <c r="A165" s="601" t="s">
        <v>90</v>
      </c>
      <c r="B165" s="603" t="s">
        <v>424</v>
      </c>
      <c r="C165" s="601">
        <v>6</v>
      </c>
      <c r="D165" s="601">
        <v>167</v>
      </c>
      <c r="E165" s="603" t="s">
        <v>314</v>
      </c>
      <c r="F165" s="601">
        <v>2015</v>
      </c>
      <c r="G165" s="601" t="s">
        <v>469</v>
      </c>
      <c r="H165" s="604">
        <v>4646.0479999999998</v>
      </c>
      <c r="I165" s="609">
        <v>4373.9539999999997</v>
      </c>
      <c r="J165" s="605">
        <v>6.609174742811728</v>
      </c>
      <c r="K165" s="606">
        <v>983.71948259999999</v>
      </c>
      <c r="L165" s="609">
        <v>70296.945999999996</v>
      </c>
      <c r="M165" s="607">
        <v>74657</v>
      </c>
      <c r="N165" s="607">
        <v>296818</v>
      </c>
      <c r="O165" s="608">
        <v>221.70592079995151</v>
      </c>
      <c r="P165" s="609">
        <v>74724.001999999993</v>
      </c>
      <c r="Q165" s="609">
        <v>65806.308000000005</v>
      </c>
      <c r="R165" s="609">
        <v>52848.31</v>
      </c>
      <c r="S165" s="610">
        <v>80.308881634873046</v>
      </c>
      <c r="T165" s="609">
        <v>32923.328000000001</v>
      </c>
      <c r="U165" s="607">
        <v>117773</v>
      </c>
      <c r="V165" s="607">
        <v>4761.4228247613019</v>
      </c>
      <c r="W165" s="607">
        <v>13240</v>
      </c>
      <c r="X165" s="607">
        <v>14677</v>
      </c>
      <c r="Y165" s="607">
        <v>535.27751012404906</v>
      </c>
      <c r="Z165" s="611">
        <v>0.90209170811473738</v>
      </c>
      <c r="AA165" s="609" t="s">
        <v>20</v>
      </c>
      <c r="AB165" s="609" t="s">
        <v>20</v>
      </c>
      <c r="AC165" s="609"/>
      <c r="AD165" s="609"/>
      <c r="AE165" s="609"/>
      <c r="AF165" s="609"/>
      <c r="AG165" s="609"/>
      <c r="AH165" s="609" t="s">
        <v>20</v>
      </c>
      <c r="AI165" s="609" t="s">
        <v>20</v>
      </c>
      <c r="AJ165" s="609" t="s">
        <v>20</v>
      </c>
      <c r="AK165" s="609" t="s">
        <v>20</v>
      </c>
      <c r="AL165" s="609" t="s">
        <v>20</v>
      </c>
      <c r="AM165" s="609" t="s">
        <v>20</v>
      </c>
      <c r="AN165" s="609" t="s">
        <v>20</v>
      </c>
      <c r="AO165" s="609" t="s">
        <v>20</v>
      </c>
      <c r="AP165" s="609" t="s">
        <v>20</v>
      </c>
      <c r="AQ165" s="609" t="s">
        <v>20</v>
      </c>
      <c r="AR165" s="609" t="s">
        <v>20</v>
      </c>
      <c r="AS165" s="609" t="s">
        <v>20</v>
      </c>
      <c r="AT165" s="609" t="s">
        <v>20</v>
      </c>
      <c r="AU165" s="609" t="s">
        <v>20</v>
      </c>
      <c r="AV165" s="609" t="s">
        <v>20</v>
      </c>
      <c r="AW165" s="609" t="s">
        <v>20</v>
      </c>
      <c r="AX165" s="609" t="s">
        <v>20</v>
      </c>
      <c r="AY165" s="612" t="s">
        <v>430</v>
      </c>
      <c r="AZ165" s="612" t="s">
        <v>433</v>
      </c>
      <c r="BA165" s="613" t="s">
        <v>551</v>
      </c>
      <c r="BB165" s="614">
        <v>6.2221109861586306E-2</v>
      </c>
      <c r="BC165" s="652">
        <v>6.6091747428117284E-2</v>
      </c>
      <c r="BD165" s="613" t="s">
        <v>575</v>
      </c>
      <c r="BE165" s="613" t="s">
        <v>575</v>
      </c>
    </row>
    <row r="166" spans="1:57">
      <c r="A166" s="601" t="s">
        <v>67</v>
      </c>
      <c r="B166" s="602" t="s">
        <v>427</v>
      </c>
      <c r="C166" s="601">
        <v>31</v>
      </c>
      <c r="D166" s="601">
        <v>168</v>
      </c>
      <c r="E166" s="603" t="s">
        <v>239</v>
      </c>
      <c r="F166" s="601">
        <v>2015</v>
      </c>
      <c r="G166" s="601" t="s">
        <v>567</v>
      </c>
      <c r="H166" s="604">
        <v>-5078.1170000000002</v>
      </c>
      <c r="I166" s="609">
        <v>260251.47200000001</v>
      </c>
      <c r="J166" s="605">
        <v>-0.17030937105977698</v>
      </c>
      <c r="K166" s="606">
        <v>364.61543119999999</v>
      </c>
      <c r="L166" s="609">
        <v>2981701.4580000001</v>
      </c>
      <c r="M166" s="607">
        <v>32492</v>
      </c>
      <c r="N166" s="607">
        <v>294908</v>
      </c>
      <c r="O166" s="608">
        <v>377.76331601719858</v>
      </c>
      <c r="P166" s="609">
        <v>111405.424</v>
      </c>
      <c r="Q166" s="609">
        <v>111405.424</v>
      </c>
      <c r="R166" s="609">
        <v>113211.98</v>
      </c>
      <c r="S166" s="610">
        <v>101.62160506655403</v>
      </c>
      <c r="T166" s="609">
        <v>108600.817</v>
      </c>
      <c r="U166" s="607">
        <v>96336</v>
      </c>
      <c r="V166" s="607">
        <v>3919.9750430642775</v>
      </c>
      <c r="W166" s="607">
        <v>9711</v>
      </c>
      <c r="X166" s="607">
        <v>2411</v>
      </c>
      <c r="Y166" s="607">
        <v>395.14696108616926</v>
      </c>
      <c r="Z166" s="611">
        <v>4.0277892990460389</v>
      </c>
      <c r="AA166" s="609" t="s">
        <v>20</v>
      </c>
      <c r="AB166" s="609" t="s">
        <v>20</v>
      </c>
      <c r="AC166" s="609"/>
      <c r="AD166" s="609"/>
      <c r="AE166" s="609"/>
      <c r="AF166" s="609"/>
      <c r="AG166" s="609"/>
      <c r="AH166" s="609" t="s">
        <v>20</v>
      </c>
      <c r="AI166" s="609" t="s">
        <v>20</v>
      </c>
      <c r="AJ166" s="609" t="s">
        <v>20</v>
      </c>
      <c r="AK166" s="609" t="s">
        <v>20</v>
      </c>
      <c r="AL166" s="609" t="s">
        <v>20</v>
      </c>
      <c r="AM166" s="609" t="s">
        <v>20</v>
      </c>
      <c r="AN166" s="609" t="s">
        <v>20</v>
      </c>
      <c r="AO166" s="609" t="s">
        <v>20</v>
      </c>
      <c r="AP166" s="609" t="s">
        <v>20</v>
      </c>
      <c r="AQ166" s="609" t="s">
        <v>20</v>
      </c>
      <c r="AR166" s="609" t="s">
        <v>20</v>
      </c>
      <c r="AS166" s="609" t="s">
        <v>20</v>
      </c>
      <c r="AT166" s="609" t="s">
        <v>20</v>
      </c>
      <c r="AU166" s="609" t="s">
        <v>20</v>
      </c>
      <c r="AV166" s="609" t="s">
        <v>20</v>
      </c>
      <c r="AW166" s="609" t="s">
        <v>20</v>
      </c>
      <c r="AX166" s="609" t="s">
        <v>20</v>
      </c>
      <c r="AY166" s="612" t="s">
        <v>435</v>
      </c>
      <c r="AZ166" s="612" t="s">
        <v>431</v>
      </c>
      <c r="BA166" s="613" t="s">
        <v>554</v>
      </c>
      <c r="BB166" s="614">
        <v>8.7282873777231124E-2</v>
      </c>
      <c r="BC166" s="614">
        <v>-0.10349892444277134</v>
      </c>
      <c r="BD166" s="613" t="s">
        <v>579</v>
      </c>
      <c r="BE166" s="613" t="s">
        <v>579</v>
      </c>
    </row>
    <row r="167" spans="1:57">
      <c r="A167" s="601" t="s">
        <v>76</v>
      </c>
      <c r="B167" s="603" t="s">
        <v>423</v>
      </c>
      <c r="C167" s="601">
        <v>7</v>
      </c>
      <c r="D167" s="601">
        <v>169</v>
      </c>
      <c r="E167" s="603" t="s">
        <v>197</v>
      </c>
      <c r="F167" s="601">
        <v>2015</v>
      </c>
      <c r="G167" s="601" t="s">
        <v>469</v>
      </c>
      <c r="H167" s="604">
        <v>-3471.5639999999999</v>
      </c>
      <c r="I167" s="604">
        <v>8226.2330000000002</v>
      </c>
      <c r="J167" s="605">
        <v>-4.5497762557878341</v>
      </c>
      <c r="K167" s="606">
        <v>387.86481909999998</v>
      </c>
      <c r="L167" s="604">
        <v>76301.861999999994</v>
      </c>
      <c r="M167" s="607">
        <v>24700</v>
      </c>
      <c r="N167" s="607">
        <v>290354</v>
      </c>
      <c r="O167" s="608">
        <v>264.75163421203081</v>
      </c>
      <c r="P167" s="609">
        <v>76871.695999999996</v>
      </c>
      <c r="Q167" s="609">
        <v>76871.695999999996</v>
      </c>
      <c r="R167" s="609">
        <v>67838.909</v>
      </c>
      <c r="S167" s="610">
        <v>88.249528148826073</v>
      </c>
      <c r="T167" s="609">
        <v>63912.775000000001</v>
      </c>
      <c r="U167" s="607">
        <v>197746</v>
      </c>
      <c r="V167" s="607">
        <v>8172.6168745737959</v>
      </c>
      <c r="W167" s="607">
        <v>10376</v>
      </c>
      <c r="X167" s="607">
        <v>2619</v>
      </c>
      <c r="Y167" s="607">
        <v>428.82825791964291</v>
      </c>
      <c r="Z167" s="611">
        <v>3.9618174875906833</v>
      </c>
      <c r="AA167" s="609">
        <v>76301.861999999994</v>
      </c>
      <c r="AB167" s="609">
        <v>0</v>
      </c>
      <c r="AC167" s="609"/>
      <c r="AD167" s="609"/>
      <c r="AE167" s="609"/>
      <c r="AF167" s="609"/>
      <c r="AG167" s="609"/>
      <c r="AH167" s="609">
        <v>48311.358999999997</v>
      </c>
      <c r="AI167" s="609">
        <v>14439.630999999999</v>
      </c>
      <c r="AJ167" s="609">
        <v>0</v>
      </c>
      <c r="AK167" s="609">
        <v>2937.7919999999999</v>
      </c>
      <c r="AL167" s="609">
        <v>342.54599999999999</v>
      </c>
      <c r="AM167" s="609">
        <v>1671.1559999999999</v>
      </c>
      <c r="AN167" s="609">
        <v>136.42500000000001</v>
      </c>
      <c r="AO167" s="609">
        <v>67838.909</v>
      </c>
      <c r="AP167" s="609">
        <v>203.10300000000001</v>
      </c>
      <c r="AQ167" s="609">
        <v>67635.805999999997</v>
      </c>
      <c r="AR167" s="609">
        <v>0.88642405607349406</v>
      </c>
      <c r="AS167" s="609">
        <v>3913.0920000000001</v>
      </c>
      <c r="AT167" s="609">
        <v>8226.232</v>
      </c>
      <c r="AU167" s="609">
        <v>0.10781168092595173</v>
      </c>
      <c r="AV167" s="609">
        <v>79775.13</v>
      </c>
      <c r="AW167" s="609">
        <v>-3473.268</v>
      </c>
      <c r="AX167" s="609">
        <v>0</v>
      </c>
      <c r="AY167" s="612" t="s">
        <v>430</v>
      </c>
      <c r="AZ167" s="612" t="s">
        <v>431</v>
      </c>
      <c r="BA167" s="613" t="s">
        <v>553</v>
      </c>
      <c r="BB167" s="614">
        <v>0.10781169403179179</v>
      </c>
      <c r="BC167" s="652">
        <v>-4.5497762557878338E-2</v>
      </c>
      <c r="BD167" s="613" t="s">
        <v>571</v>
      </c>
      <c r="BE167" s="613" t="s">
        <v>571</v>
      </c>
    </row>
    <row r="168" spans="1:57">
      <c r="A168" s="601" t="s">
        <v>69</v>
      </c>
      <c r="B168" s="602" t="s">
        <v>322</v>
      </c>
      <c r="C168" s="601">
        <v>77</v>
      </c>
      <c r="D168" s="601">
        <v>170</v>
      </c>
      <c r="E168" s="603" t="s">
        <v>322</v>
      </c>
      <c r="F168" s="601">
        <v>2015</v>
      </c>
      <c r="G168" s="601" t="s">
        <v>469</v>
      </c>
      <c r="H168" s="609">
        <v>2894.018</v>
      </c>
      <c r="I168" s="609">
        <v>11498.514999999999</v>
      </c>
      <c r="J168" s="615">
        <v>3.256464043735098</v>
      </c>
      <c r="K168" s="616">
        <v>309.86221769999997</v>
      </c>
      <c r="L168" s="609">
        <v>88869.951000000001</v>
      </c>
      <c r="M168" s="617">
        <v>20881</v>
      </c>
      <c r="N168" s="617">
        <v>247025</v>
      </c>
      <c r="O168" s="608">
        <v>349.22173464224267</v>
      </c>
      <c r="P168" s="609">
        <v>86266.498999999996</v>
      </c>
      <c r="Q168" s="609">
        <v>86266.498999999996</v>
      </c>
      <c r="R168" s="609">
        <v>73582.266000000003</v>
      </c>
      <c r="S168" s="618">
        <v>85.296455580050846</v>
      </c>
      <c r="T168" s="609">
        <v>73990.619000000006</v>
      </c>
      <c r="U168" s="617">
        <v>106690</v>
      </c>
      <c r="V168" s="617">
        <v>5182.7952636372838</v>
      </c>
      <c r="W168" s="617">
        <v>11922</v>
      </c>
      <c r="X168" s="617">
        <v>2627</v>
      </c>
      <c r="Y168" s="617">
        <v>579.14785952838781</v>
      </c>
      <c r="Z168" s="609">
        <v>4.5382565664255807</v>
      </c>
      <c r="AA168" s="609">
        <v>86003.053</v>
      </c>
      <c r="AB168" s="609">
        <v>0</v>
      </c>
      <c r="AC168" s="609"/>
      <c r="AD168" s="609"/>
      <c r="AE168" s="609"/>
      <c r="AF168" s="609"/>
      <c r="AG168" s="609"/>
      <c r="AH168" s="609">
        <v>46988.875999999997</v>
      </c>
      <c r="AI168" s="609">
        <v>3654.0390000000002</v>
      </c>
      <c r="AJ168" s="609">
        <v>0</v>
      </c>
      <c r="AK168" s="609">
        <v>7989.47</v>
      </c>
      <c r="AL168" s="609">
        <v>14245.371999999999</v>
      </c>
      <c r="AM168" s="609">
        <v>0</v>
      </c>
      <c r="AN168" s="609">
        <v>883.18299999999999</v>
      </c>
      <c r="AO168" s="609">
        <v>73760.941000000006</v>
      </c>
      <c r="AP168" s="609">
        <v>298.041</v>
      </c>
      <c r="AQ168" s="609">
        <v>73462.899000000005</v>
      </c>
      <c r="AR168" s="609">
        <v>0.85418943208911435</v>
      </c>
      <c r="AS168" s="609">
        <v>3190.5390000000002</v>
      </c>
      <c r="AT168" s="609">
        <v>11311.911</v>
      </c>
      <c r="AU168" s="609">
        <v>0.13152917955133522</v>
      </c>
      <c r="AV168" s="609">
        <v>87965.349000000002</v>
      </c>
      <c r="AW168" s="609">
        <v>-1962.297</v>
      </c>
      <c r="AX168" s="609">
        <v>0</v>
      </c>
      <c r="AY168" s="612" t="s">
        <v>435</v>
      </c>
      <c r="AZ168" s="612" t="s">
        <v>431</v>
      </c>
      <c r="BA168" s="613" t="s">
        <v>553</v>
      </c>
      <c r="BB168" s="614">
        <v>0.12938585956911353</v>
      </c>
      <c r="BC168" s="652">
        <v>3.2564640437350981E-2</v>
      </c>
      <c r="BD168" s="613" t="s">
        <v>574</v>
      </c>
      <c r="BE168" s="613" t="s">
        <v>574</v>
      </c>
    </row>
    <row r="169" spans="1:57">
      <c r="A169" s="601" t="s">
        <v>95</v>
      </c>
      <c r="B169" s="602" t="s">
        <v>426</v>
      </c>
      <c r="C169" s="601">
        <v>8</v>
      </c>
      <c r="D169" s="601">
        <v>171</v>
      </c>
      <c r="E169" s="603" t="s">
        <v>235</v>
      </c>
      <c r="F169" s="601">
        <v>2015</v>
      </c>
      <c r="G169" s="601" t="s">
        <v>567</v>
      </c>
      <c r="H169" s="604">
        <v>5291.5770000000002</v>
      </c>
      <c r="I169" s="609">
        <v>17154.46</v>
      </c>
      <c r="J169" s="605">
        <v>2.5087213957297734</v>
      </c>
      <c r="K169" s="606">
        <v>396.63871080000001</v>
      </c>
      <c r="L169" s="609">
        <v>210927.24799999999</v>
      </c>
      <c r="M169" s="607">
        <v>19873</v>
      </c>
      <c r="N169" s="607">
        <v>233018</v>
      </c>
      <c r="O169" s="608">
        <v>516.70241783896518</v>
      </c>
      <c r="P169" s="609">
        <v>120400.96400000001</v>
      </c>
      <c r="Q169" s="609">
        <v>120400.96400000001</v>
      </c>
      <c r="R169" s="609">
        <v>89637.148000000001</v>
      </c>
      <c r="S169" s="610">
        <v>74.448862386184885</v>
      </c>
      <c r="T169" s="609">
        <v>85375.679999999993</v>
      </c>
      <c r="U169" s="607">
        <v>188139</v>
      </c>
      <c r="V169" s="607">
        <v>9688.813739711095</v>
      </c>
      <c r="W169" s="607">
        <v>28955</v>
      </c>
      <c r="X169" s="607">
        <v>5331</v>
      </c>
      <c r="Y169" s="607">
        <v>1491.1294406440704</v>
      </c>
      <c r="Z169" s="611">
        <v>5.4314387544550744</v>
      </c>
      <c r="AA169" s="609">
        <v>120223.65700000001</v>
      </c>
      <c r="AB169" s="609">
        <v>0</v>
      </c>
      <c r="AC169" s="609"/>
      <c r="AD169" s="609"/>
      <c r="AE169" s="609"/>
      <c r="AF169" s="609"/>
      <c r="AG169" s="609"/>
      <c r="AH169" s="609">
        <v>82533.64</v>
      </c>
      <c r="AI169" s="609">
        <v>3568.6970000000001</v>
      </c>
      <c r="AJ169" s="609">
        <v>0</v>
      </c>
      <c r="AK169" s="609">
        <v>0</v>
      </c>
      <c r="AL169" s="609">
        <v>3534.8119999999999</v>
      </c>
      <c r="AM169" s="609">
        <v>0</v>
      </c>
      <c r="AN169" s="609">
        <v>0</v>
      </c>
      <c r="AO169" s="609">
        <v>89637.149000000005</v>
      </c>
      <c r="AP169" s="609">
        <v>44.401000000000003</v>
      </c>
      <c r="AQ169" s="609">
        <v>89592.748000000007</v>
      </c>
      <c r="AR169" s="609">
        <v>0.74521729113597002</v>
      </c>
      <c r="AS169" s="609">
        <v>8620.3539999999994</v>
      </c>
      <c r="AT169" s="609">
        <v>9461.4599999999991</v>
      </c>
      <c r="AU169" s="609">
        <v>7.8698820482561091E-2</v>
      </c>
      <c r="AV169" s="609">
        <v>107674.56200000001</v>
      </c>
      <c r="AW169" s="609">
        <v>12549.094999999999</v>
      </c>
      <c r="AX169" s="609">
        <v>0</v>
      </c>
      <c r="AY169" s="612" t="s">
        <v>435</v>
      </c>
      <c r="AZ169" s="612" t="s">
        <v>433</v>
      </c>
      <c r="BA169" s="613" t="s">
        <v>553</v>
      </c>
      <c r="BB169" s="614">
        <v>8.132880015577694E-2</v>
      </c>
      <c r="BC169" s="614">
        <v>0.17418257598237419</v>
      </c>
      <c r="BD169" s="613" t="s">
        <v>582</v>
      </c>
      <c r="BE169" s="613" t="s">
        <v>582</v>
      </c>
    </row>
    <row r="170" spans="1:57">
      <c r="A170" s="601" t="s">
        <v>88</v>
      </c>
      <c r="B170" s="602" t="s">
        <v>264</v>
      </c>
      <c r="C170" s="601">
        <v>66</v>
      </c>
      <c r="D170" s="601">
        <v>172</v>
      </c>
      <c r="E170" s="603" t="s">
        <v>264</v>
      </c>
      <c r="F170" s="601">
        <v>2015</v>
      </c>
      <c r="G170" s="601" t="s">
        <v>567</v>
      </c>
      <c r="H170" s="604">
        <v>-73243.122000000003</v>
      </c>
      <c r="I170" s="609">
        <v>16955.035</v>
      </c>
      <c r="J170" s="605">
        <v>-11.944643769756237</v>
      </c>
      <c r="K170" s="606">
        <v>208.28624550000001</v>
      </c>
      <c r="L170" s="609">
        <v>613187.99800000002</v>
      </c>
      <c r="M170" s="617">
        <v>19933</v>
      </c>
      <c r="N170" s="617">
        <v>223523</v>
      </c>
      <c r="O170" s="608">
        <v>1244.2337209146262</v>
      </c>
      <c r="P170" s="609">
        <v>278114.85399999999</v>
      </c>
      <c r="Q170" s="609">
        <v>278114.85399999999</v>
      </c>
      <c r="R170" s="609">
        <v>271998.05599999998</v>
      </c>
      <c r="S170" s="618">
        <v>97.800621609372939</v>
      </c>
      <c r="T170" s="609">
        <v>255914.82699999999</v>
      </c>
      <c r="U170" s="617">
        <v>102907</v>
      </c>
      <c r="V170" s="617">
        <v>5524.6395225547258</v>
      </c>
      <c r="W170" s="617">
        <v>23670</v>
      </c>
      <c r="X170" s="617">
        <v>4590</v>
      </c>
      <c r="Y170" s="617">
        <v>1270.741713380726</v>
      </c>
      <c r="Z170" s="609">
        <v>5.1568627450980395</v>
      </c>
      <c r="AA170" s="609">
        <v>278157.88799999998</v>
      </c>
      <c r="AB170" s="609">
        <v>0</v>
      </c>
      <c r="AC170" s="609"/>
      <c r="AD170" s="609"/>
      <c r="AE170" s="609"/>
      <c r="AF170" s="609"/>
      <c r="AG170" s="609"/>
      <c r="AH170" s="609">
        <v>140077.495</v>
      </c>
      <c r="AI170" s="609">
        <v>62415.281000000003</v>
      </c>
      <c r="AJ170" s="609">
        <v>7661.0649999999996</v>
      </c>
      <c r="AK170" s="609">
        <v>28794.038</v>
      </c>
      <c r="AL170" s="609">
        <v>33050.175999999999</v>
      </c>
      <c r="AM170" s="609">
        <v>0</v>
      </c>
      <c r="AN170" s="609">
        <v>0</v>
      </c>
      <c r="AO170" s="609">
        <v>271998.05599999998</v>
      </c>
      <c r="AP170" s="609">
        <v>3.3039999999999998</v>
      </c>
      <c r="AQ170" s="609">
        <v>271994.75199999998</v>
      </c>
      <c r="AR170" s="609">
        <v>0.97784302992694572</v>
      </c>
      <c r="AS170" s="609">
        <v>1877.865</v>
      </c>
      <c r="AT170" s="609">
        <v>3135.2310000000002</v>
      </c>
      <c r="AU170" s="609">
        <v>1.1271407841578091E-2</v>
      </c>
      <c r="AV170" s="609">
        <v>277007.848</v>
      </c>
      <c r="AW170" s="609">
        <v>1150.04</v>
      </c>
      <c r="AX170" s="609">
        <v>0</v>
      </c>
      <c r="AY170" s="609" t="s">
        <v>435</v>
      </c>
      <c r="AZ170" s="612" t="s">
        <v>431</v>
      </c>
      <c r="BA170" s="613" t="s">
        <v>553</v>
      </c>
      <c r="BB170" s="614">
        <v>2.7650630891832947E-2</v>
      </c>
      <c r="BC170" s="614">
        <v>-5.6568469855623436E-3</v>
      </c>
      <c r="BD170" s="613" t="s">
        <v>572</v>
      </c>
      <c r="BE170" s="613" t="s">
        <v>572</v>
      </c>
    </row>
    <row r="171" spans="1:57">
      <c r="A171" s="601" t="s">
        <v>90</v>
      </c>
      <c r="B171" s="602" t="s">
        <v>169</v>
      </c>
      <c r="C171" s="601">
        <v>85</v>
      </c>
      <c r="D171" s="601">
        <v>173</v>
      </c>
      <c r="E171" s="603" t="s">
        <v>169</v>
      </c>
      <c r="F171" s="601">
        <v>2015</v>
      </c>
      <c r="G171" s="601" t="s">
        <v>567</v>
      </c>
      <c r="H171" s="609">
        <v>1511.817</v>
      </c>
      <c r="I171" s="609">
        <v>3071.1759999999999</v>
      </c>
      <c r="J171" s="615">
        <v>2.8247303840300901</v>
      </c>
      <c r="K171" s="616">
        <v>511.1792049</v>
      </c>
      <c r="L171" s="609">
        <v>53520.754000000001</v>
      </c>
      <c r="M171" s="617">
        <v>17349</v>
      </c>
      <c r="N171" s="617">
        <v>206395</v>
      </c>
      <c r="O171" s="608">
        <v>194.50110710046272</v>
      </c>
      <c r="P171" s="609">
        <v>40144.055999999997</v>
      </c>
      <c r="Q171" s="609">
        <v>40144.055999999997</v>
      </c>
      <c r="R171" s="609">
        <v>35351.987000000001</v>
      </c>
      <c r="S171" s="618">
        <v>88.062818067013467</v>
      </c>
      <c r="T171" s="609">
        <v>35288.156000000003</v>
      </c>
      <c r="U171" s="617">
        <v>146528</v>
      </c>
      <c r="V171" s="617">
        <v>8519.2761452554569</v>
      </c>
      <c r="W171" s="617">
        <v>6482</v>
      </c>
      <c r="X171" s="617">
        <v>1409</v>
      </c>
      <c r="Y171" s="617">
        <v>376.86959470917418</v>
      </c>
      <c r="Z171" s="609">
        <v>4.6004258339247697</v>
      </c>
      <c r="AA171" s="609">
        <v>39675.436000000002</v>
      </c>
      <c r="AB171" s="609">
        <v>40.724000000001979</v>
      </c>
      <c r="AC171" s="609"/>
      <c r="AD171" s="609"/>
      <c r="AE171" s="609"/>
      <c r="AF171" s="609"/>
      <c r="AG171" s="609"/>
      <c r="AH171" s="609">
        <v>18115.77</v>
      </c>
      <c r="AI171" s="609">
        <v>9307.6679999999997</v>
      </c>
      <c r="AJ171" s="609">
        <v>1467.316</v>
      </c>
      <c r="AK171" s="609">
        <v>605.41</v>
      </c>
      <c r="AL171" s="609">
        <v>5855.8239999999996</v>
      </c>
      <c r="AM171" s="609">
        <v>0</v>
      </c>
      <c r="AN171" s="609">
        <v>0</v>
      </c>
      <c r="AO171" s="609">
        <v>35351.987000000001</v>
      </c>
      <c r="AP171" s="609">
        <v>598.02800000000002</v>
      </c>
      <c r="AQ171" s="609">
        <v>34753.959000000003</v>
      </c>
      <c r="AR171" s="609">
        <v>0.87685660488715056</v>
      </c>
      <c r="AS171" s="609">
        <v>2996.8240000000001</v>
      </c>
      <c r="AT171" s="609">
        <v>2224.5549999999998</v>
      </c>
      <c r="AU171" s="609">
        <v>5.6126432809704779E-2</v>
      </c>
      <c r="AV171" s="609">
        <v>38169.163</v>
      </c>
      <c r="AW171" s="609">
        <v>1465.549</v>
      </c>
      <c r="AX171" s="609">
        <v>0</v>
      </c>
      <c r="AY171" s="612" t="s">
        <v>435</v>
      </c>
      <c r="AZ171" s="612" t="s">
        <v>431</v>
      </c>
      <c r="BA171" s="613" t="s">
        <v>553</v>
      </c>
      <c r="BB171" s="614">
        <v>5.7382898604156435E-2</v>
      </c>
      <c r="BC171" s="614">
        <v>6.1988920725708857E-2</v>
      </c>
      <c r="BD171" s="613" t="s">
        <v>575</v>
      </c>
      <c r="BE171" s="613" t="s">
        <v>575</v>
      </c>
    </row>
    <row r="172" spans="1:57">
      <c r="A172" s="601" t="s">
        <v>85</v>
      </c>
      <c r="B172" s="602" t="s">
        <v>220</v>
      </c>
      <c r="C172" s="601">
        <v>88</v>
      </c>
      <c r="D172" s="601">
        <v>174</v>
      </c>
      <c r="E172" s="603" t="s">
        <v>220</v>
      </c>
      <c r="F172" s="601">
        <v>2015</v>
      </c>
      <c r="G172" s="601" t="s">
        <v>567</v>
      </c>
      <c r="H172" s="609">
        <v>-4999.5029999999997</v>
      </c>
      <c r="I172" s="609">
        <v>15272.951999999999</v>
      </c>
      <c r="J172" s="615">
        <v>-1.6770830305548108</v>
      </c>
      <c r="K172" s="616">
        <v>215.23845589999999</v>
      </c>
      <c r="L172" s="609">
        <v>298107.065</v>
      </c>
      <c r="M172" s="617">
        <v>17063</v>
      </c>
      <c r="N172" s="617">
        <v>205445</v>
      </c>
      <c r="O172" s="608">
        <v>138.69290564384627</v>
      </c>
      <c r="P172" s="609">
        <v>28550.196</v>
      </c>
      <c r="Q172" s="609">
        <v>28493.763999999999</v>
      </c>
      <c r="R172" s="609">
        <v>25795.794999999998</v>
      </c>
      <c r="S172" s="618">
        <v>90.531370302638848</v>
      </c>
      <c r="T172" s="609">
        <v>25795.794999999998</v>
      </c>
      <c r="U172" s="617">
        <v>77988</v>
      </c>
      <c r="V172" s="617">
        <v>4555.2629657572588</v>
      </c>
      <c r="W172" s="617">
        <v>6154</v>
      </c>
      <c r="X172" s="617">
        <v>1809</v>
      </c>
      <c r="Y172" s="617">
        <v>359.45386843194041</v>
      </c>
      <c r="Z172" s="609">
        <v>3.4018794914317301</v>
      </c>
      <c r="AA172" s="609">
        <v>28493.763999999999</v>
      </c>
      <c r="AB172" s="609">
        <v>0</v>
      </c>
      <c r="AC172" s="609"/>
      <c r="AD172" s="609"/>
      <c r="AE172" s="609"/>
      <c r="AF172" s="609"/>
      <c r="AG172" s="609"/>
      <c r="AH172" s="609">
        <v>20032.025000000001</v>
      </c>
      <c r="AI172" s="609">
        <v>0</v>
      </c>
      <c r="AJ172" s="609">
        <v>1770.921</v>
      </c>
      <c r="AK172" s="609">
        <v>2408.375</v>
      </c>
      <c r="AL172" s="609">
        <v>0</v>
      </c>
      <c r="AM172" s="609">
        <v>1584.4739999999999</v>
      </c>
      <c r="AN172" s="609">
        <v>0</v>
      </c>
      <c r="AO172" s="609">
        <v>25795.794999999998</v>
      </c>
      <c r="AP172" s="609">
        <v>0</v>
      </c>
      <c r="AQ172" s="609">
        <v>25795.794999999998</v>
      </c>
      <c r="AR172" s="609">
        <v>0.90531370302638847</v>
      </c>
      <c r="AS172" s="609">
        <v>898.43899999999996</v>
      </c>
      <c r="AT172" s="609">
        <v>1084.2360000000001</v>
      </c>
      <c r="AU172" s="609">
        <v>3.8051694398816532E-2</v>
      </c>
      <c r="AV172" s="609">
        <v>27778.47</v>
      </c>
      <c r="AW172" s="609">
        <v>715.29399999999998</v>
      </c>
      <c r="AX172" s="609">
        <v>0</v>
      </c>
      <c r="AY172" s="609" t="s">
        <v>435</v>
      </c>
      <c r="AZ172" s="609" t="s">
        <v>431</v>
      </c>
      <c r="BA172" s="613" t="s">
        <v>553</v>
      </c>
      <c r="BB172" s="614">
        <v>5.1233109822472672E-2</v>
      </c>
      <c r="BC172" s="614">
        <v>4.3453187151138856E-2</v>
      </c>
      <c r="BD172" s="613" t="s">
        <v>574</v>
      </c>
      <c r="BE172" s="613" t="s">
        <v>574</v>
      </c>
    </row>
    <row r="173" spans="1:57">
      <c r="A173" s="601" t="s">
        <v>56</v>
      </c>
      <c r="B173" s="602" t="s">
        <v>166</v>
      </c>
      <c r="C173" s="601">
        <v>75</v>
      </c>
      <c r="D173" s="601">
        <v>176</v>
      </c>
      <c r="E173" s="603" t="s">
        <v>166</v>
      </c>
      <c r="F173" s="601">
        <v>2015</v>
      </c>
      <c r="G173" s="601" t="s">
        <v>567</v>
      </c>
      <c r="H173" s="609">
        <v>27699.813999999998</v>
      </c>
      <c r="I173" s="609">
        <v>48763.917999999998</v>
      </c>
      <c r="J173" s="615">
        <v>10.895902608826232</v>
      </c>
      <c r="K173" s="616">
        <v>222.96338280000001</v>
      </c>
      <c r="L173" s="609">
        <v>254222.29800000001</v>
      </c>
      <c r="M173" s="617">
        <v>15836.75</v>
      </c>
      <c r="N173" s="617">
        <v>190041</v>
      </c>
      <c r="O173" s="608">
        <v>274.97313211359653</v>
      </c>
      <c r="P173" s="609">
        <v>52397.947</v>
      </c>
      <c r="Q173" s="609">
        <v>52256.169000000002</v>
      </c>
      <c r="R173" s="609">
        <v>45994.98</v>
      </c>
      <c r="S173" s="618">
        <v>88.018277803717297</v>
      </c>
      <c r="T173" s="609">
        <v>85080.991999999998</v>
      </c>
      <c r="U173" s="617">
        <v>76190</v>
      </c>
      <c r="V173" s="617">
        <v>4810.9618450755361</v>
      </c>
      <c r="W173" s="617">
        <v>10225</v>
      </c>
      <c r="X173" s="617">
        <v>2132</v>
      </c>
      <c r="Y173" s="617">
        <v>645.65014917833525</v>
      </c>
      <c r="Z173" s="609">
        <v>4.7959662288930582</v>
      </c>
      <c r="AA173" s="609">
        <v>52256.169000000002</v>
      </c>
      <c r="AB173" s="609">
        <v>0</v>
      </c>
      <c r="AC173" s="609"/>
      <c r="AD173" s="609"/>
      <c r="AE173" s="609"/>
      <c r="AF173" s="609"/>
      <c r="AG173" s="609"/>
      <c r="AH173" s="609">
        <v>14270.306</v>
      </c>
      <c r="AI173" s="609">
        <v>3326.5909999999999</v>
      </c>
      <c r="AJ173" s="609">
        <v>0</v>
      </c>
      <c r="AK173" s="609">
        <v>18208.786</v>
      </c>
      <c r="AL173" s="609">
        <v>10189.297</v>
      </c>
      <c r="AM173" s="609">
        <v>0</v>
      </c>
      <c r="AN173" s="609">
        <v>0</v>
      </c>
      <c r="AO173" s="609">
        <v>45994.98</v>
      </c>
      <c r="AP173" s="609">
        <v>1153.6590000000001</v>
      </c>
      <c r="AQ173" s="609">
        <v>44841.321000000004</v>
      </c>
      <c r="AR173" s="609">
        <v>0.85810578651488978</v>
      </c>
      <c r="AS173" s="609">
        <v>184.178</v>
      </c>
      <c r="AT173" s="609">
        <v>8891.0390000000007</v>
      </c>
      <c r="AU173" s="609">
        <v>0.1701433375263311</v>
      </c>
      <c r="AV173" s="609">
        <v>53916.538</v>
      </c>
      <c r="AW173" s="609">
        <v>-1660.3689999999999</v>
      </c>
      <c r="AX173" s="609">
        <v>0</v>
      </c>
      <c r="AY173" s="612"/>
      <c r="AZ173" s="612"/>
      <c r="BA173" s="613" t="s">
        <v>553</v>
      </c>
      <c r="BB173" s="614">
        <v>0.19181605383804687</v>
      </c>
      <c r="BC173" s="614">
        <v>-7.1998831875219799E-2</v>
      </c>
      <c r="BD173" s="613" t="s">
        <v>570</v>
      </c>
      <c r="BE173" s="613" t="s">
        <v>570</v>
      </c>
    </row>
    <row r="174" spans="1:57">
      <c r="A174" s="601" t="s">
        <v>95</v>
      </c>
      <c r="B174" s="602" t="s">
        <v>175</v>
      </c>
      <c r="C174" s="601">
        <v>87</v>
      </c>
      <c r="D174" s="601">
        <v>177</v>
      </c>
      <c r="E174" s="603" t="s">
        <v>175</v>
      </c>
      <c r="F174" s="601">
        <v>2015</v>
      </c>
      <c r="G174" s="601" t="s">
        <v>567</v>
      </c>
      <c r="H174" s="609">
        <v>-2749.1</v>
      </c>
      <c r="I174" s="609">
        <v>61148.750999999997</v>
      </c>
      <c r="J174" s="615">
        <v>-0.33039470413260008</v>
      </c>
      <c r="K174" s="616">
        <v>324.96405229999999</v>
      </c>
      <c r="L174" s="609">
        <v>832065.39500000002</v>
      </c>
      <c r="M174" s="617">
        <v>15507</v>
      </c>
      <c r="N174" s="617">
        <v>182106</v>
      </c>
      <c r="O174" s="608">
        <v>158.98017088948194</v>
      </c>
      <c r="P174" s="609">
        <v>28951.242999999999</v>
      </c>
      <c r="Q174" s="609">
        <v>28951.242999999999</v>
      </c>
      <c r="R174" s="609">
        <v>20929.654999999999</v>
      </c>
      <c r="S174" s="618">
        <v>72.292768224148446</v>
      </c>
      <c r="T174" s="609">
        <v>22015.331999999999</v>
      </c>
      <c r="U174" s="617">
        <v>70832</v>
      </c>
      <c r="V174" s="617">
        <v>4667.5233105993211</v>
      </c>
      <c r="W174" s="617">
        <v>4252</v>
      </c>
      <c r="X174" s="617">
        <v>1198</v>
      </c>
      <c r="Y174" s="617">
        <v>280.18846166518404</v>
      </c>
      <c r="Z174" s="609">
        <v>3.5492487479131887</v>
      </c>
      <c r="AA174" s="609">
        <v>28951.242999999999</v>
      </c>
      <c r="AB174" s="609">
        <v>19.619999999998981</v>
      </c>
      <c r="AC174" s="609"/>
      <c r="AD174" s="609"/>
      <c r="AE174" s="609"/>
      <c r="AF174" s="609"/>
      <c r="AG174" s="609"/>
      <c r="AH174" s="609">
        <v>18141.763999999999</v>
      </c>
      <c r="AI174" s="609">
        <v>1625.1310000000001</v>
      </c>
      <c r="AJ174" s="609">
        <v>0</v>
      </c>
      <c r="AK174" s="609">
        <v>1160.808</v>
      </c>
      <c r="AL174" s="609">
        <v>1.952</v>
      </c>
      <c r="AM174" s="609">
        <v>0</v>
      </c>
      <c r="AN174" s="609">
        <v>0</v>
      </c>
      <c r="AO174" s="609">
        <v>20929.654999999999</v>
      </c>
      <c r="AP174" s="609">
        <v>0</v>
      </c>
      <c r="AQ174" s="609">
        <v>20929.654999999999</v>
      </c>
      <c r="AR174" s="609">
        <v>0.72341793614551109</v>
      </c>
      <c r="AS174" s="609">
        <v>2107.806</v>
      </c>
      <c r="AT174" s="609">
        <v>1945.3679999999999</v>
      </c>
      <c r="AU174" s="609">
        <v>6.724019596135343E-2</v>
      </c>
      <c r="AV174" s="609">
        <v>24982.829000000002</v>
      </c>
      <c r="AW174" s="609">
        <v>3948.7939999999999</v>
      </c>
      <c r="AX174" s="609">
        <v>0</v>
      </c>
      <c r="AY174" s="612" t="s">
        <v>435</v>
      </c>
      <c r="AZ174" s="612" t="s">
        <v>433</v>
      </c>
      <c r="BA174" s="613" t="s">
        <v>553</v>
      </c>
      <c r="BB174" s="614">
        <v>7.3490318630544657E-2</v>
      </c>
      <c r="BC174" s="614">
        <v>0.20358199912797081</v>
      </c>
      <c r="BD174" s="613" t="s">
        <v>582</v>
      </c>
      <c r="BE174" s="613" t="s">
        <v>582</v>
      </c>
    </row>
    <row r="175" spans="1:57">
      <c r="A175" s="601" t="s">
        <v>95</v>
      </c>
      <c r="B175" s="602" t="s">
        <v>409</v>
      </c>
      <c r="C175" s="601">
        <v>90</v>
      </c>
      <c r="D175" s="601">
        <v>178</v>
      </c>
      <c r="E175" s="603" t="s">
        <v>409</v>
      </c>
      <c r="F175" s="601">
        <v>2015</v>
      </c>
      <c r="G175" s="601" t="s">
        <v>567</v>
      </c>
      <c r="H175" s="609">
        <v>-42.597999999999999</v>
      </c>
      <c r="I175" s="609">
        <v>5976.3029999999999</v>
      </c>
      <c r="J175" s="615">
        <v>-5.3596577861397397E-2</v>
      </c>
      <c r="K175" s="616">
        <v>429.96327129999997</v>
      </c>
      <c r="L175" s="609">
        <v>79478.955000000002</v>
      </c>
      <c r="M175" s="617">
        <v>14415</v>
      </c>
      <c r="N175" s="617">
        <v>174766</v>
      </c>
      <c r="O175" s="608">
        <v>145.62691827929919</v>
      </c>
      <c r="P175" s="609">
        <v>25758.851999999999</v>
      </c>
      <c r="Q175" s="609">
        <v>25450.633999999998</v>
      </c>
      <c r="R175" s="609">
        <v>20844.936000000002</v>
      </c>
      <c r="S175" s="618">
        <v>81.903405628323455</v>
      </c>
      <c r="T175" s="609">
        <v>20802.187000000002</v>
      </c>
      <c r="U175" s="617">
        <v>0</v>
      </c>
      <c r="V175" s="617">
        <v>0</v>
      </c>
      <c r="W175" s="617">
        <v>3323</v>
      </c>
      <c r="X175" s="617">
        <v>938</v>
      </c>
      <c r="Y175" s="617">
        <v>228.16795028781343</v>
      </c>
      <c r="Z175" s="609">
        <v>3.5426439232409384</v>
      </c>
      <c r="AA175" s="609">
        <v>25714.920999999998</v>
      </c>
      <c r="AB175" s="609">
        <v>0</v>
      </c>
      <c r="AC175" s="609"/>
      <c r="AD175" s="609"/>
      <c r="AE175" s="609"/>
      <c r="AF175" s="609"/>
      <c r="AG175" s="609"/>
      <c r="AH175" s="609">
        <v>20844.936000000002</v>
      </c>
      <c r="AI175" s="609">
        <v>0</v>
      </c>
      <c r="AJ175" s="609">
        <v>0</v>
      </c>
      <c r="AK175" s="609">
        <v>0</v>
      </c>
      <c r="AL175" s="609">
        <v>0</v>
      </c>
      <c r="AM175" s="609">
        <v>0</v>
      </c>
      <c r="AN175" s="609">
        <v>0</v>
      </c>
      <c r="AO175" s="609">
        <v>20844.936000000002</v>
      </c>
      <c r="AP175" s="609">
        <v>150.08699999999999</v>
      </c>
      <c r="AQ175" s="609">
        <v>20694.848999999998</v>
      </c>
      <c r="AR175" s="609">
        <v>0.80477980080125466</v>
      </c>
      <c r="AS175" s="609">
        <v>498.19600000000003</v>
      </c>
      <c r="AT175" s="609">
        <v>2105.0740000000001</v>
      </c>
      <c r="AU175" s="609">
        <v>8.1861966443529041E-2</v>
      </c>
      <c r="AV175" s="609">
        <v>23298.118999999999</v>
      </c>
      <c r="AW175" s="609">
        <v>2416.8020000000001</v>
      </c>
      <c r="AX175" s="609">
        <v>0</v>
      </c>
      <c r="AY175" s="612" t="s">
        <v>435</v>
      </c>
      <c r="AZ175" s="612" t="s">
        <v>433</v>
      </c>
      <c r="BA175" s="613" t="s">
        <v>553</v>
      </c>
      <c r="BB175" s="614">
        <v>7.519352764514832E-2</v>
      </c>
      <c r="BC175" s="614">
        <v>0.10577241607161712</v>
      </c>
      <c r="BD175" s="613" t="s">
        <v>581</v>
      </c>
      <c r="BE175" s="613" t="s">
        <v>581</v>
      </c>
    </row>
    <row r="176" spans="1:57">
      <c r="A176" s="601" t="s">
        <v>70</v>
      </c>
      <c r="B176" s="602" t="s">
        <v>161</v>
      </c>
      <c r="C176" s="601">
        <v>90</v>
      </c>
      <c r="D176" s="601">
        <v>179</v>
      </c>
      <c r="E176" s="603" t="s">
        <v>161</v>
      </c>
      <c r="F176" s="601">
        <v>2015</v>
      </c>
      <c r="G176" s="601" t="s">
        <v>469</v>
      </c>
      <c r="H176" s="604">
        <v>-3436.2579999999998</v>
      </c>
      <c r="I176" s="609">
        <v>15123.825999999999</v>
      </c>
      <c r="J176" s="605">
        <v>-2.3925215336532459</v>
      </c>
      <c r="K176" s="606">
        <v>678.0211663</v>
      </c>
      <c r="L176" s="609">
        <v>143624.95600000001</v>
      </c>
      <c r="M176" s="617">
        <v>13268</v>
      </c>
      <c r="N176" s="617">
        <v>163850</v>
      </c>
      <c r="O176" s="608">
        <v>877.98555996338109</v>
      </c>
      <c r="P176" s="609">
        <v>139602.459</v>
      </c>
      <c r="Q176" s="609">
        <v>143857.93400000001</v>
      </c>
      <c r="R176" s="609">
        <v>117493.598</v>
      </c>
      <c r="S176" s="618">
        <v>81.673352823209598</v>
      </c>
      <c r="T176" s="609">
        <v>101786.493</v>
      </c>
      <c r="U176" s="617">
        <v>81342</v>
      </c>
      <c r="V176" s="617">
        <v>5957.3024107415322</v>
      </c>
      <c r="W176" s="617">
        <v>18452</v>
      </c>
      <c r="X176" s="617">
        <v>3837</v>
      </c>
      <c r="Y176" s="617">
        <v>1351.382361916387</v>
      </c>
      <c r="Z176" s="609">
        <v>4.8089653375032579</v>
      </c>
      <c r="AA176" s="609">
        <v>143576.20000000001</v>
      </c>
      <c r="AB176" s="609">
        <v>0</v>
      </c>
      <c r="AC176" s="609"/>
      <c r="AD176" s="609"/>
      <c r="AE176" s="609"/>
      <c r="AF176" s="609"/>
      <c r="AG176" s="609"/>
      <c r="AH176" s="609">
        <v>76593.569000000003</v>
      </c>
      <c r="AI176" s="609">
        <v>3152.4949999999999</v>
      </c>
      <c r="AJ176" s="609">
        <v>0</v>
      </c>
      <c r="AK176" s="609">
        <v>5936.37</v>
      </c>
      <c r="AL176" s="609">
        <v>18929.525000000001</v>
      </c>
      <c r="AM176" s="609">
        <v>2380.498</v>
      </c>
      <c r="AN176" s="609">
        <v>10501.141</v>
      </c>
      <c r="AO176" s="609">
        <v>117493.598</v>
      </c>
      <c r="AP176" s="609">
        <v>0</v>
      </c>
      <c r="AQ176" s="609">
        <v>117493.598</v>
      </c>
      <c r="AR176" s="609">
        <v>0.81833617270829007</v>
      </c>
      <c r="AS176" s="609">
        <v>9976.9670000000006</v>
      </c>
      <c r="AT176" s="609">
        <v>15054.931</v>
      </c>
      <c r="AU176" s="609">
        <v>0.1048567311295326</v>
      </c>
      <c r="AV176" s="609">
        <v>147525.49600000001</v>
      </c>
      <c r="AW176" s="609">
        <v>-3949.2959999999998</v>
      </c>
      <c r="AX176" s="609">
        <v>0</v>
      </c>
      <c r="AY176" s="612" t="s">
        <v>430</v>
      </c>
      <c r="AZ176" s="612" t="s">
        <v>431</v>
      </c>
      <c r="BA176" s="613" t="s">
        <v>553</v>
      </c>
      <c r="BB176" s="614">
        <v>0.10530082251165319</v>
      </c>
      <c r="BC176" s="652">
        <v>-2.3925215336532458E-2</v>
      </c>
      <c r="BD176" s="613" t="s">
        <v>572</v>
      </c>
      <c r="BE176" s="613" t="s">
        <v>572</v>
      </c>
    </row>
    <row r="177" spans="1:57">
      <c r="A177" s="601" t="s">
        <v>89</v>
      </c>
      <c r="B177" s="602" t="s">
        <v>229</v>
      </c>
      <c r="C177" s="601">
        <v>90</v>
      </c>
      <c r="D177" s="601">
        <v>180</v>
      </c>
      <c r="E177" s="603" t="s">
        <v>229</v>
      </c>
      <c r="F177" s="601">
        <v>2015</v>
      </c>
      <c r="G177" s="601" t="s">
        <v>567</v>
      </c>
      <c r="H177" s="604">
        <v>21174.431</v>
      </c>
      <c r="I177" s="609">
        <v>213826.70199999999</v>
      </c>
      <c r="J177" s="605">
        <v>1.3320518794595166</v>
      </c>
      <c r="K177" s="606">
        <v>308.34950830000002</v>
      </c>
      <c r="L177" s="609">
        <v>1589610.084</v>
      </c>
      <c r="M177" s="607">
        <v>12142</v>
      </c>
      <c r="N177" s="607">
        <v>152274</v>
      </c>
      <c r="O177" s="608">
        <v>993.49030037957891</v>
      </c>
      <c r="P177" s="609">
        <v>151282.742</v>
      </c>
      <c r="Q177" s="609">
        <v>151282.742</v>
      </c>
      <c r="R177" s="609">
        <v>108975.89</v>
      </c>
      <c r="S177" s="610">
        <v>72.034581446177114</v>
      </c>
      <c r="T177" s="609">
        <v>104288.04399999999</v>
      </c>
      <c r="U177" s="607">
        <v>158064</v>
      </c>
      <c r="V177" s="607">
        <v>12456.282753457583</v>
      </c>
      <c r="W177" s="607">
        <v>250105</v>
      </c>
      <c r="X177" s="607">
        <v>11896</v>
      </c>
      <c r="Y177" s="607">
        <v>19709.602427203594</v>
      </c>
      <c r="Z177" s="611">
        <v>21.024293880295897</v>
      </c>
      <c r="AA177" s="609">
        <v>151282.742</v>
      </c>
      <c r="AB177" s="609">
        <v>-702.99299999998766</v>
      </c>
      <c r="AC177" s="609"/>
      <c r="AD177" s="609"/>
      <c r="AE177" s="609"/>
      <c r="AF177" s="609"/>
      <c r="AG177" s="609"/>
      <c r="AH177" s="609">
        <v>95890.864000000001</v>
      </c>
      <c r="AI177" s="609">
        <v>2285.4479999999999</v>
      </c>
      <c r="AJ177" s="609">
        <v>0</v>
      </c>
      <c r="AK177" s="609">
        <v>0</v>
      </c>
      <c r="AL177" s="609">
        <v>10799.578</v>
      </c>
      <c r="AM177" s="609">
        <v>0</v>
      </c>
      <c r="AN177" s="609">
        <v>0</v>
      </c>
      <c r="AO177" s="609">
        <v>108975.89</v>
      </c>
      <c r="AP177" s="609">
        <v>0</v>
      </c>
      <c r="AQ177" s="609">
        <v>108975.89</v>
      </c>
      <c r="AR177" s="609">
        <v>0.71701393555125426</v>
      </c>
      <c r="AS177" s="609">
        <v>133.15</v>
      </c>
      <c r="AT177" s="609">
        <v>16833.471000000001</v>
      </c>
      <c r="AU177" s="609">
        <v>0.1107569141275002</v>
      </c>
      <c r="AV177" s="609">
        <v>125942.511</v>
      </c>
      <c r="AW177" s="609">
        <v>26043.223999999998</v>
      </c>
      <c r="AX177" s="609">
        <v>0</v>
      </c>
      <c r="AY177" s="612" t="s">
        <v>430</v>
      </c>
      <c r="AZ177" s="612" t="s">
        <v>433</v>
      </c>
      <c r="BA177" s="613" t="s">
        <v>553</v>
      </c>
      <c r="BB177" s="614">
        <v>0.13451518970107387</v>
      </c>
      <c r="BC177" s="614">
        <v>0.14513899583715498</v>
      </c>
      <c r="BD177" s="613" t="s">
        <v>581</v>
      </c>
      <c r="BE177" s="613" t="s">
        <v>581</v>
      </c>
    </row>
    <row r="178" spans="1:57">
      <c r="A178" s="601" t="s">
        <v>90</v>
      </c>
      <c r="B178" s="602" t="s">
        <v>168</v>
      </c>
      <c r="C178" s="601">
        <v>90</v>
      </c>
      <c r="D178" s="601">
        <v>181</v>
      </c>
      <c r="E178" s="603" t="s">
        <v>168</v>
      </c>
      <c r="F178" s="601">
        <v>2015</v>
      </c>
      <c r="G178" s="601" t="s">
        <v>567</v>
      </c>
      <c r="H178" s="609">
        <v>-4791.3010000000004</v>
      </c>
      <c r="I178" s="609">
        <v>8904.4950000000008</v>
      </c>
      <c r="J178" s="615">
        <v>-8.1699031899157237</v>
      </c>
      <c r="K178" s="616">
        <v>402.22797550000001</v>
      </c>
      <c r="L178" s="609">
        <v>58645.75</v>
      </c>
      <c r="M178" s="617">
        <v>12198</v>
      </c>
      <c r="N178" s="617">
        <v>146166</v>
      </c>
      <c r="O178" s="608">
        <v>247.5379363189798</v>
      </c>
      <c r="P178" s="609">
        <v>36181.629999999997</v>
      </c>
      <c r="Q178" s="609">
        <v>36181.629999999997</v>
      </c>
      <c r="R178" s="609">
        <v>30214.163</v>
      </c>
      <c r="S178" s="618">
        <v>83.506914973150742</v>
      </c>
      <c r="T178" s="609">
        <v>35047.527000000002</v>
      </c>
      <c r="U178" s="617">
        <v>85690</v>
      </c>
      <c r="V178" s="617">
        <v>7035.0149829645743</v>
      </c>
      <c r="W178" s="617">
        <v>5836</v>
      </c>
      <c r="X178" s="617">
        <v>1363</v>
      </c>
      <c r="Y178" s="617">
        <v>479.12647264069619</v>
      </c>
      <c r="Z178" s="609">
        <v>4.281731474688188</v>
      </c>
      <c r="AA178" s="609">
        <v>35202.862999999998</v>
      </c>
      <c r="AB178" s="609">
        <v>0</v>
      </c>
      <c r="AC178" s="609"/>
      <c r="AD178" s="609"/>
      <c r="AE178" s="609"/>
      <c r="AF178" s="609"/>
      <c r="AG178" s="609"/>
      <c r="AH178" s="609">
        <v>18993.688999999998</v>
      </c>
      <c r="AI178" s="609">
        <v>3117.8339999999998</v>
      </c>
      <c r="AJ178" s="609">
        <v>0</v>
      </c>
      <c r="AK178" s="609">
        <v>4834.2659999999996</v>
      </c>
      <c r="AL178" s="609">
        <v>3268.3739999999998</v>
      </c>
      <c r="AM178" s="609">
        <v>0</v>
      </c>
      <c r="AN178" s="609">
        <v>0</v>
      </c>
      <c r="AO178" s="609">
        <v>30214.163</v>
      </c>
      <c r="AP178" s="609">
        <v>0</v>
      </c>
      <c r="AQ178" s="609">
        <v>30214.163</v>
      </c>
      <c r="AR178" s="609">
        <v>0.85828709443320006</v>
      </c>
      <c r="AS178" s="609">
        <v>2358.11</v>
      </c>
      <c r="AT178" s="609">
        <v>4182.9340000000002</v>
      </c>
      <c r="AU178" s="609">
        <v>0.11882368772108111</v>
      </c>
      <c r="AV178" s="609">
        <v>30720.656999999999</v>
      </c>
      <c r="AW178" s="609">
        <v>4482.2060000000001</v>
      </c>
      <c r="AX178" s="609">
        <v>0</v>
      </c>
      <c r="AY178" s="612" t="s">
        <v>430</v>
      </c>
      <c r="AZ178" s="612" t="s">
        <v>431</v>
      </c>
      <c r="BA178" s="613" t="s">
        <v>553</v>
      </c>
      <c r="BB178" s="614">
        <v>0.15183529923310726</v>
      </c>
      <c r="BC178" s="614">
        <v>1.3095551035385261E-2</v>
      </c>
      <c r="BD178" s="613" t="s">
        <v>573</v>
      </c>
      <c r="BE178" s="613" t="s">
        <v>573</v>
      </c>
    </row>
    <row r="179" spans="1:57">
      <c r="A179" s="601" t="s">
        <v>81</v>
      </c>
      <c r="B179" s="602" t="s">
        <v>151</v>
      </c>
      <c r="C179" s="601">
        <v>90</v>
      </c>
      <c r="D179" s="601">
        <v>182</v>
      </c>
      <c r="E179" s="603" t="s">
        <v>151</v>
      </c>
      <c r="F179" s="601">
        <v>2015</v>
      </c>
      <c r="G179" s="601" t="s">
        <v>567</v>
      </c>
      <c r="H179" s="604">
        <v>-30652.823</v>
      </c>
      <c r="I179" s="609">
        <v>81895.828999999998</v>
      </c>
      <c r="J179" s="605">
        <v>-3.7754072732874402</v>
      </c>
      <c r="K179" s="606">
        <v>139.96606589999999</v>
      </c>
      <c r="L179" s="609">
        <v>811907.71699999995</v>
      </c>
      <c r="M179" s="620">
        <v>11806</v>
      </c>
      <c r="N179" s="620">
        <v>141582</v>
      </c>
      <c r="O179" s="621">
        <v>4316.2926925739148</v>
      </c>
      <c r="P179" s="604">
        <v>611109.35199999996</v>
      </c>
      <c r="Q179" s="604">
        <v>611109.35199999996</v>
      </c>
      <c r="R179" s="604">
        <v>503326.65</v>
      </c>
      <c r="S179" s="622">
        <v>82.362779812278191</v>
      </c>
      <c r="T179" s="604">
        <v>500230.34399999998</v>
      </c>
      <c r="U179" s="620">
        <v>28556</v>
      </c>
      <c r="V179" s="620">
        <v>2420.3076662287581</v>
      </c>
      <c r="W179" s="620">
        <v>0</v>
      </c>
      <c r="X179" s="620">
        <v>0</v>
      </c>
      <c r="Y179" s="620">
        <v>0</v>
      </c>
      <c r="Z179" s="605" t="s">
        <v>434</v>
      </c>
      <c r="AA179" s="609">
        <v>611109.35199999996</v>
      </c>
      <c r="AB179" s="609">
        <v>-3826.3740000000689</v>
      </c>
      <c r="AC179" s="609"/>
      <c r="AD179" s="609"/>
      <c r="AE179" s="609"/>
      <c r="AF179" s="609"/>
      <c r="AG179" s="609"/>
      <c r="AH179" s="609">
        <v>64351.803</v>
      </c>
      <c r="AI179" s="609">
        <v>438974.84700000001</v>
      </c>
      <c r="AJ179" s="609">
        <v>0</v>
      </c>
      <c r="AK179" s="609">
        <v>0</v>
      </c>
      <c r="AL179" s="609">
        <v>0</v>
      </c>
      <c r="AM179" s="609">
        <v>0</v>
      </c>
      <c r="AN179" s="609">
        <v>0</v>
      </c>
      <c r="AO179" s="609">
        <v>503326.65</v>
      </c>
      <c r="AP179" s="609">
        <v>0</v>
      </c>
      <c r="AQ179" s="609">
        <v>503326.65</v>
      </c>
      <c r="AR179" s="609">
        <v>0.81850285927280797</v>
      </c>
      <c r="AS179" s="609">
        <v>53025.695</v>
      </c>
      <c r="AT179" s="609">
        <v>62027.58</v>
      </c>
      <c r="AU179" s="609">
        <v>0.10086839547195213</v>
      </c>
      <c r="AV179" s="609">
        <v>618379.92500000005</v>
      </c>
      <c r="AW179" s="609">
        <v>-3444.1990000000001</v>
      </c>
      <c r="AX179" s="609">
        <v>0</v>
      </c>
      <c r="AY179" s="609" t="s">
        <v>435</v>
      </c>
      <c r="AZ179" s="609" t="s">
        <v>431</v>
      </c>
      <c r="BA179" s="613" t="s">
        <v>553</v>
      </c>
      <c r="BB179" s="614">
        <v>0.10086839585982159</v>
      </c>
      <c r="BC179" s="614">
        <v>7.5503806017396549E-2</v>
      </c>
      <c r="BD179" s="613" t="s">
        <v>576</v>
      </c>
      <c r="BE179" s="613" t="s">
        <v>576</v>
      </c>
    </row>
    <row r="180" spans="1:57">
      <c r="A180" s="601" t="s">
        <v>91</v>
      </c>
      <c r="B180" s="602" t="s">
        <v>222</v>
      </c>
      <c r="C180" s="601">
        <v>90</v>
      </c>
      <c r="D180" s="601">
        <v>183</v>
      </c>
      <c r="E180" s="603" t="s">
        <v>222</v>
      </c>
      <c r="F180" s="601">
        <v>2015</v>
      </c>
      <c r="G180" s="601" t="s">
        <v>469</v>
      </c>
      <c r="H180" s="609">
        <v>834.00800000000004</v>
      </c>
      <c r="I180" s="609">
        <v>3113.259</v>
      </c>
      <c r="J180" s="615">
        <v>2.5372171041473521</v>
      </c>
      <c r="K180" s="616">
        <v>436.65904180000001</v>
      </c>
      <c r="L180" s="609">
        <v>32870.974999999999</v>
      </c>
      <c r="M180" s="617">
        <v>16846</v>
      </c>
      <c r="N180" s="617">
        <v>139796</v>
      </c>
      <c r="O180" s="608">
        <v>244.43236573292512</v>
      </c>
      <c r="P180" s="609">
        <v>34170.667000000001</v>
      </c>
      <c r="Q180" s="609">
        <v>34170.667000000001</v>
      </c>
      <c r="R180" s="609">
        <v>29652.560000000001</v>
      </c>
      <c r="S180" s="618">
        <v>86.777820286621846</v>
      </c>
      <c r="T180" s="609">
        <v>26419.260999999999</v>
      </c>
      <c r="U180" s="617">
        <v>30719</v>
      </c>
      <c r="V180" s="617">
        <v>2636.8994821024921</v>
      </c>
      <c r="W180" s="617">
        <v>3872</v>
      </c>
      <c r="X180" s="617">
        <v>1141</v>
      </c>
      <c r="Y180" s="617">
        <v>332.37002489341614</v>
      </c>
      <c r="Z180" s="609">
        <v>3.3935144609991235</v>
      </c>
      <c r="AA180" s="609">
        <v>32870.974999999999</v>
      </c>
      <c r="AB180" s="609">
        <v>0</v>
      </c>
      <c r="AC180" s="609"/>
      <c r="AD180" s="609"/>
      <c r="AE180" s="609"/>
      <c r="AF180" s="609"/>
      <c r="AG180" s="609"/>
      <c r="AH180" s="609">
        <v>24612.811000000002</v>
      </c>
      <c r="AI180" s="609">
        <v>0</v>
      </c>
      <c r="AJ180" s="609">
        <v>0</v>
      </c>
      <c r="AK180" s="609">
        <v>1648.038</v>
      </c>
      <c r="AL180" s="609">
        <v>3391.7109999999998</v>
      </c>
      <c r="AM180" s="609">
        <v>0</v>
      </c>
      <c r="AN180" s="609">
        <v>0</v>
      </c>
      <c r="AO180" s="609">
        <v>29652.560000000001</v>
      </c>
      <c r="AP180" s="609">
        <v>1579.046</v>
      </c>
      <c r="AQ180" s="609">
        <v>28073.513999999999</v>
      </c>
      <c r="AR180" s="609">
        <v>0.85405175842821823</v>
      </c>
      <c r="AS180" s="609">
        <v>0</v>
      </c>
      <c r="AT180" s="609">
        <v>3113.259</v>
      </c>
      <c r="AU180" s="609">
        <v>9.4711489391476833E-2</v>
      </c>
      <c r="AV180" s="609">
        <v>31186.773000000001</v>
      </c>
      <c r="AW180" s="609">
        <v>1684.202</v>
      </c>
      <c r="AX180" s="609">
        <v>0</v>
      </c>
      <c r="AY180" s="609" t="s">
        <v>435</v>
      </c>
      <c r="AZ180" s="609" t="s">
        <v>433</v>
      </c>
      <c r="BA180" s="613" t="s">
        <v>553</v>
      </c>
      <c r="BB180" s="614">
        <v>9.4711489391476833E-2</v>
      </c>
      <c r="BC180" s="652">
        <v>2.5372171041473521E-2</v>
      </c>
      <c r="BD180" s="613" t="s">
        <v>574</v>
      </c>
      <c r="BE180" s="613" t="s">
        <v>574</v>
      </c>
    </row>
    <row r="181" spans="1:57">
      <c r="A181" s="601" t="s">
        <v>78</v>
      </c>
      <c r="B181" s="603" t="s">
        <v>424</v>
      </c>
      <c r="C181" s="601">
        <v>90</v>
      </c>
      <c r="D181" s="601">
        <v>184</v>
      </c>
      <c r="E181" s="603" t="s">
        <v>311</v>
      </c>
      <c r="F181" s="601">
        <v>2015</v>
      </c>
      <c r="G181" s="601" t="s">
        <v>469</v>
      </c>
      <c r="H181" s="604">
        <v>-2635.4250000000002</v>
      </c>
      <c r="I181" s="609">
        <v>4248.2879999999996</v>
      </c>
      <c r="J181" s="605">
        <v>-3.8535467837402284</v>
      </c>
      <c r="K181" s="606">
        <v>335.7525564</v>
      </c>
      <c r="L181" s="609">
        <v>68389.593999999997</v>
      </c>
      <c r="M181" s="607">
        <v>18578</v>
      </c>
      <c r="N181" s="607">
        <v>136592</v>
      </c>
      <c r="O181" s="608">
        <v>501.41872144781541</v>
      </c>
      <c r="P181" s="609">
        <v>68489.785999999993</v>
      </c>
      <c r="Q181" s="609">
        <v>68489.785999999993</v>
      </c>
      <c r="R181" s="609">
        <v>64452.995999999999</v>
      </c>
      <c r="S181" s="610">
        <v>94.105997060642011</v>
      </c>
      <c r="T181" s="609">
        <v>29914.348000000002</v>
      </c>
      <c r="U181" s="607">
        <v>41471</v>
      </c>
      <c r="V181" s="607">
        <v>3643.3466088789974</v>
      </c>
      <c r="W181" s="607">
        <v>26137</v>
      </c>
      <c r="X181" s="607">
        <v>3779</v>
      </c>
      <c r="Y181" s="607">
        <v>2296.2106126273866</v>
      </c>
      <c r="Z181" s="611">
        <v>6.9163799947075946</v>
      </c>
      <c r="AA181" s="609" t="s">
        <v>20</v>
      </c>
      <c r="AB181" s="609" t="s">
        <v>20</v>
      </c>
      <c r="AC181" s="609"/>
      <c r="AD181" s="609"/>
      <c r="AE181" s="609"/>
      <c r="AF181" s="609"/>
      <c r="AG181" s="609"/>
      <c r="AH181" s="609" t="s">
        <v>20</v>
      </c>
      <c r="AI181" s="609" t="s">
        <v>20</v>
      </c>
      <c r="AJ181" s="609" t="s">
        <v>20</v>
      </c>
      <c r="AK181" s="609" t="s">
        <v>20</v>
      </c>
      <c r="AL181" s="609" t="s">
        <v>20</v>
      </c>
      <c r="AM181" s="609" t="s">
        <v>20</v>
      </c>
      <c r="AN181" s="609" t="s">
        <v>20</v>
      </c>
      <c r="AO181" s="609" t="s">
        <v>20</v>
      </c>
      <c r="AP181" s="609" t="s">
        <v>20</v>
      </c>
      <c r="AQ181" s="609" t="s">
        <v>20</v>
      </c>
      <c r="AR181" s="609" t="s">
        <v>20</v>
      </c>
      <c r="AS181" s="609" t="s">
        <v>20</v>
      </c>
      <c r="AT181" s="609" t="s">
        <v>20</v>
      </c>
      <c r="AU181" s="609" t="s">
        <v>20</v>
      </c>
      <c r="AV181" s="609" t="s">
        <v>20</v>
      </c>
      <c r="AW181" s="609" t="s">
        <v>20</v>
      </c>
      <c r="AX181" s="609" t="s">
        <v>20</v>
      </c>
      <c r="AY181" s="612" t="s">
        <v>430</v>
      </c>
      <c r="AZ181" s="612" t="s">
        <v>433</v>
      </c>
      <c r="BA181" s="613" t="s">
        <v>553</v>
      </c>
      <c r="BB181" s="614">
        <v>6.2118924115853062E-2</v>
      </c>
      <c r="BC181" s="652">
        <v>-3.8535467837402283E-2</v>
      </c>
      <c r="BD181" s="613" t="s">
        <v>571</v>
      </c>
      <c r="BE181" s="613" t="s">
        <v>571</v>
      </c>
    </row>
    <row r="182" spans="1:57">
      <c r="A182" s="601" t="s">
        <v>95</v>
      </c>
      <c r="B182" s="602" t="s">
        <v>165</v>
      </c>
      <c r="C182" s="601">
        <v>90</v>
      </c>
      <c r="D182" s="601">
        <v>185</v>
      </c>
      <c r="E182" s="603" t="s">
        <v>165</v>
      </c>
      <c r="F182" s="601">
        <v>2015</v>
      </c>
      <c r="G182" s="601" t="s">
        <v>567</v>
      </c>
      <c r="H182" s="609">
        <v>-9162.18</v>
      </c>
      <c r="I182" s="609">
        <v>26904.285</v>
      </c>
      <c r="J182" s="615">
        <v>-3.6356231499934362</v>
      </c>
      <c r="K182" s="616">
        <v>398.23765470000001</v>
      </c>
      <c r="L182" s="609">
        <v>252011.26800000001</v>
      </c>
      <c r="M182" s="617">
        <v>10060</v>
      </c>
      <c r="N182" s="617">
        <v>120182</v>
      </c>
      <c r="O182" s="608">
        <v>157.59937428233846</v>
      </c>
      <c r="P182" s="609">
        <v>18940.608</v>
      </c>
      <c r="Q182" s="609">
        <v>18940.608</v>
      </c>
      <c r="R182" s="609">
        <v>15703.456</v>
      </c>
      <c r="S182" s="618">
        <v>82.908933018412085</v>
      </c>
      <c r="T182" s="609">
        <v>16169.958000000001</v>
      </c>
      <c r="U182" s="617">
        <v>74829</v>
      </c>
      <c r="V182" s="617">
        <v>7471.5681216821158</v>
      </c>
      <c r="W182" s="617">
        <v>3908</v>
      </c>
      <c r="X182" s="617">
        <v>1052</v>
      </c>
      <c r="Y182" s="617">
        <v>390.2081842538816</v>
      </c>
      <c r="Z182" s="609">
        <v>3.7148288973384029</v>
      </c>
      <c r="AA182" s="609">
        <v>18940.608</v>
      </c>
      <c r="AB182" s="609">
        <v>0</v>
      </c>
      <c r="AC182" s="609"/>
      <c r="AD182" s="609"/>
      <c r="AE182" s="609"/>
      <c r="AF182" s="609"/>
      <c r="AG182" s="609"/>
      <c r="AH182" s="609">
        <v>14772.241</v>
      </c>
      <c r="AI182" s="609">
        <v>260.67700000000002</v>
      </c>
      <c r="AJ182" s="609">
        <v>0</v>
      </c>
      <c r="AK182" s="609">
        <v>670.53800000000001</v>
      </c>
      <c r="AL182" s="609">
        <v>0</v>
      </c>
      <c r="AM182" s="609">
        <v>0</v>
      </c>
      <c r="AN182" s="609">
        <v>0</v>
      </c>
      <c r="AO182" s="609">
        <v>15703.456</v>
      </c>
      <c r="AP182" s="609">
        <v>26.408999999999999</v>
      </c>
      <c r="AQ182" s="609">
        <v>15677.047</v>
      </c>
      <c r="AR182" s="609">
        <v>0.82769502436247033</v>
      </c>
      <c r="AS182" s="609">
        <v>514.92499999999995</v>
      </c>
      <c r="AT182" s="609">
        <v>2025.943</v>
      </c>
      <c r="AU182" s="609">
        <v>0.10696293381923114</v>
      </c>
      <c r="AV182" s="609">
        <v>18217.915000000001</v>
      </c>
      <c r="AW182" s="609">
        <v>722.69299999999998</v>
      </c>
      <c r="AX182" s="609">
        <v>0</v>
      </c>
      <c r="AY182" s="612" t="s">
        <v>435</v>
      </c>
      <c r="AZ182" s="612" t="s">
        <v>433</v>
      </c>
      <c r="BA182" s="613" t="s">
        <v>553</v>
      </c>
      <c r="BB182" s="614">
        <v>0.10675826209485204</v>
      </c>
      <c r="BC182" s="614">
        <v>6.4152407721027066E-2</v>
      </c>
      <c r="BD182" s="613" t="s">
        <v>575</v>
      </c>
      <c r="BE182" s="613" t="s">
        <v>575</v>
      </c>
    </row>
    <row r="183" spans="1:57">
      <c r="A183" s="601" t="s">
        <v>95</v>
      </c>
      <c r="B183" s="602" t="s">
        <v>157</v>
      </c>
      <c r="C183" s="601">
        <v>90</v>
      </c>
      <c r="D183" s="601">
        <v>186</v>
      </c>
      <c r="E183" s="603" t="s">
        <v>157</v>
      </c>
      <c r="F183" s="601">
        <v>2015</v>
      </c>
      <c r="G183" s="601" t="s">
        <v>567</v>
      </c>
      <c r="H183" s="609">
        <v>-329.58300000000003</v>
      </c>
      <c r="I183" s="609">
        <v>13422.891</v>
      </c>
      <c r="J183" s="615">
        <v>-0.23163571998604215</v>
      </c>
      <c r="K183" s="616">
        <v>391.9153124</v>
      </c>
      <c r="L183" s="609">
        <v>142285.04999999999</v>
      </c>
      <c r="M183" s="617">
        <v>8941</v>
      </c>
      <c r="N183" s="617">
        <v>107396</v>
      </c>
      <c r="O183" s="608">
        <v>133.17086297441244</v>
      </c>
      <c r="P183" s="609">
        <v>14302.018</v>
      </c>
      <c r="Q183" s="609">
        <v>14302.018</v>
      </c>
      <c r="R183" s="609">
        <v>11500.502</v>
      </c>
      <c r="S183" s="618">
        <v>80.41174329384846</v>
      </c>
      <c r="T183" s="609">
        <v>11439.89</v>
      </c>
      <c r="U183" s="617">
        <v>14392</v>
      </c>
      <c r="V183" s="617">
        <v>1608.1045849007412</v>
      </c>
      <c r="W183" s="617">
        <v>2433</v>
      </c>
      <c r="X183" s="617">
        <v>770</v>
      </c>
      <c r="Y183" s="617">
        <v>271.85370032403443</v>
      </c>
      <c r="Z183" s="609">
        <v>3.1597402597402597</v>
      </c>
      <c r="AA183" s="609">
        <v>14302.018</v>
      </c>
      <c r="AB183" s="609">
        <v>0</v>
      </c>
      <c r="AC183" s="609"/>
      <c r="AD183" s="609"/>
      <c r="AE183" s="609"/>
      <c r="AF183" s="609"/>
      <c r="AG183" s="609"/>
      <c r="AH183" s="609">
        <v>3850.16</v>
      </c>
      <c r="AI183" s="609">
        <v>4451.0330000000004</v>
      </c>
      <c r="AJ183" s="609">
        <v>3084.0059999999999</v>
      </c>
      <c r="AK183" s="609">
        <v>115.30200000000001</v>
      </c>
      <c r="AL183" s="609">
        <v>0</v>
      </c>
      <c r="AM183" s="609">
        <v>0</v>
      </c>
      <c r="AN183" s="609">
        <v>0</v>
      </c>
      <c r="AO183" s="609">
        <v>11500.501</v>
      </c>
      <c r="AP183" s="609">
        <v>0</v>
      </c>
      <c r="AQ183" s="609">
        <v>11500.501</v>
      </c>
      <c r="AR183" s="609">
        <v>0.80411736301828174</v>
      </c>
      <c r="AS183" s="609">
        <v>1034.864</v>
      </c>
      <c r="AT183" s="609">
        <v>1641.7329999999999</v>
      </c>
      <c r="AU183" s="609">
        <v>0.11479030441718084</v>
      </c>
      <c r="AV183" s="609">
        <v>14177.098</v>
      </c>
      <c r="AW183" s="609">
        <v>124.92</v>
      </c>
      <c r="AX183" s="609">
        <v>0</v>
      </c>
      <c r="AY183" s="609" t="s">
        <v>435</v>
      </c>
      <c r="AZ183" s="609" t="s">
        <v>433</v>
      </c>
      <c r="BA183" s="613" t="s">
        <v>553</v>
      </c>
      <c r="BB183" s="614">
        <v>9.4338027782961034E-2</v>
      </c>
      <c r="BC183" s="614">
        <v>0.10154453927855438</v>
      </c>
      <c r="BD183" s="613" t="s">
        <v>581</v>
      </c>
      <c r="BE183" s="613" t="s">
        <v>581</v>
      </c>
    </row>
    <row r="184" spans="1:57">
      <c r="A184" s="601" t="s">
        <v>85</v>
      </c>
      <c r="B184" s="602" t="s">
        <v>334</v>
      </c>
      <c r="C184" s="601">
        <v>90</v>
      </c>
      <c r="D184" s="601">
        <v>187</v>
      </c>
      <c r="E184" s="603" t="s">
        <v>334</v>
      </c>
      <c r="F184" s="601">
        <v>2015</v>
      </c>
      <c r="G184" s="601" t="s">
        <v>567</v>
      </c>
      <c r="H184" s="604" t="s">
        <v>20</v>
      </c>
      <c r="I184" s="609" t="s">
        <v>20</v>
      </c>
      <c r="J184" s="605" t="s">
        <v>20</v>
      </c>
      <c r="K184" s="606" t="s">
        <v>20</v>
      </c>
      <c r="L184" s="609" t="s">
        <v>20</v>
      </c>
      <c r="M184" s="607">
        <v>8255.25</v>
      </c>
      <c r="N184" s="607">
        <v>99063</v>
      </c>
      <c r="O184" s="608">
        <v>412.5894834600204</v>
      </c>
      <c r="P184" s="609">
        <v>40872.351999999999</v>
      </c>
      <c r="Q184" s="609">
        <v>40872.351999999999</v>
      </c>
      <c r="R184" s="609">
        <v>27174.466</v>
      </c>
      <c r="S184" s="610">
        <v>66.486181172054899</v>
      </c>
      <c r="T184" s="609">
        <v>27534.055</v>
      </c>
      <c r="U184" s="607">
        <v>84306</v>
      </c>
      <c r="V184" s="607">
        <v>10212.410284364496</v>
      </c>
      <c r="W184" s="607">
        <v>2192</v>
      </c>
      <c r="X184" s="607">
        <v>547</v>
      </c>
      <c r="Y184" s="607">
        <v>265.52799733502923</v>
      </c>
      <c r="Z184" s="611">
        <v>4.0073126142595976</v>
      </c>
      <c r="AA184" s="609" t="s">
        <v>20</v>
      </c>
      <c r="AB184" s="609" t="s">
        <v>20</v>
      </c>
      <c r="AC184" s="609"/>
      <c r="AD184" s="609"/>
      <c r="AE184" s="609"/>
      <c r="AF184" s="609"/>
      <c r="AG184" s="609"/>
      <c r="AH184" s="609" t="s">
        <v>20</v>
      </c>
      <c r="AI184" s="609" t="s">
        <v>20</v>
      </c>
      <c r="AJ184" s="609" t="s">
        <v>20</v>
      </c>
      <c r="AK184" s="609" t="s">
        <v>20</v>
      </c>
      <c r="AL184" s="609" t="s">
        <v>20</v>
      </c>
      <c r="AM184" s="609" t="s">
        <v>20</v>
      </c>
      <c r="AN184" s="609" t="s">
        <v>20</v>
      </c>
      <c r="AO184" s="609" t="s">
        <v>20</v>
      </c>
      <c r="AP184" s="609" t="s">
        <v>20</v>
      </c>
      <c r="AQ184" s="609" t="s">
        <v>20</v>
      </c>
      <c r="AR184" s="609" t="s">
        <v>20</v>
      </c>
      <c r="AS184" s="609" t="s">
        <v>20</v>
      </c>
      <c r="AT184" s="609" t="s">
        <v>20</v>
      </c>
      <c r="AU184" s="609" t="s">
        <v>20</v>
      </c>
      <c r="AV184" s="609" t="s">
        <v>20</v>
      </c>
      <c r="AW184" s="609" t="s">
        <v>20</v>
      </c>
      <c r="AX184" s="609" t="s">
        <v>20</v>
      </c>
      <c r="AY184" s="612" t="s">
        <v>430</v>
      </c>
      <c r="AZ184" s="612" t="s">
        <v>431</v>
      </c>
      <c r="BA184" s="613" t="s">
        <v>553</v>
      </c>
      <c r="BB184" s="614">
        <v>0</v>
      </c>
      <c r="BC184" s="614">
        <v>-100</v>
      </c>
      <c r="BD184" s="613" t="s">
        <v>455</v>
      </c>
      <c r="BE184" s="613" t="s">
        <v>614</v>
      </c>
    </row>
    <row r="185" spans="1:57">
      <c r="A185" s="601" t="s">
        <v>69</v>
      </c>
      <c r="B185" s="602" t="s">
        <v>408</v>
      </c>
      <c r="C185" s="601">
        <v>89</v>
      </c>
      <c r="D185" s="601">
        <v>188</v>
      </c>
      <c r="E185" s="603" t="s">
        <v>408</v>
      </c>
      <c r="F185" s="601">
        <v>2015</v>
      </c>
      <c r="G185" s="601" t="s">
        <v>469</v>
      </c>
      <c r="H185" s="609">
        <v>4271.0619999999999</v>
      </c>
      <c r="I185" s="609">
        <v>3501.8850000000002</v>
      </c>
      <c r="J185" s="615">
        <v>11.676965631834419</v>
      </c>
      <c r="K185" s="616">
        <v>965.67751429999998</v>
      </c>
      <c r="L185" s="609">
        <v>36576.813999999998</v>
      </c>
      <c r="M185" s="617">
        <v>6515</v>
      </c>
      <c r="N185" s="617">
        <v>83508</v>
      </c>
      <c r="O185" s="608">
        <v>419.71105762322173</v>
      </c>
      <c r="P185" s="609">
        <v>35049.231</v>
      </c>
      <c r="Q185" s="609">
        <v>35049.231</v>
      </c>
      <c r="R185" s="609">
        <v>22729.805</v>
      </c>
      <c r="S185" s="618">
        <v>64.851080470210604</v>
      </c>
      <c r="T185" s="609">
        <v>23114.402999999998</v>
      </c>
      <c r="U185" s="617">
        <v>37047</v>
      </c>
      <c r="V185" s="617">
        <v>5323.6097140393731</v>
      </c>
      <c r="W185" s="617">
        <v>2290</v>
      </c>
      <c r="X185" s="617">
        <v>1118</v>
      </c>
      <c r="Y185" s="617">
        <v>329.07026871676965</v>
      </c>
      <c r="Z185" s="609">
        <v>2.0483005366726297</v>
      </c>
      <c r="AA185" s="609">
        <v>34889.375999999997</v>
      </c>
      <c r="AB185" s="609">
        <v>-650.76200000000244</v>
      </c>
      <c r="AC185" s="609"/>
      <c r="AD185" s="609"/>
      <c r="AE185" s="609"/>
      <c r="AF185" s="609"/>
      <c r="AG185" s="609"/>
      <c r="AH185" s="609">
        <v>18725.873</v>
      </c>
      <c r="AI185" s="609">
        <v>1112.53</v>
      </c>
      <c r="AJ185" s="609">
        <v>0</v>
      </c>
      <c r="AK185" s="609">
        <v>0</v>
      </c>
      <c r="AL185" s="609">
        <v>2891.402</v>
      </c>
      <c r="AM185" s="609">
        <v>0</v>
      </c>
      <c r="AN185" s="609">
        <v>0</v>
      </c>
      <c r="AO185" s="609">
        <v>22729.805</v>
      </c>
      <c r="AP185" s="609">
        <v>0</v>
      </c>
      <c r="AQ185" s="609">
        <v>22729.805</v>
      </c>
      <c r="AR185" s="609">
        <v>0.63955308783550591</v>
      </c>
      <c r="AS185" s="609">
        <v>909.19200000000001</v>
      </c>
      <c r="AT185" s="609">
        <v>3393.5450000000001</v>
      </c>
      <c r="AU185" s="609">
        <v>9.5484857149401053E-2</v>
      </c>
      <c r="AV185" s="609">
        <v>27032.542000000001</v>
      </c>
      <c r="AW185" s="609">
        <v>8507.5959999999995</v>
      </c>
      <c r="AX185" s="609">
        <v>0</v>
      </c>
      <c r="AY185" s="609" t="s">
        <v>435</v>
      </c>
      <c r="AZ185" s="609" t="s">
        <v>433</v>
      </c>
      <c r="BA185" s="613" t="s">
        <v>553</v>
      </c>
      <c r="BB185" s="614">
        <v>9.5740569421929433E-2</v>
      </c>
      <c r="BC185" s="652">
        <v>0.11676965631834418</v>
      </c>
      <c r="BD185" s="613" t="s">
        <v>581</v>
      </c>
      <c r="BE185" s="613" t="s">
        <v>581</v>
      </c>
    </row>
    <row r="186" spans="1:57">
      <c r="A186" s="601" t="s">
        <v>82</v>
      </c>
      <c r="B186" s="603" t="s">
        <v>424</v>
      </c>
      <c r="C186" s="601">
        <v>6</v>
      </c>
      <c r="D186" s="601">
        <v>189</v>
      </c>
      <c r="E186" s="603" t="s">
        <v>179</v>
      </c>
      <c r="F186" s="601">
        <v>2015</v>
      </c>
      <c r="G186" s="601" t="s">
        <v>567</v>
      </c>
      <c r="H186" s="604">
        <v>-10092.255999999999</v>
      </c>
      <c r="I186" s="609">
        <v>83492.218999999997</v>
      </c>
      <c r="J186" s="605">
        <v>-1.2889925819566725</v>
      </c>
      <c r="K186" s="606">
        <v>387.02871169999997</v>
      </c>
      <c r="L186" s="609">
        <v>782956.87199999997</v>
      </c>
      <c r="M186" s="607">
        <v>6902</v>
      </c>
      <c r="N186" s="607">
        <v>79709</v>
      </c>
      <c r="O186" s="608">
        <v>6862.4100540716854</v>
      </c>
      <c r="P186" s="609">
        <v>554227.11800000002</v>
      </c>
      <c r="Q186" s="609">
        <v>546995.84299999999</v>
      </c>
      <c r="R186" s="609">
        <v>437477.73200000002</v>
      </c>
      <c r="S186" s="610">
        <v>79.978255337490751</v>
      </c>
      <c r="T186" s="609">
        <v>439503.50400000002</v>
      </c>
      <c r="U186" s="607">
        <v>462622</v>
      </c>
      <c r="V186" s="607">
        <v>69646.639651733174</v>
      </c>
      <c r="W186" s="607">
        <v>34159</v>
      </c>
      <c r="X186" s="607">
        <v>7649</v>
      </c>
      <c r="Y186" s="607">
        <v>5142.5560476232295</v>
      </c>
      <c r="Z186" s="611">
        <v>4.4658125245130078</v>
      </c>
      <c r="AA186" s="609" t="s">
        <v>20</v>
      </c>
      <c r="AB186" s="609" t="s">
        <v>20</v>
      </c>
      <c r="AC186" s="609"/>
      <c r="AD186" s="609"/>
      <c r="AE186" s="609"/>
      <c r="AF186" s="609"/>
      <c r="AG186" s="609"/>
      <c r="AH186" s="609" t="s">
        <v>20</v>
      </c>
      <c r="AI186" s="609" t="s">
        <v>20</v>
      </c>
      <c r="AJ186" s="609" t="s">
        <v>20</v>
      </c>
      <c r="AK186" s="609" t="s">
        <v>20</v>
      </c>
      <c r="AL186" s="609" t="s">
        <v>20</v>
      </c>
      <c r="AM186" s="609" t="s">
        <v>20</v>
      </c>
      <c r="AN186" s="609" t="s">
        <v>20</v>
      </c>
      <c r="AO186" s="609" t="s">
        <v>20</v>
      </c>
      <c r="AP186" s="609" t="s">
        <v>20</v>
      </c>
      <c r="AQ186" s="609" t="s">
        <v>20</v>
      </c>
      <c r="AR186" s="609" t="s">
        <v>20</v>
      </c>
      <c r="AS186" s="609" t="s">
        <v>20</v>
      </c>
      <c r="AT186" s="609" t="s">
        <v>20</v>
      </c>
      <c r="AU186" s="609" t="s">
        <v>20</v>
      </c>
      <c r="AV186" s="609" t="s">
        <v>20</v>
      </c>
      <c r="AW186" s="609" t="s">
        <v>20</v>
      </c>
      <c r="AX186" s="609" t="s">
        <v>20</v>
      </c>
      <c r="AY186" s="612" t="s">
        <v>430</v>
      </c>
      <c r="AZ186" s="612" t="s">
        <v>433</v>
      </c>
      <c r="BA186" s="613" t="s">
        <v>553</v>
      </c>
      <c r="BB186" s="614">
        <v>0.10663706008062217</v>
      </c>
      <c r="BC186" s="614">
        <v>9.3580386544470276E-2</v>
      </c>
      <c r="BD186" s="613" t="s">
        <v>576</v>
      </c>
      <c r="BE186" s="613" t="s">
        <v>576</v>
      </c>
    </row>
    <row r="187" spans="1:57">
      <c r="A187" s="601" t="s">
        <v>95</v>
      </c>
      <c r="B187" s="602" t="s">
        <v>173</v>
      </c>
      <c r="C187" s="601">
        <v>99</v>
      </c>
      <c r="D187" s="601">
        <v>190</v>
      </c>
      <c r="E187" s="603" t="s">
        <v>173</v>
      </c>
      <c r="F187" s="601">
        <v>2015</v>
      </c>
      <c r="G187" s="601" t="s">
        <v>469</v>
      </c>
      <c r="H187" s="609">
        <v>3096.5720000000001</v>
      </c>
      <c r="I187" s="609">
        <v>1475.354</v>
      </c>
      <c r="J187" s="615">
        <v>17.476928620160134</v>
      </c>
      <c r="K187" s="616">
        <v>597.62895409999999</v>
      </c>
      <c r="L187" s="609">
        <v>17718.056</v>
      </c>
      <c r="M187" s="617">
        <v>7263</v>
      </c>
      <c r="N187" s="617">
        <v>77801</v>
      </c>
      <c r="O187" s="608">
        <v>229.62154728088328</v>
      </c>
      <c r="P187" s="609">
        <v>17864.786</v>
      </c>
      <c r="Q187" s="609">
        <v>17864.786</v>
      </c>
      <c r="R187" s="609">
        <v>12425.74</v>
      </c>
      <c r="S187" s="618">
        <v>69.554373615222701</v>
      </c>
      <c r="T187" s="609">
        <v>11737.611000000001</v>
      </c>
      <c r="U187" s="617">
        <v>40038</v>
      </c>
      <c r="V187" s="617">
        <v>6175.447616354546</v>
      </c>
      <c r="W187" s="617">
        <v>3140</v>
      </c>
      <c r="X187" s="617">
        <v>736</v>
      </c>
      <c r="Y187" s="617">
        <v>484.3125409699104</v>
      </c>
      <c r="Z187" s="609">
        <v>4.2663043478260869</v>
      </c>
      <c r="AA187" s="609">
        <v>17718.056</v>
      </c>
      <c r="AB187" s="609">
        <v>0</v>
      </c>
      <c r="AC187" s="609"/>
      <c r="AD187" s="609"/>
      <c r="AE187" s="609"/>
      <c r="AF187" s="609"/>
      <c r="AG187" s="609"/>
      <c r="AH187" s="609">
        <v>10605.105</v>
      </c>
      <c r="AI187" s="609">
        <v>1820.635</v>
      </c>
      <c r="AJ187" s="609">
        <v>0</v>
      </c>
      <c r="AK187" s="609">
        <v>0</v>
      </c>
      <c r="AL187" s="609">
        <v>0</v>
      </c>
      <c r="AM187" s="609">
        <v>0</v>
      </c>
      <c r="AN187" s="609">
        <v>0</v>
      </c>
      <c r="AO187" s="609">
        <v>12425.74</v>
      </c>
      <c r="AP187" s="609">
        <v>143.64699999999999</v>
      </c>
      <c r="AQ187" s="609">
        <v>12282.093000000001</v>
      </c>
      <c r="AR187" s="609">
        <v>0.69319642064569609</v>
      </c>
      <c r="AS187" s="609">
        <v>743.90200000000004</v>
      </c>
      <c r="AT187" s="609">
        <v>1475.354</v>
      </c>
      <c r="AU187" s="609">
        <v>8.3268390166505848E-2</v>
      </c>
      <c r="AV187" s="609">
        <v>14501.349</v>
      </c>
      <c r="AW187" s="609">
        <v>3216.7069999999999</v>
      </c>
      <c r="AX187" s="609">
        <v>0</v>
      </c>
      <c r="AY187" s="612" t="s">
        <v>430</v>
      </c>
      <c r="AZ187" s="612" t="s">
        <v>433</v>
      </c>
      <c r="BA187" s="613" t="s">
        <v>553</v>
      </c>
      <c r="BB187" s="614">
        <v>8.3268390166505848E-2</v>
      </c>
      <c r="BC187" s="652">
        <v>0.17476928620160134</v>
      </c>
      <c r="BD187" s="613" t="s">
        <v>582</v>
      </c>
      <c r="BE187" s="613" t="s">
        <v>582</v>
      </c>
    </row>
    <row r="188" spans="1:57">
      <c r="A188" s="601" t="s">
        <v>95</v>
      </c>
      <c r="B188" s="602" t="s">
        <v>154</v>
      </c>
      <c r="C188" s="601">
        <v>98</v>
      </c>
      <c r="D188" s="601">
        <v>191</v>
      </c>
      <c r="E188" s="603" t="s">
        <v>154</v>
      </c>
      <c r="F188" s="601">
        <v>2015</v>
      </c>
      <c r="G188" s="601" t="s">
        <v>567</v>
      </c>
      <c r="H188" s="609">
        <v>185.291</v>
      </c>
      <c r="I188" s="609">
        <v>30961.548999999999</v>
      </c>
      <c r="J188" s="615">
        <v>4.8305987457680971E-2</v>
      </c>
      <c r="K188" s="616">
        <v>363.75455740000001</v>
      </c>
      <c r="L188" s="609">
        <v>383577.70899999997</v>
      </c>
      <c r="M188" s="617">
        <v>5932</v>
      </c>
      <c r="N188" s="617">
        <v>73141</v>
      </c>
      <c r="O188" s="608">
        <v>169.32515278708249</v>
      </c>
      <c r="P188" s="609">
        <v>12384.611000000001</v>
      </c>
      <c r="Q188" s="609">
        <v>12384.611000000001</v>
      </c>
      <c r="R188" s="609">
        <v>10289.402</v>
      </c>
      <c r="S188" s="618">
        <v>83.082157364490484</v>
      </c>
      <c r="T188" s="609">
        <v>10258.982</v>
      </c>
      <c r="U188" s="617">
        <v>27418</v>
      </c>
      <c r="V188" s="617">
        <v>4498.3798416756672</v>
      </c>
      <c r="W188" s="617">
        <v>2143</v>
      </c>
      <c r="X188" s="617">
        <v>590</v>
      </c>
      <c r="Y188" s="617">
        <v>351.59486471336186</v>
      </c>
      <c r="Z188" s="609">
        <v>3.6322033898305084</v>
      </c>
      <c r="AA188" s="609">
        <v>12331.218000000001</v>
      </c>
      <c r="AB188" s="609">
        <v>0</v>
      </c>
      <c r="AC188" s="609"/>
      <c r="AD188" s="609"/>
      <c r="AE188" s="609"/>
      <c r="AF188" s="609"/>
      <c r="AG188" s="609"/>
      <c r="AH188" s="609">
        <v>5169.4610000000002</v>
      </c>
      <c r="AI188" s="609">
        <v>2411.3739999999998</v>
      </c>
      <c r="AJ188" s="609">
        <v>8.9030000000000005</v>
      </c>
      <c r="AK188" s="609">
        <v>858.428</v>
      </c>
      <c r="AL188" s="609">
        <v>0</v>
      </c>
      <c r="AM188" s="609">
        <v>1841.2370000000001</v>
      </c>
      <c r="AN188" s="609">
        <v>0</v>
      </c>
      <c r="AO188" s="609">
        <v>10289.403</v>
      </c>
      <c r="AP188" s="609">
        <v>0</v>
      </c>
      <c r="AQ188" s="609">
        <v>10289.403</v>
      </c>
      <c r="AR188" s="609">
        <v>0.83441903305902143</v>
      </c>
      <c r="AS188" s="609">
        <v>722.99199999999996</v>
      </c>
      <c r="AT188" s="609">
        <v>2344.395</v>
      </c>
      <c r="AU188" s="609">
        <v>0.19011868900541698</v>
      </c>
      <c r="AV188" s="609">
        <v>13356.79</v>
      </c>
      <c r="AW188" s="609">
        <v>-1025.5719999999999</v>
      </c>
      <c r="AX188" s="609">
        <v>0</v>
      </c>
      <c r="AY188" s="612" t="s">
        <v>430</v>
      </c>
      <c r="AZ188" s="612" t="s">
        <v>431</v>
      </c>
      <c r="BA188" s="613" t="s">
        <v>553</v>
      </c>
      <c r="BB188" s="614">
        <v>8.071780052265759E-2</v>
      </c>
      <c r="BC188" s="614">
        <v>8.8460625832437578E-2</v>
      </c>
      <c r="BD188" s="613" t="s">
        <v>576</v>
      </c>
      <c r="BE188" s="613" t="s">
        <v>576</v>
      </c>
    </row>
    <row r="189" spans="1:57">
      <c r="A189" s="601" t="s">
        <v>95</v>
      </c>
      <c r="B189" s="602" t="s">
        <v>143</v>
      </c>
      <c r="C189" s="601">
        <v>79</v>
      </c>
      <c r="D189" s="601">
        <v>192</v>
      </c>
      <c r="E189" s="603" t="s">
        <v>143</v>
      </c>
      <c r="F189" s="601">
        <v>2015</v>
      </c>
      <c r="G189" s="601" t="s">
        <v>567</v>
      </c>
      <c r="H189" s="609">
        <v>11011.39</v>
      </c>
      <c r="I189" s="609">
        <v>6346.0929999999998</v>
      </c>
      <c r="J189" s="615">
        <v>9.2662400863326155</v>
      </c>
      <c r="K189" s="616">
        <v>490.1972912</v>
      </c>
      <c r="L189" s="609">
        <v>118833.42</v>
      </c>
      <c r="M189" s="617">
        <v>2750</v>
      </c>
      <c r="N189" s="617">
        <v>32027</v>
      </c>
      <c r="O189" s="608">
        <v>2413.4863708745747</v>
      </c>
      <c r="P189" s="609">
        <v>77296.728000000003</v>
      </c>
      <c r="Q189" s="609">
        <v>77296.728000000003</v>
      </c>
      <c r="R189" s="609">
        <v>63997.572</v>
      </c>
      <c r="S189" s="618">
        <v>82.794671463971923</v>
      </c>
      <c r="T189" s="609">
        <v>62851.44</v>
      </c>
      <c r="U189" s="617">
        <v>37176</v>
      </c>
      <c r="V189" s="617">
        <v>13929.247197676959</v>
      </c>
      <c r="W189" s="617">
        <v>2217</v>
      </c>
      <c r="X189" s="617">
        <v>351</v>
      </c>
      <c r="Y189" s="617">
        <v>830.67411871233651</v>
      </c>
      <c r="Z189" s="609">
        <v>6.316239316239316</v>
      </c>
      <c r="AA189" s="609">
        <v>77224.513000000006</v>
      </c>
      <c r="AB189" s="609">
        <v>-49.394999999989523</v>
      </c>
      <c r="AC189" s="609"/>
      <c r="AD189" s="609"/>
      <c r="AE189" s="609"/>
      <c r="AF189" s="609"/>
      <c r="AG189" s="609"/>
      <c r="AH189" s="609">
        <v>27369.079000000002</v>
      </c>
      <c r="AI189" s="609">
        <v>25363.856</v>
      </c>
      <c r="AJ189" s="609">
        <v>0</v>
      </c>
      <c r="AK189" s="609">
        <v>536.92200000000003</v>
      </c>
      <c r="AL189" s="609">
        <v>4416.5889999999999</v>
      </c>
      <c r="AM189" s="609">
        <v>6311.1260000000002</v>
      </c>
      <c r="AN189" s="609">
        <v>0</v>
      </c>
      <c r="AO189" s="609">
        <v>63997.572</v>
      </c>
      <c r="AP189" s="609">
        <v>0</v>
      </c>
      <c r="AQ189" s="609">
        <v>63997.572</v>
      </c>
      <c r="AR189" s="609">
        <v>0.8281912181793627</v>
      </c>
      <c r="AS189" s="609">
        <v>5814.8720000000003</v>
      </c>
      <c r="AT189" s="609">
        <v>4129.1859999999997</v>
      </c>
      <c r="AU189" s="609">
        <v>5.3435708208260928E-2</v>
      </c>
      <c r="AV189" s="609">
        <v>68700.288</v>
      </c>
      <c r="AW189" s="609">
        <v>8573.6200000000008</v>
      </c>
      <c r="AX189" s="609">
        <v>0</v>
      </c>
      <c r="AY189" s="612" t="s">
        <v>430</v>
      </c>
      <c r="AZ189" s="612" t="s">
        <v>431</v>
      </c>
      <c r="BA189" s="613" t="s">
        <v>553</v>
      </c>
      <c r="BB189" s="614">
        <v>5.3403268205190091E-2</v>
      </c>
      <c r="BC189" s="614">
        <v>0.11865001715509066</v>
      </c>
      <c r="BD189" s="613" t="s">
        <v>581</v>
      </c>
      <c r="BE189" s="613" t="s">
        <v>581</v>
      </c>
    </row>
    <row r="190" spans="1:57">
      <c r="A190" s="601" t="s">
        <v>56</v>
      </c>
      <c r="B190" s="602" t="s">
        <v>183</v>
      </c>
      <c r="C190" s="601">
        <v>84</v>
      </c>
      <c r="D190" s="601">
        <v>193</v>
      </c>
      <c r="E190" s="603" t="s">
        <v>183</v>
      </c>
      <c r="F190" s="601">
        <v>2015</v>
      </c>
      <c r="G190" s="601" t="s">
        <v>567</v>
      </c>
      <c r="H190" s="609">
        <v>-11255.718000000001</v>
      </c>
      <c r="I190" s="609">
        <v>11472.106</v>
      </c>
      <c r="J190" s="615">
        <v>-10.124569506119474</v>
      </c>
      <c r="K190" s="616">
        <v>50.023051100000004</v>
      </c>
      <c r="L190" s="609">
        <v>111172.31200000001</v>
      </c>
      <c r="M190" s="617">
        <v>1884</v>
      </c>
      <c r="N190" s="617">
        <v>21890</v>
      </c>
      <c r="O190" s="608">
        <v>2046.3261763362266</v>
      </c>
      <c r="P190" s="609">
        <v>44856.504999999997</v>
      </c>
      <c r="Q190" s="609">
        <v>44794.080000000002</v>
      </c>
      <c r="R190" s="609">
        <v>46247.324999999997</v>
      </c>
      <c r="S190" s="618">
        <v>103.24427915474544</v>
      </c>
      <c r="T190" s="609">
        <v>60195.267999999996</v>
      </c>
      <c r="U190" s="617">
        <v>29251</v>
      </c>
      <c r="V190" s="617">
        <v>16035.267245317496</v>
      </c>
      <c r="W190" s="617">
        <v>4570</v>
      </c>
      <c r="X190" s="617">
        <v>868</v>
      </c>
      <c r="Y190" s="617">
        <v>2505.2535404294199</v>
      </c>
      <c r="Z190" s="609">
        <v>5.2649769585253452</v>
      </c>
      <c r="AA190" s="609" t="s">
        <v>20</v>
      </c>
      <c r="AB190" s="609" t="s">
        <v>20</v>
      </c>
      <c r="AC190" s="609"/>
      <c r="AD190" s="609"/>
      <c r="AE190" s="609"/>
      <c r="AF190" s="609"/>
      <c r="AG190" s="609"/>
      <c r="AH190" s="609" t="s">
        <v>20</v>
      </c>
      <c r="AI190" s="609" t="s">
        <v>20</v>
      </c>
      <c r="AJ190" s="609" t="s">
        <v>20</v>
      </c>
      <c r="AK190" s="609" t="s">
        <v>20</v>
      </c>
      <c r="AL190" s="609" t="s">
        <v>20</v>
      </c>
      <c r="AM190" s="609" t="s">
        <v>20</v>
      </c>
      <c r="AN190" s="609" t="s">
        <v>20</v>
      </c>
      <c r="AO190" s="609" t="s">
        <v>20</v>
      </c>
      <c r="AP190" s="609" t="s">
        <v>20</v>
      </c>
      <c r="AQ190" s="609" t="s">
        <v>20</v>
      </c>
      <c r="AR190" s="609" t="s">
        <v>20</v>
      </c>
      <c r="AS190" s="609" t="s">
        <v>20</v>
      </c>
      <c r="AT190" s="609" t="s">
        <v>20</v>
      </c>
      <c r="AU190" s="609" t="s">
        <v>20</v>
      </c>
      <c r="AV190" s="609" t="s">
        <v>20</v>
      </c>
      <c r="AW190" s="609" t="s">
        <v>20</v>
      </c>
      <c r="AX190" s="609" t="s">
        <v>20</v>
      </c>
      <c r="AY190" s="612" t="s">
        <v>430</v>
      </c>
      <c r="AZ190" s="612" t="s">
        <v>431</v>
      </c>
      <c r="BA190" s="613" t="s">
        <v>553</v>
      </c>
      <c r="BB190" s="614">
        <v>0.10319211495754446</v>
      </c>
      <c r="BC190" s="614">
        <v>-0.13563490650499879</v>
      </c>
      <c r="BD190" s="613" t="s">
        <v>579</v>
      </c>
      <c r="BE190" s="613" t="s">
        <v>579</v>
      </c>
    </row>
    <row r="191" spans="1:57">
      <c r="A191" s="601" t="s">
        <v>81</v>
      </c>
      <c r="B191" s="602" t="s">
        <v>184</v>
      </c>
      <c r="C191" s="601">
        <v>39</v>
      </c>
      <c r="D191" s="601">
        <v>194</v>
      </c>
      <c r="E191" s="603" t="s">
        <v>184</v>
      </c>
      <c r="F191" s="601">
        <v>2015</v>
      </c>
      <c r="G191" s="601" t="s">
        <v>567</v>
      </c>
      <c r="H191" s="604">
        <v>-10882.717000000001</v>
      </c>
      <c r="I191" s="609">
        <v>24066.868999999999</v>
      </c>
      <c r="J191" s="605">
        <v>-10.649078455003695</v>
      </c>
      <c r="K191" s="606">
        <v>415.66024199999998</v>
      </c>
      <c r="L191" s="609">
        <v>102193.97900000001</v>
      </c>
      <c r="M191" s="607">
        <v>2106</v>
      </c>
      <c r="N191" s="607">
        <v>21721</v>
      </c>
      <c r="O191" s="608">
        <v>4011.6374936697207</v>
      </c>
      <c r="P191" s="609">
        <v>87136.778000000006</v>
      </c>
      <c r="Q191" s="609">
        <v>87136.778000000006</v>
      </c>
      <c r="R191" s="609">
        <v>68783.562000000005</v>
      </c>
      <c r="S191" s="610">
        <v>78.937463122632323</v>
      </c>
      <c r="T191" s="609">
        <v>71041.763999999996</v>
      </c>
      <c r="U191" s="607">
        <v>0</v>
      </c>
      <c r="V191" s="607">
        <v>0</v>
      </c>
      <c r="W191" s="607">
        <v>0</v>
      </c>
      <c r="X191" s="607">
        <v>0</v>
      </c>
      <c r="Y191" s="607">
        <v>0</v>
      </c>
      <c r="Z191" s="611" t="s">
        <v>434</v>
      </c>
      <c r="AA191" s="609" t="s">
        <v>20</v>
      </c>
      <c r="AB191" s="609" t="s">
        <v>20</v>
      </c>
      <c r="AC191" s="609"/>
      <c r="AD191" s="609"/>
      <c r="AE191" s="609"/>
      <c r="AF191" s="609"/>
      <c r="AG191" s="609"/>
      <c r="AH191" s="609" t="s">
        <v>20</v>
      </c>
      <c r="AI191" s="609" t="s">
        <v>20</v>
      </c>
      <c r="AJ191" s="609" t="s">
        <v>20</v>
      </c>
      <c r="AK191" s="609" t="s">
        <v>20</v>
      </c>
      <c r="AL191" s="609" t="s">
        <v>20</v>
      </c>
      <c r="AM191" s="609" t="s">
        <v>20</v>
      </c>
      <c r="AN191" s="609" t="s">
        <v>20</v>
      </c>
      <c r="AO191" s="609" t="s">
        <v>20</v>
      </c>
      <c r="AP191" s="609" t="s">
        <v>20</v>
      </c>
      <c r="AQ191" s="609" t="s">
        <v>20</v>
      </c>
      <c r="AR191" s="609" t="s">
        <v>20</v>
      </c>
      <c r="AS191" s="609" t="s">
        <v>20</v>
      </c>
      <c r="AT191" s="609" t="s">
        <v>20</v>
      </c>
      <c r="AU191" s="609" t="s">
        <v>20</v>
      </c>
      <c r="AV191" s="609" t="s">
        <v>20</v>
      </c>
      <c r="AW191" s="609" t="s">
        <v>20</v>
      </c>
      <c r="AX191" s="609" t="s">
        <v>20</v>
      </c>
      <c r="AY191" s="612" t="s">
        <v>430</v>
      </c>
      <c r="AZ191" s="612" t="s">
        <v>433</v>
      </c>
      <c r="BA191" s="613" t="s">
        <v>553</v>
      </c>
      <c r="BB191" s="614">
        <v>0.23550182932010111</v>
      </c>
      <c r="BC191" s="614">
        <v>-2.4876460546424339E-2</v>
      </c>
      <c r="BD191" s="613" t="s">
        <v>572</v>
      </c>
      <c r="BE191" s="613" t="s">
        <v>572</v>
      </c>
    </row>
    <row r="192" spans="1:57">
      <c r="A192" s="601" t="s">
        <v>95</v>
      </c>
      <c r="B192" s="602" t="s">
        <v>309</v>
      </c>
      <c r="C192" s="601">
        <v>81</v>
      </c>
      <c r="D192" s="601">
        <v>195</v>
      </c>
      <c r="E192" s="603" t="s">
        <v>309</v>
      </c>
      <c r="F192" s="601">
        <v>2015</v>
      </c>
      <c r="G192" s="601" t="s">
        <v>567</v>
      </c>
      <c r="H192" s="609">
        <v>-1079.289</v>
      </c>
      <c r="I192" s="609">
        <v>5230.5330000000004</v>
      </c>
      <c r="J192" s="615">
        <v>-1.1224269311912001</v>
      </c>
      <c r="K192" s="616">
        <v>276.8894209</v>
      </c>
      <c r="L192" s="609">
        <v>96156.726999999999</v>
      </c>
      <c r="M192" s="617">
        <v>1341</v>
      </c>
      <c r="N192" s="617">
        <v>16234</v>
      </c>
      <c r="O192" s="608">
        <v>3594.5387458420601</v>
      </c>
      <c r="P192" s="609">
        <v>58353.741999999998</v>
      </c>
      <c r="Q192" s="609">
        <v>58353.741999999998</v>
      </c>
      <c r="R192" s="609">
        <v>63279.379000000001</v>
      </c>
      <c r="S192" s="618">
        <v>108.44099595189628</v>
      </c>
      <c r="T192" s="609">
        <v>58058.324999999997</v>
      </c>
      <c r="U192" s="617">
        <v>24000</v>
      </c>
      <c r="V192" s="617">
        <v>17740.544536158679</v>
      </c>
      <c r="W192" s="617">
        <v>608</v>
      </c>
      <c r="X192" s="617">
        <v>128</v>
      </c>
      <c r="Y192" s="617">
        <v>449.42712824935319</v>
      </c>
      <c r="Z192" s="609">
        <v>4.75</v>
      </c>
      <c r="AA192" s="609">
        <v>58353.741999999998</v>
      </c>
      <c r="AB192" s="609">
        <v>0</v>
      </c>
      <c r="AC192" s="609"/>
      <c r="AD192" s="609"/>
      <c r="AE192" s="609"/>
      <c r="AF192" s="609"/>
      <c r="AG192" s="609"/>
      <c r="AH192" s="609">
        <v>4271.268</v>
      </c>
      <c r="AI192" s="609">
        <v>53734.938000000002</v>
      </c>
      <c r="AJ192" s="609">
        <v>0</v>
      </c>
      <c r="AK192" s="609">
        <v>236.31200000000001</v>
      </c>
      <c r="AL192" s="609">
        <v>5036.8620000000001</v>
      </c>
      <c r="AM192" s="609">
        <v>0</v>
      </c>
      <c r="AN192" s="609">
        <v>0</v>
      </c>
      <c r="AO192" s="609">
        <v>63279.379000000001</v>
      </c>
      <c r="AP192" s="609">
        <v>1.87</v>
      </c>
      <c r="AQ192" s="609">
        <v>63277.508999999998</v>
      </c>
      <c r="AR192" s="609">
        <v>1.0843779135877867</v>
      </c>
      <c r="AS192" s="609">
        <v>1284.5530000000001</v>
      </c>
      <c r="AT192" s="609">
        <v>3666.3240000000001</v>
      </c>
      <c r="AU192" s="609">
        <v>6.2829286937588338E-2</v>
      </c>
      <c r="AV192" s="609">
        <v>68228.385999999999</v>
      </c>
      <c r="AW192" s="609">
        <v>-9874.6440000000002</v>
      </c>
      <c r="AX192" s="609">
        <v>0</v>
      </c>
      <c r="AY192" s="612" t="s">
        <v>430</v>
      </c>
      <c r="AZ192" s="612" t="s">
        <v>431</v>
      </c>
      <c r="BA192" s="613" t="s">
        <v>553</v>
      </c>
      <c r="BB192" s="614">
        <v>5.4395913454916164E-2</v>
      </c>
      <c r="BC192" s="614">
        <v>-0.13880587297387909</v>
      </c>
      <c r="BD192" s="613" t="s">
        <v>579</v>
      </c>
      <c r="BE192" s="613" t="s">
        <v>579</v>
      </c>
    </row>
    <row r="193" spans="1:57">
      <c r="A193" s="601" t="s">
        <v>66</v>
      </c>
      <c r="B193" s="602" t="s">
        <v>270</v>
      </c>
      <c r="C193" s="601">
        <v>10</v>
      </c>
      <c r="D193" s="601">
        <v>196</v>
      </c>
      <c r="E193" s="603" t="s">
        <v>270</v>
      </c>
      <c r="F193" s="601">
        <v>2015</v>
      </c>
      <c r="G193" s="601" t="s">
        <v>567</v>
      </c>
      <c r="H193" s="604">
        <v>54638.506000000001</v>
      </c>
      <c r="I193" s="609">
        <v>216846.109</v>
      </c>
      <c r="J193" s="605">
        <v>2.1689694633923691</v>
      </c>
      <c r="K193" s="606">
        <v>526.90588730000002</v>
      </c>
      <c r="L193" s="609">
        <v>2519099.827</v>
      </c>
      <c r="M193" s="607">
        <v>1598</v>
      </c>
      <c r="N193" s="607">
        <v>14999</v>
      </c>
      <c r="O193" s="608">
        <v>2024.609240616041</v>
      </c>
      <c r="P193" s="609">
        <v>30367.114000000001</v>
      </c>
      <c r="Q193" s="609">
        <v>30367.114000000001</v>
      </c>
      <c r="R193" s="609">
        <v>20666.878000000001</v>
      </c>
      <c r="S193" s="610">
        <v>68.056773521514089</v>
      </c>
      <c r="T193" s="609">
        <v>18121.775000000001</v>
      </c>
      <c r="U193" s="607">
        <v>17899</v>
      </c>
      <c r="V193" s="607">
        <v>14320.154676978465</v>
      </c>
      <c r="W193" s="607">
        <v>19622</v>
      </c>
      <c r="X193" s="607">
        <v>879</v>
      </c>
      <c r="Y193" s="607">
        <v>15698.646576438428</v>
      </c>
      <c r="Z193" s="611">
        <v>22.323094425483504</v>
      </c>
      <c r="AA193" s="609">
        <v>30367.114000000001</v>
      </c>
      <c r="AB193" s="609">
        <v>0</v>
      </c>
      <c r="AC193" s="609"/>
      <c r="AD193" s="609"/>
      <c r="AE193" s="609"/>
      <c r="AF193" s="609"/>
      <c r="AG193" s="609"/>
      <c r="AH193" s="609">
        <v>18606.827000000001</v>
      </c>
      <c r="AI193" s="609">
        <v>0</v>
      </c>
      <c r="AJ193" s="609">
        <v>0</v>
      </c>
      <c r="AK193" s="609">
        <v>0</v>
      </c>
      <c r="AL193" s="609">
        <v>548.82899999999995</v>
      </c>
      <c r="AM193" s="609">
        <v>1511.222</v>
      </c>
      <c r="AN193" s="609">
        <v>0</v>
      </c>
      <c r="AO193" s="609">
        <v>20666.878000000001</v>
      </c>
      <c r="AP193" s="609">
        <v>0</v>
      </c>
      <c r="AQ193" s="609">
        <v>20666.878000000001</v>
      </c>
      <c r="AR193" s="609">
        <v>0.68056773521514091</v>
      </c>
      <c r="AS193" s="609">
        <v>0</v>
      </c>
      <c r="AT193" s="609">
        <v>5686.4830000000002</v>
      </c>
      <c r="AU193" s="609">
        <v>0.18725793303901056</v>
      </c>
      <c r="AV193" s="609">
        <v>26353.361000000001</v>
      </c>
      <c r="AW193" s="609">
        <v>4013.7530000000002</v>
      </c>
      <c r="AX193" s="609">
        <v>0</v>
      </c>
      <c r="AY193" s="612" t="s">
        <v>430</v>
      </c>
      <c r="AZ193" s="612" t="s">
        <v>431</v>
      </c>
      <c r="BA193" s="613" t="s">
        <v>553</v>
      </c>
      <c r="BB193" s="614">
        <v>8.6080792303591391E-2</v>
      </c>
      <c r="BC193" s="614">
        <v>0.2333514724812677</v>
      </c>
      <c r="BD193" s="613" t="s">
        <v>582</v>
      </c>
      <c r="BE193" s="613" t="s">
        <v>582</v>
      </c>
    </row>
    <row r="194" spans="1:57">
      <c r="A194" s="601" t="s">
        <v>84</v>
      </c>
      <c r="B194" s="602" t="s">
        <v>427</v>
      </c>
      <c r="C194" s="601">
        <v>31</v>
      </c>
      <c r="D194" s="601">
        <v>197</v>
      </c>
      <c r="E194" s="603" t="s">
        <v>238</v>
      </c>
      <c r="F194" s="601">
        <v>2015</v>
      </c>
      <c r="G194" s="601" t="s">
        <v>567</v>
      </c>
      <c r="H194" s="604">
        <v>-13498.514999999999</v>
      </c>
      <c r="I194" s="609">
        <v>224451.05799999999</v>
      </c>
      <c r="J194" s="605">
        <v>-0.40204066842128772</v>
      </c>
      <c r="K194" s="606">
        <v>695.87850449999996</v>
      </c>
      <c r="L194" s="609">
        <v>3357499.89</v>
      </c>
      <c r="M194" s="607">
        <v>322</v>
      </c>
      <c r="N194" s="607">
        <v>10666</v>
      </c>
      <c r="O194" s="608">
        <v>156.95612225764111</v>
      </c>
      <c r="P194" s="609">
        <v>1674.0940000000001</v>
      </c>
      <c r="Q194" s="609">
        <v>1674.0940000000001</v>
      </c>
      <c r="R194" s="609">
        <v>6574.4560000000001</v>
      </c>
      <c r="S194" s="610">
        <v>392.71725482559521</v>
      </c>
      <c r="T194" s="609">
        <v>6518.4229999999998</v>
      </c>
      <c r="U194" s="607">
        <v>8298</v>
      </c>
      <c r="V194" s="607">
        <v>9335.8334895931002</v>
      </c>
      <c r="W194" s="607">
        <v>706</v>
      </c>
      <c r="X194" s="607">
        <v>99</v>
      </c>
      <c r="Y194" s="607">
        <v>794.29964372773293</v>
      </c>
      <c r="Z194" s="611">
        <v>7.1313131313131315</v>
      </c>
      <c r="AA194" s="609" t="s">
        <v>20</v>
      </c>
      <c r="AB194" s="609" t="s">
        <v>20</v>
      </c>
      <c r="AC194" s="609"/>
      <c r="AD194" s="609"/>
      <c r="AE194" s="609"/>
      <c r="AF194" s="609"/>
      <c r="AG194" s="609"/>
      <c r="AH194" s="609" t="s">
        <v>20</v>
      </c>
      <c r="AI194" s="609" t="s">
        <v>20</v>
      </c>
      <c r="AJ194" s="609" t="s">
        <v>20</v>
      </c>
      <c r="AK194" s="609" t="s">
        <v>20</v>
      </c>
      <c r="AL194" s="609" t="s">
        <v>20</v>
      </c>
      <c r="AM194" s="609" t="s">
        <v>20</v>
      </c>
      <c r="AN194" s="609" t="s">
        <v>20</v>
      </c>
      <c r="AO194" s="609" t="s">
        <v>20</v>
      </c>
      <c r="AP194" s="609" t="s">
        <v>20</v>
      </c>
      <c r="AQ194" s="609" t="s">
        <v>20</v>
      </c>
      <c r="AR194" s="609" t="s">
        <v>20</v>
      </c>
      <c r="AS194" s="609" t="s">
        <v>20</v>
      </c>
      <c r="AT194" s="609" t="s">
        <v>20</v>
      </c>
      <c r="AU194" s="609" t="s">
        <v>20</v>
      </c>
      <c r="AV194" s="609" t="s">
        <v>20</v>
      </c>
      <c r="AW194" s="609" t="s">
        <v>20</v>
      </c>
      <c r="AX194" s="609" t="s">
        <v>20</v>
      </c>
      <c r="AY194" s="612" t="s">
        <v>435</v>
      </c>
      <c r="AZ194" s="612" t="s">
        <v>431</v>
      </c>
      <c r="BA194" s="613" t="s">
        <v>553</v>
      </c>
      <c r="BB194" s="614">
        <v>6.6850652376343037E-2</v>
      </c>
      <c r="BC194" s="614">
        <v>-2.9940232006322951</v>
      </c>
      <c r="BD194" s="613" t="s">
        <v>580</v>
      </c>
      <c r="BE194" s="613" t="s">
        <v>614</v>
      </c>
    </row>
    <row r="195" spans="1:57">
      <c r="A195" s="601" t="s">
        <v>90</v>
      </c>
      <c r="B195" s="603" t="s">
        <v>424</v>
      </c>
      <c r="C195" s="601">
        <v>6</v>
      </c>
      <c r="D195" s="601">
        <v>198</v>
      </c>
      <c r="E195" s="603" t="s">
        <v>182</v>
      </c>
      <c r="F195" s="601">
        <v>2015</v>
      </c>
      <c r="G195" s="601" t="s">
        <v>567</v>
      </c>
      <c r="H195" s="604">
        <v>13882.425999999999</v>
      </c>
      <c r="I195" s="609">
        <v>61771.409</v>
      </c>
      <c r="J195" s="605">
        <v>2.6968471054105407</v>
      </c>
      <c r="K195" s="606">
        <v>657.71085600000004</v>
      </c>
      <c r="L195" s="609">
        <v>514765.03700000001</v>
      </c>
      <c r="M195" s="607">
        <v>0</v>
      </c>
      <c r="N195" s="607">
        <v>0</v>
      </c>
      <c r="O195" s="608" t="s">
        <v>434</v>
      </c>
      <c r="P195" s="609">
        <v>151698.446</v>
      </c>
      <c r="Q195" s="609">
        <v>146287.70800000001</v>
      </c>
      <c r="R195" s="609">
        <v>114418.83500000001</v>
      </c>
      <c r="S195" s="610">
        <v>78.21493450427154</v>
      </c>
      <c r="T195" s="609">
        <v>136124.11799999999</v>
      </c>
      <c r="U195" s="607">
        <v>0</v>
      </c>
      <c r="V195" s="607" t="s">
        <v>434</v>
      </c>
      <c r="W195" s="607">
        <v>0</v>
      </c>
      <c r="X195" s="607">
        <v>0</v>
      </c>
      <c r="Y195" s="607" t="s">
        <v>434</v>
      </c>
      <c r="Z195" s="611" t="s">
        <v>434</v>
      </c>
      <c r="AA195" s="609" t="s">
        <v>20</v>
      </c>
      <c r="AB195" s="609" t="s">
        <v>20</v>
      </c>
      <c r="AC195" s="609"/>
      <c r="AD195" s="609"/>
      <c r="AE195" s="609"/>
      <c r="AF195" s="609"/>
      <c r="AG195" s="609"/>
      <c r="AH195" s="609" t="s">
        <v>20</v>
      </c>
      <c r="AI195" s="609" t="s">
        <v>20</v>
      </c>
      <c r="AJ195" s="609" t="s">
        <v>20</v>
      </c>
      <c r="AK195" s="609" t="s">
        <v>20</v>
      </c>
      <c r="AL195" s="609" t="s">
        <v>20</v>
      </c>
      <c r="AM195" s="609" t="s">
        <v>20</v>
      </c>
      <c r="AN195" s="609" t="s">
        <v>20</v>
      </c>
      <c r="AO195" s="609" t="s">
        <v>20</v>
      </c>
      <c r="AP195" s="609" t="s">
        <v>20</v>
      </c>
      <c r="AQ195" s="609" t="s">
        <v>20</v>
      </c>
      <c r="AR195" s="609" t="s">
        <v>20</v>
      </c>
      <c r="AS195" s="609" t="s">
        <v>20</v>
      </c>
      <c r="AT195" s="609" t="s">
        <v>20</v>
      </c>
      <c r="AU195" s="609" t="s">
        <v>20</v>
      </c>
      <c r="AV195" s="609" t="s">
        <v>20</v>
      </c>
      <c r="AW195" s="609" t="s">
        <v>20</v>
      </c>
      <c r="AX195" s="609" t="s">
        <v>20</v>
      </c>
      <c r="AY195" s="612" t="s">
        <v>430</v>
      </c>
      <c r="AZ195" s="612" t="s">
        <v>433</v>
      </c>
      <c r="BA195" s="613" t="s">
        <v>553</v>
      </c>
      <c r="BB195" s="614">
        <v>0.11999923180485934</v>
      </c>
      <c r="BC195" s="614">
        <v>9.7851423152425274E-2</v>
      </c>
      <c r="BD195" s="613" t="s">
        <v>576</v>
      </c>
      <c r="BE195" s="613" t="s">
        <v>576</v>
      </c>
    </row>
    <row r="196" spans="1:57">
      <c r="A196" s="601" t="s">
        <v>55</v>
      </c>
      <c r="B196" s="603" t="s">
        <v>424</v>
      </c>
      <c r="C196" s="601">
        <v>6</v>
      </c>
      <c r="D196" s="601">
        <v>198</v>
      </c>
      <c r="E196" s="603" t="s">
        <v>210</v>
      </c>
      <c r="F196" s="601">
        <v>2015</v>
      </c>
      <c r="G196" s="601" t="s">
        <v>567</v>
      </c>
      <c r="H196" s="604">
        <v>845.02700000000004</v>
      </c>
      <c r="I196" s="609">
        <v>15842.734</v>
      </c>
      <c r="J196" s="605">
        <v>0.99638971785078556</v>
      </c>
      <c r="K196" s="606">
        <v>1161.5488731999999</v>
      </c>
      <c r="L196" s="609">
        <v>84808.884000000005</v>
      </c>
      <c r="M196" s="607">
        <v>0</v>
      </c>
      <c r="N196" s="607">
        <v>0</v>
      </c>
      <c r="O196" s="608" t="s">
        <v>434</v>
      </c>
      <c r="P196" s="609">
        <v>546.49300000000005</v>
      </c>
      <c r="Q196" s="609">
        <v>546.49300000000005</v>
      </c>
      <c r="R196" s="609">
        <v>-100.589</v>
      </c>
      <c r="S196" s="610">
        <v>-18.40627418832446</v>
      </c>
      <c r="T196" s="609">
        <v>-56.305999999999997</v>
      </c>
      <c r="U196" s="607">
        <v>0</v>
      </c>
      <c r="V196" s="607" t="s">
        <v>434</v>
      </c>
      <c r="W196" s="607">
        <v>0</v>
      </c>
      <c r="X196" s="607">
        <v>0</v>
      </c>
      <c r="Y196" s="607" t="s">
        <v>434</v>
      </c>
      <c r="Z196" s="611" t="s">
        <v>434</v>
      </c>
      <c r="AA196" s="609" t="s">
        <v>20</v>
      </c>
      <c r="AB196" s="609" t="s">
        <v>20</v>
      </c>
      <c r="AC196" s="609"/>
      <c r="AD196" s="609"/>
      <c r="AE196" s="609"/>
      <c r="AF196" s="609"/>
      <c r="AG196" s="609"/>
      <c r="AH196" s="609" t="s">
        <v>20</v>
      </c>
      <c r="AI196" s="609" t="s">
        <v>20</v>
      </c>
      <c r="AJ196" s="609" t="s">
        <v>20</v>
      </c>
      <c r="AK196" s="609" t="s">
        <v>20</v>
      </c>
      <c r="AL196" s="609" t="s">
        <v>20</v>
      </c>
      <c r="AM196" s="609" t="s">
        <v>20</v>
      </c>
      <c r="AN196" s="609" t="s">
        <v>20</v>
      </c>
      <c r="AO196" s="609" t="s">
        <v>20</v>
      </c>
      <c r="AP196" s="609" t="s">
        <v>20</v>
      </c>
      <c r="AQ196" s="609" t="s">
        <v>20</v>
      </c>
      <c r="AR196" s="609" t="s">
        <v>20</v>
      </c>
      <c r="AS196" s="609" t="s">
        <v>20</v>
      </c>
      <c r="AT196" s="609" t="s">
        <v>20</v>
      </c>
      <c r="AU196" s="609" t="s">
        <v>20</v>
      </c>
      <c r="AV196" s="609" t="s">
        <v>20</v>
      </c>
      <c r="AW196" s="609" t="s">
        <v>20</v>
      </c>
      <c r="AX196" s="609" t="s">
        <v>20</v>
      </c>
      <c r="AY196" s="612" t="s">
        <v>430</v>
      </c>
      <c r="AZ196" s="612" t="s">
        <v>433</v>
      </c>
      <c r="BA196" s="613" t="s">
        <v>553</v>
      </c>
      <c r="BB196" s="614">
        <v>0.18680512291613222</v>
      </c>
      <c r="BC196" s="614">
        <v>0.99725761896711229</v>
      </c>
      <c r="BD196" s="613" t="s">
        <v>582</v>
      </c>
      <c r="BE196" s="613" t="s">
        <v>614</v>
      </c>
    </row>
    <row r="197" spans="1:57">
      <c r="A197" s="601" t="s">
        <v>50</v>
      </c>
      <c r="B197" s="603" t="s">
        <v>424</v>
      </c>
      <c r="C197" s="601"/>
      <c r="D197" s="601">
        <v>28</v>
      </c>
      <c r="E197" s="603" t="s">
        <v>561</v>
      </c>
      <c r="F197" s="601">
        <v>2015</v>
      </c>
      <c r="G197" s="601" t="s">
        <v>469</v>
      </c>
      <c r="H197" s="604">
        <v>6648</v>
      </c>
      <c r="I197" s="609">
        <v>126802</v>
      </c>
      <c r="J197" s="605">
        <v>0.33938210811015013</v>
      </c>
      <c r="K197" s="606"/>
      <c r="L197" s="609"/>
      <c r="M197" s="607">
        <v>334258</v>
      </c>
      <c r="N197" s="607">
        <v>4011096</v>
      </c>
      <c r="O197" s="608"/>
      <c r="P197" s="609"/>
      <c r="Q197" s="609">
        <v>1958854</v>
      </c>
      <c r="R197" s="609">
        <v>1791904</v>
      </c>
      <c r="S197" s="610">
        <v>91.477159604544283</v>
      </c>
      <c r="T197" s="609"/>
      <c r="U197" s="607"/>
      <c r="V197" s="607"/>
      <c r="W197" s="607"/>
      <c r="X197" s="607"/>
      <c r="Y197" s="607"/>
      <c r="Z197" s="611"/>
      <c r="AA197" s="609"/>
      <c r="AB197" s="609"/>
      <c r="AC197" s="609"/>
      <c r="AD197" s="609"/>
      <c r="AE197" s="609"/>
      <c r="AF197" s="609"/>
      <c r="AG197" s="609"/>
      <c r="AH197" s="609"/>
      <c r="AI197" s="609"/>
      <c r="AJ197" s="609"/>
      <c r="AK197" s="609"/>
      <c r="AL197" s="609"/>
      <c r="AM197" s="609"/>
      <c r="AN197" s="609"/>
      <c r="AO197" s="609"/>
      <c r="AP197" s="609"/>
      <c r="AQ197" s="609"/>
      <c r="AR197" s="609"/>
      <c r="AS197" s="609"/>
      <c r="AT197" s="609"/>
      <c r="AU197" s="609"/>
      <c r="AV197" s="609"/>
      <c r="AW197" s="609"/>
      <c r="AX197" s="609"/>
      <c r="AY197" s="612" t="s">
        <v>430</v>
      </c>
      <c r="AZ197" s="612" t="s">
        <v>431</v>
      </c>
      <c r="BA197" s="613" t="s">
        <v>552</v>
      </c>
      <c r="BB197" s="614"/>
      <c r="BC197" s="614">
        <v>3.3938210811015014E-3</v>
      </c>
      <c r="BD197" s="613" t="s">
        <v>573</v>
      </c>
      <c r="BE197" s="613" t="s">
        <v>573</v>
      </c>
    </row>
    <row r="198" spans="1:57">
      <c r="A198" s="601" t="s">
        <v>50</v>
      </c>
      <c r="B198" s="603" t="s">
        <v>548</v>
      </c>
      <c r="C198" s="601"/>
      <c r="D198" s="601">
        <v>51</v>
      </c>
      <c r="E198" s="603" t="s">
        <v>548</v>
      </c>
      <c r="F198" s="601">
        <v>2015</v>
      </c>
      <c r="G198" s="601" t="s">
        <v>469</v>
      </c>
      <c r="H198" s="604">
        <v>20714</v>
      </c>
      <c r="I198" s="609">
        <v>80648</v>
      </c>
      <c r="J198" s="605">
        <v>2.9268885453728481</v>
      </c>
      <c r="K198" s="606"/>
      <c r="L198" s="609"/>
      <c r="M198" s="607">
        <v>230300</v>
      </c>
      <c r="N198" s="607">
        <v>2763600</v>
      </c>
      <c r="O198" s="608"/>
      <c r="P198" s="609"/>
      <c r="Q198" s="609">
        <v>707714</v>
      </c>
      <c r="R198" s="609">
        <v>606533</v>
      </c>
      <c r="S198" s="610">
        <v>85.703123012968518</v>
      </c>
      <c r="T198" s="609"/>
      <c r="U198" s="607"/>
      <c r="V198" s="607"/>
      <c r="W198" s="607"/>
      <c r="X198" s="607"/>
      <c r="Y198" s="607"/>
      <c r="Z198" s="611"/>
      <c r="AA198" s="609"/>
      <c r="AB198" s="609"/>
      <c r="AC198" s="609"/>
      <c r="AD198" s="609"/>
      <c r="AE198" s="609"/>
      <c r="AF198" s="609"/>
      <c r="AG198" s="609"/>
      <c r="AH198" s="609"/>
      <c r="AI198" s="609"/>
      <c r="AJ198" s="609"/>
      <c r="AK198" s="609"/>
      <c r="AL198" s="609"/>
      <c r="AM198" s="609"/>
      <c r="AN198" s="609"/>
      <c r="AO198" s="609"/>
      <c r="AP198" s="609"/>
      <c r="AQ198" s="609"/>
      <c r="AR198" s="609"/>
      <c r="AS198" s="609"/>
      <c r="AT198" s="609"/>
      <c r="AU198" s="609"/>
      <c r="AV198" s="609"/>
      <c r="AW198" s="609"/>
      <c r="AX198" s="609"/>
      <c r="AY198" s="612" t="s">
        <v>435</v>
      </c>
      <c r="AZ198" s="612" t="s">
        <v>433</v>
      </c>
      <c r="BA198" s="613" t="s">
        <v>555</v>
      </c>
      <c r="BB198" s="614"/>
      <c r="BC198" s="614">
        <v>2.926888545372848E-2</v>
      </c>
      <c r="BD198" s="613" t="s">
        <v>574</v>
      </c>
      <c r="BE198" s="613" t="s">
        <v>574</v>
      </c>
    </row>
    <row r="199" spans="1:57">
      <c r="A199" s="601" t="s">
        <v>50</v>
      </c>
      <c r="B199" s="603" t="s">
        <v>583</v>
      </c>
      <c r="C199" s="601"/>
      <c r="D199" s="601">
        <v>90</v>
      </c>
      <c r="E199" s="603" t="s">
        <v>563</v>
      </c>
      <c r="F199" s="601">
        <v>2015</v>
      </c>
      <c r="G199" s="601" t="s">
        <v>469</v>
      </c>
      <c r="H199" s="604">
        <v>2827</v>
      </c>
      <c r="I199" s="609">
        <v>26028</v>
      </c>
      <c r="J199" s="605">
        <v>0.67604731135482088</v>
      </c>
      <c r="K199" s="606"/>
      <c r="L199" s="609"/>
      <c r="M199" s="607">
        <v>135870</v>
      </c>
      <c r="N199" s="607">
        <v>1630440</v>
      </c>
      <c r="O199" s="608"/>
      <c r="P199" s="609"/>
      <c r="Q199" s="609">
        <v>418166</v>
      </c>
      <c r="R199" s="609">
        <v>380597</v>
      </c>
      <c r="S199" s="610">
        <v>91.015768857343744</v>
      </c>
      <c r="T199" s="609"/>
      <c r="U199" s="607"/>
      <c r="V199" s="607"/>
      <c r="W199" s="607"/>
      <c r="X199" s="607"/>
      <c r="Y199" s="607"/>
      <c r="Z199" s="611"/>
      <c r="AA199" s="609"/>
      <c r="AB199" s="609"/>
      <c r="AC199" s="609"/>
      <c r="AD199" s="609"/>
      <c r="AE199" s="609"/>
      <c r="AF199" s="609"/>
      <c r="AG199" s="609"/>
      <c r="AH199" s="609"/>
      <c r="AI199" s="609"/>
      <c r="AJ199" s="609"/>
      <c r="AK199" s="609"/>
      <c r="AL199" s="609"/>
      <c r="AM199" s="609"/>
      <c r="AN199" s="609"/>
      <c r="AO199" s="609"/>
      <c r="AP199" s="609"/>
      <c r="AQ199" s="609"/>
      <c r="AR199" s="609"/>
      <c r="AS199" s="609"/>
      <c r="AT199" s="609"/>
      <c r="AU199" s="609"/>
      <c r="AV199" s="609"/>
      <c r="AW199" s="609"/>
      <c r="AX199" s="609"/>
      <c r="AY199" s="612" t="s">
        <v>435</v>
      </c>
      <c r="AZ199" s="612" t="s">
        <v>431</v>
      </c>
      <c r="BA199" s="613" t="s">
        <v>555</v>
      </c>
      <c r="BB199" s="614"/>
      <c r="BC199" s="614">
        <v>6.7604731135482085E-3</v>
      </c>
      <c r="BD199" s="613" t="s">
        <v>573</v>
      </c>
      <c r="BE199" s="613" t="s">
        <v>573</v>
      </c>
    </row>
    <row r="200" spans="1:57">
      <c r="A200" s="601" t="s">
        <v>50</v>
      </c>
      <c r="B200" s="603" t="s">
        <v>583</v>
      </c>
      <c r="C200" s="601"/>
      <c r="D200" s="601">
        <v>123</v>
      </c>
      <c r="E200" s="603" t="s">
        <v>564</v>
      </c>
      <c r="F200" s="601">
        <v>2015</v>
      </c>
      <c r="G200" s="601" t="s">
        <v>469</v>
      </c>
      <c r="H200" s="604">
        <v>8854</v>
      </c>
      <c r="I200" s="609">
        <v>21464</v>
      </c>
      <c r="J200" s="605">
        <v>3.3785769070795952</v>
      </c>
      <c r="K200" s="606"/>
      <c r="L200" s="609"/>
      <c r="M200" s="607">
        <v>82196</v>
      </c>
      <c r="N200" s="607">
        <v>986352</v>
      </c>
      <c r="O200" s="608"/>
      <c r="P200" s="609"/>
      <c r="Q200" s="609">
        <v>262063</v>
      </c>
      <c r="R200" s="609">
        <v>226028</v>
      </c>
      <c r="S200" s="610">
        <v>86.249489626540182</v>
      </c>
      <c r="T200" s="609"/>
      <c r="U200" s="607"/>
      <c r="V200" s="607"/>
      <c r="W200" s="607"/>
      <c r="X200" s="607"/>
      <c r="Y200" s="607"/>
      <c r="Z200" s="611"/>
      <c r="AA200" s="609"/>
      <c r="AB200" s="609"/>
      <c r="AC200" s="609"/>
      <c r="AD200" s="609"/>
      <c r="AE200" s="609"/>
      <c r="AF200" s="609"/>
      <c r="AG200" s="609"/>
      <c r="AH200" s="609"/>
      <c r="AI200" s="609"/>
      <c r="AJ200" s="609"/>
      <c r="AK200" s="609"/>
      <c r="AL200" s="609"/>
      <c r="AM200" s="609"/>
      <c r="AN200" s="609"/>
      <c r="AO200" s="609"/>
      <c r="AP200" s="609"/>
      <c r="AQ200" s="609"/>
      <c r="AR200" s="609"/>
      <c r="AS200" s="609"/>
      <c r="AT200" s="609"/>
      <c r="AU200" s="609"/>
      <c r="AV200" s="609"/>
      <c r="AW200" s="609"/>
      <c r="AX200" s="609"/>
      <c r="AY200" s="612" t="s">
        <v>435</v>
      </c>
      <c r="AZ200" s="612" t="s">
        <v>431</v>
      </c>
      <c r="BA200" s="613" t="s">
        <v>551</v>
      </c>
      <c r="BB200" s="614"/>
      <c r="BC200" s="652">
        <v>3.3785769070795953E-2</v>
      </c>
      <c r="BD200" s="613" t="s">
        <v>574</v>
      </c>
      <c r="BE200" s="613" t="s">
        <v>574</v>
      </c>
    </row>
    <row r="201" spans="1:57">
      <c r="A201" s="601" t="s">
        <v>50</v>
      </c>
      <c r="B201" s="603" t="s">
        <v>549</v>
      </c>
      <c r="C201" s="601"/>
      <c r="D201" s="601">
        <v>136</v>
      </c>
      <c r="E201" s="603" t="s">
        <v>549</v>
      </c>
      <c r="F201" s="601">
        <v>2015</v>
      </c>
      <c r="G201" s="601" t="s">
        <v>469</v>
      </c>
      <c r="H201" s="604">
        <v>15906</v>
      </c>
      <c r="I201" s="609">
        <v>11689</v>
      </c>
      <c r="J201" s="605">
        <v>8.9609248242293127</v>
      </c>
      <c r="K201" s="606"/>
      <c r="L201" s="609"/>
      <c r="M201" s="607">
        <v>59937</v>
      </c>
      <c r="N201" s="607">
        <v>719244</v>
      </c>
      <c r="O201" s="608"/>
      <c r="P201" s="609"/>
      <c r="Q201" s="609">
        <v>177504</v>
      </c>
      <c r="R201" s="609">
        <v>140990</v>
      </c>
      <c r="S201" s="610">
        <v>79.429195961781147</v>
      </c>
      <c r="T201" s="609"/>
      <c r="U201" s="607"/>
      <c r="V201" s="607"/>
      <c r="W201" s="607"/>
      <c r="X201" s="607"/>
      <c r="Y201" s="607"/>
      <c r="Z201" s="611"/>
      <c r="AA201" s="609"/>
      <c r="AB201" s="609"/>
      <c r="AC201" s="609"/>
      <c r="AD201" s="609"/>
      <c r="AE201" s="609"/>
      <c r="AF201" s="609"/>
      <c r="AG201" s="609"/>
      <c r="AH201" s="609"/>
      <c r="AI201" s="609"/>
      <c r="AJ201" s="609"/>
      <c r="AK201" s="609"/>
      <c r="AL201" s="609"/>
      <c r="AM201" s="609"/>
      <c r="AN201" s="609"/>
      <c r="AO201" s="609"/>
      <c r="AP201" s="609"/>
      <c r="AQ201" s="609"/>
      <c r="AR201" s="609"/>
      <c r="AS201" s="609"/>
      <c r="AT201" s="609"/>
      <c r="AU201" s="609"/>
      <c r="AV201" s="609"/>
      <c r="AW201" s="609"/>
      <c r="AX201" s="609"/>
      <c r="AY201" s="612" t="s">
        <v>430</v>
      </c>
      <c r="AZ201" s="612" t="s">
        <v>431</v>
      </c>
      <c r="BA201" s="613" t="s">
        <v>551</v>
      </c>
      <c r="BB201" s="614"/>
      <c r="BC201" s="652">
        <v>8.9609248242293132E-2</v>
      </c>
      <c r="BD201" s="613" t="s">
        <v>576</v>
      </c>
      <c r="BE201" s="613" t="s">
        <v>576</v>
      </c>
    </row>
    <row r="202" spans="1:57">
      <c r="A202" s="601" t="s">
        <v>50</v>
      </c>
      <c r="B202" s="603" t="s">
        <v>550</v>
      </c>
      <c r="C202" s="601"/>
      <c r="D202" s="601">
        <v>175</v>
      </c>
      <c r="E202" s="603" t="s">
        <v>550</v>
      </c>
      <c r="F202" s="601">
        <v>2015</v>
      </c>
      <c r="G202" s="601" t="s">
        <v>469</v>
      </c>
      <c r="H202" s="604">
        <v>4291</v>
      </c>
      <c r="I202" s="609">
        <v>5861</v>
      </c>
      <c r="J202" s="605">
        <v>8.9165489153021369</v>
      </c>
      <c r="K202" s="606"/>
      <c r="L202" s="609"/>
      <c r="M202" s="607">
        <v>16611</v>
      </c>
      <c r="N202" s="607">
        <v>199332</v>
      </c>
      <c r="O202" s="608"/>
      <c r="P202" s="609"/>
      <c r="Q202" s="609">
        <v>48124</v>
      </c>
      <c r="R202" s="609">
        <v>36968</v>
      </c>
      <c r="S202" s="610">
        <v>76.818219599368291</v>
      </c>
      <c r="T202" s="609"/>
      <c r="U202" s="607"/>
      <c r="V202" s="607"/>
      <c r="W202" s="607"/>
      <c r="X202" s="607"/>
      <c r="Y202" s="607"/>
      <c r="Z202" s="611"/>
      <c r="AA202" s="609"/>
      <c r="AB202" s="609"/>
      <c r="AC202" s="609"/>
      <c r="AD202" s="609"/>
      <c r="AE202" s="609"/>
      <c r="AF202" s="609"/>
      <c r="AG202" s="609"/>
      <c r="AH202" s="609"/>
      <c r="AI202" s="609"/>
      <c r="AJ202" s="609"/>
      <c r="AK202" s="609"/>
      <c r="AL202" s="609"/>
      <c r="AM202" s="609"/>
      <c r="AN202" s="609"/>
      <c r="AO202" s="609"/>
      <c r="AP202" s="609"/>
      <c r="AQ202" s="609"/>
      <c r="AR202" s="609"/>
      <c r="AS202" s="609"/>
      <c r="AT202" s="609"/>
      <c r="AU202" s="609"/>
      <c r="AV202" s="609"/>
      <c r="AW202" s="609"/>
      <c r="AX202" s="609"/>
      <c r="AY202" s="612" t="s">
        <v>430</v>
      </c>
      <c r="AZ202" s="612" t="s">
        <v>433</v>
      </c>
      <c r="BA202" s="613" t="s">
        <v>553</v>
      </c>
      <c r="BB202" s="614"/>
      <c r="BC202" s="652">
        <v>8.9165489153021374E-2</v>
      </c>
      <c r="BD202" s="613" t="s">
        <v>576</v>
      </c>
      <c r="BE202" s="613" t="s">
        <v>576</v>
      </c>
    </row>
    <row r="203" spans="1:57">
      <c r="A203" s="601" t="s">
        <v>50</v>
      </c>
      <c r="B203" s="603" t="s">
        <v>418</v>
      </c>
      <c r="C203" s="601"/>
      <c r="D203" s="601" t="s">
        <v>20</v>
      </c>
      <c r="E203" s="603" t="s">
        <v>562</v>
      </c>
      <c r="F203" s="601">
        <v>2015</v>
      </c>
      <c r="G203" s="601" t="s">
        <v>469</v>
      </c>
      <c r="H203" s="604">
        <v>58192</v>
      </c>
      <c r="I203" s="609">
        <v>228829</v>
      </c>
      <c r="J203" s="605">
        <v>2.36</v>
      </c>
      <c r="K203" s="606"/>
      <c r="L203" s="609"/>
      <c r="M203" s="607">
        <v>396387</v>
      </c>
      <c r="N203" s="607">
        <v>4756644</v>
      </c>
      <c r="O203" s="608"/>
      <c r="P203" s="609"/>
      <c r="Q203" s="609">
        <v>2463393</v>
      </c>
      <c r="R203" s="609">
        <v>2100688</v>
      </c>
      <c r="S203" s="610">
        <v>85.276202376153549</v>
      </c>
      <c r="T203" s="609"/>
      <c r="U203" s="607"/>
      <c r="V203" s="607"/>
      <c r="W203" s="607"/>
      <c r="X203" s="607"/>
      <c r="Y203" s="607"/>
      <c r="Z203" s="611"/>
      <c r="AA203" s="609"/>
      <c r="AB203" s="609"/>
      <c r="AC203" s="609"/>
      <c r="AD203" s="609"/>
      <c r="AE203" s="609"/>
      <c r="AF203" s="609"/>
      <c r="AG203" s="609"/>
      <c r="AH203" s="609"/>
      <c r="AI203" s="609"/>
      <c r="AJ203" s="609"/>
      <c r="AK203" s="609"/>
      <c r="AL203" s="609"/>
      <c r="AM203" s="609"/>
      <c r="AN203" s="609"/>
      <c r="AO203" s="609"/>
      <c r="AP203" s="609"/>
      <c r="AQ203" s="609"/>
      <c r="AR203" s="609"/>
      <c r="AS203" s="609"/>
      <c r="AT203" s="609"/>
      <c r="AU203" s="609"/>
      <c r="AV203" s="609"/>
      <c r="AW203" s="609"/>
      <c r="AX203" s="609"/>
      <c r="AY203" s="612" t="s">
        <v>430</v>
      </c>
      <c r="AZ203" s="612" t="s">
        <v>433</v>
      </c>
      <c r="BA203" s="613" t="s">
        <v>552</v>
      </c>
      <c r="BB203" s="614"/>
      <c r="BC203" s="614">
        <v>2.3599999999999999E-2</v>
      </c>
      <c r="BD203" s="613" t="s">
        <v>573</v>
      </c>
      <c r="BE203" s="613" t="s">
        <v>573</v>
      </c>
    </row>
    <row r="204" spans="1:57">
      <c r="A204" s="601" t="s">
        <v>50</v>
      </c>
      <c r="B204" s="603" t="s">
        <v>565</v>
      </c>
      <c r="C204" s="601"/>
      <c r="D204" s="601" t="s">
        <v>20</v>
      </c>
      <c r="E204" s="603" t="s">
        <v>565</v>
      </c>
      <c r="F204" s="601">
        <v>2015</v>
      </c>
      <c r="G204" s="601" t="s">
        <v>469</v>
      </c>
      <c r="H204" s="604">
        <v>46938</v>
      </c>
      <c r="I204" s="609">
        <v>241581</v>
      </c>
      <c r="J204" s="605">
        <v>2.1</v>
      </c>
      <c r="K204" s="606"/>
      <c r="L204" s="609"/>
      <c r="M204" s="607">
        <v>104279</v>
      </c>
      <c r="N204" s="607">
        <v>1251348</v>
      </c>
      <c r="O204" s="608"/>
      <c r="P204" s="609"/>
      <c r="Q204" s="609">
        <v>2235186</v>
      </c>
      <c r="R204" s="609">
        <v>1915709</v>
      </c>
      <c r="S204" s="610">
        <v>85.706916560858915</v>
      </c>
      <c r="T204" s="609"/>
      <c r="U204" s="607"/>
      <c r="V204" s="607"/>
      <c r="W204" s="607"/>
      <c r="X204" s="607"/>
      <c r="Y204" s="607"/>
      <c r="Z204" s="611"/>
      <c r="AA204" s="609"/>
      <c r="AB204" s="609"/>
      <c r="AC204" s="609"/>
      <c r="AD204" s="609"/>
      <c r="AE204" s="609"/>
      <c r="AF204" s="609"/>
      <c r="AG204" s="609"/>
      <c r="AH204" s="609"/>
      <c r="AI204" s="609"/>
      <c r="AJ204" s="609"/>
      <c r="AK204" s="609"/>
      <c r="AL204" s="609"/>
      <c r="AM204" s="609"/>
      <c r="AN204" s="609"/>
      <c r="AO204" s="609"/>
      <c r="AP204" s="609"/>
      <c r="AQ204" s="609"/>
      <c r="AR204" s="609"/>
      <c r="AS204" s="609"/>
      <c r="AT204" s="609"/>
      <c r="AU204" s="609"/>
      <c r="AV204" s="609"/>
      <c r="AW204" s="609"/>
      <c r="AX204" s="609"/>
      <c r="AY204" s="612" t="s">
        <v>430</v>
      </c>
      <c r="AZ204" s="612" t="s">
        <v>433</v>
      </c>
      <c r="BA204" s="613" t="s">
        <v>555</v>
      </c>
      <c r="BB204" s="614"/>
      <c r="BC204" s="614">
        <v>2.1000000000000001E-2</v>
      </c>
      <c r="BD204" s="613" t="s">
        <v>573</v>
      </c>
      <c r="BE204" s="613" t="s">
        <v>573</v>
      </c>
    </row>
    <row r="205" spans="1:57">
      <c r="A205" s="601" t="s">
        <v>50</v>
      </c>
      <c r="B205" s="603" t="s">
        <v>566</v>
      </c>
      <c r="C205" s="601"/>
      <c r="D205" s="601" t="s">
        <v>20</v>
      </c>
      <c r="E205" s="603" t="s">
        <v>566</v>
      </c>
      <c r="F205" s="601">
        <v>2015</v>
      </c>
      <c r="G205" s="601" t="s">
        <v>469</v>
      </c>
      <c r="H205" s="604">
        <v>-28108.274000000001</v>
      </c>
      <c r="I205" s="609">
        <v>31265.078000000001</v>
      </c>
      <c r="J205" s="605">
        <v>-12.733000000000001</v>
      </c>
      <c r="K205" s="606"/>
      <c r="L205" s="609"/>
      <c r="M205" s="607">
        <v>64945</v>
      </c>
      <c r="N205" s="607">
        <v>779340</v>
      </c>
      <c r="O205" s="608"/>
      <c r="P205" s="609"/>
      <c r="Q205" s="609">
        <v>220755.37299999999</v>
      </c>
      <c r="R205" s="609">
        <v>225201.14199999999</v>
      </c>
      <c r="S205" s="610">
        <v>102.01388937428038</v>
      </c>
      <c r="T205" s="609"/>
      <c r="U205" s="607"/>
      <c r="V205" s="607"/>
      <c r="W205" s="607"/>
      <c r="X205" s="607"/>
      <c r="Y205" s="607"/>
      <c r="Z205" s="611"/>
      <c r="AA205" s="609"/>
      <c r="AB205" s="609"/>
      <c r="AC205" s="609"/>
      <c r="AD205" s="609"/>
      <c r="AE205" s="609"/>
      <c r="AF205" s="609"/>
      <c r="AG205" s="609"/>
      <c r="AH205" s="609"/>
      <c r="AI205" s="609"/>
      <c r="AJ205" s="609"/>
      <c r="AK205" s="609"/>
      <c r="AL205" s="609"/>
      <c r="AM205" s="609"/>
      <c r="AN205" s="609"/>
      <c r="AO205" s="609"/>
      <c r="AP205" s="609"/>
      <c r="AQ205" s="609"/>
      <c r="AR205" s="609"/>
      <c r="AS205" s="609"/>
      <c r="AT205" s="609"/>
      <c r="AU205" s="609"/>
      <c r="AV205" s="609"/>
      <c r="AW205" s="609"/>
      <c r="AX205" s="609"/>
      <c r="AY205" s="612" t="s">
        <v>430</v>
      </c>
      <c r="AZ205" s="612" t="s">
        <v>433</v>
      </c>
      <c r="BA205" s="613" t="s">
        <v>551</v>
      </c>
      <c r="BB205" s="614"/>
      <c r="BC205" s="652">
        <v>-0.12733</v>
      </c>
      <c r="BD205" s="613" t="s">
        <v>579</v>
      </c>
      <c r="BE205" s="613" t="s">
        <v>579</v>
      </c>
    </row>
    <row r="206" spans="1:57" s="643" customFormat="1">
      <c r="A206" s="601" t="s">
        <v>51</v>
      </c>
      <c r="B206" s="603" t="s">
        <v>612</v>
      </c>
      <c r="C206" s="601"/>
      <c r="D206" s="601"/>
      <c r="E206" s="603" t="s">
        <v>611</v>
      </c>
      <c r="F206" s="601">
        <v>2015</v>
      </c>
      <c r="G206" s="601" t="s">
        <v>469</v>
      </c>
      <c r="H206" s="604"/>
      <c r="I206" s="609"/>
      <c r="J206" s="605"/>
      <c r="K206" s="606"/>
      <c r="L206" s="609">
        <v>37475419</v>
      </c>
      <c r="M206" s="607">
        <v>351422</v>
      </c>
      <c r="N206" s="607">
        <v>4041670</v>
      </c>
      <c r="O206" s="608"/>
      <c r="P206" s="609"/>
      <c r="Q206" s="609"/>
      <c r="R206" s="609"/>
      <c r="S206" s="610"/>
      <c r="T206" s="609"/>
      <c r="U206" s="607"/>
      <c r="V206" s="607"/>
      <c r="W206" s="607"/>
      <c r="X206" s="607"/>
      <c r="Y206" s="607"/>
      <c r="Z206" s="611"/>
      <c r="AA206" s="609"/>
      <c r="AB206" s="609"/>
      <c r="AC206" s="609"/>
      <c r="AD206" s="609"/>
      <c r="AE206" s="609"/>
      <c r="AF206" s="609"/>
      <c r="AG206" s="609"/>
      <c r="AH206" s="609"/>
      <c r="AI206" s="609"/>
      <c r="AJ206" s="609"/>
      <c r="AK206" s="609"/>
      <c r="AL206" s="609"/>
      <c r="AM206" s="609"/>
      <c r="AN206" s="609"/>
      <c r="AO206" s="609"/>
      <c r="AP206" s="609"/>
      <c r="AQ206" s="609"/>
      <c r="AR206" s="609"/>
      <c r="AS206" s="609"/>
      <c r="AT206" s="609"/>
      <c r="AU206" s="609"/>
      <c r="AV206" s="609"/>
      <c r="AW206" s="609"/>
      <c r="AX206" s="609"/>
      <c r="AY206" s="612"/>
      <c r="AZ206" s="612"/>
      <c r="BA206" s="613" t="s">
        <v>552</v>
      </c>
      <c r="BB206" s="614"/>
      <c r="BC206" s="652"/>
      <c r="BD206" s="613"/>
      <c r="BE206" s="613"/>
    </row>
    <row r="207" spans="1:57" s="643" customFormat="1">
      <c r="A207" s="601" t="s">
        <v>51</v>
      </c>
      <c r="B207" s="603" t="s">
        <v>612</v>
      </c>
      <c r="C207" s="601"/>
      <c r="D207" s="601"/>
      <c r="E207" s="603" t="s">
        <v>610</v>
      </c>
      <c r="F207" s="601">
        <v>2015</v>
      </c>
      <c r="G207" s="601" t="s">
        <v>469</v>
      </c>
      <c r="H207" s="604"/>
      <c r="I207" s="609"/>
      <c r="J207" s="605"/>
      <c r="K207" s="606"/>
      <c r="L207" s="609">
        <v>5524624100</v>
      </c>
      <c r="M207" s="607">
        <v>1480265</v>
      </c>
      <c r="N207" s="607">
        <v>16654765</v>
      </c>
      <c r="O207" s="608"/>
      <c r="P207" s="609"/>
      <c r="Q207" s="609"/>
      <c r="R207" s="609"/>
      <c r="S207" s="610"/>
      <c r="T207" s="609"/>
      <c r="U207" s="607"/>
      <c r="V207" s="607"/>
      <c r="W207" s="607"/>
      <c r="X207" s="607"/>
      <c r="Y207" s="607"/>
      <c r="Z207" s="611"/>
      <c r="AA207" s="609"/>
      <c r="AB207" s="609"/>
      <c r="AC207" s="609"/>
      <c r="AD207" s="609"/>
      <c r="AE207" s="609"/>
      <c r="AF207" s="609"/>
      <c r="AG207" s="609"/>
      <c r="AH207" s="609"/>
      <c r="AI207" s="609"/>
      <c r="AJ207" s="609"/>
      <c r="AK207" s="609"/>
      <c r="AL207" s="609"/>
      <c r="AM207" s="609"/>
      <c r="AN207" s="609"/>
      <c r="AO207" s="609"/>
      <c r="AP207" s="609"/>
      <c r="AQ207" s="609"/>
      <c r="AR207" s="609"/>
      <c r="AS207" s="609"/>
      <c r="AT207" s="609"/>
      <c r="AU207" s="609"/>
      <c r="AV207" s="609"/>
      <c r="AW207" s="609"/>
      <c r="AX207" s="609"/>
      <c r="AY207" s="612"/>
      <c r="AZ207" s="612"/>
      <c r="BA207" s="613" t="s">
        <v>552</v>
      </c>
      <c r="BB207" s="614"/>
      <c r="BC207" s="652"/>
      <c r="BD207" s="613"/>
      <c r="BE207" s="613"/>
    </row>
    <row r="208" spans="1:57" s="643" customFormat="1">
      <c r="A208" s="601" t="s">
        <v>51</v>
      </c>
      <c r="B208" s="603" t="s">
        <v>586</v>
      </c>
      <c r="C208" s="601"/>
      <c r="D208" s="601"/>
      <c r="E208" s="603" t="s">
        <v>586</v>
      </c>
      <c r="F208" s="601">
        <v>2015</v>
      </c>
      <c r="G208" s="601" t="s">
        <v>469</v>
      </c>
      <c r="H208" s="604"/>
      <c r="I208" s="609"/>
      <c r="J208" s="605"/>
      <c r="K208" s="606"/>
      <c r="L208" s="609">
        <v>5989878755</v>
      </c>
      <c r="M208" s="607">
        <v>1768858</v>
      </c>
      <c r="N208" s="607">
        <v>20019161</v>
      </c>
      <c r="O208" s="608"/>
      <c r="P208" s="609"/>
      <c r="Q208" s="609"/>
      <c r="R208" s="609"/>
      <c r="S208" s="610"/>
      <c r="T208" s="609"/>
      <c r="U208" s="607"/>
      <c r="V208" s="607"/>
      <c r="W208" s="607"/>
      <c r="X208" s="607"/>
      <c r="Y208" s="607"/>
      <c r="Z208" s="611"/>
      <c r="AA208" s="609"/>
      <c r="AB208" s="609"/>
      <c r="AC208" s="609"/>
      <c r="AD208" s="609"/>
      <c r="AE208" s="609"/>
      <c r="AF208" s="609"/>
      <c r="AG208" s="609"/>
      <c r="AH208" s="609"/>
      <c r="AI208" s="609"/>
      <c r="AJ208" s="609"/>
      <c r="AK208" s="609"/>
      <c r="AL208" s="609"/>
      <c r="AM208" s="609"/>
      <c r="AN208" s="609"/>
      <c r="AO208" s="609"/>
      <c r="AP208" s="609"/>
      <c r="AQ208" s="609"/>
      <c r="AR208" s="609"/>
      <c r="AS208" s="609"/>
      <c r="AT208" s="609"/>
      <c r="AU208" s="609"/>
      <c r="AV208" s="609"/>
      <c r="AW208" s="609"/>
      <c r="AX208" s="609"/>
      <c r="AY208" s="612"/>
      <c r="AZ208" s="612"/>
      <c r="BA208" s="613" t="s">
        <v>552</v>
      </c>
      <c r="BB208" s="614"/>
      <c r="BC208" s="652"/>
      <c r="BD208" s="613"/>
      <c r="BE208" s="613"/>
    </row>
    <row r="209" spans="1:57" s="643" customFormat="1">
      <c r="A209" s="601" t="s">
        <v>51</v>
      </c>
      <c r="B209" s="603" t="s">
        <v>587</v>
      </c>
      <c r="C209" s="601"/>
      <c r="D209" s="601"/>
      <c r="E209" s="603" t="s">
        <v>587</v>
      </c>
      <c r="F209" s="601">
        <v>2015</v>
      </c>
      <c r="G209" s="601" t="s">
        <v>469</v>
      </c>
      <c r="H209" s="604"/>
      <c r="I209" s="609"/>
      <c r="J209" s="605"/>
      <c r="K209" s="606"/>
      <c r="L209" s="609">
        <v>4495877</v>
      </c>
      <c r="M209" s="607">
        <v>783186</v>
      </c>
      <c r="N209" s="607">
        <v>11127906</v>
      </c>
      <c r="O209" s="608"/>
      <c r="P209" s="609"/>
      <c r="Q209" s="609"/>
      <c r="R209" s="609"/>
      <c r="S209" s="610"/>
      <c r="T209" s="609"/>
      <c r="U209" s="607"/>
      <c r="V209" s="607"/>
      <c r="W209" s="607"/>
      <c r="X209" s="607"/>
      <c r="Y209" s="607"/>
      <c r="Z209" s="611"/>
      <c r="AA209" s="609"/>
      <c r="AB209" s="609"/>
      <c r="AC209" s="609"/>
      <c r="AD209" s="609"/>
      <c r="AE209" s="609"/>
      <c r="AF209" s="609"/>
      <c r="AG209" s="609"/>
      <c r="AH209" s="609"/>
      <c r="AI209" s="609"/>
      <c r="AJ209" s="609"/>
      <c r="AK209" s="609"/>
      <c r="AL209" s="609"/>
      <c r="AM209" s="609"/>
      <c r="AN209" s="609"/>
      <c r="AO209" s="609"/>
      <c r="AP209" s="609"/>
      <c r="AQ209" s="609"/>
      <c r="AR209" s="609"/>
      <c r="AS209" s="609"/>
      <c r="AT209" s="609"/>
      <c r="AU209" s="609"/>
      <c r="AV209" s="609"/>
      <c r="AW209" s="609"/>
      <c r="AX209" s="609"/>
      <c r="AY209" s="612"/>
      <c r="AZ209" s="612"/>
      <c r="BA209" s="613" t="s">
        <v>552</v>
      </c>
      <c r="BB209" s="614"/>
      <c r="BC209" s="652"/>
      <c r="BD209" s="613"/>
      <c r="BE209" s="613"/>
    </row>
    <row r="210" spans="1:57" s="643" customFormat="1">
      <c r="A210" s="601" t="s">
        <v>51</v>
      </c>
      <c r="B210" s="603" t="s">
        <v>588</v>
      </c>
      <c r="C210" s="601"/>
      <c r="D210" s="601"/>
      <c r="E210" s="603" t="s">
        <v>588</v>
      </c>
      <c r="F210" s="601">
        <v>2015</v>
      </c>
      <c r="G210" s="601" t="s">
        <v>469</v>
      </c>
      <c r="H210" s="604"/>
      <c r="I210" s="609"/>
      <c r="J210" s="605"/>
      <c r="K210" s="606"/>
      <c r="L210" s="609">
        <v>3548435412</v>
      </c>
      <c r="M210" s="607">
        <v>1065666</v>
      </c>
      <c r="N210" s="607">
        <v>11635637</v>
      </c>
      <c r="O210" s="608"/>
      <c r="P210" s="609"/>
      <c r="Q210" s="609"/>
      <c r="R210" s="609"/>
      <c r="S210" s="610"/>
      <c r="T210" s="609"/>
      <c r="U210" s="607"/>
      <c r="V210" s="607"/>
      <c r="W210" s="607"/>
      <c r="X210" s="607"/>
      <c r="Y210" s="607"/>
      <c r="Z210" s="611"/>
      <c r="AA210" s="609"/>
      <c r="AB210" s="609"/>
      <c r="AC210" s="609"/>
      <c r="AD210" s="609"/>
      <c r="AE210" s="609"/>
      <c r="AF210" s="609"/>
      <c r="AG210" s="609"/>
      <c r="AH210" s="609"/>
      <c r="AI210" s="609"/>
      <c r="AJ210" s="609"/>
      <c r="AK210" s="609"/>
      <c r="AL210" s="609"/>
      <c r="AM210" s="609"/>
      <c r="AN210" s="609"/>
      <c r="AO210" s="609"/>
      <c r="AP210" s="609"/>
      <c r="AQ210" s="609"/>
      <c r="AR210" s="609"/>
      <c r="AS210" s="609"/>
      <c r="AT210" s="609"/>
      <c r="AU210" s="609"/>
      <c r="AV210" s="609"/>
      <c r="AW210" s="609"/>
      <c r="AX210" s="609"/>
      <c r="AY210" s="612"/>
      <c r="AZ210" s="612"/>
      <c r="BA210" s="613" t="s">
        <v>552</v>
      </c>
      <c r="BB210" s="614"/>
      <c r="BC210" s="652"/>
      <c r="BD210" s="613"/>
      <c r="BE210" s="613"/>
    </row>
    <row r="211" spans="1:57" s="643" customFormat="1">
      <c r="A211" s="601" t="s">
        <v>51</v>
      </c>
      <c r="B211" s="603" t="s">
        <v>589</v>
      </c>
      <c r="C211" s="601"/>
      <c r="D211" s="601"/>
      <c r="E211" s="603" t="s">
        <v>589</v>
      </c>
      <c r="F211" s="601">
        <v>2015</v>
      </c>
      <c r="G211" s="601" t="s">
        <v>469</v>
      </c>
      <c r="H211" s="604"/>
      <c r="I211" s="609"/>
      <c r="J211" s="605"/>
      <c r="K211" s="606"/>
      <c r="L211" s="609">
        <v>3048287046</v>
      </c>
      <c r="M211" s="607">
        <v>739567</v>
      </c>
      <c r="N211" s="607">
        <v>8384621</v>
      </c>
      <c r="O211" s="608"/>
      <c r="P211" s="609"/>
      <c r="Q211" s="609"/>
      <c r="R211" s="609"/>
      <c r="S211" s="610"/>
      <c r="T211" s="609"/>
      <c r="U211" s="607"/>
      <c r="V211" s="607"/>
      <c r="W211" s="607"/>
      <c r="X211" s="607"/>
      <c r="Y211" s="607"/>
      <c r="Z211" s="611"/>
      <c r="AA211" s="609"/>
      <c r="AB211" s="609"/>
      <c r="AC211" s="609"/>
      <c r="AD211" s="609"/>
      <c r="AE211" s="609"/>
      <c r="AF211" s="609"/>
      <c r="AG211" s="609"/>
      <c r="AH211" s="609"/>
      <c r="AI211" s="609"/>
      <c r="AJ211" s="609"/>
      <c r="AK211" s="609"/>
      <c r="AL211" s="609"/>
      <c r="AM211" s="609"/>
      <c r="AN211" s="609"/>
      <c r="AO211" s="609"/>
      <c r="AP211" s="609"/>
      <c r="AQ211" s="609"/>
      <c r="AR211" s="609"/>
      <c r="AS211" s="609"/>
      <c r="AT211" s="609"/>
      <c r="AU211" s="609"/>
      <c r="AV211" s="609"/>
      <c r="AW211" s="609"/>
      <c r="AX211" s="609"/>
      <c r="AY211" s="612"/>
      <c r="AZ211" s="612"/>
      <c r="BA211" s="613" t="s">
        <v>552</v>
      </c>
      <c r="BB211" s="614"/>
      <c r="BC211" s="652"/>
      <c r="BD211" s="613"/>
      <c r="BE211" s="613"/>
    </row>
    <row r="212" spans="1:57" s="643" customFormat="1">
      <c r="A212" s="601" t="s">
        <v>51</v>
      </c>
      <c r="B212" s="603" t="s">
        <v>590</v>
      </c>
      <c r="C212" s="601"/>
      <c r="D212" s="601"/>
      <c r="E212" s="603" t="s">
        <v>590</v>
      </c>
      <c r="F212" s="601">
        <v>2015</v>
      </c>
      <c r="G212" s="601" t="s">
        <v>469</v>
      </c>
      <c r="H212" s="604"/>
      <c r="I212" s="609"/>
      <c r="J212" s="605"/>
      <c r="K212" s="606"/>
      <c r="L212" s="609">
        <v>2191673137</v>
      </c>
      <c r="M212" s="607">
        <v>667997</v>
      </c>
      <c r="N212" s="607">
        <v>4228954</v>
      </c>
      <c r="O212" s="608"/>
      <c r="P212" s="609"/>
      <c r="Q212" s="609"/>
      <c r="R212" s="609"/>
      <c r="S212" s="610"/>
      <c r="T212" s="609"/>
      <c r="U212" s="607"/>
      <c r="V212" s="607"/>
      <c r="W212" s="607"/>
      <c r="X212" s="607"/>
      <c r="Y212" s="607"/>
      <c r="Z212" s="611"/>
      <c r="AA212" s="609"/>
      <c r="AB212" s="609"/>
      <c r="AC212" s="609"/>
      <c r="AD212" s="609"/>
      <c r="AE212" s="609"/>
      <c r="AF212" s="609"/>
      <c r="AG212" s="609"/>
      <c r="AH212" s="609"/>
      <c r="AI212" s="609"/>
      <c r="AJ212" s="609"/>
      <c r="AK212" s="609"/>
      <c r="AL212" s="609"/>
      <c r="AM212" s="609"/>
      <c r="AN212" s="609"/>
      <c r="AO212" s="609"/>
      <c r="AP212" s="609"/>
      <c r="AQ212" s="609"/>
      <c r="AR212" s="609"/>
      <c r="AS212" s="609"/>
      <c r="AT212" s="609"/>
      <c r="AU212" s="609"/>
      <c r="AV212" s="609"/>
      <c r="AW212" s="609"/>
      <c r="AX212" s="609"/>
      <c r="AY212" s="612"/>
      <c r="AZ212" s="612"/>
      <c r="BA212" s="613" t="s">
        <v>552</v>
      </c>
      <c r="BB212" s="614"/>
      <c r="BC212" s="652"/>
      <c r="BD212" s="613"/>
      <c r="BE212" s="613"/>
    </row>
    <row r="213" spans="1:57" s="643" customFormat="1">
      <c r="A213" s="601" t="s">
        <v>51</v>
      </c>
      <c r="B213" s="603" t="s">
        <v>591</v>
      </c>
      <c r="C213" s="601"/>
      <c r="D213" s="601"/>
      <c r="E213" s="603" t="s">
        <v>591</v>
      </c>
      <c r="F213" s="601">
        <v>2015</v>
      </c>
      <c r="G213" s="601" t="s">
        <v>469</v>
      </c>
      <c r="H213" s="604"/>
      <c r="I213" s="609"/>
      <c r="J213" s="605"/>
      <c r="K213" s="606"/>
      <c r="L213" s="609">
        <v>1710742641</v>
      </c>
      <c r="M213" s="607">
        <v>454197</v>
      </c>
      <c r="N213" s="607">
        <v>5142923</v>
      </c>
      <c r="O213" s="608"/>
      <c r="P213" s="609"/>
      <c r="Q213" s="609"/>
      <c r="R213" s="609"/>
      <c r="S213" s="610"/>
      <c r="T213" s="609"/>
      <c r="U213" s="607"/>
      <c r="V213" s="607"/>
      <c r="W213" s="607"/>
      <c r="X213" s="607"/>
      <c r="Y213" s="607"/>
      <c r="Z213" s="611"/>
      <c r="AA213" s="609"/>
      <c r="AB213" s="609"/>
      <c r="AC213" s="609"/>
      <c r="AD213" s="609"/>
      <c r="AE213" s="609"/>
      <c r="AF213" s="609"/>
      <c r="AG213" s="609"/>
      <c r="AH213" s="609"/>
      <c r="AI213" s="609"/>
      <c r="AJ213" s="609"/>
      <c r="AK213" s="609"/>
      <c r="AL213" s="609"/>
      <c r="AM213" s="609"/>
      <c r="AN213" s="609"/>
      <c r="AO213" s="609"/>
      <c r="AP213" s="609"/>
      <c r="AQ213" s="609"/>
      <c r="AR213" s="609"/>
      <c r="AS213" s="609"/>
      <c r="AT213" s="609"/>
      <c r="AU213" s="609"/>
      <c r="AV213" s="609"/>
      <c r="AW213" s="609"/>
      <c r="AX213" s="609"/>
      <c r="AY213" s="612"/>
      <c r="AZ213" s="612"/>
      <c r="BA213" s="613" t="s">
        <v>552</v>
      </c>
      <c r="BB213" s="614"/>
      <c r="BC213" s="652"/>
      <c r="BD213" s="613"/>
      <c r="BE213" s="613"/>
    </row>
    <row r="214" spans="1:57" s="643" customFormat="1">
      <c r="A214" s="601" t="s">
        <v>51</v>
      </c>
      <c r="B214" s="603" t="s">
        <v>592</v>
      </c>
      <c r="C214" s="601"/>
      <c r="D214" s="601"/>
      <c r="E214" s="603" t="s">
        <v>592</v>
      </c>
      <c r="F214" s="601">
        <v>2015</v>
      </c>
      <c r="G214" s="601" t="s">
        <v>469</v>
      </c>
      <c r="H214" s="604"/>
      <c r="I214" s="609"/>
      <c r="J214" s="605"/>
      <c r="K214" s="606"/>
      <c r="L214" s="609">
        <v>985401757</v>
      </c>
      <c r="M214" s="607">
        <v>338609</v>
      </c>
      <c r="N214" s="607">
        <v>3926891</v>
      </c>
      <c r="O214" s="608"/>
      <c r="P214" s="609"/>
      <c r="Q214" s="609"/>
      <c r="R214" s="609"/>
      <c r="S214" s="610"/>
      <c r="T214" s="609"/>
      <c r="U214" s="607"/>
      <c r="V214" s="607"/>
      <c r="W214" s="607"/>
      <c r="X214" s="607"/>
      <c r="Y214" s="607"/>
      <c r="Z214" s="611"/>
      <c r="AA214" s="609"/>
      <c r="AB214" s="609"/>
      <c r="AC214" s="609"/>
      <c r="AD214" s="609"/>
      <c r="AE214" s="609"/>
      <c r="AF214" s="609"/>
      <c r="AG214" s="609"/>
      <c r="AH214" s="609"/>
      <c r="AI214" s="609"/>
      <c r="AJ214" s="609"/>
      <c r="AK214" s="609"/>
      <c r="AL214" s="609"/>
      <c r="AM214" s="609"/>
      <c r="AN214" s="609"/>
      <c r="AO214" s="609"/>
      <c r="AP214" s="609"/>
      <c r="AQ214" s="609"/>
      <c r="AR214" s="609"/>
      <c r="AS214" s="609"/>
      <c r="AT214" s="609"/>
      <c r="AU214" s="609"/>
      <c r="AV214" s="609"/>
      <c r="AW214" s="609"/>
      <c r="AX214" s="609"/>
      <c r="AY214" s="612"/>
      <c r="AZ214" s="612"/>
      <c r="BA214" s="613" t="s">
        <v>552</v>
      </c>
      <c r="BB214" s="614"/>
      <c r="BC214" s="652"/>
      <c r="BD214" s="613"/>
      <c r="BE214" s="613"/>
    </row>
    <row r="215" spans="1:57" s="643" customFormat="1">
      <c r="A215" s="601" t="s">
        <v>51</v>
      </c>
      <c r="B215" s="603" t="s">
        <v>593</v>
      </c>
      <c r="C215" s="601"/>
      <c r="D215" s="601"/>
      <c r="E215" s="603" t="s">
        <v>593</v>
      </c>
      <c r="F215" s="601">
        <v>2015</v>
      </c>
      <c r="G215" s="601" t="s">
        <v>469</v>
      </c>
      <c r="H215" s="604"/>
      <c r="I215" s="609"/>
      <c r="J215" s="605"/>
      <c r="K215" s="606"/>
      <c r="L215" s="609">
        <v>1496926462</v>
      </c>
      <c r="M215" s="607">
        <v>71722</v>
      </c>
      <c r="N215" s="607">
        <v>830148</v>
      </c>
      <c r="O215" s="608"/>
      <c r="P215" s="609"/>
      <c r="Q215" s="609"/>
      <c r="R215" s="609"/>
      <c r="S215" s="610"/>
      <c r="T215" s="609"/>
      <c r="U215" s="607"/>
      <c r="V215" s="607"/>
      <c r="W215" s="607"/>
      <c r="X215" s="607"/>
      <c r="Y215" s="607"/>
      <c r="Z215" s="611"/>
      <c r="AA215" s="609"/>
      <c r="AB215" s="609"/>
      <c r="AC215" s="609"/>
      <c r="AD215" s="609"/>
      <c r="AE215" s="609"/>
      <c r="AF215" s="609"/>
      <c r="AG215" s="609"/>
      <c r="AH215" s="609"/>
      <c r="AI215" s="609"/>
      <c r="AJ215" s="609"/>
      <c r="AK215" s="609"/>
      <c r="AL215" s="609"/>
      <c r="AM215" s="609"/>
      <c r="AN215" s="609"/>
      <c r="AO215" s="609"/>
      <c r="AP215" s="609"/>
      <c r="AQ215" s="609"/>
      <c r="AR215" s="609"/>
      <c r="AS215" s="609"/>
      <c r="AT215" s="609"/>
      <c r="AU215" s="609"/>
      <c r="AV215" s="609"/>
      <c r="AW215" s="609"/>
      <c r="AX215" s="609"/>
      <c r="AY215" s="612"/>
      <c r="AZ215" s="612"/>
      <c r="BA215" s="613" t="s">
        <v>551</v>
      </c>
      <c r="BB215" s="614"/>
      <c r="BC215" s="652"/>
      <c r="BD215" s="613"/>
      <c r="BE215" s="613"/>
    </row>
    <row r="216" spans="1:57" s="643" customFormat="1">
      <c r="A216" s="601" t="s">
        <v>51</v>
      </c>
      <c r="B216" s="603" t="s">
        <v>594</v>
      </c>
      <c r="C216" s="601"/>
      <c r="D216" s="601"/>
      <c r="E216" s="603" t="s">
        <v>594</v>
      </c>
      <c r="F216" s="601">
        <v>2015</v>
      </c>
      <c r="G216" s="601" t="s">
        <v>469</v>
      </c>
      <c r="H216" s="604"/>
      <c r="I216" s="609"/>
      <c r="J216" s="605"/>
      <c r="K216" s="606"/>
      <c r="L216" s="609">
        <v>1010361708</v>
      </c>
      <c r="M216" s="607">
        <v>315846</v>
      </c>
      <c r="N216" s="607">
        <v>3566232</v>
      </c>
      <c r="O216" s="608"/>
      <c r="P216" s="609"/>
      <c r="Q216" s="609"/>
      <c r="R216" s="609"/>
      <c r="S216" s="610"/>
      <c r="T216" s="609"/>
      <c r="U216" s="607"/>
      <c r="V216" s="607"/>
      <c r="W216" s="607"/>
      <c r="X216" s="607"/>
      <c r="Y216" s="607"/>
      <c r="Z216" s="611"/>
      <c r="AA216" s="609"/>
      <c r="AB216" s="609"/>
      <c r="AC216" s="609"/>
      <c r="AD216" s="609"/>
      <c r="AE216" s="609"/>
      <c r="AF216" s="609"/>
      <c r="AG216" s="609"/>
      <c r="AH216" s="609"/>
      <c r="AI216" s="609"/>
      <c r="AJ216" s="609"/>
      <c r="AK216" s="609"/>
      <c r="AL216" s="609"/>
      <c r="AM216" s="609"/>
      <c r="AN216" s="609"/>
      <c r="AO216" s="609"/>
      <c r="AP216" s="609"/>
      <c r="AQ216" s="609"/>
      <c r="AR216" s="609"/>
      <c r="AS216" s="609"/>
      <c r="AT216" s="609"/>
      <c r="AU216" s="609"/>
      <c r="AV216" s="609"/>
      <c r="AW216" s="609"/>
      <c r="AX216" s="609"/>
      <c r="AY216" s="612"/>
      <c r="AZ216" s="612"/>
      <c r="BA216" s="613" t="s">
        <v>552</v>
      </c>
      <c r="BB216" s="614"/>
      <c r="BC216" s="652"/>
      <c r="BD216" s="613"/>
      <c r="BE216" s="613"/>
    </row>
    <row r="217" spans="1:57" s="643" customFormat="1">
      <c r="A217" s="601" t="s">
        <v>51</v>
      </c>
      <c r="B217" s="603" t="s">
        <v>595</v>
      </c>
      <c r="C217" s="601"/>
      <c r="D217" s="601"/>
      <c r="E217" s="603" t="s">
        <v>595</v>
      </c>
      <c r="F217" s="601">
        <v>2015</v>
      </c>
      <c r="G217" s="601" t="s">
        <v>469</v>
      </c>
      <c r="H217" s="604"/>
      <c r="I217" s="609"/>
      <c r="J217" s="605"/>
      <c r="K217" s="606"/>
      <c r="L217" s="609">
        <v>729064279</v>
      </c>
      <c r="M217" s="607">
        <v>308077</v>
      </c>
      <c r="N217" s="607">
        <v>3395587</v>
      </c>
      <c r="O217" s="608"/>
      <c r="P217" s="609"/>
      <c r="Q217" s="609"/>
      <c r="R217" s="609"/>
      <c r="S217" s="610"/>
      <c r="T217" s="609"/>
      <c r="U217" s="607"/>
      <c r="V217" s="607"/>
      <c r="W217" s="607"/>
      <c r="X217" s="607"/>
      <c r="Y217" s="607"/>
      <c r="Z217" s="611"/>
      <c r="AA217" s="609"/>
      <c r="AB217" s="609"/>
      <c r="AC217" s="609"/>
      <c r="AD217" s="609"/>
      <c r="AE217" s="609"/>
      <c r="AF217" s="609"/>
      <c r="AG217" s="609"/>
      <c r="AH217" s="609"/>
      <c r="AI217" s="609"/>
      <c r="AJ217" s="609"/>
      <c r="AK217" s="609"/>
      <c r="AL217" s="609"/>
      <c r="AM217" s="609"/>
      <c r="AN217" s="609"/>
      <c r="AO217" s="609"/>
      <c r="AP217" s="609"/>
      <c r="AQ217" s="609"/>
      <c r="AR217" s="609"/>
      <c r="AS217" s="609"/>
      <c r="AT217" s="609"/>
      <c r="AU217" s="609"/>
      <c r="AV217" s="609"/>
      <c r="AW217" s="609"/>
      <c r="AX217" s="609"/>
      <c r="AY217" s="612"/>
      <c r="AZ217" s="612"/>
      <c r="BA217" s="613" t="s">
        <v>552</v>
      </c>
      <c r="BB217" s="614"/>
      <c r="BC217" s="652"/>
      <c r="BD217" s="613"/>
      <c r="BE217" s="613"/>
    </row>
    <row r="218" spans="1:57" s="643" customFormat="1">
      <c r="A218" s="601" t="s">
        <v>51</v>
      </c>
      <c r="B218" s="603" t="s">
        <v>596</v>
      </c>
      <c r="C218" s="601"/>
      <c r="D218" s="601"/>
      <c r="E218" s="603" t="s">
        <v>596</v>
      </c>
      <c r="F218" s="601">
        <v>2015</v>
      </c>
      <c r="G218" s="601" t="s">
        <v>469</v>
      </c>
      <c r="H218" s="604"/>
      <c r="I218" s="609"/>
      <c r="J218" s="605"/>
      <c r="K218" s="606"/>
      <c r="L218" s="609">
        <v>1038491947</v>
      </c>
      <c r="M218" s="607">
        <v>271232</v>
      </c>
      <c r="N218" s="607">
        <v>3063809</v>
      </c>
      <c r="O218" s="608"/>
      <c r="P218" s="609"/>
      <c r="Q218" s="609"/>
      <c r="R218" s="609"/>
      <c r="S218" s="610"/>
      <c r="T218" s="609"/>
      <c r="U218" s="607"/>
      <c r="V218" s="607"/>
      <c r="W218" s="607"/>
      <c r="X218" s="607"/>
      <c r="Y218" s="607"/>
      <c r="Z218" s="611"/>
      <c r="AA218" s="609"/>
      <c r="AB218" s="609"/>
      <c r="AC218" s="609"/>
      <c r="AD218" s="609"/>
      <c r="AE218" s="609"/>
      <c r="AF218" s="609"/>
      <c r="AG218" s="609"/>
      <c r="AH218" s="609"/>
      <c r="AI218" s="609"/>
      <c r="AJ218" s="609"/>
      <c r="AK218" s="609"/>
      <c r="AL218" s="609"/>
      <c r="AM218" s="609"/>
      <c r="AN218" s="609"/>
      <c r="AO218" s="609"/>
      <c r="AP218" s="609"/>
      <c r="AQ218" s="609"/>
      <c r="AR218" s="609"/>
      <c r="AS218" s="609"/>
      <c r="AT218" s="609"/>
      <c r="AU218" s="609"/>
      <c r="AV218" s="609"/>
      <c r="AW218" s="609"/>
      <c r="AX218" s="609"/>
      <c r="AY218" s="612"/>
      <c r="AZ218" s="612"/>
      <c r="BA218" s="613" t="s">
        <v>552</v>
      </c>
      <c r="BB218" s="614"/>
      <c r="BC218" s="652"/>
      <c r="BD218" s="613"/>
      <c r="BE218" s="613"/>
    </row>
    <row r="219" spans="1:57" s="643" customFormat="1">
      <c r="A219" s="601" t="s">
        <v>51</v>
      </c>
      <c r="B219" s="603" t="s">
        <v>597</v>
      </c>
      <c r="C219" s="601"/>
      <c r="D219" s="601"/>
      <c r="E219" s="603" t="s">
        <v>597</v>
      </c>
      <c r="F219" s="601">
        <v>2015</v>
      </c>
      <c r="G219" s="601" t="s">
        <v>469</v>
      </c>
      <c r="H219" s="604"/>
      <c r="I219" s="609"/>
      <c r="J219" s="605"/>
      <c r="K219" s="606"/>
      <c r="L219" s="609">
        <v>680443121</v>
      </c>
      <c r="M219" s="607">
        <v>240921</v>
      </c>
      <c r="N219" s="607">
        <v>2717998</v>
      </c>
      <c r="O219" s="608"/>
      <c r="P219" s="609"/>
      <c r="Q219" s="609"/>
      <c r="R219" s="609"/>
      <c r="S219" s="610"/>
      <c r="T219" s="609"/>
      <c r="U219" s="607"/>
      <c r="V219" s="607"/>
      <c r="W219" s="607"/>
      <c r="X219" s="607"/>
      <c r="Y219" s="607"/>
      <c r="Z219" s="611"/>
      <c r="AA219" s="609"/>
      <c r="AB219" s="609"/>
      <c r="AC219" s="609"/>
      <c r="AD219" s="609"/>
      <c r="AE219" s="609"/>
      <c r="AF219" s="609"/>
      <c r="AG219" s="609"/>
      <c r="AH219" s="609"/>
      <c r="AI219" s="609"/>
      <c r="AJ219" s="609"/>
      <c r="AK219" s="609"/>
      <c r="AL219" s="609"/>
      <c r="AM219" s="609"/>
      <c r="AN219" s="609"/>
      <c r="AO219" s="609"/>
      <c r="AP219" s="609"/>
      <c r="AQ219" s="609"/>
      <c r="AR219" s="609"/>
      <c r="AS219" s="609"/>
      <c r="AT219" s="609"/>
      <c r="AU219" s="609"/>
      <c r="AV219" s="609"/>
      <c r="AW219" s="609"/>
      <c r="AX219" s="609"/>
      <c r="AY219" s="612"/>
      <c r="AZ219" s="612"/>
      <c r="BA219" s="613" t="s">
        <v>555</v>
      </c>
      <c r="BB219" s="614"/>
      <c r="BC219" s="652"/>
      <c r="BD219" s="613"/>
      <c r="BE219" s="613"/>
    </row>
    <row r="220" spans="1:57" s="643" customFormat="1">
      <c r="A220" s="601" t="s">
        <v>51</v>
      </c>
      <c r="B220" s="603" t="s">
        <v>598</v>
      </c>
      <c r="C220" s="601"/>
      <c r="D220" s="601"/>
      <c r="E220" s="603" t="s">
        <v>598</v>
      </c>
      <c r="F220" s="601">
        <v>2015</v>
      </c>
      <c r="G220" s="601" t="s">
        <v>469</v>
      </c>
      <c r="H220" s="604"/>
      <c r="I220" s="609"/>
      <c r="J220" s="605"/>
      <c r="K220" s="606"/>
      <c r="L220" s="609">
        <v>918610</v>
      </c>
      <c r="M220" s="607">
        <v>235032</v>
      </c>
      <c r="N220" s="607">
        <v>2585360</v>
      </c>
      <c r="O220" s="608"/>
      <c r="P220" s="609"/>
      <c r="Q220" s="609"/>
      <c r="R220" s="609"/>
      <c r="S220" s="610"/>
      <c r="T220" s="609"/>
      <c r="U220" s="607"/>
      <c r="V220" s="607"/>
      <c r="W220" s="607"/>
      <c r="X220" s="607"/>
      <c r="Y220" s="607"/>
      <c r="Z220" s="611"/>
      <c r="AA220" s="609"/>
      <c r="AB220" s="609"/>
      <c r="AC220" s="609"/>
      <c r="AD220" s="609"/>
      <c r="AE220" s="609"/>
      <c r="AF220" s="609"/>
      <c r="AG220" s="609"/>
      <c r="AH220" s="609"/>
      <c r="AI220" s="609"/>
      <c r="AJ220" s="609"/>
      <c r="AK220" s="609"/>
      <c r="AL220" s="609"/>
      <c r="AM220" s="609"/>
      <c r="AN220" s="609"/>
      <c r="AO220" s="609"/>
      <c r="AP220" s="609"/>
      <c r="AQ220" s="609"/>
      <c r="AR220" s="609"/>
      <c r="AS220" s="609"/>
      <c r="AT220" s="609"/>
      <c r="AU220" s="609"/>
      <c r="AV220" s="609"/>
      <c r="AW220" s="609"/>
      <c r="AX220" s="609"/>
      <c r="AY220" s="612"/>
      <c r="AZ220" s="612"/>
      <c r="BA220" s="613" t="s">
        <v>555</v>
      </c>
      <c r="BB220" s="614"/>
      <c r="BC220" s="652"/>
      <c r="BD220" s="613"/>
      <c r="BE220" s="613"/>
    </row>
    <row r="221" spans="1:57" s="643" customFormat="1">
      <c r="A221" s="601" t="s">
        <v>51</v>
      </c>
      <c r="B221" s="603" t="s">
        <v>599</v>
      </c>
      <c r="C221" s="601"/>
      <c r="D221" s="601"/>
      <c r="E221" s="603" t="s">
        <v>599</v>
      </c>
      <c r="F221" s="601">
        <v>2015</v>
      </c>
      <c r="G221" s="601" t="s">
        <v>469</v>
      </c>
      <c r="H221" s="604"/>
      <c r="I221" s="609"/>
      <c r="J221" s="605"/>
      <c r="K221" s="606"/>
      <c r="L221" s="609">
        <v>559593</v>
      </c>
      <c r="M221" s="607">
        <v>216581</v>
      </c>
      <c r="N221" s="607">
        <v>2438714</v>
      </c>
      <c r="O221" s="608"/>
      <c r="P221" s="609"/>
      <c r="Q221" s="609"/>
      <c r="R221" s="609"/>
      <c r="S221" s="610"/>
      <c r="T221" s="609"/>
      <c r="U221" s="607"/>
      <c r="V221" s="607"/>
      <c r="W221" s="607"/>
      <c r="X221" s="607"/>
      <c r="Y221" s="607"/>
      <c r="Z221" s="611"/>
      <c r="AA221" s="609"/>
      <c r="AB221" s="609"/>
      <c r="AC221" s="609"/>
      <c r="AD221" s="609"/>
      <c r="AE221" s="609"/>
      <c r="AF221" s="609"/>
      <c r="AG221" s="609"/>
      <c r="AH221" s="609"/>
      <c r="AI221" s="609"/>
      <c r="AJ221" s="609"/>
      <c r="AK221" s="609"/>
      <c r="AL221" s="609"/>
      <c r="AM221" s="609"/>
      <c r="AN221" s="609"/>
      <c r="AO221" s="609"/>
      <c r="AP221" s="609"/>
      <c r="AQ221" s="609"/>
      <c r="AR221" s="609"/>
      <c r="AS221" s="609"/>
      <c r="AT221" s="609"/>
      <c r="AU221" s="609"/>
      <c r="AV221" s="609"/>
      <c r="AW221" s="609"/>
      <c r="AX221" s="609"/>
      <c r="AY221" s="612"/>
      <c r="AZ221" s="612"/>
      <c r="BA221" s="613" t="s">
        <v>555</v>
      </c>
      <c r="BB221" s="614"/>
      <c r="BC221" s="652"/>
      <c r="BD221" s="613"/>
      <c r="BE221" s="613"/>
    </row>
    <row r="222" spans="1:57" s="643" customFormat="1">
      <c r="A222" s="601" t="s">
        <v>51</v>
      </c>
      <c r="B222" s="603" t="s">
        <v>600</v>
      </c>
      <c r="C222" s="601"/>
      <c r="D222" s="601"/>
      <c r="E222" s="603" t="s">
        <v>600</v>
      </c>
      <c r="F222" s="601">
        <v>2015</v>
      </c>
      <c r="G222" s="601" t="s">
        <v>469</v>
      </c>
      <c r="H222" s="604"/>
      <c r="I222" s="609"/>
      <c r="J222" s="605"/>
      <c r="K222" s="606"/>
      <c r="L222" s="609">
        <v>581500416</v>
      </c>
      <c r="M222" s="607">
        <v>185272</v>
      </c>
      <c r="N222" s="607">
        <v>2138590</v>
      </c>
      <c r="O222" s="608"/>
      <c r="P222" s="609"/>
      <c r="Q222" s="609"/>
      <c r="R222" s="609"/>
      <c r="S222" s="610"/>
      <c r="T222" s="609"/>
      <c r="U222" s="607"/>
      <c r="V222" s="607"/>
      <c r="W222" s="607"/>
      <c r="X222" s="607"/>
      <c r="Y222" s="607"/>
      <c r="Z222" s="611"/>
      <c r="AA222" s="609"/>
      <c r="AB222" s="609"/>
      <c r="AC222" s="609"/>
      <c r="AD222" s="609"/>
      <c r="AE222" s="609"/>
      <c r="AF222" s="609"/>
      <c r="AG222" s="609"/>
      <c r="AH222" s="609"/>
      <c r="AI222" s="609"/>
      <c r="AJ222" s="609"/>
      <c r="AK222" s="609"/>
      <c r="AL222" s="609"/>
      <c r="AM222" s="609"/>
      <c r="AN222" s="609"/>
      <c r="AO222" s="609"/>
      <c r="AP222" s="609"/>
      <c r="AQ222" s="609"/>
      <c r="AR222" s="609"/>
      <c r="AS222" s="609"/>
      <c r="AT222" s="609"/>
      <c r="AU222" s="609"/>
      <c r="AV222" s="609"/>
      <c r="AW222" s="609"/>
      <c r="AX222" s="609"/>
      <c r="AY222" s="612"/>
      <c r="AZ222" s="612"/>
      <c r="BA222" s="613" t="s">
        <v>555</v>
      </c>
      <c r="BB222" s="614"/>
      <c r="BC222" s="652"/>
      <c r="BD222" s="613"/>
      <c r="BE222" s="613"/>
    </row>
    <row r="223" spans="1:57" s="643" customFormat="1">
      <c r="A223" s="601" t="s">
        <v>51</v>
      </c>
      <c r="B223" s="603" t="s">
        <v>601</v>
      </c>
      <c r="C223" s="601"/>
      <c r="D223" s="601"/>
      <c r="E223" s="603" t="s">
        <v>601</v>
      </c>
      <c r="F223" s="601">
        <v>2015</v>
      </c>
      <c r="G223" s="601" t="s">
        <v>469</v>
      </c>
      <c r="H223" s="604"/>
      <c r="I223" s="609"/>
      <c r="J223" s="605"/>
      <c r="K223" s="606"/>
      <c r="L223" s="609">
        <v>596036840</v>
      </c>
      <c r="M223" s="607">
        <v>162303</v>
      </c>
      <c r="N223" s="607">
        <v>1819689</v>
      </c>
      <c r="O223" s="608"/>
      <c r="P223" s="609"/>
      <c r="Q223" s="609"/>
      <c r="R223" s="609"/>
      <c r="S223" s="610"/>
      <c r="T223" s="609"/>
      <c r="U223" s="607"/>
      <c r="V223" s="607"/>
      <c r="W223" s="607"/>
      <c r="X223" s="607"/>
      <c r="Y223" s="607"/>
      <c r="Z223" s="611"/>
      <c r="AA223" s="609"/>
      <c r="AB223" s="609"/>
      <c r="AC223" s="609"/>
      <c r="AD223" s="609"/>
      <c r="AE223" s="609"/>
      <c r="AF223" s="609"/>
      <c r="AG223" s="609"/>
      <c r="AH223" s="609"/>
      <c r="AI223" s="609"/>
      <c r="AJ223" s="609"/>
      <c r="AK223" s="609"/>
      <c r="AL223" s="609"/>
      <c r="AM223" s="609"/>
      <c r="AN223" s="609"/>
      <c r="AO223" s="609"/>
      <c r="AP223" s="609"/>
      <c r="AQ223" s="609"/>
      <c r="AR223" s="609"/>
      <c r="AS223" s="609"/>
      <c r="AT223" s="609"/>
      <c r="AU223" s="609"/>
      <c r="AV223" s="609"/>
      <c r="AW223" s="609"/>
      <c r="AX223" s="609"/>
      <c r="AY223" s="612"/>
      <c r="AZ223" s="612"/>
      <c r="BA223" s="613" t="s">
        <v>555</v>
      </c>
      <c r="BB223" s="614"/>
      <c r="BC223" s="652"/>
      <c r="BD223" s="613"/>
      <c r="BE223" s="613"/>
    </row>
    <row r="224" spans="1:57" s="643" customFormat="1">
      <c r="A224" s="601" t="s">
        <v>51</v>
      </c>
      <c r="B224" s="603" t="s">
        <v>602</v>
      </c>
      <c r="C224" s="601"/>
      <c r="D224" s="601"/>
      <c r="E224" s="603" t="s">
        <v>602</v>
      </c>
      <c r="F224" s="601">
        <v>2015</v>
      </c>
      <c r="G224" s="601" t="s">
        <v>469</v>
      </c>
      <c r="H224" s="604"/>
      <c r="I224" s="609"/>
      <c r="J224" s="605"/>
      <c r="K224" s="606"/>
      <c r="L224" s="609">
        <v>551756752</v>
      </c>
      <c r="M224" s="607">
        <v>159496</v>
      </c>
      <c r="N224" s="607">
        <v>1781902</v>
      </c>
      <c r="O224" s="608"/>
      <c r="P224" s="609"/>
      <c r="Q224" s="609"/>
      <c r="R224" s="609"/>
      <c r="S224" s="610"/>
      <c r="T224" s="609"/>
      <c r="U224" s="607"/>
      <c r="V224" s="607"/>
      <c r="W224" s="607"/>
      <c r="X224" s="607"/>
      <c r="Y224" s="607"/>
      <c r="Z224" s="611"/>
      <c r="AA224" s="609"/>
      <c r="AB224" s="609"/>
      <c r="AC224" s="609"/>
      <c r="AD224" s="609"/>
      <c r="AE224" s="609"/>
      <c r="AF224" s="609"/>
      <c r="AG224" s="609"/>
      <c r="AH224" s="609"/>
      <c r="AI224" s="609"/>
      <c r="AJ224" s="609"/>
      <c r="AK224" s="609"/>
      <c r="AL224" s="609"/>
      <c r="AM224" s="609"/>
      <c r="AN224" s="609"/>
      <c r="AO224" s="609"/>
      <c r="AP224" s="609"/>
      <c r="AQ224" s="609"/>
      <c r="AR224" s="609"/>
      <c r="AS224" s="609"/>
      <c r="AT224" s="609"/>
      <c r="AU224" s="609"/>
      <c r="AV224" s="609"/>
      <c r="AW224" s="609"/>
      <c r="AX224" s="609"/>
      <c r="AY224" s="612"/>
      <c r="AZ224" s="612"/>
      <c r="BA224" s="613" t="s">
        <v>555</v>
      </c>
      <c r="BB224" s="614"/>
      <c r="BC224" s="652"/>
      <c r="BD224" s="613"/>
      <c r="BE224" s="613"/>
    </row>
    <row r="225" spans="1:57" s="643" customFormat="1">
      <c r="A225" s="601" t="s">
        <v>51</v>
      </c>
      <c r="B225" s="603" t="s">
        <v>603</v>
      </c>
      <c r="C225" s="601"/>
      <c r="D225" s="601"/>
      <c r="E225" s="603" t="s">
        <v>603</v>
      </c>
      <c r="F225" s="601">
        <v>2015</v>
      </c>
      <c r="G225" s="601" t="s">
        <v>469</v>
      </c>
      <c r="H225" s="604"/>
      <c r="I225" s="609"/>
      <c r="J225" s="605"/>
      <c r="K225" s="606"/>
      <c r="L225" s="609">
        <v>723097044</v>
      </c>
      <c r="M225" s="607">
        <v>123188</v>
      </c>
      <c r="N225" s="607">
        <v>1408514</v>
      </c>
      <c r="O225" s="608"/>
      <c r="P225" s="609"/>
      <c r="Q225" s="609"/>
      <c r="R225" s="609"/>
      <c r="S225" s="610"/>
      <c r="T225" s="609"/>
      <c r="U225" s="607"/>
      <c r="V225" s="607"/>
      <c r="W225" s="607"/>
      <c r="X225" s="607"/>
      <c r="Y225" s="607"/>
      <c r="Z225" s="611"/>
      <c r="AA225" s="609"/>
      <c r="AB225" s="609"/>
      <c r="AC225" s="609"/>
      <c r="AD225" s="609"/>
      <c r="AE225" s="609"/>
      <c r="AF225" s="609"/>
      <c r="AG225" s="609"/>
      <c r="AH225" s="609"/>
      <c r="AI225" s="609"/>
      <c r="AJ225" s="609"/>
      <c r="AK225" s="609"/>
      <c r="AL225" s="609"/>
      <c r="AM225" s="609"/>
      <c r="AN225" s="609"/>
      <c r="AO225" s="609"/>
      <c r="AP225" s="609"/>
      <c r="AQ225" s="609"/>
      <c r="AR225" s="609"/>
      <c r="AS225" s="609"/>
      <c r="AT225" s="609"/>
      <c r="AU225" s="609"/>
      <c r="AV225" s="609"/>
      <c r="AW225" s="609"/>
      <c r="AX225" s="609"/>
      <c r="AY225" s="612"/>
      <c r="AZ225" s="612"/>
      <c r="BA225" s="613" t="s">
        <v>555</v>
      </c>
      <c r="BB225" s="614"/>
      <c r="BC225" s="652"/>
      <c r="BD225" s="613"/>
      <c r="BE225" s="613"/>
    </row>
    <row r="226" spans="1:57" s="643" customFormat="1">
      <c r="A226" s="601" t="s">
        <v>51</v>
      </c>
      <c r="B226" s="603" t="s">
        <v>604</v>
      </c>
      <c r="C226" s="601"/>
      <c r="D226" s="601"/>
      <c r="E226" s="603" t="s">
        <v>604</v>
      </c>
      <c r="F226" s="601">
        <v>2015</v>
      </c>
      <c r="G226" s="601" t="s">
        <v>469</v>
      </c>
      <c r="H226" s="604"/>
      <c r="I226" s="609"/>
      <c r="J226" s="605"/>
      <c r="K226" s="606"/>
      <c r="L226" s="609">
        <v>1982525</v>
      </c>
      <c r="M226" s="607">
        <v>125108</v>
      </c>
      <c r="N226" s="607">
        <v>1459179</v>
      </c>
      <c r="O226" s="608"/>
      <c r="P226" s="609"/>
      <c r="Q226" s="609"/>
      <c r="R226" s="609"/>
      <c r="S226" s="610"/>
      <c r="T226" s="609"/>
      <c r="U226" s="607"/>
      <c r="V226" s="607"/>
      <c r="W226" s="607"/>
      <c r="X226" s="607"/>
      <c r="Y226" s="607"/>
      <c r="Z226" s="611"/>
      <c r="AA226" s="609"/>
      <c r="AB226" s="609"/>
      <c r="AC226" s="609"/>
      <c r="AD226" s="609"/>
      <c r="AE226" s="609"/>
      <c r="AF226" s="609"/>
      <c r="AG226" s="609"/>
      <c r="AH226" s="609"/>
      <c r="AI226" s="609"/>
      <c r="AJ226" s="609"/>
      <c r="AK226" s="609"/>
      <c r="AL226" s="609"/>
      <c r="AM226" s="609"/>
      <c r="AN226" s="609"/>
      <c r="AO226" s="609"/>
      <c r="AP226" s="609"/>
      <c r="AQ226" s="609"/>
      <c r="AR226" s="609"/>
      <c r="AS226" s="609"/>
      <c r="AT226" s="609"/>
      <c r="AU226" s="609"/>
      <c r="AV226" s="609"/>
      <c r="AW226" s="609"/>
      <c r="AX226" s="609"/>
      <c r="AY226" s="612"/>
      <c r="AZ226" s="612"/>
      <c r="BA226" s="613" t="s">
        <v>555</v>
      </c>
      <c r="BB226" s="614"/>
      <c r="BC226" s="652"/>
      <c r="BD226" s="613"/>
      <c r="BE226" s="613"/>
    </row>
    <row r="227" spans="1:57" s="643" customFormat="1">
      <c r="A227" s="601" t="s">
        <v>51</v>
      </c>
      <c r="B227" s="603" t="s">
        <v>605</v>
      </c>
      <c r="C227" s="601"/>
      <c r="D227" s="601"/>
      <c r="E227" s="603" t="s">
        <v>605</v>
      </c>
      <c r="F227" s="601">
        <v>2015</v>
      </c>
      <c r="G227" s="601" t="s">
        <v>469</v>
      </c>
      <c r="H227" s="604"/>
      <c r="I227" s="609"/>
      <c r="J227" s="605"/>
      <c r="K227" s="606"/>
      <c r="L227" s="609">
        <v>545115541</v>
      </c>
      <c r="M227" s="607">
        <v>122445</v>
      </c>
      <c r="N227" s="607">
        <v>1389526</v>
      </c>
      <c r="O227" s="608"/>
      <c r="P227" s="609"/>
      <c r="Q227" s="609"/>
      <c r="R227" s="609"/>
      <c r="S227" s="610"/>
      <c r="T227" s="609"/>
      <c r="U227" s="607"/>
      <c r="V227" s="607"/>
      <c r="W227" s="607"/>
      <c r="X227" s="607"/>
      <c r="Y227" s="607"/>
      <c r="Z227" s="611"/>
      <c r="AA227" s="609"/>
      <c r="AB227" s="609"/>
      <c r="AC227" s="609"/>
      <c r="AD227" s="609"/>
      <c r="AE227" s="609"/>
      <c r="AF227" s="609"/>
      <c r="AG227" s="609"/>
      <c r="AH227" s="609"/>
      <c r="AI227" s="609"/>
      <c r="AJ227" s="609"/>
      <c r="AK227" s="609"/>
      <c r="AL227" s="609"/>
      <c r="AM227" s="609"/>
      <c r="AN227" s="609"/>
      <c r="AO227" s="609"/>
      <c r="AP227" s="609"/>
      <c r="AQ227" s="609"/>
      <c r="AR227" s="609"/>
      <c r="AS227" s="609"/>
      <c r="AT227" s="609"/>
      <c r="AU227" s="609"/>
      <c r="AV227" s="609"/>
      <c r="AW227" s="609"/>
      <c r="AX227" s="609"/>
      <c r="AY227" s="612"/>
      <c r="AZ227" s="612"/>
      <c r="BA227" s="613" t="s">
        <v>555</v>
      </c>
      <c r="BB227" s="614"/>
      <c r="BC227" s="652"/>
      <c r="BD227" s="613"/>
      <c r="BE227" s="613"/>
    </row>
    <row r="228" spans="1:57" s="643" customFormat="1">
      <c r="A228" s="601" t="s">
        <v>51</v>
      </c>
      <c r="B228" s="603" t="s">
        <v>606</v>
      </c>
      <c r="C228" s="601"/>
      <c r="D228" s="601"/>
      <c r="E228" s="603" t="s">
        <v>606</v>
      </c>
      <c r="F228" s="601">
        <v>2015</v>
      </c>
      <c r="G228" s="601" t="s">
        <v>469</v>
      </c>
      <c r="H228" s="604"/>
      <c r="I228" s="609"/>
      <c r="J228" s="605"/>
      <c r="K228" s="606"/>
      <c r="L228" s="609">
        <v>48812</v>
      </c>
      <c r="M228" s="607">
        <v>12098</v>
      </c>
      <c r="N228" s="607">
        <v>136244</v>
      </c>
      <c r="O228" s="608"/>
      <c r="P228" s="609"/>
      <c r="Q228" s="609"/>
      <c r="R228" s="609"/>
      <c r="S228" s="610"/>
      <c r="T228" s="609"/>
      <c r="U228" s="607"/>
      <c r="V228" s="607"/>
      <c r="W228" s="607"/>
      <c r="X228" s="607"/>
      <c r="Y228" s="607"/>
      <c r="Z228" s="611"/>
      <c r="AA228" s="609"/>
      <c r="AB228" s="609"/>
      <c r="AC228" s="609"/>
      <c r="AD228" s="609"/>
      <c r="AE228" s="609"/>
      <c r="AF228" s="609"/>
      <c r="AG228" s="609"/>
      <c r="AH228" s="609"/>
      <c r="AI228" s="609"/>
      <c r="AJ228" s="609"/>
      <c r="AK228" s="609"/>
      <c r="AL228" s="609"/>
      <c r="AM228" s="609"/>
      <c r="AN228" s="609"/>
      <c r="AO228" s="609"/>
      <c r="AP228" s="609"/>
      <c r="AQ228" s="609"/>
      <c r="AR228" s="609"/>
      <c r="AS228" s="609"/>
      <c r="AT228" s="609"/>
      <c r="AU228" s="609"/>
      <c r="AV228" s="609"/>
      <c r="AW228" s="609"/>
      <c r="AX228" s="609"/>
      <c r="AY228" s="612"/>
      <c r="AZ228" s="612"/>
      <c r="BA228" s="613" t="s">
        <v>553</v>
      </c>
      <c r="BB228" s="614"/>
      <c r="BC228" s="652"/>
      <c r="BD228" s="613"/>
      <c r="BE228" s="613"/>
    </row>
    <row r="229" spans="1:57" s="643" customFormat="1">
      <c r="A229" s="601" t="s">
        <v>51</v>
      </c>
      <c r="B229" s="603" t="s">
        <v>607</v>
      </c>
      <c r="C229" s="601"/>
      <c r="D229" s="601"/>
      <c r="E229" s="603" t="s">
        <v>607</v>
      </c>
      <c r="F229" s="601">
        <v>2015</v>
      </c>
      <c r="G229" s="601" t="s">
        <v>469</v>
      </c>
      <c r="H229" s="604"/>
      <c r="I229" s="609"/>
      <c r="J229" s="605"/>
      <c r="K229" s="606"/>
      <c r="L229" s="609">
        <v>10272446</v>
      </c>
      <c r="M229" s="607">
        <v>1884</v>
      </c>
      <c r="N229" s="607">
        <v>25071</v>
      </c>
      <c r="O229" s="608"/>
      <c r="P229" s="609"/>
      <c r="Q229" s="609"/>
      <c r="R229" s="609"/>
      <c r="S229" s="610"/>
      <c r="T229" s="609"/>
      <c r="U229" s="607"/>
      <c r="V229" s="607"/>
      <c r="W229" s="607"/>
      <c r="X229" s="607"/>
      <c r="Y229" s="607"/>
      <c r="Z229" s="611"/>
      <c r="AA229" s="609"/>
      <c r="AB229" s="609"/>
      <c r="AC229" s="609"/>
      <c r="AD229" s="609"/>
      <c r="AE229" s="609"/>
      <c r="AF229" s="609"/>
      <c r="AG229" s="609"/>
      <c r="AH229" s="609"/>
      <c r="AI229" s="609"/>
      <c r="AJ229" s="609"/>
      <c r="AK229" s="609"/>
      <c r="AL229" s="609"/>
      <c r="AM229" s="609"/>
      <c r="AN229" s="609"/>
      <c r="AO229" s="609"/>
      <c r="AP229" s="609"/>
      <c r="AQ229" s="609"/>
      <c r="AR229" s="609"/>
      <c r="AS229" s="609"/>
      <c r="AT229" s="609"/>
      <c r="AU229" s="609"/>
      <c r="AV229" s="609"/>
      <c r="AW229" s="609"/>
      <c r="AX229" s="609"/>
      <c r="AY229" s="612"/>
      <c r="AZ229" s="612"/>
      <c r="BA229" s="613" t="s">
        <v>553</v>
      </c>
      <c r="BB229" s="614"/>
      <c r="BC229" s="652"/>
      <c r="BD229" s="613"/>
      <c r="BE229" s="613"/>
    </row>
    <row r="230" spans="1:57" s="643" customFormat="1">
      <c r="A230" s="601" t="s">
        <v>51</v>
      </c>
      <c r="B230" s="603" t="s">
        <v>608</v>
      </c>
      <c r="C230" s="601"/>
      <c r="D230" s="601"/>
      <c r="E230" s="603" t="s">
        <v>608</v>
      </c>
      <c r="F230" s="601">
        <v>2015</v>
      </c>
      <c r="G230" s="601" t="s">
        <v>469</v>
      </c>
      <c r="H230" s="604"/>
      <c r="I230" s="609"/>
      <c r="J230" s="605"/>
      <c r="K230" s="606"/>
      <c r="L230" s="609">
        <v>54651993</v>
      </c>
      <c r="M230" s="607">
        <v>823</v>
      </c>
      <c r="N230" s="607">
        <v>10085</v>
      </c>
      <c r="O230" s="608"/>
      <c r="P230" s="609"/>
      <c r="Q230" s="609"/>
      <c r="R230" s="609"/>
      <c r="S230" s="610"/>
      <c r="T230" s="609"/>
      <c r="U230" s="607"/>
      <c r="V230" s="607"/>
      <c r="W230" s="607"/>
      <c r="X230" s="607"/>
      <c r="Y230" s="607"/>
      <c r="Z230" s="611"/>
      <c r="AA230" s="609"/>
      <c r="AB230" s="609"/>
      <c r="AC230" s="609"/>
      <c r="AD230" s="609"/>
      <c r="AE230" s="609"/>
      <c r="AF230" s="609"/>
      <c r="AG230" s="609"/>
      <c r="AH230" s="609"/>
      <c r="AI230" s="609"/>
      <c r="AJ230" s="609"/>
      <c r="AK230" s="609"/>
      <c r="AL230" s="609"/>
      <c r="AM230" s="609"/>
      <c r="AN230" s="609"/>
      <c r="AO230" s="609"/>
      <c r="AP230" s="609"/>
      <c r="AQ230" s="609"/>
      <c r="AR230" s="609"/>
      <c r="AS230" s="609"/>
      <c r="AT230" s="609"/>
      <c r="AU230" s="609"/>
      <c r="AV230" s="609"/>
      <c r="AW230" s="609"/>
      <c r="AX230" s="609"/>
      <c r="AY230" s="612"/>
      <c r="AZ230" s="612"/>
      <c r="BA230" s="613" t="s">
        <v>553</v>
      </c>
      <c r="BB230" s="614"/>
      <c r="BC230" s="652"/>
      <c r="BD230" s="613"/>
      <c r="BE230" s="613"/>
    </row>
    <row r="231" spans="1:57" s="643" customFormat="1">
      <c r="A231" s="601" t="s">
        <v>51</v>
      </c>
      <c r="B231" s="603" t="s">
        <v>609</v>
      </c>
      <c r="C231" s="601"/>
      <c r="D231" s="601"/>
      <c r="E231" s="603" t="s">
        <v>609</v>
      </c>
      <c r="F231" s="601">
        <v>2015</v>
      </c>
      <c r="G231" s="601" t="s">
        <v>469</v>
      </c>
      <c r="H231" s="604"/>
      <c r="I231" s="609"/>
      <c r="J231" s="605"/>
      <c r="K231" s="606"/>
      <c r="L231" s="609">
        <v>74191015</v>
      </c>
      <c r="M231" s="607">
        <v>198</v>
      </c>
      <c r="N231" s="607">
        <v>548</v>
      </c>
      <c r="O231" s="608"/>
      <c r="P231" s="609"/>
      <c r="Q231" s="609"/>
      <c r="R231" s="609"/>
      <c r="S231" s="610"/>
      <c r="T231" s="609"/>
      <c r="U231" s="607"/>
      <c r="V231" s="607"/>
      <c r="W231" s="607"/>
      <c r="X231" s="607"/>
      <c r="Y231" s="607"/>
      <c r="Z231" s="611"/>
      <c r="AA231" s="609"/>
      <c r="AB231" s="609"/>
      <c r="AC231" s="609"/>
      <c r="AD231" s="609"/>
      <c r="AE231" s="609"/>
      <c r="AF231" s="609"/>
      <c r="AG231" s="609"/>
      <c r="AH231" s="609"/>
      <c r="AI231" s="609"/>
      <c r="AJ231" s="609"/>
      <c r="AK231" s="609"/>
      <c r="AL231" s="609"/>
      <c r="AM231" s="609"/>
      <c r="AN231" s="609"/>
      <c r="AO231" s="609"/>
      <c r="AP231" s="609"/>
      <c r="AQ231" s="609"/>
      <c r="AR231" s="609"/>
      <c r="AS231" s="609"/>
      <c r="AT231" s="609"/>
      <c r="AU231" s="609"/>
      <c r="AV231" s="609"/>
      <c r="AW231" s="609"/>
      <c r="AX231" s="609"/>
      <c r="AY231" s="612"/>
      <c r="AZ231" s="612"/>
      <c r="BA231" s="613" t="s">
        <v>553</v>
      </c>
      <c r="BB231" s="614"/>
      <c r="BC231" s="652"/>
      <c r="BD231" s="613"/>
      <c r="BE231" s="613"/>
    </row>
    <row r="232" spans="1:57" s="643" customFormat="1">
      <c r="A232" s="656"/>
      <c r="B232" s="657"/>
      <c r="C232" s="656"/>
      <c r="D232" s="656"/>
      <c r="E232" s="658"/>
      <c r="F232" s="654"/>
      <c r="G232" s="656"/>
      <c r="H232" s="659"/>
      <c r="I232" s="660"/>
      <c r="J232" s="661"/>
      <c r="K232" s="662"/>
      <c r="L232" s="660"/>
      <c r="M232" s="663"/>
      <c r="N232" s="663"/>
      <c r="O232" s="664"/>
      <c r="P232" s="660"/>
      <c r="Q232" s="660"/>
      <c r="R232" s="660"/>
      <c r="S232" s="665"/>
      <c r="T232" s="660"/>
      <c r="U232" s="663"/>
      <c r="V232" s="663"/>
      <c r="W232" s="663"/>
      <c r="X232" s="663"/>
      <c r="Y232" s="663"/>
      <c r="Z232" s="666"/>
      <c r="AA232" s="667"/>
      <c r="AB232" s="660"/>
      <c r="AC232" s="660"/>
      <c r="AD232" s="660"/>
      <c r="AE232" s="660"/>
      <c r="AF232" s="660"/>
      <c r="AG232" s="660"/>
      <c r="AH232" s="660"/>
      <c r="AI232" s="660"/>
      <c r="AJ232" s="660"/>
      <c r="AK232" s="660"/>
      <c r="AL232" s="660"/>
      <c r="AM232" s="660"/>
      <c r="AN232" s="660"/>
      <c r="AO232" s="660"/>
      <c r="AP232" s="660"/>
      <c r="AQ232" s="660"/>
      <c r="AR232" s="660"/>
      <c r="AS232" s="660"/>
      <c r="AT232" s="660"/>
      <c r="AU232" s="660"/>
      <c r="AV232" s="660"/>
      <c r="AW232" s="660"/>
      <c r="AX232" s="668"/>
      <c r="AY232" s="85"/>
      <c r="AZ232" s="669"/>
      <c r="BA232" s="670"/>
      <c r="BB232" s="671"/>
      <c r="BC232" s="672"/>
      <c r="BD232" s="670"/>
    </row>
    <row r="233" spans="1:57" s="643" customFormat="1">
      <c r="A233" s="656"/>
      <c r="B233" s="657"/>
      <c r="C233" s="656"/>
      <c r="D233" s="656"/>
      <c r="E233" s="658"/>
      <c r="F233" s="654"/>
      <c r="G233" s="656"/>
      <c r="H233" s="659"/>
      <c r="I233" s="660"/>
      <c r="J233" s="661"/>
      <c r="K233" s="662"/>
      <c r="L233" s="660"/>
      <c r="M233" s="663"/>
      <c r="N233" s="663"/>
      <c r="O233" s="664"/>
      <c r="P233" s="660"/>
      <c r="Q233" s="660"/>
      <c r="R233" s="660"/>
      <c r="S233" s="665"/>
      <c r="T233" s="660"/>
      <c r="U233" s="663"/>
      <c r="V233" s="663"/>
      <c r="W233" s="663"/>
      <c r="X233" s="663"/>
      <c r="Y233" s="663"/>
      <c r="Z233" s="666"/>
      <c r="AA233" s="667"/>
      <c r="AB233" s="660"/>
      <c r="AC233" s="660"/>
      <c r="AD233" s="660"/>
      <c r="AE233" s="660"/>
      <c r="AF233" s="660"/>
      <c r="AG233" s="660"/>
      <c r="AH233" s="660"/>
      <c r="AI233" s="660"/>
      <c r="AJ233" s="660"/>
      <c r="AK233" s="660"/>
      <c r="AL233" s="660"/>
      <c r="AM233" s="660"/>
      <c r="AN233" s="660"/>
      <c r="AO233" s="660"/>
      <c r="AP233" s="660"/>
      <c r="AQ233" s="660"/>
      <c r="AR233" s="660"/>
      <c r="AS233" s="660"/>
      <c r="AT233" s="660"/>
      <c r="AU233" s="660"/>
      <c r="AV233" s="660"/>
      <c r="AW233" s="660"/>
      <c r="AX233" s="668"/>
      <c r="AY233" s="85"/>
      <c r="AZ233" s="669"/>
      <c r="BA233" s="670"/>
      <c r="BB233" s="671"/>
      <c r="BC233" s="672"/>
      <c r="BD233" s="670"/>
    </row>
    <row r="234" spans="1:57">
      <c r="L234" s="646"/>
      <c r="M234" s="673"/>
      <c r="N234" s="646"/>
    </row>
    <row r="235" spans="1:57">
      <c r="A235" s="650" t="s">
        <v>577</v>
      </c>
      <c r="L235" s="646"/>
      <c r="M235" s="646"/>
      <c r="N235" s="646"/>
    </row>
    <row r="236" spans="1:57">
      <c r="A236" s="651"/>
      <c r="L236" s="646"/>
      <c r="M236" s="646"/>
      <c r="N236" s="64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D236"/>
    </row>
    <row r="237" spans="1:57">
      <c r="A237" s="702" t="s">
        <v>637</v>
      </c>
      <c r="L237" s="646"/>
      <c r="M237" s="646"/>
      <c r="N237" s="646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D237"/>
    </row>
    <row r="238" spans="1:57">
      <c r="A238" s="651" t="s">
        <v>638</v>
      </c>
      <c r="L238" s="646"/>
      <c r="M238" s="646"/>
      <c r="N238" s="646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D238"/>
    </row>
    <row r="239" spans="1:57">
      <c r="A239" s="651" t="s">
        <v>639</v>
      </c>
      <c r="L239" s="646"/>
      <c r="M239" s="646"/>
      <c r="N239" s="646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D239"/>
    </row>
    <row r="240" spans="1:57">
      <c r="L240" s="646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D240"/>
    </row>
    <row r="241" spans="12:56">
      <c r="L241" s="646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D241"/>
    </row>
  </sheetData>
  <autoFilter ref="A3:BE231"/>
  <sortState ref="A4:BE197">
    <sortCondition ref="D4:D197"/>
  </sortState>
  <mergeCells count="5">
    <mergeCell ref="BA2:BE2"/>
    <mergeCell ref="H2:L2"/>
    <mergeCell ref="M2:Z2"/>
    <mergeCell ref="AA2:AX2"/>
    <mergeCell ref="AY2:AZ2"/>
  </mergeCells>
  <conditionalFormatting sqref="A5:Z22 E97:Z102 E103:F105 H103:Z105 H197:Z202 E197:E202 F196:F202 N197:N205 D4:D205 A197:C202 D232:D233 N232:N233">
    <cfRule type="expression" dxfId="1232" priority="832" stopIfTrue="1">
      <formula>#REF!="Yes"</formula>
    </cfRule>
  </conditionalFormatting>
  <conditionalFormatting sqref="H5:H22 H42:H59 H61:H70 H72:H80 H82:H87 H24:H40 H89:H114 H197:H202">
    <cfRule type="cellIs" dxfId="1231" priority="826" stopIfTrue="1" operator="lessThan">
      <formula>0</formula>
    </cfRule>
  </conditionalFormatting>
  <conditionalFormatting sqref="A24:D40">
    <cfRule type="expression" dxfId="1230" priority="830" stopIfTrue="1">
      <formula>#REF!="Yes"</formula>
    </cfRule>
  </conditionalFormatting>
  <conditionalFormatting sqref="A42:D59">
    <cfRule type="expression" dxfId="1229" priority="829" stopIfTrue="1">
      <formula>#REF!="Yes"</formula>
    </cfRule>
  </conditionalFormatting>
  <conditionalFormatting sqref="A106:D106 A121:A122 A143 A168:D168 A115:D115 A111:D112 A89:D95 A61:D70 A116:A118 C116:D118 A160:A167 C160:D167 C143:D143 C121:D122 B116:B167 A100:D102 A107:A109 C107:D109 B107:B110">
    <cfRule type="expression" dxfId="1228" priority="828" stopIfTrue="1">
      <formula>#REF!="Yes"</formula>
    </cfRule>
  </conditionalFormatting>
  <conditionalFormatting sqref="A72:Z80 H172:Z195 A172:D196 A4:A196">
    <cfRule type="expression" dxfId="1227" priority="827" stopIfTrue="1">
      <formula>#REF!="Yes"</formula>
    </cfRule>
  </conditionalFormatting>
  <conditionalFormatting sqref="A82:D87">
    <cfRule type="expression" dxfId="1226" priority="833" stopIfTrue="1">
      <formula>#REF!="Yes"</formula>
    </cfRule>
  </conditionalFormatting>
  <conditionalFormatting sqref="A96:D96 B97:B99">
    <cfRule type="expression" dxfId="1225" priority="825" stopIfTrue="1">
      <formula>#REF!="Yes"</formula>
    </cfRule>
  </conditionalFormatting>
  <conditionalFormatting sqref="A110 C110:D110">
    <cfRule type="expression" dxfId="1224" priority="824" stopIfTrue="1">
      <formula>#REF!="Yes"</formula>
    </cfRule>
  </conditionalFormatting>
  <conditionalFormatting sqref="A113:D114">
    <cfRule type="expression" dxfId="1223" priority="823" stopIfTrue="1">
      <formula>#REF!="Yes"</formula>
    </cfRule>
  </conditionalFormatting>
  <conditionalFormatting sqref="M2">
    <cfRule type="cellIs" dxfId="1222" priority="487" stopIfTrue="1" operator="lessThan">
      <formula>0</formula>
    </cfRule>
  </conditionalFormatting>
  <conditionalFormatting sqref="H130 H121:H122">
    <cfRule type="cellIs" dxfId="1221" priority="485" stopIfTrue="1" operator="lessThan">
      <formula>0</formula>
    </cfRule>
  </conditionalFormatting>
  <conditionalFormatting sqref="H2:H4">
    <cfRule type="cellIs" dxfId="1220" priority="488" stopIfTrue="1" operator="lessThan">
      <formula>0</formula>
    </cfRule>
  </conditionalFormatting>
  <conditionalFormatting sqref="A169:D171">
    <cfRule type="expression" dxfId="1219" priority="604" stopIfTrue="1">
      <formula>#REF!="Yes"</formula>
    </cfRule>
  </conditionalFormatting>
  <conditionalFormatting sqref="E24:Z40">
    <cfRule type="expression" dxfId="1218" priority="484" stopIfTrue="1">
      <formula>#REF!="Yes"</formula>
    </cfRule>
  </conditionalFormatting>
  <conditionalFormatting sqref="E96:Z96">
    <cfRule type="expression" dxfId="1217" priority="479" stopIfTrue="1">
      <formula>#REF!="Yes"</formula>
    </cfRule>
  </conditionalFormatting>
  <conditionalFormatting sqref="E42:Z59">
    <cfRule type="expression" dxfId="1216" priority="483" stopIfTrue="1">
      <formula>#REF!="Yes"</formula>
    </cfRule>
  </conditionalFormatting>
  <conditionalFormatting sqref="E193:E194 E160 E143 E121:F122 E115:E118 E111:F112 F110 E89:I95 E61:I70 L61:Z70 L89:Z95 E106:F109 H106:Z112 H121:Z122">
    <cfRule type="expression" dxfId="1215" priority="482" stopIfTrue="1">
      <formula>#REF!="Yes"</formula>
    </cfRule>
  </conditionalFormatting>
  <conditionalFormatting sqref="E82:Z87">
    <cfRule type="expression" dxfId="1214" priority="480" stopIfTrue="1">
      <formula>#REF!="Yes"</formula>
    </cfRule>
  </conditionalFormatting>
  <conditionalFormatting sqref="E110">
    <cfRule type="expression" dxfId="1213" priority="478" stopIfTrue="1">
      <formula>#REF!="Yes"</formula>
    </cfRule>
  </conditionalFormatting>
  <conditionalFormatting sqref="T115:Z118 E113:F114 H113:Z114">
    <cfRule type="expression" dxfId="1212" priority="477" stopIfTrue="1">
      <formula>#REF!="Yes"</formula>
    </cfRule>
  </conditionalFormatting>
  <conditionalFormatting sqref="H115:H118">
    <cfRule type="cellIs" dxfId="1211" priority="476" stopIfTrue="1" operator="lessThan">
      <formula>0</formula>
    </cfRule>
  </conditionalFormatting>
  <conditionalFormatting sqref="H115:S118">
    <cfRule type="expression" dxfId="1210" priority="475" stopIfTrue="1">
      <formula>#REF!="Yes"</formula>
    </cfRule>
  </conditionalFormatting>
  <conditionalFormatting sqref="F115:F118">
    <cfRule type="expression" dxfId="1209" priority="474" stopIfTrue="1">
      <formula>#REF!="Yes"</formula>
    </cfRule>
  </conditionalFormatting>
  <conditionalFormatting sqref="E119">
    <cfRule type="expression" dxfId="1208" priority="473" stopIfTrue="1">
      <formula>#REF!="Yes"</formula>
    </cfRule>
  </conditionalFormatting>
  <conditionalFormatting sqref="T119:Z119">
    <cfRule type="expression" dxfId="1207" priority="472" stopIfTrue="1">
      <formula>#REF!="Yes"</formula>
    </cfRule>
  </conditionalFormatting>
  <conditionalFormatting sqref="H119">
    <cfRule type="cellIs" dxfId="1206" priority="471" stopIfTrue="1" operator="lessThan">
      <formula>0</formula>
    </cfRule>
  </conditionalFormatting>
  <conditionalFormatting sqref="H119:S119">
    <cfRule type="expression" dxfId="1205" priority="470" stopIfTrue="1">
      <formula>#REF!="Yes"</formula>
    </cfRule>
  </conditionalFormatting>
  <conditionalFormatting sqref="F119">
    <cfRule type="expression" dxfId="1204" priority="469" stopIfTrue="1">
      <formula>#REF!="Yes"</formula>
    </cfRule>
  </conditionalFormatting>
  <conditionalFormatting sqref="E120:F120 H120:Z120">
    <cfRule type="expression" dxfId="1203" priority="468" stopIfTrue="1">
      <formula>#REF!="Yes"</formula>
    </cfRule>
  </conditionalFormatting>
  <conditionalFormatting sqref="H120">
    <cfRule type="cellIs" dxfId="1202" priority="467" stopIfTrue="1" operator="lessThan">
      <formula>0</formula>
    </cfRule>
  </conditionalFormatting>
  <conditionalFormatting sqref="E123">
    <cfRule type="expression" dxfId="1201" priority="466" stopIfTrue="1">
      <formula>#REF!="Yes"</formula>
    </cfRule>
  </conditionalFormatting>
  <conditionalFormatting sqref="T123:Z123">
    <cfRule type="expression" dxfId="1200" priority="465" stopIfTrue="1">
      <formula>#REF!="Yes"</formula>
    </cfRule>
  </conditionalFormatting>
  <conditionalFormatting sqref="H123">
    <cfRule type="cellIs" dxfId="1199" priority="464" stopIfTrue="1" operator="lessThan">
      <formula>0</formula>
    </cfRule>
  </conditionalFormatting>
  <conditionalFormatting sqref="H123:S123">
    <cfRule type="expression" dxfId="1198" priority="463" stopIfTrue="1">
      <formula>#REF!="Yes"</formula>
    </cfRule>
  </conditionalFormatting>
  <conditionalFormatting sqref="F123">
    <cfRule type="expression" dxfId="1197" priority="462" stopIfTrue="1">
      <formula>#REF!="Yes"</formula>
    </cfRule>
  </conditionalFormatting>
  <conditionalFormatting sqref="E124">
    <cfRule type="expression" dxfId="1196" priority="461" stopIfTrue="1">
      <formula>#REF!="Yes"</formula>
    </cfRule>
  </conditionalFormatting>
  <conditionalFormatting sqref="T124:Z124">
    <cfRule type="expression" dxfId="1195" priority="460" stopIfTrue="1">
      <formula>#REF!="Yes"</formula>
    </cfRule>
  </conditionalFormatting>
  <conditionalFormatting sqref="H124">
    <cfRule type="cellIs" dxfId="1194" priority="459" stopIfTrue="1" operator="lessThan">
      <formula>0</formula>
    </cfRule>
  </conditionalFormatting>
  <conditionalFormatting sqref="H124:S124">
    <cfRule type="expression" dxfId="1193" priority="458" stopIfTrue="1">
      <formula>#REF!="Yes"</formula>
    </cfRule>
  </conditionalFormatting>
  <conditionalFormatting sqref="F124">
    <cfRule type="expression" dxfId="1192" priority="457" stopIfTrue="1">
      <formula>#REF!="Yes"</formula>
    </cfRule>
  </conditionalFormatting>
  <conditionalFormatting sqref="E125">
    <cfRule type="expression" dxfId="1191" priority="456" stopIfTrue="1">
      <formula>#REF!="Yes"</formula>
    </cfRule>
  </conditionalFormatting>
  <conditionalFormatting sqref="T125:Z125">
    <cfRule type="expression" dxfId="1190" priority="455" stopIfTrue="1">
      <formula>#REF!="Yes"</formula>
    </cfRule>
  </conditionalFormatting>
  <conditionalFormatting sqref="H125">
    <cfRule type="cellIs" dxfId="1189" priority="454" stopIfTrue="1" operator="lessThan">
      <formula>0</formula>
    </cfRule>
  </conditionalFormatting>
  <conditionalFormatting sqref="H125:S125">
    <cfRule type="expression" dxfId="1188" priority="453" stopIfTrue="1">
      <formula>#REF!="Yes"</formula>
    </cfRule>
  </conditionalFormatting>
  <conditionalFormatting sqref="F125">
    <cfRule type="expression" dxfId="1187" priority="452" stopIfTrue="1">
      <formula>#REF!="Yes"</formula>
    </cfRule>
  </conditionalFormatting>
  <conditionalFormatting sqref="T126:Z127">
    <cfRule type="expression" dxfId="1186" priority="451" stopIfTrue="1">
      <formula>#REF!="Yes"</formula>
    </cfRule>
  </conditionalFormatting>
  <conditionalFormatting sqref="M126:S127">
    <cfRule type="expression" dxfId="1185" priority="450" stopIfTrue="1">
      <formula>#REF!="Yes"</formula>
    </cfRule>
  </conditionalFormatting>
  <conditionalFormatting sqref="E126:E127">
    <cfRule type="expression" dxfId="1184" priority="449" stopIfTrue="1">
      <formula>#REF!="Yes"</formula>
    </cfRule>
  </conditionalFormatting>
  <conditionalFormatting sqref="H126:H127">
    <cfRule type="cellIs" dxfId="1183" priority="448" stopIfTrue="1" operator="lessThan">
      <formula>0</formula>
    </cfRule>
  </conditionalFormatting>
  <conditionalFormatting sqref="H126:L127">
    <cfRule type="expression" dxfId="1182" priority="447" stopIfTrue="1">
      <formula>#REF!="Yes"</formula>
    </cfRule>
  </conditionalFormatting>
  <conditionalFormatting sqref="F126:F127">
    <cfRule type="expression" dxfId="1181" priority="446" stopIfTrue="1">
      <formula>#REF!="Yes"</formula>
    </cfRule>
  </conditionalFormatting>
  <conditionalFormatting sqref="E128">
    <cfRule type="expression" dxfId="1180" priority="445" stopIfTrue="1">
      <formula>#REF!="Yes"</formula>
    </cfRule>
  </conditionalFormatting>
  <conditionalFormatting sqref="H128">
    <cfRule type="cellIs" dxfId="1179" priority="443" stopIfTrue="1" operator="lessThan">
      <formula>0</formula>
    </cfRule>
  </conditionalFormatting>
  <conditionalFormatting sqref="H128:L128">
    <cfRule type="expression" dxfId="1178" priority="442" stopIfTrue="1">
      <formula>#REF!="Yes"</formula>
    </cfRule>
  </conditionalFormatting>
  <conditionalFormatting sqref="F128">
    <cfRule type="expression" dxfId="1177" priority="441" stopIfTrue="1">
      <formula>#REF!="Yes"</formula>
    </cfRule>
  </conditionalFormatting>
  <conditionalFormatting sqref="E129">
    <cfRule type="expression" dxfId="1176" priority="440" stopIfTrue="1">
      <formula>#REF!="Yes"</formula>
    </cfRule>
  </conditionalFormatting>
  <conditionalFormatting sqref="H129">
    <cfRule type="cellIs" dxfId="1175" priority="438" stopIfTrue="1" operator="lessThan">
      <formula>0</formula>
    </cfRule>
  </conditionalFormatting>
  <conditionalFormatting sqref="H129:L129">
    <cfRule type="expression" dxfId="1174" priority="437" stopIfTrue="1">
      <formula>#REF!="Yes"</formula>
    </cfRule>
  </conditionalFormatting>
  <conditionalFormatting sqref="F129">
    <cfRule type="expression" dxfId="1173" priority="436" stopIfTrue="1">
      <formula>#REF!="Yes"</formula>
    </cfRule>
  </conditionalFormatting>
  <conditionalFormatting sqref="E130">
    <cfRule type="expression" dxfId="1172" priority="435" stopIfTrue="1">
      <formula>#REF!="Yes"</formula>
    </cfRule>
  </conditionalFormatting>
  <conditionalFormatting sqref="H130:L130">
    <cfRule type="expression" dxfId="1171" priority="433" stopIfTrue="1">
      <formula>#REF!="Yes"</formula>
    </cfRule>
  </conditionalFormatting>
  <conditionalFormatting sqref="F130">
    <cfRule type="expression" dxfId="1170" priority="432" stopIfTrue="1">
      <formula>#REF!="Yes"</formula>
    </cfRule>
  </conditionalFormatting>
  <conditionalFormatting sqref="E131:E133">
    <cfRule type="expression" dxfId="1169" priority="431" stopIfTrue="1">
      <formula>#REF!="Yes"</formula>
    </cfRule>
  </conditionalFormatting>
  <conditionalFormatting sqref="T131:Z133">
    <cfRule type="expression" dxfId="1168" priority="430" stopIfTrue="1">
      <formula>#REF!="Yes"</formula>
    </cfRule>
  </conditionalFormatting>
  <conditionalFormatting sqref="H131:H133">
    <cfRule type="cellIs" dxfId="1167" priority="429" stopIfTrue="1" operator="lessThan">
      <formula>0</formula>
    </cfRule>
  </conditionalFormatting>
  <conditionalFormatting sqref="H131:S133">
    <cfRule type="expression" dxfId="1166" priority="428" stopIfTrue="1">
      <formula>#REF!="Yes"</formula>
    </cfRule>
  </conditionalFormatting>
  <conditionalFormatting sqref="F131:F133">
    <cfRule type="expression" dxfId="1165" priority="427" stopIfTrue="1">
      <formula>#REF!="Yes"</formula>
    </cfRule>
  </conditionalFormatting>
  <conditionalFormatting sqref="H134">
    <cfRule type="cellIs" dxfId="1164" priority="426" stopIfTrue="1" operator="lessThan">
      <formula>0</formula>
    </cfRule>
  </conditionalFormatting>
  <conditionalFormatting sqref="E134">
    <cfRule type="expression" dxfId="1163" priority="425" stopIfTrue="1">
      <formula>#REF!="Yes"</formula>
    </cfRule>
  </conditionalFormatting>
  <conditionalFormatting sqref="H134:L134">
    <cfRule type="expression" dxfId="1162" priority="423" stopIfTrue="1">
      <formula>#REF!="Yes"</formula>
    </cfRule>
  </conditionalFormatting>
  <conditionalFormatting sqref="F134">
    <cfRule type="expression" dxfId="1161" priority="422" stopIfTrue="1">
      <formula>#REF!="Yes"</formula>
    </cfRule>
  </conditionalFormatting>
  <conditionalFormatting sqref="H135">
    <cfRule type="cellIs" dxfId="1160" priority="421" stopIfTrue="1" operator="lessThan">
      <formula>0</formula>
    </cfRule>
  </conditionalFormatting>
  <conditionalFormatting sqref="E135">
    <cfRule type="expression" dxfId="1159" priority="420" stopIfTrue="1">
      <formula>#REF!="Yes"</formula>
    </cfRule>
  </conditionalFormatting>
  <conditionalFormatting sqref="H135:L135">
    <cfRule type="expression" dxfId="1158" priority="418" stopIfTrue="1">
      <formula>#REF!="Yes"</formula>
    </cfRule>
  </conditionalFormatting>
  <conditionalFormatting sqref="F135">
    <cfRule type="expression" dxfId="1157" priority="417" stopIfTrue="1">
      <formula>#REF!="Yes"</formula>
    </cfRule>
  </conditionalFormatting>
  <conditionalFormatting sqref="H136">
    <cfRule type="cellIs" dxfId="1156" priority="416" stopIfTrue="1" operator="lessThan">
      <formula>0</formula>
    </cfRule>
  </conditionalFormatting>
  <conditionalFormatting sqref="E136">
    <cfRule type="expression" dxfId="1155" priority="415" stopIfTrue="1">
      <formula>#REF!="Yes"</formula>
    </cfRule>
  </conditionalFormatting>
  <conditionalFormatting sqref="H136:L136">
    <cfRule type="expression" dxfId="1154" priority="413" stopIfTrue="1">
      <formula>#REF!="Yes"</formula>
    </cfRule>
  </conditionalFormatting>
  <conditionalFormatting sqref="F136">
    <cfRule type="expression" dxfId="1153" priority="412" stopIfTrue="1">
      <formula>#REF!="Yes"</formula>
    </cfRule>
  </conditionalFormatting>
  <conditionalFormatting sqref="E137:E138">
    <cfRule type="expression" dxfId="1152" priority="410" stopIfTrue="1">
      <formula>#REF!="Yes"</formula>
    </cfRule>
  </conditionalFormatting>
  <conditionalFormatting sqref="H137:H138">
    <cfRule type="cellIs" dxfId="1151" priority="411" stopIfTrue="1" operator="lessThan">
      <formula>0</formula>
    </cfRule>
  </conditionalFormatting>
  <conditionalFormatting sqref="T137:Z138">
    <cfRule type="expression" dxfId="1150" priority="409" stopIfTrue="1">
      <formula>#REF!="Yes"</formula>
    </cfRule>
  </conditionalFormatting>
  <conditionalFormatting sqref="H138:S138 H137:L137 N137:S137">
    <cfRule type="expression" dxfId="1149" priority="408" stopIfTrue="1">
      <formula>#REF!="Yes"</formula>
    </cfRule>
  </conditionalFormatting>
  <conditionalFormatting sqref="F137:F138">
    <cfRule type="expression" dxfId="1148" priority="407" stopIfTrue="1">
      <formula>#REF!="Yes"</formula>
    </cfRule>
  </conditionalFormatting>
  <conditionalFormatting sqref="H139">
    <cfRule type="cellIs" dxfId="1147" priority="406" stopIfTrue="1" operator="lessThan">
      <formula>0</formula>
    </cfRule>
  </conditionalFormatting>
  <conditionalFormatting sqref="E139">
    <cfRule type="expression" dxfId="1146" priority="405" stopIfTrue="1">
      <formula>#REF!="Yes"</formula>
    </cfRule>
  </conditionalFormatting>
  <conditionalFormatting sqref="H139:L139">
    <cfRule type="expression" dxfId="1145" priority="403" stopIfTrue="1">
      <formula>#REF!="Yes"</formula>
    </cfRule>
  </conditionalFormatting>
  <conditionalFormatting sqref="F139">
    <cfRule type="expression" dxfId="1144" priority="402" stopIfTrue="1">
      <formula>#REF!="Yes"</formula>
    </cfRule>
  </conditionalFormatting>
  <conditionalFormatting sqref="H140">
    <cfRule type="cellIs" dxfId="1143" priority="401" stopIfTrue="1" operator="lessThan">
      <formula>0</formula>
    </cfRule>
  </conditionalFormatting>
  <conditionalFormatting sqref="E140">
    <cfRule type="expression" dxfId="1142" priority="400" stopIfTrue="1">
      <formula>#REF!="Yes"</formula>
    </cfRule>
  </conditionalFormatting>
  <conditionalFormatting sqref="H140:L140">
    <cfRule type="expression" dxfId="1141" priority="398" stopIfTrue="1">
      <formula>#REF!="Yes"</formula>
    </cfRule>
  </conditionalFormatting>
  <conditionalFormatting sqref="F140">
    <cfRule type="expression" dxfId="1140" priority="397" stopIfTrue="1">
      <formula>#REF!="Yes"</formula>
    </cfRule>
  </conditionalFormatting>
  <conditionalFormatting sqref="H141">
    <cfRule type="cellIs" dxfId="1139" priority="396" stopIfTrue="1" operator="lessThan">
      <formula>0</formula>
    </cfRule>
  </conditionalFormatting>
  <conditionalFormatting sqref="E141">
    <cfRule type="expression" dxfId="1138" priority="395" stopIfTrue="1">
      <formula>#REF!="Yes"</formula>
    </cfRule>
  </conditionalFormatting>
  <conditionalFormatting sqref="H141:L141">
    <cfRule type="expression" dxfId="1137" priority="393" stopIfTrue="1">
      <formula>#REF!="Yes"</formula>
    </cfRule>
  </conditionalFormatting>
  <conditionalFormatting sqref="F141">
    <cfRule type="expression" dxfId="1136" priority="392" stopIfTrue="1">
      <formula>#REF!="Yes"</formula>
    </cfRule>
  </conditionalFormatting>
  <conditionalFormatting sqref="H142:L142">
    <cfRule type="expression" dxfId="1135" priority="388" stopIfTrue="1">
      <formula>#REF!="Yes"</formula>
    </cfRule>
  </conditionalFormatting>
  <conditionalFormatting sqref="H142">
    <cfRule type="cellIs" dxfId="1134" priority="391" stopIfTrue="1" operator="lessThan">
      <formula>0</formula>
    </cfRule>
  </conditionalFormatting>
  <conditionalFormatting sqref="E142">
    <cfRule type="expression" dxfId="1133" priority="390" stopIfTrue="1">
      <formula>#REF!="Yes"</formula>
    </cfRule>
  </conditionalFormatting>
  <conditionalFormatting sqref="F142">
    <cfRule type="expression" dxfId="1132" priority="387" stopIfTrue="1">
      <formula>#REF!="Yes"</formula>
    </cfRule>
  </conditionalFormatting>
  <conditionalFormatting sqref="H143">
    <cfRule type="cellIs" dxfId="1131" priority="386" stopIfTrue="1" operator="lessThan">
      <formula>0</formula>
    </cfRule>
  </conditionalFormatting>
  <conditionalFormatting sqref="H143:L143">
    <cfRule type="expression" dxfId="1130" priority="384" stopIfTrue="1">
      <formula>#REF!="Yes"</formula>
    </cfRule>
  </conditionalFormatting>
  <conditionalFormatting sqref="F143">
    <cfRule type="expression" dxfId="1129" priority="383" stopIfTrue="1">
      <formula>#REF!="Yes"</formula>
    </cfRule>
  </conditionalFormatting>
  <conditionalFormatting sqref="E144">
    <cfRule type="expression" dxfId="1128" priority="381" stopIfTrue="1">
      <formula>#REF!="Yes"</formula>
    </cfRule>
  </conditionalFormatting>
  <conditionalFormatting sqref="H144">
    <cfRule type="cellIs" dxfId="1127" priority="382" stopIfTrue="1" operator="lessThan">
      <formula>0</formula>
    </cfRule>
  </conditionalFormatting>
  <conditionalFormatting sqref="H144:L144">
    <cfRule type="expression" dxfId="1126" priority="379" stopIfTrue="1">
      <formula>#REF!="Yes"</formula>
    </cfRule>
  </conditionalFormatting>
  <conditionalFormatting sqref="F144">
    <cfRule type="expression" dxfId="1125" priority="378" stopIfTrue="1">
      <formula>#REF!="Yes"</formula>
    </cfRule>
  </conditionalFormatting>
  <conditionalFormatting sqref="H145">
    <cfRule type="cellIs" dxfId="1124" priority="377" stopIfTrue="1" operator="lessThan">
      <formula>0</formula>
    </cfRule>
  </conditionalFormatting>
  <conditionalFormatting sqref="E145">
    <cfRule type="expression" dxfId="1123" priority="376" stopIfTrue="1">
      <formula>#REF!="Yes"</formula>
    </cfRule>
  </conditionalFormatting>
  <conditionalFormatting sqref="H145:L145">
    <cfRule type="expression" dxfId="1122" priority="374" stopIfTrue="1">
      <formula>#REF!="Yes"</formula>
    </cfRule>
  </conditionalFormatting>
  <conditionalFormatting sqref="F145">
    <cfRule type="expression" dxfId="1121" priority="373" stopIfTrue="1">
      <formula>#REF!="Yes"</formula>
    </cfRule>
  </conditionalFormatting>
  <conditionalFormatting sqref="H146">
    <cfRule type="cellIs" dxfId="1120" priority="372" stopIfTrue="1" operator="lessThan">
      <formula>0</formula>
    </cfRule>
  </conditionalFormatting>
  <conditionalFormatting sqref="H146:L146">
    <cfRule type="expression" dxfId="1119" priority="370" stopIfTrue="1">
      <formula>#REF!="Yes"</formula>
    </cfRule>
  </conditionalFormatting>
  <conditionalFormatting sqref="E146">
    <cfRule type="expression" dxfId="1118" priority="369" stopIfTrue="1">
      <formula>#REF!="Yes"</formula>
    </cfRule>
  </conditionalFormatting>
  <conditionalFormatting sqref="F193:F194 F160 F146">
    <cfRule type="expression" dxfId="1117" priority="368" stopIfTrue="1">
      <formula>#REF!="Yes"</formula>
    </cfRule>
  </conditionalFormatting>
  <conditionalFormatting sqref="H147">
    <cfRule type="cellIs" dxfId="1116" priority="367" stopIfTrue="1" operator="lessThan">
      <formula>0</formula>
    </cfRule>
  </conditionalFormatting>
  <conditionalFormatting sqref="E147">
    <cfRule type="expression" dxfId="1115" priority="366" stopIfTrue="1">
      <formula>#REF!="Yes"</formula>
    </cfRule>
  </conditionalFormatting>
  <conditionalFormatting sqref="H147:L147">
    <cfRule type="expression" dxfId="1114" priority="364" stopIfTrue="1">
      <formula>#REF!="Yes"</formula>
    </cfRule>
  </conditionalFormatting>
  <conditionalFormatting sqref="F147">
    <cfRule type="expression" dxfId="1113" priority="363" stopIfTrue="1">
      <formula>#REF!="Yes"</formula>
    </cfRule>
  </conditionalFormatting>
  <conditionalFormatting sqref="H148">
    <cfRule type="cellIs" dxfId="1112" priority="362" stopIfTrue="1" operator="lessThan">
      <formula>0</formula>
    </cfRule>
  </conditionalFormatting>
  <conditionalFormatting sqref="E148">
    <cfRule type="expression" dxfId="1111" priority="361" stopIfTrue="1">
      <formula>#REF!="Yes"</formula>
    </cfRule>
  </conditionalFormatting>
  <conditionalFormatting sqref="H148:L148">
    <cfRule type="expression" dxfId="1110" priority="359" stopIfTrue="1">
      <formula>#REF!="Yes"</formula>
    </cfRule>
  </conditionalFormatting>
  <conditionalFormatting sqref="F148">
    <cfRule type="expression" dxfId="1109" priority="358" stopIfTrue="1">
      <formula>#REF!="Yes"</formula>
    </cfRule>
  </conditionalFormatting>
  <conditionalFormatting sqref="H149">
    <cfRule type="cellIs" dxfId="1108" priority="357" stopIfTrue="1" operator="lessThan">
      <formula>0</formula>
    </cfRule>
  </conditionalFormatting>
  <conditionalFormatting sqref="E149">
    <cfRule type="expression" dxfId="1107" priority="356" stopIfTrue="1">
      <formula>#REF!="Yes"</formula>
    </cfRule>
  </conditionalFormatting>
  <conditionalFormatting sqref="H149:L149">
    <cfRule type="expression" dxfId="1106" priority="354" stopIfTrue="1">
      <formula>#REF!="Yes"</formula>
    </cfRule>
  </conditionalFormatting>
  <conditionalFormatting sqref="F149">
    <cfRule type="expression" dxfId="1105" priority="353" stopIfTrue="1">
      <formula>#REF!="Yes"</formula>
    </cfRule>
  </conditionalFormatting>
  <conditionalFormatting sqref="H150:L150">
    <cfRule type="expression" dxfId="1104" priority="349" stopIfTrue="1">
      <formula>#REF!="Yes"</formula>
    </cfRule>
  </conditionalFormatting>
  <conditionalFormatting sqref="H150">
    <cfRule type="cellIs" dxfId="1103" priority="352" stopIfTrue="1" operator="lessThan">
      <formula>0</formula>
    </cfRule>
  </conditionalFormatting>
  <conditionalFormatting sqref="E150">
    <cfRule type="expression" dxfId="1102" priority="351" stopIfTrue="1">
      <formula>#REF!="Yes"</formula>
    </cfRule>
  </conditionalFormatting>
  <conditionalFormatting sqref="F150">
    <cfRule type="expression" dxfId="1101" priority="348" stopIfTrue="1">
      <formula>#REF!="Yes"</formula>
    </cfRule>
  </conditionalFormatting>
  <conditionalFormatting sqref="H151">
    <cfRule type="cellIs" dxfId="1100" priority="347" stopIfTrue="1" operator="lessThan">
      <formula>0</formula>
    </cfRule>
  </conditionalFormatting>
  <conditionalFormatting sqref="E151">
    <cfRule type="expression" dxfId="1099" priority="346" stopIfTrue="1">
      <formula>#REF!="Yes"</formula>
    </cfRule>
  </conditionalFormatting>
  <conditionalFormatting sqref="H151:L151">
    <cfRule type="expression" dxfId="1098" priority="344" stopIfTrue="1">
      <formula>#REF!="Yes"</formula>
    </cfRule>
  </conditionalFormatting>
  <conditionalFormatting sqref="F151">
    <cfRule type="expression" dxfId="1097" priority="343" stopIfTrue="1">
      <formula>#REF!="Yes"</formula>
    </cfRule>
  </conditionalFormatting>
  <conditionalFormatting sqref="E152">
    <cfRule type="expression" dxfId="1096" priority="341" stopIfTrue="1">
      <formula>#REF!="Yes"</formula>
    </cfRule>
  </conditionalFormatting>
  <conditionalFormatting sqref="H152">
    <cfRule type="cellIs" dxfId="1095" priority="342" stopIfTrue="1" operator="lessThan">
      <formula>0</formula>
    </cfRule>
  </conditionalFormatting>
  <conditionalFormatting sqref="H152:L152">
    <cfRule type="expression" dxfId="1094" priority="339" stopIfTrue="1">
      <formula>#REF!="Yes"</formula>
    </cfRule>
  </conditionalFormatting>
  <conditionalFormatting sqref="F152">
    <cfRule type="expression" dxfId="1093" priority="338" stopIfTrue="1">
      <formula>#REF!="Yes"</formula>
    </cfRule>
  </conditionalFormatting>
  <conditionalFormatting sqref="H153">
    <cfRule type="cellIs" dxfId="1092" priority="337" stopIfTrue="1" operator="lessThan">
      <formula>0</formula>
    </cfRule>
  </conditionalFormatting>
  <conditionalFormatting sqref="E153">
    <cfRule type="expression" dxfId="1091" priority="336" stopIfTrue="1">
      <formula>#REF!="Yes"</formula>
    </cfRule>
  </conditionalFormatting>
  <conditionalFormatting sqref="H153:L153">
    <cfRule type="expression" dxfId="1090" priority="334" stopIfTrue="1">
      <formula>#REF!="Yes"</formula>
    </cfRule>
  </conditionalFormatting>
  <conditionalFormatting sqref="F153">
    <cfRule type="expression" dxfId="1089" priority="333" stopIfTrue="1">
      <formula>#REF!="Yes"</formula>
    </cfRule>
  </conditionalFormatting>
  <conditionalFormatting sqref="H154">
    <cfRule type="cellIs" dxfId="1088" priority="332" stopIfTrue="1" operator="lessThan">
      <formula>0</formula>
    </cfRule>
  </conditionalFormatting>
  <conditionalFormatting sqref="E154">
    <cfRule type="expression" dxfId="1087" priority="331" stopIfTrue="1">
      <formula>#REF!="Yes"</formula>
    </cfRule>
  </conditionalFormatting>
  <conditionalFormatting sqref="H154:L154">
    <cfRule type="expression" dxfId="1086" priority="329" stopIfTrue="1">
      <formula>#REF!="Yes"</formula>
    </cfRule>
  </conditionalFormatting>
  <conditionalFormatting sqref="F154">
    <cfRule type="expression" dxfId="1085" priority="328" stopIfTrue="1">
      <formula>#REF!="Yes"</formula>
    </cfRule>
  </conditionalFormatting>
  <conditionalFormatting sqref="H155">
    <cfRule type="cellIs" dxfId="1084" priority="327" stopIfTrue="1" operator="lessThan">
      <formula>0</formula>
    </cfRule>
  </conditionalFormatting>
  <conditionalFormatting sqref="E155">
    <cfRule type="expression" dxfId="1083" priority="326" stopIfTrue="1">
      <formula>#REF!="Yes"</formula>
    </cfRule>
  </conditionalFormatting>
  <conditionalFormatting sqref="H155:L155">
    <cfRule type="expression" dxfId="1082" priority="325" stopIfTrue="1">
      <formula>#REF!="Yes"</formula>
    </cfRule>
  </conditionalFormatting>
  <conditionalFormatting sqref="F155">
    <cfRule type="expression" dxfId="1081" priority="324" stopIfTrue="1">
      <formula>#REF!="Yes"</formula>
    </cfRule>
  </conditionalFormatting>
  <conditionalFormatting sqref="H156">
    <cfRule type="cellIs" dxfId="1080" priority="321" stopIfTrue="1" operator="lessThan">
      <formula>0</formula>
    </cfRule>
  </conditionalFormatting>
  <conditionalFormatting sqref="E156">
    <cfRule type="expression" dxfId="1079" priority="320" stopIfTrue="1">
      <formula>#REF!="Yes"</formula>
    </cfRule>
  </conditionalFormatting>
  <conditionalFormatting sqref="H156:L156">
    <cfRule type="expression" dxfId="1078" priority="318" stopIfTrue="1">
      <formula>#REF!="Yes"</formula>
    </cfRule>
  </conditionalFormatting>
  <conditionalFormatting sqref="F156">
    <cfRule type="expression" dxfId="1077" priority="317" stopIfTrue="1">
      <formula>#REF!="Yes"</formula>
    </cfRule>
  </conditionalFormatting>
  <conditionalFormatting sqref="H157">
    <cfRule type="cellIs" dxfId="1076" priority="316" stopIfTrue="1" operator="lessThan">
      <formula>0</formula>
    </cfRule>
  </conditionalFormatting>
  <conditionalFormatting sqref="E157">
    <cfRule type="expression" dxfId="1075" priority="315" stopIfTrue="1">
      <formula>#REF!="Yes"</formula>
    </cfRule>
  </conditionalFormatting>
  <conditionalFormatting sqref="H157:L157">
    <cfRule type="expression" dxfId="1074" priority="313" stopIfTrue="1">
      <formula>#REF!="Yes"</formula>
    </cfRule>
  </conditionalFormatting>
  <conditionalFormatting sqref="F157">
    <cfRule type="expression" dxfId="1073" priority="312" stopIfTrue="1">
      <formula>#REF!="Yes"</formula>
    </cfRule>
  </conditionalFormatting>
  <conditionalFormatting sqref="H158">
    <cfRule type="cellIs" dxfId="1072" priority="311" stopIfTrue="1" operator="lessThan">
      <formula>0</formula>
    </cfRule>
  </conditionalFormatting>
  <conditionalFormatting sqref="E158">
    <cfRule type="expression" dxfId="1071" priority="310" stopIfTrue="1">
      <formula>#REF!="Yes"</formula>
    </cfRule>
  </conditionalFormatting>
  <conditionalFormatting sqref="H158:L158">
    <cfRule type="expression" dxfId="1070" priority="308" stopIfTrue="1">
      <formula>#REF!="Yes"</formula>
    </cfRule>
  </conditionalFormatting>
  <conditionalFormatting sqref="F158">
    <cfRule type="expression" dxfId="1069" priority="307" stopIfTrue="1">
      <formula>#REF!="Yes"</formula>
    </cfRule>
  </conditionalFormatting>
  <conditionalFormatting sqref="H159">
    <cfRule type="cellIs" dxfId="1068" priority="306" stopIfTrue="1" operator="lessThan">
      <formula>0</formula>
    </cfRule>
  </conditionalFormatting>
  <conditionalFormatting sqref="E159">
    <cfRule type="expression" dxfId="1067" priority="305" stopIfTrue="1">
      <formula>#REF!="Yes"</formula>
    </cfRule>
  </conditionalFormatting>
  <conditionalFormatting sqref="H159:L159">
    <cfRule type="expression" dxfId="1066" priority="303" stopIfTrue="1">
      <formula>#REF!="Yes"</formula>
    </cfRule>
  </conditionalFormatting>
  <conditionalFormatting sqref="F159">
    <cfRule type="expression" dxfId="1065" priority="302" stopIfTrue="1">
      <formula>#REF!="Yes"</formula>
    </cfRule>
  </conditionalFormatting>
  <conditionalFormatting sqref="H160">
    <cfRule type="cellIs" dxfId="1064" priority="301" stopIfTrue="1" operator="lessThan">
      <formula>0</formula>
    </cfRule>
  </conditionalFormatting>
  <conditionalFormatting sqref="H160:L160">
    <cfRule type="expression" dxfId="1063" priority="300" stopIfTrue="1">
      <formula>#REF!="Yes"</formula>
    </cfRule>
  </conditionalFormatting>
  <conditionalFormatting sqref="H161">
    <cfRule type="cellIs" dxfId="1062" priority="299" stopIfTrue="1" operator="lessThan">
      <formula>0</formula>
    </cfRule>
  </conditionalFormatting>
  <conditionalFormatting sqref="E161">
    <cfRule type="expression" dxfId="1061" priority="298" stopIfTrue="1">
      <formula>#REF!="Yes"</formula>
    </cfRule>
  </conditionalFormatting>
  <conditionalFormatting sqref="H161:L161">
    <cfRule type="expression" dxfId="1060" priority="296" stopIfTrue="1">
      <formula>#REF!="Yes"</formula>
    </cfRule>
  </conditionalFormatting>
  <conditionalFormatting sqref="F161">
    <cfRule type="expression" dxfId="1059" priority="295" stopIfTrue="1">
      <formula>#REF!="Yes"</formula>
    </cfRule>
  </conditionalFormatting>
  <conditionalFormatting sqref="H162">
    <cfRule type="cellIs" dxfId="1058" priority="294" stopIfTrue="1" operator="lessThan">
      <formula>0</formula>
    </cfRule>
  </conditionalFormatting>
  <conditionalFormatting sqref="E162">
    <cfRule type="expression" dxfId="1057" priority="293" stopIfTrue="1">
      <formula>#REF!="Yes"</formula>
    </cfRule>
  </conditionalFormatting>
  <conditionalFormatting sqref="H162:L162">
    <cfRule type="expression" dxfId="1056" priority="291" stopIfTrue="1">
      <formula>#REF!="Yes"</formula>
    </cfRule>
  </conditionalFormatting>
  <conditionalFormatting sqref="F162">
    <cfRule type="expression" dxfId="1055" priority="290" stopIfTrue="1">
      <formula>#REF!="Yes"</formula>
    </cfRule>
  </conditionalFormatting>
  <conditionalFormatting sqref="H163">
    <cfRule type="cellIs" dxfId="1054" priority="289" stopIfTrue="1" operator="lessThan">
      <formula>0</formula>
    </cfRule>
  </conditionalFormatting>
  <conditionalFormatting sqref="E163">
    <cfRule type="expression" dxfId="1053" priority="288" stopIfTrue="1">
      <formula>#REF!="Yes"</formula>
    </cfRule>
  </conditionalFormatting>
  <conditionalFormatting sqref="H163:L163">
    <cfRule type="expression" dxfId="1052" priority="286" stopIfTrue="1">
      <formula>#REF!="Yes"</formula>
    </cfRule>
  </conditionalFormatting>
  <conditionalFormatting sqref="F163">
    <cfRule type="expression" dxfId="1051" priority="285" stopIfTrue="1">
      <formula>#REF!="Yes"</formula>
    </cfRule>
  </conditionalFormatting>
  <conditionalFormatting sqref="F164">
    <cfRule type="expression" dxfId="1050" priority="280" stopIfTrue="1">
      <formula>#REF!="Yes"</formula>
    </cfRule>
  </conditionalFormatting>
  <conditionalFormatting sqref="H164">
    <cfRule type="cellIs" dxfId="1049" priority="284" stopIfTrue="1" operator="lessThan">
      <formula>0</formula>
    </cfRule>
  </conditionalFormatting>
  <conditionalFormatting sqref="E164">
    <cfRule type="expression" dxfId="1048" priority="283" stopIfTrue="1">
      <formula>#REF!="Yes"</formula>
    </cfRule>
  </conditionalFormatting>
  <conditionalFormatting sqref="H164:L164">
    <cfRule type="expression" dxfId="1047" priority="281" stopIfTrue="1">
      <formula>#REF!="Yes"</formula>
    </cfRule>
  </conditionalFormatting>
  <conditionalFormatting sqref="F165">
    <cfRule type="expression" dxfId="1046" priority="275" stopIfTrue="1">
      <formula>#REF!="Yes"</formula>
    </cfRule>
  </conditionalFormatting>
  <conditionalFormatting sqref="H165">
    <cfRule type="cellIs" dxfId="1045" priority="279" stopIfTrue="1" operator="lessThan">
      <formula>0</formula>
    </cfRule>
  </conditionalFormatting>
  <conditionalFormatting sqref="E165">
    <cfRule type="expression" dxfId="1044" priority="278" stopIfTrue="1">
      <formula>#REF!="Yes"</formula>
    </cfRule>
  </conditionalFormatting>
  <conditionalFormatting sqref="H165:L165">
    <cfRule type="expression" dxfId="1043" priority="276" stopIfTrue="1">
      <formula>#REF!="Yes"</formula>
    </cfRule>
  </conditionalFormatting>
  <conditionalFormatting sqref="F166">
    <cfRule type="expression" dxfId="1042" priority="270" stopIfTrue="1">
      <formula>#REF!="Yes"</formula>
    </cfRule>
  </conditionalFormatting>
  <conditionalFormatting sqref="H166">
    <cfRule type="cellIs" dxfId="1041" priority="274" stopIfTrue="1" operator="lessThan">
      <formula>0</formula>
    </cfRule>
  </conditionalFormatting>
  <conditionalFormatting sqref="E166">
    <cfRule type="expression" dxfId="1040" priority="273" stopIfTrue="1">
      <formula>#REF!="Yes"</formula>
    </cfRule>
  </conditionalFormatting>
  <conditionalFormatting sqref="H166:L166">
    <cfRule type="expression" dxfId="1039" priority="271" stopIfTrue="1">
      <formula>#REF!="Yes"</formula>
    </cfRule>
  </conditionalFormatting>
  <conditionalFormatting sqref="F167">
    <cfRule type="expression" dxfId="1038" priority="265" stopIfTrue="1">
      <formula>#REF!="Yes"</formula>
    </cfRule>
  </conditionalFormatting>
  <conditionalFormatting sqref="H167">
    <cfRule type="cellIs" dxfId="1037" priority="269" stopIfTrue="1" operator="lessThan">
      <formula>0</formula>
    </cfRule>
  </conditionalFormatting>
  <conditionalFormatting sqref="E167">
    <cfRule type="expression" dxfId="1036" priority="268" stopIfTrue="1">
      <formula>#REF!="Yes"</formula>
    </cfRule>
  </conditionalFormatting>
  <conditionalFormatting sqref="H167:L167">
    <cfRule type="expression" dxfId="1035" priority="266" stopIfTrue="1">
      <formula>#REF!="Yes"</formula>
    </cfRule>
  </conditionalFormatting>
  <conditionalFormatting sqref="F168">
    <cfRule type="expression" dxfId="1034" priority="260" stopIfTrue="1">
      <formula>#REF!="Yes"</formula>
    </cfRule>
  </conditionalFormatting>
  <conditionalFormatting sqref="H168">
    <cfRule type="cellIs" dxfId="1033" priority="264" stopIfTrue="1" operator="lessThan">
      <formula>0</formula>
    </cfRule>
  </conditionalFormatting>
  <conditionalFormatting sqref="E168">
    <cfRule type="expression" dxfId="1032" priority="263" stopIfTrue="1">
      <formula>#REF!="Yes"</formula>
    </cfRule>
  </conditionalFormatting>
  <conditionalFormatting sqref="H168:L168">
    <cfRule type="expression" dxfId="1031" priority="261" stopIfTrue="1">
      <formula>#REF!="Yes"</formula>
    </cfRule>
  </conditionalFormatting>
  <conditionalFormatting sqref="F169:F171">
    <cfRule type="expression" dxfId="1030" priority="253" stopIfTrue="1">
      <formula>#REF!="Yes"</formula>
    </cfRule>
  </conditionalFormatting>
  <conditionalFormatting sqref="H169 H171">
    <cfRule type="cellIs" dxfId="1029" priority="259" stopIfTrue="1" operator="lessThan">
      <formula>0</formula>
    </cfRule>
  </conditionalFormatting>
  <conditionalFormatting sqref="E169:E171">
    <cfRule type="expression" dxfId="1028" priority="258" stopIfTrue="1">
      <formula>#REF!="Yes"</formula>
    </cfRule>
  </conditionalFormatting>
  <conditionalFormatting sqref="T169:Z171">
    <cfRule type="expression" dxfId="1027" priority="257" stopIfTrue="1">
      <formula>#REF!="Yes"</formula>
    </cfRule>
  </conditionalFormatting>
  <conditionalFormatting sqref="H169:S169 H171:S171">
    <cfRule type="expression" dxfId="1026" priority="256" stopIfTrue="1">
      <formula>#REF!="Yes"</formula>
    </cfRule>
  </conditionalFormatting>
  <conditionalFormatting sqref="H170">
    <cfRule type="cellIs" dxfId="1025" priority="255" stopIfTrue="1" operator="lessThan">
      <formula>0</formula>
    </cfRule>
  </conditionalFormatting>
  <conditionalFormatting sqref="H170:S170">
    <cfRule type="expression" dxfId="1024" priority="254" stopIfTrue="1">
      <formula>#REF!="Yes"</formula>
    </cfRule>
  </conditionalFormatting>
  <conditionalFormatting sqref="F172">
    <cfRule type="expression" dxfId="1023" priority="248" stopIfTrue="1">
      <formula>#REF!="Yes"</formula>
    </cfRule>
  </conditionalFormatting>
  <conditionalFormatting sqref="E172">
    <cfRule type="expression" dxfId="1022" priority="251" stopIfTrue="1">
      <formula>#REF!="Yes"</formula>
    </cfRule>
  </conditionalFormatting>
  <conditionalFormatting sqref="F173">
    <cfRule type="expression" dxfId="1021" priority="243" stopIfTrue="1">
      <formula>#REF!="Yes"</formula>
    </cfRule>
  </conditionalFormatting>
  <conditionalFormatting sqref="E173">
    <cfRule type="expression" dxfId="1020" priority="246" stopIfTrue="1">
      <formula>#REF!="Yes"</formula>
    </cfRule>
  </conditionalFormatting>
  <conditionalFormatting sqref="F174">
    <cfRule type="expression" dxfId="1019" priority="238" stopIfTrue="1">
      <formula>#REF!="Yes"</formula>
    </cfRule>
  </conditionalFormatting>
  <conditionalFormatting sqref="E174">
    <cfRule type="expression" dxfId="1018" priority="241" stopIfTrue="1">
      <formula>#REF!="Yes"</formula>
    </cfRule>
  </conditionalFormatting>
  <conditionalFormatting sqref="F175">
    <cfRule type="expression" dxfId="1017" priority="233" stopIfTrue="1">
      <formula>#REF!="Yes"</formula>
    </cfRule>
  </conditionalFormatting>
  <conditionalFormatting sqref="E175">
    <cfRule type="expression" dxfId="1016" priority="236" stopIfTrue="1">
      <formula>#REF!="Yes"</formula>
    </cfRule>
  </conditionalFormatting>
  <conditionalFormatting sqref="F176">
    <cfRule type="expression" dxfId="1015" priority="228" stopIfTrue="1">
      <formula>#REF!="Yes"</formula>
    </cfRule>
  </conditionalFormatting>
  <conditionalFormatting sqref="E176">
    <cfRule type="expression" dxfId="1014" priority="231" stopIfTrue="1">
      <formula>#REF!="Yes"</formula>
    </cfRule>
  </conditionalFormatting>
  <conditionalFormatting sqref="F177">
    <cfRule type="expression" dxfId="1013" priority="223" stopIfTrue="1">
      <formula>#REF!="Yes"</formula>
    </cfRule>
  </conditionalFormatting>
  <conditionalFormatting sqref="E177">
    <cfRule type="expression" dxfId="1012" priority="226" stopIfTrue="1">
      <formula>#REF!="Yes"</formula>
    </cfRule>
  </conditionalFormatting>
  <conditionalFormatting sqref="F178">
    <cfRule type="expression" dxfId="1011" priority="218" stopIfTrue="1">
      <formula>#REF!="Yes"</formula>
    </cfRule>
  </conditionalFormatting>
  <conditionalFormatting sqref="E178">
    <cfRule type="expression" dxfId="1010" priority="221" stopIfTrue="1">
      <formula>#REF!="Yes"</formula>
    </cfRule>
  </conditionalFormatting>
  <conditionalFormatting sqref="F179">
    <cfRule type="expression" dxfId="1009" priority="213" stopIfTrue="1">
      <formula>#REF!="Yes"</formula>
    </cfRule>
  </conditionalFormatting>
  <conditionalFormatting sqref="E179">
    <cfRule type="expression" dxfId="1008" priority="216" stopIfTrue="1">
      <formula>#REF!="Yes"</formula>
    </cfRule>
  </conditionalFormatting>
  <conditionalFormatting sqref="F180">
    <cfRule type="expression" dxfId="1007" priority="208" stopIfTrue="1">
      <formula>#REF!="Yes"</formula>
    </cfRule>
  </conditionalFormatting>
  <conditionalFormatting sqref="E180">
    <cfRule type="expression" dxfId="1006" priority="211" stopIfTrue="1">
      <formula>#REF!="Yes"</formula>
    </cfRule>
  </conditionalFormatting>
  <conditionalFormatting sqref="E181">
    <cfRule type="expression" dxfId="1005" priority="206" stopIfTrue="1">
      <formula>#REF!="Yes"</formula>
    </cfRule>
  </conditionalFormatting>
  <conditionalFormatting sqref="F181">
    <cfRule type="expression" dxfId="1004" priority="203" stopIfTrue="1">
      <formula>#REF!="Yes"</formula>
    </cfRule>
  </conditionalFormatting>
  <conditionalFormatting sqref="F182">
    <cfRule type="expression" dxfId="1003" priority="198" stopIfTrue="1">
      <formula>#REF!="Yes"</formula>
    </cfRule>
  </conditionalFormatting>
  <conditionalFormatting sqref="E182">
    <cfRule type="expression" dxfId="1002" priority="201" stopIfTrue="1">
      <formula>#REF!="Yes"</formula>
    </cfRule>
  </conditionalFormatting>
  <conditionalFormatting sqref="F183">
    <cfRule type="expression" dxfId="1001" priority="193" stopIfTrue="1">
      <formula>#REF!="Yes"</formula>
    </cfRule>
  </conditionalFormatting>
  <conditionalFormatting sqref="E183">
    <cfRule type="expression" dxfId="1000" priority="196" stopIfTrue="1">
      <formula>#REF!="Yes"</formula>
    </cfRule>
  </conditionalFormatting>
  <conditionalFormatting sqref="F184">
    <cfRule type="expression" dxfId="999" priority="188" stopIfTrue="1">
      <formula>#REF!="Yes"</formula>
    </cfRule>
  </conditionalFormatting>
  <conditionalFormatting sqref="E184">
    <cfRule type="expression" dxfId="998" priority="191" stopIfTrue="1">
      <formula>#REF!="Yes"</formula>
    </cfRule>
  </conditionalFormatting>
  <conditionalFormatting sqref="F185">
    <cfRule type="expression" dxfId="997" priority="183" stopIfTrue="1">
      <formula>#REF!="Yes"</formula>
    </cfRule>
  </conditionalFormatting>
  <conditionalFormatting sqref="E185">
    <cfRule type="expression" dxfId="996" priority="186" stopIfTrue="1">
      <formula>#REF!="Yes"</formula>
    </cfRule>
  </conditionalFormatting>
  <conditionalFormatting sqref="F186">
    <cfRule type="expression" dxfId="995" priority="178" stopIfTrue="1">
      <formula>#REF!="Yes"</formula>
    </cfRule>
  </conditionalFormatting>
  <conditionalFormatting sqref="E186">
    <cfRule type="expression" dxfId="994" priority="181" stopIfTrue="1">
      <formula>#REF!="Yes"</formula>
    </cfRule>
  </conditionalFormatting>
  <conditionalFormatting sqref="F187">
    <cfRule type="expression" dxfId="993" priority="173" stopIfTrue="1">
      <formula>#REF!="Yes"</formula>
    </cfRule>
  </conditionalFormatting>
  <conditionalFormatting sqref="E187">
    <cfRule type="expression" dxfId="992" priority="176" stopIfTrue="1">
      <formula>#REF!="Yes"</formula>
    </cfRule>
  </conditionalFormatting>
  <conditionalFormatting sqref="F188">
    <cfRule type="expression" dxfId="991" priority="168" stopIfTrue="1">
      <formula>#REF!="Yes"</formula>
    </cfRule>
  </conditionalFormatting>
  <conditionalFormatting sqref="E188">
    <cfRule type="expression" dxfId="990" priority="171" stopIfTrue="1">
      <formula>#REF!="Yes"</formula>
    </cfRule>
  </conditionalFormatting>
  <conditionalFormatting sqref="E189">
    <cfRule type="expression" dxfId="989" priority="166" stopIfTrue="1">
      <formula>#REF!="Yes"</formula>
    </cfRule>
  </conditionalFormatting>
  <conditionalFormatting sqref="F189">
    <cfRule type="expression" dxfId="988" priority="163" stopIfTrue="1">
      <formula>#REF!="Yes"</formula>
    </cfRule>
  </conditionalFormatting>
  <conditionalFormatting sqref="E190">
    <cfRule type="expression" dxfId="987" priority="161" stopIfTrue="1">
      <formula>#REF!="Yes"</formula>
    </cfRule>
  </conditionalFormatting>
  <conditionalFormatting sqref="F190">
    <cfRule type="expression" dxfId="986" priority="158" stopIfTrue="1">
      <formula>#REF!="Yes"</formula>
    </cfRule>
  </conditionalFormatting>
  <conditionalFormatting sqref="E191">
    <cfRule type="expression" dxfId="985" priority="156" stopIfTrue="1">
      <formula>#REF!="Yes"</formula>
    </cfRule>
  </conditionalFormatting>
  <conditionalFormatting sqref="F191">
    <cfRule type="expression" dxfId="984" priority="153" stopIfTrue="1">
      <formula>#REF!="Yes"</formula>
    </cfRule>
  </conditionalFormatting>
  <conditionalFormatting sqref="E192">
    <cfRule type="expression" dxfId="983" priority="151" stopIfTrue="1">
      <formula>#REF!="Yes"</formula>
    </cfRule>
  </conditionalFormatting>
  <conditionalFormatting sqref="F192">
    <cfRule type="expression" dxfId="982" priority="148" stopIfTrue="1">
      <formula>#REF!="Yes"</formula>
    </cfRule>
  </conditionalFormatting>
  <conditionalFormatting sqref="H196:Z196">
    <cfRule type="expression" dxfId="981" priority="147" stopIfTrue="1">
      <formula>#REF!="Yes"</formula>
    </cfRule>
  </conditionalFormatting>
  <conditionalFormatting sqref="H196">
    <cfRule type="cellIs" dxfId="980" priority="146" stopIfTrue="1" operator="lessThan">
      <formula>0</formula>
    </cfRule>
  </conditionalFormatting>
  <conditionalFormatting sqref="E195:E196">
    <cfRule type="expression" dxfId="979" priority="145" stopIfTrue="1">
      <formula>#REF!="Yes"</formula>
    </cfRule>
  </conditionalFormatting>
  <conditionalFormatting sqref="F195">
    <cfRule type="expression" dxfId="978" priority="144" stopIfTrue="1">
      <formula>#REF!="Yes"</formula>
    </cfRule>
  </conditionalFormatting>
  <conditionalFormatting sqref="M128:Z128">
    <cfRule type="expression" dxfId="977" priority="142" stopIfTrue="1">
      <formula>#REF!="Yes"</formula>
    </cfRule>
  </conditionalFormatting>
  <conditionalFormatting sqref="M129:Z129">
    <cfRule type="expression" dxfId="976" priority="141" stopIfTrue="1">
      <formula>#REF!="Yes"</formula>
    </cfRule>
  </conditionalFormatting>
  <conditionalFormatting sqref="M130:Z130">
    <cfRule type="expression" dxfId="975" priority="140" stopIfTrue="1">
      <formula>#REF!="Yes"</formula>
    </cfRule>
  </conditionalFormatting>
  <conditionalFormatting sqref="M143:AZ143 M146:AZ146 M152:AZ152 M151:AX151 M161:AZ162 M139:AX142 AZ139:AZ142 M144:AX145 AZ144 M150:AZ150 M147:AX149 AZ147:AZ149 M158:AZ158 M153:AX157 AZ153:AZ157 M159:AX160 AZ159 M166:AZ166 M163:AX165 AZ163:AZ165 M168:AZ168 M167:AX167 AZ167">
    <cfRule type="expression" dxfId="974" priority="137" stopIfTrue="1">
      <formula>#REF!="Yes"</formula>
    </cfRule>
  </conditionalFormatting>
  <conditionalFormatting sqref="M134">
    <cfRule type="expression" dxfId="973" priority="136" stopIfTrue="1">
      <formula>#REF!="Yes"</formula>
    </cfRule>
  </conditionalFormatting>
  <conditionalFormatting sqref="M135">
    <cfRule type="expression" dxfId="972" priority="135" stopIfTrue="1">
      <formula>#REF!="Yes"</formula>
    </cfRule>
  </conditionalFormatting>
  <conditionalFormatting sqref="M136">
    <cfRule type="expression" dxfId="971" priority="134" stopIfTrue="1">
      <formula>#REF!="Yes"</formula>
    </cfRule>
  </conditionalFormatting>
  <conditionalFormatting sqref="M137">
    <cfRule type="expression" dxfId="970" priority="133" stopIfTrue="1">
      <formula>#REF!="Yes"</formula>
    </cfRule>
  </conditionalFormatting>
  <conditionalFormatting sqref="O136:AX136 N134:AX135 AZ135">
    <cfRule type="expression" dxfId="969" priority="132" stopIfTrue="1">
      <formula>#REF!="Yes"</formula>
    </cfRule>
  </conditionalFormatting>
  <conditionalFormatting sqref="N136">
    <cfRule type="expression" dxfId="968" priority="131" stopIfTrue="1">
      <formula>#REF!="Yes"</formula>
    </cfRule>
  </conditionalFormatting>
  <conditionalFormatting sqref="J61:K70">
    <cfRule type="expression" dxfId="967" priority="130" stopIfTrue="1">
      <formula>#REF!="Yes"</formula>
    </cfRule>
  </conditionalFormatting>
  <conditionalFormatting sqref="J89:K95">
    <cfRule type="expression" dxfId="966" priority="129" stopIfTrue="1">
      <formula>#REF!="Yes"</formula>
    </cfRule>
  </conditionalFormatting>
  <conditionalFormatting sqref="A97 C97:D97">
    <cfRule type="expression" dxfId="965" priority="128" stopIfTrue="1">
      <formula>#REF!="Yes"</formula>
    </cfRule>
  </conditionalFormatting>
  <conditionalFormatting sqref="A98 C98:D98">
    <cfRule type="expression" dxfId="964" priority="127" stopIfTrue="1">
      <formula>#REF!="Yes"</formula>
    </cfRule>
  </conditionalFormatting>
  <conditionalFormatting sqref="A105 C105:D105">
    <cfRule type="expression" dxfId="963" priority="122" stopIfTrue="1">
      <formula>#REF!="Yes"</formula>
    </cfRule>
  </conditionalFormatting>
  <conditionalFormatting sqref="A99 C99:D99">
    <cfRule type="expression" dxfId="962" priority="125" stopIfTrue="1">
      <formula>#REF!="Yes"</formula>
    </cfRule>
  </conditionalFormatting>
  <conditionalFormatting sqref="A103:D103 B104:B105">
    <cfRule type="expression" dxfId="961" priority="124" stopIfTrue="1">
      <formula>#REF!="Yes"</formula>
    </cfRule>
  </conditionalFormatting>
  <conditionalFormatting sqref="A104 C104:D104">
    <cfRule type="expression" dxfId="960" priority="123" stopIfTrue="1">
      <formula>#REF!="Yes"</formula>
    </cfRule>
  </conditionalFormatting>
  <conditionalFormatting sqref="A159 C159:D159">
    <cfRule type="expression" dxfId="959" priority="84" stopIfTrue="1">
      <formula>#REF!="Yes"</formula>
    </cfRule>
  </conditionalFormatting>
  <conditionalFormatting sqref="A119 C119:D119">
    <cfRule type="expression" dxfId="958" priority="121" stopIfTrue="1">
      <formula>#REF!="Yes"</formula>
    </cfRule>
  </conditionalFormatting>
  <conditionalFormatting sqref="A120 C120:D120">
    <cfRule type="expression" dxfId="957" priority="120" stopIfTrue="1">
      <formula>#REF!="Yes"</formula>
    </cfRule>
  </conditionalFormatting>
  <conditionalFormatting sqref="A123 C123:D123">
    <cfRule type="expression" dxfId="956" priority="119" stopIfTrue="1">
      <formula>#REF!="Yes"</formula>
    </cfRule>
  </conditionalFormatting>
  <conditionalFormatting sqref="A124 C124:D124">
    <cfRule type="expression" dxfId="955" priority="118" stopIfTrue="1">
      <formula>#REF!="Yes"</formula>
    </cfRule>
  </conditionalFormatting>
  <conditionalFormatting sqref="A125 C125:D125">
    <cfRule type="expression" dxfId="954" priority="117" stopIfTrue="1">
      <formula>#REF!="Yes"</formula>
    </cfRule>
  </conditionalFormatting>
  <conditionalFormatting sqref="A126 C126:D126">
    <cfRule type="expression" dxfId="953" priority="116" stopIfTrue="1">
      <formula>#REF!="Yes"</formula>
    </cfRule>
  </conditionalFormatting>
  <conditionalFormatting sqref="A127 C127:D127">
    <cfRule type="expression" dxfId="952" priority="115" stopIfTrue="1">
      <formula>#REF!="Yes"</formula>
    </cfRule>
  </conditionalFormatting>
  <conditionalFormatting sqref="A128 C128:D128">
    <cfRule type="expression" dxfId="951" priority="114" stopIfTrue="1">
      <formula>#REF!="Yes"</formula>
    </cfRule>
  </conditionalFormatting>
  <conditionalFormatting sqref="A129 C129:D129">
    <cfRule type="expression" dxfId="950" priority="113" stopIfTrue="1">
      <formula>#REF!="Yes"</formula>
    </cfRule>
  </conditionalFormatting>
  <conditionalFormatting sqref="A130 C130:D130">
    <cfRule type="expression" dxfId="949" priority="112" stopIfTrue="1">
      <formula>#REF!="Yes"</formula>
    </cfRule>
  </conditionalFormatting>
  <conditionalFormatting sqref="A131 C131:D131">
    <cfRule type="expression" dxfId="948" priority="111" stopIfTrue="1">
      <formula>#REF!="Yes"</formula>
    </cfRule>
  </conditionalFormatting>
  <conditionalFormatting sqref="A132 C132:D132">
    <cfRule type="expression" dxfId="947" priority="110" stopIfTrue="1">
      <formula>#REF!="Yes"</formula>
    </cfRule>
  </conditionalFormatting>
  <conditionalFormatting sqref="A133 C133:D133">
    <cfRule type="expression" dxfId="946" priority="109" stopIfTrue="1">
      <formula>#REF!="Yes"</formula>
    </cfRule>
  </conditionalFormatting>
  <conditionalFormatting sqref="A134 C134:D134">
    <cfRule type="expression" dxfId="945" priority="108" stopIfTrue="1">
      <formula>#REF!="Yes"</formula>
    </cfRule>
  </conditionalFormatting>
  <conditionalFormatting sqref="A135 C135:D135">
    <cfRule type="expression" dxfId="944" priority="107" stopIfTrue="1">
      <formula>#REF!="Yes"</formula>
    </cfRule>
  </conditionalFormatting>
  <conditionalFormatting sqref="A136 C136:D136">
    <cfRule type="expression" dxfId="943" priority="106" stopIfTrue="1">
      <formula>#REF!="Yes"</formula>
    </cfRule>
  </conditionalFormatting>
  <conditionalFormatting sqref="A137 C137:D137">
    <cfRule type="expression" dxfId="942" priority="105" stopIfTrue="1">
      <formula>#REF!="Yes"</formula>
    </cfRule>
  </conditionalFormatting>
  <conditionalFormatting sqref="A138 C138:D138">
    <cfRule type="expression" dxfId="941" priority="104" stopIfTrue="1">
      <formula>#REF!="Yes"</formula>
    </cfRule>
  </conditionalFormatting>
  <conditionalFormatting sqref="A139 C139:D139">
    <cfRule type="expression" dxfId="940" priority="103" stopIfTrue="1">
      <formula>#REF!="Yes"</formula>
    </cfRule>
  </conditionalFormatting>
  <conditionalFormatting sqref="A140 C140:D140">
    <cfRule type="expression" dxfId="939" priority="102" stopIfTrue="1">
      <formula>#REF!="Yes"</formula>
    </cfRule>
  </conditionalFormatting>
  <conditionalFormatting sqref="A141 C141:D141">
    <cfRule type="expression" dxfId="938" priority="101" stopIfTrue="1">
      <formula>#REF!="Yes"</formula>
    </cfRule>
  </conditionalFormatting>
  <conditionalFormatting sqref="A142 C142:D142">
    <cfRule type="expression" dxfId="937" priority="100" stopIfTrue="1">
      <formula>#REF!="Yes"</formula>
    </cfRule>
  </conditionalFormatting>
  <conditionalFormatting sqref="A144 C144:D144">
    <cfRule type="expression" dxfId="936" priority="99" stopIfTrue="1">
      <formula>#REF!="Yes"</formula>
    </cfRule>
  </conditionalFormatting>
  <conditionalFormatting sqref="A145 C145:D145">
    <cfRule type="expression" dxfId="935" priority="98" stopIfTrue="1">
      <formula>#REF!="Yes"</formula>
    </cfRule>
  </conditionalFormatting>
  <conditionalFormatting sqref="A146 C146:D146">
    <cfRule type="expression" dxfId="934" priority="97" stopIfTrue="1">
      <formula>#REF!="Yes"</formula>
    </cfRule>
  </conditionalFormatting>
  <conditionalFormatting sqref="A147 C147:D147">
    <cfRule type="expression" dxfId="933" priority="96" stopIfTrue="1">
      <formula>#REF!="Yes"</formula>
    </cfRule>
  </conditionalFormatting>
  <conditionalFormatting sqref="A148 C148:D148">
    <cfRule type="expression" dxfId="932" priority="95" stopIfTrue="1">
      <formula>#REF!="Yes"</formula>
    </cfRule>
  </conditionalFormatting>
  <conditionalFormatting sqref="A149 C149:D149">
    <cfRule type="expression" dxfId="931" priority="94" stopIfTrue="1">
      <formula>#REF!="Yes"</formula>
    </cfRule>
  </conditionalFormatting>
  <conditionalFormatting sqref="A150 C150:D150">
    <cfRule type="expression" dxfId="930" priority="93" stopIfTrue="1">
      <formula>#REF!="Yes"</formula>
    </cfRule>
  </conditionalFormatting>
  <conditionalFormatting sqref="A151 C151:D151">
    <cfRule type="expression" dxfId="929" priority="92" stopIfTrue="1">
      <formula>#REF!="Yes"</formula>
    </cfRule>
  </conditionalFormatting>
  <conditionalFormatting sqref="A152 C152:D152">
    <cfRule type="expression" dxfId="928" priority="91" stopIfTrue="1">
      <formula>#REF!="Yes"</formula>
    </cfRule>
  </conditionalFormatting>
  <conditionalFormatting sqref="A153 C153:D153">
    <cfRule type="expression" dxfId="927" priority="90" stopIfTrue="1">
      <formula>#REF!="Yes"</formula>
    </cfRule>
  </conditionalFormatting>
  <conditionalFormatting sqref="A154 C154:D154">
    <cfRule type="expression" dxfId="926" priority="89" stopIfTrue="1">
      <formula>#REF!="Yes"</formula>
    </cfRule>
  </conditionalFormatting>
  <conditionalFormatting sqref="A155 C155:D155">
    <cfRule type="expression" dxfId="925" priority="88" stopIfTrue="1">
      <formula>#REF!="Yes"</formula>
    </cfRule>
  </conditionalFormatting>
  <conditionalFormatting sqref="A156 C156:D156">
    <cfRule type="expression" dxfId="924" priority="87" stopIfTrue="1">
      <formula>#REF!="Yes"</formula>
    </cfRule>
  </conditionalFormatting>
  <conditionalFormatting sqref="A157 C157:D157">
    <cfRule type="expression" dxfId="923" priority="86" stopIfTrue="1">
      <formula>#REF!="Yes"</formula>
    </cfRule>
  </conditionalFormatting>
  <conditionalFormatting sqref="A158 C158:D158">
    <cfRule type="expression" dxfId="922" priority="85" stopIfTrue="1">
      <formula>#REF!="Yes"</formula>
    </cfRule>
  </conditionalFormatting>
  <conditionalFormatting sqref="B4">
    <cfRule type="expression" dxfId="921" priority="69" stopIfTrue="1">
      <formula>#REF!="Yes"</formula>
    </cfRule>
  </conditionalFormatting>
  <conditionalFormatting sqref="H23">
    <cfRule type="cellIs" dxfId="920" priority="68" stopIfTrue="1" operator="lessThan">
      <formula>0</formula>
    </cfRule>
  </conditionalFormatting>
  <conditionalFormatting sqref="A23">
    <cfRule type="expression" dxfId="919" priority="67" stopIfTrue="1">
      <formula>#REF!="Yes"</formula>
    </cfRule>
  </conditionalFormatting>
  <conditionalFormatting sqref="B23">
    <cfRule type="expression" dxfId="918" priority="66" stopIfTrue="1">
      <formula>#REF!="Yes"</formula>
    </cfRule>
  </conditionalFormatting>
  <conditionalFormatting sqref="H41">
    <cfRule type="cellIs" dxfId="917" priority="65" stopIfTrue="1" operator="lessThan">
      <formula>0</formula>
    </cfRule>
  </conditionalFormatting>
  <conditionalFormatting sqref="A41">
    <cfRule type="expression" dxfId="916" priority="64" stopIfTrue="1">
      <formula>#REF!="Yes"</formula>
    </cfRule>
  </conditionalFormatting>
  <conditionalFormatting sqref="B41">
    <cfRule type="expression" dxfId="915" priority="63" stopIfTrue="1">
      <formula>#REF!="Yes"</formula>
    </cfRule>
  </conditionalFormatting>
  <conditionalFormatting sqref="H60">
    <cfRule type="cellIs" dxfId="914" priority="62" stopIfTrue="1" operator="lessThan">
      <formula>0</formula>
    </cfRule>
  </conditionalFormatting>
  <conditionalFormatting sqref="A60">
    <cfRule type="expression" dxfId="913" priority="61" stopIfTrue="1">
      <formula>#REF!="Yes"</formula>
    </cfRule>
  </conditionalFormatting>
  <conditionalFormatting sqref="B60">
    <cfRule type="expression" dxfId="912" priority="60" stopIfTrue="1">
      <formula>#REF!="Yes"</formula>
    </cfRule>
  </conditionalFormatting>
  <conditionalFormatting sqref="H71">
    <cfRule type="cellIs" dxfId="911" priority="59" stopIfTrue="1" operator="lessThan">
      <formula>0</formula>
    </cfRule>
  </conditionalFormatting>
  <conditionalFormatting sqref="A71">
    <cfRule type="expression" dxfId="910" priority="58" stopIfTrue="1">
      <formula>#REF!="Yes"</formula>
    </cfRule>
  </conditionalFormatting>
  <conditionalFormatting sqref="B71">
    <cfRule type="expression" dxfId="909" priority="57" stopIfTrue="1">
      <formula>#REF!="Yes"</formula>
    </cfRule>
  </conditionalFormatting>
  <conditionalFormatting sqref="H81">
    <cfRule type="cellIs" dxfId="908" priority="56" stopIfTrue="1" operator="lessThan">
      <formula>0</formula>
    </cfRule>
  </conditionalFormatting>
  <conditionalFormatting sqref="A81">
    <cfRule type="expression" dxfId="907" priority="55" stopIfTrue="1">
      <formula>#REF!="Yes"</formula>
    </cfRule>
  </conditionalFormatting>
  <conditionalFormatting sqref="B81">
    <cfRule type="expression" dxfId="906" priority="54" stopIfTrue="1">
      <formula>#REF!="Yes"</formula>
    </cfRule>
  </conditionalFormatting>
  <conditionalFormatting sqref="H88">
    <cfRule type="cellIs" dxfId="905" priority="53" stopIfTrue="1" operator="lessThan">
      <formula>0</formula>
    </cfRule>
  </conditionalFormatting>
  <conditionalFormatting sqref="A88">
    <cfRule type="expression" dxfId="904" priority="52" stopIfTrue="1">
      <formula>#REF!="Yes"</formula>
    </cfRule>
  </conditionalFormatting>
  <conditionalFormatting sqref="B88">
    <cfRule type="expression" dxfId="903" priority="51" stopIfTrue="1">
      <formula>#REF!="Yes"</formula>
    </cfRule>
  </conditionalFormatting>
  <conditionalFormatting sqref="AZ160">
    <cfRule type="expression" dxfId="902" priority="29" stopIfTrue="1">
      <formula>#REF!="Yes"</formula>
    </cfRule>
  </conditionalFormatting>
  <conditionalFormatting sqref="AZ145">
    <cfRule type="expression" dxfId="901" priority="28" stopIfTrue="1">
      <formula>#REF!="Yes"</formula>
    </cfRule>
  </conditionalFormatting>
  <conditionalFormatting sqref="AZ169">
    <cfRule type="expression" dxfId="900" priority="27" stopIfTrue="1">
      <formula>#REF!="Yes"</formula>
    </cfRule>
  </conditionalFormatting>
  <conditionalFormatting sqref="H203:Z204 E203:F204 A203:C204">
    <cfRule type="expression" dxfId="899" priority="8" stopIfTrue="1">
      <formula>#REF!="Yes"</formula>
    </cfRule>
  </conditionalFormatting>
  <conditionalFormatting sqref="H205:Z205 A205:C205 E205:F205 E232:F233 A232:C233 H232:Z233">
    <cfRule type="expression" dxfId="898" priority="5" stopIfTrue="1">
      <formula>#REF!="Yes"</formula>
    </cfRule>
  </conditionalFormatting>
  <conditionalFormatting sqref="H205 H232:H233">
    <cfRule type="cellIs" dxfId="897" priority="4" stopIfTrue="1" operator="lessThan">
      <formula>0</formula>
    </cfRule>
  </conditionalFormatting>
  <conditionalFormatting sqref="H203:H204">
    <cfRule type="cellIs" dxfId="896" priority="7" stopIfTrue="1" operator="lessThan">
      <formula>0</formula>
    </cfRule>
  </conditionalFormatting>
  <conditionalFormatting sqref="N206:N231 D206:D231">
    <cfRule type="expression" dxfId="895" priority="3" stopIfTrue="1">
      <formula>#REF!="Yes"</formula>
    </cfRule>
  </conditionalFormatting>
  <conditionalFormatting sqref="H206:Z231 A206:C231 E206:F231">
    <cfRule type="expression" dxfId="894" priority="2" stopIfTrue="1">
      <formula>#REF!="Yes"</formula>
    </cfRule>
  </conditionalFormatting>
  <conditionalFormatting sqref="H206:H231">
    <cfRule type="cellIs" dxfId="893" priority="1" stopIfTrue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0"/>
  <sheetViews>
    <sheetView showGridLines="0" zoomScale="80" zoomScaleNormal="8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A32" sqref="A32"/>
    </sheetView>
  </sheetViews>
  <sheetFormatPr defaultColWidth="17.1640625" defaultRowHeight="11.25"/>
  <cols>
    <col min="1" max="1" width="10.6640625" style="511" customWidth="1"/>
    <col min="2" max="2" width="52.5" style="511" bestFit="1" customWidth="1"/>
    <col min="3" max="3" width="14.6640625" style="511" hidden="1" customWidth="1"/>
    <col min="4" max="4" width="13.6640625" style="511" hidden="1" customWidth="1"/>
    <col min="5" max="6" width="35.83203125" style="511" customWidth="1"/>
    <col min="7" max="7" width="22.1640625" style="511" customWidth="1"/>
    <col min="8" max="8" width="17.1640625" style="517"/>
    <col min="9" max="53" width="17.1640625" style="511"/>
    <col min="58" max="16384" width="17.1640625" style="511"/>
  </cols>
  <sheetData>
    <row r="1" spans="1:60" ht="18.75" customHeight="1" thickBot="1">
      <c r="A1" s="648">
        <v>2014</v>
      </c>
      <c r="E1" s="511">
        <f>D1+1</f>
        <v>1</v>
      </c>
      <c r="F1" s="511">
        <f>E1+1</f>
        <v>2</v>
      </c>
      <c r="G1" s="511">
        <f t="shared" ref="G1" si="0">F1+1</f>
        <v>3</v>
      </c>
      <c r="H1" s="511">
        <f t="shared" ref="H1:BA1" si="1">G1+1</f>
        <v>4</v>
      </c>
      <c r="I1" s="511">
        <f t="shared" si="1"/>
        <v>5</v>
      </c>
      <c r="J1" s="511">
        <f t="shared" si="1"/>
        <v>6</v>
      </c>
      <c r="K1" s="511">
        <f t="shared" si="1"/>
        <v>7</v>
      </c>
      <c r="L1" s="511">
        <f t="shared" si="1"/>
        <v>8</v>
      </c>
      <c r="M1" s="511">
        <f t="shared" si="1"/>
        <v>9</v>
      </c>
      <c r="N1" s="511">
        <f t="shared" si="1"/>
        <v>10</v>
      </c>
      <c r="O1" s="511">
        <f t="shared" si="1"/>
        <v>11</v>
      </c>
      <c r="P1" s="511">
        <f t="shared" si="1"/>
        <v>12</v>
      </c>
      <c r="Q1" s="511">
        <f t="shared" si="1"/>
        <v>13</v>
      </c>
      <c r="R1" s="511">
        <f t="shared" si="1"/>
        <v>14</v>
      </c>
      <c r="S1" s="511">
        <f t="shared" si="1"/>
        <v>15</v>
      </c>
      <c r="T1" s="511">
        <f t="shared" si="1"/>
        <v>16</v>
      </c>
      <c r="U1" s="511">
        <f t="shared" si="1"/>
        <v>17</v>
      </c>
      <c r="V1" s="511">
        <f t="shared" si="1"/>
        <v>18</v>
      </c>
      <c r="W1" s="511">
        <f t="shared" si="1"/>
        <v>19</v>
      </c>
      <c r="X1" s="511">
        <f t="shared" si="1"/>
        <v>20</v>
      </c>
      <c r="Y1" s="511">
        <f t="shared" si="1"/>
        <v>21</v>
      </c>
      <c r="Z1" s="511">
        <f t="shared" si="1"/>
        <v>22</v>
      </c>
      <c r="AA1" s="511">
        <f t="shared" si="1"/>
        <v>23</v>
      </c>
      <c r="AB1" s="511">
        <f t="shared" si="1"/>
        <v>24</v>
      </c>
      <c r="AC1" s="511">
        <f t="shared" si="1"/>
        <v>25</v>
      </c>
      <c r="AD1" s="511">
        <f t="shared" si="1"/>
        <v>26</v>
      </c>
      <c r="AE1" s="511">
        <f t="shared" si="1"/>
        <v>27</v>
      </c>
      <c r="AF1" s="511">
        <f t="shared" si="1"/>
        <v>28</v>
      </c>
      <c r="AG1" s="511">
        <f t="shared" si="1"/>
        <v>29</v>
      </c>
      <c r="AH1" s="511">
        <f t="shared" si="1"/>
        <v>30</v>
      </c>
      <c r="AI1" s="511">
        <f t="shared" si="1"/>
        <v>31</v>
      </c>
      <c r="AJ1" s="511">
        <f t="shared" si="1"/>
        <v>32</v>
      </c>
      <c r="AK1" s="511">
        <f t="shared" si="1"/>
        <v>33</v>
      </c>
      <c r="AL1" s="511">
        <f t="shared" si="1"/>
        <v>34</v>
      </c>
      <c r="AM1" s="511">
        <f t="shared" si="1"/>
        <v>35</v>
      </c>
      <c r="AN1" s="511">
        <f t="shared" si="1"/>
        <v>36</v>
      </c>
      <c r="AO1" s="511">
        <f t="shared" si="1"/>
        <v>37</v>
      </c>
      <c r="AP1" s="511">
        <f t="shared" si="1"/>
        <v>38</v>
      </c>
      <c r="AQ1" s="511">
        <f t="shared" si="1"/>
        <v>39</v>
      </c>
      <c r="AR1" s="511">
        <f t="shared" si="1"/>
        <v>40</v>
      </c>
      <c r="AS1" s="511">
        <f t="shared" si="1"/>
        <v>41</v>
      </c>
      <c r="AT1" s="511">
        <f t="shared" si="1"/>
        <v>42</v>
      </c>
      <c r="AU1" s="511">
        <f t="shared" si="1"/>
        <v>43</v>
      </c>
      <c r="AV1" s="511">
        <f t="shared" si="1"/>
        <v>44</v>
      </c>
      <c r="AW1" s="511">
        <f t="shared" si="1"/>
        <v>45</v>
      </c>
      <c r="AX1" s="511">
        <f t="shared" si="1"/>
        <v>46</v>
      </c>
      <c r="AY1" s="511">
        <f t="shared" si="1"/>
        <v>47</v>
      </c>
      <c r="AZ1" s="511">
        <f t="shared" si="1"/>
        <v>48</v>
      </c>
      <c r="BA1" s="511">
        <f t="shared" si="1"/>
        <v>49</v>
      </c>
    </row>
    <row r="2" spans="1:60" customFormat="1">
      <c r="A2" s="512" t="s">
        <v>123</v>
      </c>
      <c r="B2" s="692"/>
      <c r="C2" s="692"/>
      <c r="D2" s="692"/>
      <c r="E2" s="693"/>
      <c r="F2" s="693"/>
      <c r="G2" s="693"/>
      <c r="H2" s="693"/>
      <c r="I2" s="712" t="s">
        <v>336</v>
      </c>
      <c r="J2" s="712"/>
      <c r="K2" s="712"/>
      <c r="L2" s="712"/>
      <c r="M2" s="713"/>
      <c r="N2" s="714" t="s">
        <v>335</v>
      </c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6"/>
      <c r="AB2" s="717" t="s">
        <v>365</v>
      </c>
      <c r="AC2" s="717"/>
      <c r="AD2" s="717"/>
      <c r="AE2" s="717"/>
      <c r="AF2" s="717"/>
      <c r="AG2" s="717"/>
      <c r="AH2" s="717"/>
      <c r="AI2" s="717"/>
      <c r="AJ2" s="717"/>
      <c r="AK2" s="717"/>
      <c r="AL2" s="717"/>
      <c r="AM2" s="717"/>
      <c r="AN2" s="717"/>
      <c r="AO2" s="717"/>
      <c r="AP2" s="717"/>
      <c r="AQ2" s="717"/>
      <c r="AR2" s="717"/>
      <c r="AS2" s="717"/>
      <c r="AT2" s="717"/>
      <c r="AU2" s="717"/>
      <c r="AV2" s="717"/>
      <c r="AW2" s="717"/>
      <c r="AX2" s="717"/>
      <c r="AY2" s="717"/>
      <c r="AZ2" s="718" t="s">
        <v>368</v>
      </c>
      <c r="BA2" s="718"/>
      <c r="BB2" s="719" t="s">
        <v>454</v>
      </c>
      <c r="BC2" s="720"/>
      <c r="BD2" s="720"/>
      <c r="BE2" s="720"/>
      <c r="BF2" s="721"/>
    </row>
    <row r="3" spans="1:60" customFormat="1" ht="56.25">
      <c r="A3" s="593" t="s">
        <v>296</v>
      </c>
      <c r="B3" s="593" t="s">
        <v>417</v>
      </c>
      <c r="C3" s="593" t="s">
        <v>437</v>
      </c>
      <c r="D3" s="593" t="s">
        <v>436</v>
      </c>
      <c r="E3" s="594" t="s">
        <v>11</v>
      </c>
      <c r="F3" s="594" t="s">
        <v>296</v>
      </c>
      <c r="G3" s="593" t="s">
        <v>466</v>
      </c>
      <c r="H3" s="593" t="s">
        <v>369</v>
      </c>
      <c r="I3" s="595" t="s">
        <v>337</v>
      </c>
      <c r="J3" s="595" t="s">
        <v>338</v>
      </c>
      <c r="K3" s="593" t="s">
        <v>339</v>
      </c>
      <c r="L3" s="593" t="s">
        <v>340</v>
      </c>
      <c r="M3" s="595" t="s">
        <v>341</v>
      </c>
      <c r="N3" s="593" t="s">
        <v>297</v>
      </c>
      <c r="O3" s="593" t="s">
        <v>298</v>
      </c>
      <c r="P3" s="598" t="s">
        <v>302</v>
      </c>
      <c r="Q3" s="595" t="s">
        <v>130</v>
      </c>
      <c r="R3" s="595" t="s">
        <v>306</v>
      </c>
      <c r="S3" s="595" t="s">
        <v>307</v>
      </c>
      <c r="T3" s="593" t="s">
        <v>303</v>
      </c>
      <c r="U3" s="595" t="s">
        <v>308</v>
      </c>
      <c r="V3" s="593" t="s">
        <v>299</v>
      </c>
      <c r="W3" s="593" t="s">
        <v>304</v>
      </c>
      <c r="X3" s="593" t="s">
        <v>300</v>
      </c>
      <c r="Y3" s="593" t="s">
        <v>301</v>
      </c>
      <c r="Z3" s="593" t="s">
        <v>305</v>
      </c>
      <c r="AA3" s="593" t="s">
        <v>364</v>
      </c>
      <c r="AB3" s="593" t="s">
        <v>342</v>
      </c>
      <c r="AC3" s="593" t="s">
        <v>343</v>
      </c>
      <c r="AD3" s="593" t="s">
        <v>344</v>
      </c>
      <c r="AE3" s="593" t="s">
        <v>345</v>
      </c>
      <c r="AF3" s="593" t="s">
        <v>346</v>
      </c>
      <c r="AG3" s="593" t="s">
        <v>347</v>
      </c>
      <c r="AH3" s="593" t="s">
        <v>341</v>
      </c>
      <c r="AI3" s="593" t="s">
        <v>348</v>
      </c>
      <c r="AJ3" s="593" t="s">
        <v>349</v>
      </c>
      <c r="AK3" s="593" t="s">
        <v>350</v>
      </c>
      <c r="AL3" s="593" t="s">
        <v>351</v>
      </c>
      <c r="AM3" s="593" t="s">
        <v>352</v>
      </c>
      <c r="AN3" s="593" t="s">
        <v>353</v>
      </c>
      <c r="AO3" s="593" t="s">
        <v>354</v>
      </c>
      <c r="AP3" s="593" t="s">
        <v>355</v>
      </c>
      <c r="AQ3" s="593" t="s">
        <v>356</v>
      </c>
      <c r="AR3" s="593" t="s">
        <v>357</v>
      </c>
      <c r="AS3" s="593" t="s">
        <v>358</v>
      </c>
      <c r="AT3" s="593" t="s">
        <v>359</v>
      </c>
      <c r="AU3" s="593" t="s">
        <v>338</v>
      </c>
      <c r="AV3" s="593" t="s">
        <v>360</v>
      </c>
      <c r="AW3" s="593" t="s">
        <v>361</v>
      </c>
      <c r="AX3" s="593" t="s">
        <v>362</v>
      </c>
      <c r="AY3" s="593" t="s">
        <v>363</v>
      </c>
      <c r="AZ3" s="593" t="s">
        <v>366</v>
      </c>
      <c r="BA3" s="593" t="s">
        <v>367</v>
      </c>
      <c r="BB3" s="593" t="s">
        <v>629</v>
      </c>
      <c r="BC3" s="593" t="s">
        <v>441</v>
      </c>
      <c r="BD3" s="593" t="s">
        <v>440</v>
      </c>
      <c r="BE3" s="593" t="s">
        <v>627</v>
      </c>
      <c r="BF3" s="593" t="s">
        <v>628</v>
      </c>
    </row>
    <row r="4" spans="1:60" customFormat="1">
      <c r="A4" s="612" t="s">
        <v>96</v>
      </c>
      <c r="B4" s="612" t="s">
        <v>333</v>
      </c>
      <c r="C4" s="612" t="s">
        <v>20</v>
      </c>
      <c r="D4" s="601" t="s">
        <v>20</v>
      </c>
      <c r="E4" s="623" t="s">
        <v>333</v>
      </c>
      <c r="F4" s="623" t="s">
        <v>96</v>
      </c>
      <c r="G4" s="601" t="s">
        <v>567</v>
      </c>
      <c r="H4" s="623">
        <v>2014</v>
      </c>
      <c r="I4" s="624" t="s">
        <v>20</v>
      </c>
      <c r="J4" s="625" t="s">
        <v>20</v>
      </c>
      <c r="K4" s="626" t="s">
        <v>20</v>
      </c>
      <c r="L4" s="626" t="s">
        <v>20</v>
      </c>
      <c r="M4" s="625" t="s">
        <v>20</v>
      </c>
      <c r="N4" s="627" t="s">
        <v>20</v>
      </c>
      <c r="O4" s="627" t="s">
        <v>20</v>
      </c>
      <c r="P4" s="628" t="s">
        <v>20</v>
      </c>
      <c r="Q4" s="625" t="s">
        <v>20</v>
      </c>
      <c r="R4" s="625" t="s">
        <v>20</v>
      </c>
      <c r="S4" s="625" t="s">
        <v>20</v>
      </c>
      <c r="T4" s="629" t="s">
        <v>20</v>
      </c>
      <c r="U4" s="625"/>
      <c r="V4" s="627" t="s">
        <v>20</v>
      </c>
      <c r="W4" s="629" t="s">
        <v>20</v>
      </c>
      <c r="X4" s="627" t="s">
        <v>20</v>
      </c>
      <c r="Y4" s="627" t="s">
        <v>20</v>
      </c>
      <c r="Z4" s="629" t="s">
        <v>20</v>
      </c>
      <c r="AA4" s="629" t="s">
        <v>20</v>
      </c>
      <c r="AB4" s="630" t="s">
        <v>20</v>
      </c>
      <c r="AC4" s="630" t="s">
        <v>20</v>
      </c>
      <c r="AD4" s="630" t="s">
        <v>20</v>
      </c>
      <c r="AE4" s="630" t="s">
        <v>20</v>
      </c>
      <c r="AF4" s="630" t="s">
        <v>20</v>
      </c>
      <c r="AG4" s="630" t="s">
        <v>20</v>
      </c>
      <c r="AH4" s="630" t="s">
        <v>20</v>
      </c>
      <c r="AI4" s="630" t="s">
        <v>20</v>
      </c>
      <c r="AJ4" s="630" t="s">
        <v>20</v>
      </c>
      <c r="AK4" s="630" t="s">
        <v>20</v>
      </c>
      <c r="AL4" s="630" t="s">
        <v>20</v>
      </c>
      <c r="AM4" s="630" t="s">
        <v>20</v>
      </c>
      <c r="AN4" s="630" t="s">
        <v>20</v>
      </c>
      <c r="AO4" s="630" t="s">
        <v>20</v>
      </c>
      <c r="AP4" s="630" t="s">
        <v>20</v>
      </c>
      <c r="AQ4" s="630" t="s">
        <v>20</v>
      </c>
      <c r="AR4" s="630" t="s">
        <v>20</v>
      </c>
      <c r="AS4" s="630" t="s">
        <v>20</v>
      </c>
      <c r="AT4" s="630" t="s">
        <v>20</v>
      </c>
      <c r="AU4" s="630" t="s">
        <v>20</v>
      </c>
      <c r="AV4" s="630" t="s">
        <v>20</v>
      </c>
      <c r="AW4" s="630" t="s">
        <v>20</v>
      </c>
      <c r="AX4" s="630" t="s">
        <v>20</v>
      </c>
      <c r="AY4" s="630" t="s">
        <v>20</v>
      </c>
      <c r="AZ4" s="612" t="s">
        <v>435</v>
      </c>
      <c r="BA4" s="612" t="s">
        <v>431</v>
      </c>
      <c r="BB4" s="613" t="e">
        <v>#N/A</v>
      </c>
      <c r="BC4" s="614">
        <v>0</v>
      </c>
      <c r="BD4" s="614">
        <v>-100</v>
      </c>
      <c r="BE4" s="613" t="s">
        <v>455</v>
      </c>
      <c r="BF4" s="613" t="s">
        <v>455</v>
      </c>
    </row>
    <row r="5" spans="1:60" customFormat="1">
      <c r="A5" s="601" t="s">
        <v>82</v>
      </c>
      <c r="B5" s="601" t="s">
        <v>203</v>
      </c>
      <c r="C5" s="601">
        <v>12</v>
      </c>
      <c r="D5" s="601">
        <v>1</v>
      </c>
      <c r="E5" s="623" t="s">
        <v>203</v>
      </c>
      <c r="F5" s="623" t="s">
        <v>82</v>
      </c>
      <c r="G5" s="601" t="s">
        <v>469</v>
      </c>
      <c r="H5" s="623">
        <v>2014</v>
      </c>
      <c r="I5" s="624">
        <v>160663.60800000001</v>
      </c>
      <c r="J5" s="625">
        <v>643130.41899999999</v>
      </c>
      <c r="K5" s="626">
        <v>2.8649724741325708</v>
      </c>
      <c r="L5" s="626">
        <v>421.96955680000002</v>
      </c>
      <c r="M5" s="625">
        <v>5607858.6950000003</v>
      </c>
      <c r="N5" s="627">
        <v>1226038</v>
      </c>
      <c r="O5" s="627">
        <v>13002563</v>
      </c>
      <c r="P5" s="628">
        <v>395.60526067053087</v>
      </c>
      <c r="Q5" s="625">
        <v>5135745.5939999996</v>
      </c>
      <c r="R5" s="625">
        <v>5143882.3250000002</v>
      </c>
      <c r="S5" s="625">
        <v>4375061.6320000002</v>
      </c>
      <c r="T5" s="629">
        <v>85.053688159555634</v>
      </c>
      <c r="U5" s="625"/>
      <c r="V5" s="627">
        <v>7026214</v>
      </c>
      <c r="W5" s="629">
        <v>6484.4575642509863</v>
      </c>
      <c r="X5" s="627">
        <v>911171</v>
      </c>
      <c r="Y5" s="627">
        <v>184391</v>
      </c>
      <c r="Z5" s="629">
        <v>840.9151334240795</v>
      </c>
      <c r="AA5" s="629">
        <v>4.9415155837323947</v>
      </c>
      <c r="AB5" s="630">
        <v>5115686.352</v>
      </c>
      <c r="AC5" s="630">
        <v>0</v>
      </c>
      <c r="AD5" s="630">
        <v>0</v>
      </c>
      <c r="AE5" s="630">
        <v>0</v>
      </c>
      <c r="AF5" s="630">
        <v>10716.691999999999</v>
      </c>
      <c r="AG5" s="630" t="s">
        <v>434</v>
      </c>
      <c r="AH5" s="630">
        <v>5126403.0439999998</v>
      </c>
      <c r="AI5" s="630">
        <v>3132535.932</v>
      </c>
      <c r="AJ5" s="630">
        <v>33039.567000000003</v>
      </c>
      <c r="AK5" s="630">
        <v>0</v>
      </c>
      <c r="AL5" s="630">
        <v>246506.951</v>
      </c>
      <c r="AM5" s="630">
        <v>959008.08799999999</v>
      </c>
      <c r="AN5" s="630">
        <v>0</v>
      </c>
      <c r="AO5" s="630">
        <v>3971.0949999999998</v>
      </c>
      <c r="AP5" s="630">
        <v>4375061.6330000004</v>
      </c>
      <c r="AQ5" s="630">
        <v>10321.697</v>
      </c>
      <c r="AR5" s="630">
        <v>4364739.9359999998</v>
      </c>
      <c r="AS5" s="630" t="s">
        <v>434</v>
      </c>
      <c r="AT5" s="630">
        <v>79576.153000000006</v>
      </c>
      <c r="AU5" s="630">
        <v>573825.00300000003</v>
      </c>
      <c r="AV5" s="630">
        <v>0</v>
      </c>
      <c r="AW5" s="630" t="s">
        <v>434</v>
      </c>
      <c r="AX5" s="630">
        <v>5018141.0920000002</v>
      </c>
      <c r="AY5" s="630">
        <v>108261.952</v>
      </c>
      <c r="AZ5" s="612" t="s">
        <v>430</v>
      </c>
      <c r="BA5" s="612" t="s">
        <v>431</v>
      </c>
      <c r="BB5" s="613" t="s">
        <v>552</v>
      </c>
      <c r="BC5" s="614">
        <v>0.11468377753052494</v>
      </c>
      <c r="BD5" s="652">
        <v>2.8649724741325707E-2</v>
      </c>
      <c r="BE5" s="613" t="s">
        <v>574</v>
      </c>
      <c r="BF5" s="613" t="s">
        <v>574</v>
      </c>
      <c r="BG5" s="643"/>
      <c r="BH5" s="655"/>
    </row>
    <row r="6" spans="1:60" customFormat="1">
      <c r="A6" s="612" t="s">
        <v>78</v>
      </c>
      <c r="B6" s="601" t="s">
        <v>232</v>
      </c>
      <c r="C6" s="612">
        <v>13</v>
      </c>
      <c r="D6" s="601">
        <v>2</v>
      </c>
      <c r="E6" s="623" t="s">
        <v>232</v>
      </c>
      <c r="F6" s="623" t="s">
        <v>78</v>
      </c>
      <c r="G6" s="601" t="s">
        <v>567</v>
      </c>
      <c r="H6" s="623">
        <v>2014</v>
      </c>
      <c r="I6" s="624">
        <v>21373.629000000001</v>
      </c>
      <c r="J6" s="625">
        <v>324248.71600000001</v>
      </c>
      <c r="K6" s="626">
        <v>0.54572018516940746</v>
      </c>
      <c r="L6" s="626">
        <v>437.73047380000003</v>
      </c>
      <c r="M6" s="625">
        <v>3916591.2459999998</v>
      </c>
      <c r="N6" s="627">
        <v>782408</v>
      </c>
      <c r="O6" s="627">
        <v>8293707</v>
      </c>
      <c r="P6" s="628">
        <v>384.32179048524381</v>
      </c>
      <c r="Q6" s="625">
        <v>3187994.9270000001</v>
      </c>
      <c r="R6" s="625">
        <v>3187452.324</v>
      </c>
      <c r="S6" s="625">
        <v>2761004.7110000001</v>
      </c>
      <c r="T6" s="629">
        <v>86.621051245565241</v>
      </c>
      <c r="U6" s="625"/>
      <c r="V6" s="627">
        <v>6976363</v>
      </c>
      <c r="W6" s="629">
        <v>10093.96112016014</v>
      </c>
      <c r="X6" s="627">
        <v>292000</v>
      </c>
      <c r="Y6" s="627">
        <v>61796</v>
      </c>
      <c r="Z6" s="629">
        <v>422.48900280658575</v>
      </c>
      <c r="AA6" s="629">
        <v>4.7252249336526635</v>
      </c>
      <c r="AB6" s="630">
        <v>3187994.9270000001</v>
      </c>
      <c r="AC6" s="630">
        <v>-542.60299999999995</v>
      </c>
      <c r="AD6" s="630">
        <v>0</v>
      </c>
      <c r="AE6" s="630">
        <v>0</v>
      </c>
      <c r="AF6" s="630">
        <v>0</v>
      </c>
      <c r="AG6" s="630" t="s">
        <v>434</v>
      </c>
      <c r="AH6" s="630">
        <v>3187452.324</v>
      </c>
      <c r="AI6" s="630">
        <v>1742609.8359999999</v>
      </c>
      <c r="AJ6" s="630">
        <v>258411.342</v>
      </c>
      <c r="AK6" s="630">
        <v>0</v>
      </c>
      <c r="AL6" s="630">
        <v>197528.05900000001</v>
      </c>
      <c r="AM6" s="630">
        <v>555237.32999999996</v>
      </c>
      <c r="AN6" s="630">
        <v>0</v>
      </c>
      <c r="AO6" s="630">
        <v>7218.1450000000004</v>
      </c>
      <c r="AP6" s="630">
        <v>2761004.7119999998</v>
      </c>
      <c r="AQ6" s="630">
        <v>0</v>
      </c>
      <c r="AR6" s="630">
        <v>2761004.7119999998</v>
      </c>
      <c r="AS6" s="630" t="s">
        <v>434</v>
      </c>
      <c r="AT6" s="630">
        <v>118486.15700000001</v>
      </c>
      <c r="AU6" s="630">
        <v>255016.03200000001</v>
      </c>
      <c r="AV6" s="630">
        <v>0</v>
      </c>
      <c r="AW6" s="630" t="s">
        <v>434</v>
      </c>
      <c r="AX6" s="630">
        <v>3134506.9010000001</v>
      </c>
      <c r="AY6" s="630">
        <v>52945.423000000003</v>
      </c>
      <c r="AZ6" s="612" t="s">
        <v>430</v>
      </c>
      <c r="BA6" s="612" t="s">
        <v>431</v>
      </c>
      <c r="BB6" s="613" t="s">
        <v>552</v>
      </c>
      <c r="BC6" s="614">
        <v>8.2788500416313304E-2</v>
      </c>
      <c r="BD6" s="614">
        <v>5.1000987128034303E-2</v>
      </c>
      <c r="BE6" s="613" t="s">
        <v>575</v>
      </c>
      <c r="BF6" s="613" t="s">
        <v>575</v>
      </c>
      <c r="BG6" s="643"/>
      <c r="BH6" s="655"/>
    </row>
    <row r="7" spans="1:60" customFormat="1">
      <c r="A7" s="601" t="s">
        <v>56</v>
      </c>
      <c r="B7" s="601" t="s">
        <v>422</v>
      </c>
      <c r="C7" s="601">
        <v>6</v>
      </c>
      <c r="D7" s="601">
        <v>5</v>
      </c>
      <c r="E7" s="623" t="s">
        <v>292</v>
      </c>
      <c r="F7" s="623" t="s">
        <v>56</v>
      </c>
      <c r="G7" s="601" t="s">
        <v>567</v>
      </c>
      <c r="H7" s="623">
        <v>2014</v>
      </c>
      <c r="I7" s="631">
        <v>-55337.4</v>
      </c>
      <c r="J7" s="625">
        <v>319644.59700000001</v>
      </c>
      <c r="K7" s="626">
        <v>-1.9678720099236733</v>
      </c>
      <c r="L7" s="626">
        <v>82.001330800000005</v>
      </c>
      <c r="M7" s="625">
        <v>2812042.639</v>
      </c>
      <c r="N7" s="627">
        <v>655142</v>
      </c>
      <c r="O7" s="627">
        <v>6527204</v>
      </c>
      <c r="P7" s="628">
        <v>250.35454215924614</v>
      </c>
      <c r="Q7" s="625">
        <v>1634115.169</v>
      </c>
      <c r="R7" s="625">
        <v>1634115.169</v>
      </c>
      <c r="S7" s="625">
        <v>1502339.4550000001</v>
      </c>
      <c r="T7" s="629">
        <v>91.935959196765765</v>
      </c>
      <c r="U7" s="625"/>
      <c r="V7" s="632">
        <v>2465002</v>
      </c>
      <c r="W7" s="633">
        <v>4531.8062680437133</v>
      </c>
      <c r="X7" s="632">
        <v>293791</v>
      </c>
      <c r="Y7" s="632">
        <v>70353</v>
      </c>
      <c r="Z7" s="633">
        <v>540.12284586171961</v>
      </c>
      <c r="AA7" s="633">
        <v>4.1759555384987133</v>
      </c>
      <c r="AB7" s="630">
        <v>1633330.851</v>
      </c>
      <c r="AC7" s="630">
        <v>0</v>
      </c>
      <c r="AD7" s="630">
        <v>0</v>
      </c>
      <c r="AE7" s="630">
        <v>0</v>
      </c>
      <c r="AF7" s="630">
        <v>0</v>
      </c>
      <c r="AG7" s="630" t="s">
        <v>434</v>
      </c>
      <c r="AH7" s="630">
        <v>1633330.851</v>
      </c>
      <c r="AI7" s="630">
        <v>900909.68500000006</v>
      </c>
      <c r="AJ7" s="630">
        <v>106758.47100000001</v>
      </c>
      <c r="AK7" s="630">
        <v>0</v>
      </c>
      <c r="AL7" s="630">
        <v>149033.041</v>
      </c>
      <c r="AM7" s="630">
        <v>345638.25799999997</v>
      </c>
      <c r="AN7" s="630">
        <v>0</v>
      </c>
      <c r="AO7" s="630">
        <v>0</v>
      </c>
      <c r="AP7" s="630">
        <v>1502339.4550000001</v>
      </c>
      <c r="AQ7" s="630">
        <v>7531.4769999999999</v>
      </c>
      <c r="AR7" s="630">
        <v>1494807.9779999999</v>
      </c>
      <c r="AS7" s="630" t="s">
        <v>434</v>
      </c>
      <c r="AT7" s="630">
        <v>24772.749</v>
      </c>
      <c r="AU7" s="630">
        <v>170450.07800000001</v>
      </c>
      <c r="AV7" s="630">
        <v>0</v>
      </c>
      <c r="AW7" s="630" t="s">
        <v>434</v>
      </c>
      <c r="AX7" s="630">
        <v>1690030.8049999999</v>
      </c>
      <c r="AY7" s="630">
        <v>-56699.953999999998</v>
      </c>
      <c r="AZ7" s="612" t="s">
        <v>430</v>
      </c>
      <c r="BA7" s="612" t="s">
        <v>433</v>
      </c>
      <c r="BB7" s="613" t="s">
        <v>552</v>
      </c>
      <c r="BC7" s="614">
        <v>0.11366989695208531</v>
      </c>
      <c r="BD7" s="614">
        <v>-3.3029488919742903E-2</v>
      </c>
      <c r="BE7" s="613" t="s">
        <v>571</v>
      </c>
      <c r="BF7" s="613" t="s">
        <v>571</v>
      </c>
      <c r="BG7" s="643"/>
      <c r="BH7" s="655"/>
    </row>
    <row r="8" spans="1:60" customFormat="1">
      <c r="A8" s="601" t="s">
        <v>89</v>
      </c>
      <c r="B8" s="601" t="s">
        <v>418</v>
      </c>
      <c r="C8" s="601">
        <v>1</v>
      </c>
      <c r="D8" s="601">
        <v>3</v>
      </c>
      <c r="E8" s="623" t="s">
        <v>287</v>
      </c>
      <c r="F8" s="623" t="s">
        <v>89</v>
      </c>
      <c r="G8" s="601" t="s">
        <v>567</v>
      </c>
      <c r="H8" s="623">
        <v>2014</v>
      </c>
      <c r="I8" s="631">
        <v>236985.815</v>
      </c>
      <c r="J8" s="631">
        <v>409387.81199999998</v>
      </c>
      <c r="K8" s="634">
        <v>5.581615942616823</v>
      </c>
      <c r="L8" s="634">
        <v>491.87378890000002</v>
      </c>
      <c r="M8" s="631">
        <v>4245828.0439999998</v>
      </c>
      <c r="N8" s="632">
        <v>648719</v>
      </c>
      <c r="O8" s="632">
        <v>7333034</v>
      </c>
      <c r="P8" s="635">
        <v>375.67400137514704</v>
      </c>
      <c r="Q8" s="631">
        <v>2766600.4449999998</v>
      </c>
      <c r="R8" s="631">
        <v>2754830.2250000001</v>
      </c>
      <c r="S8" s="631">
        <v>2123435.0380000002</v>
      </c>
      <c r="T8" s="633">
        <v>77.080431989234469</v>
      </c>
      <c r="U8" s="625"/>
      <c r="V8" s="632">
        <v>5689952</v>
      </c>
      <c r="W8" s="633">
        <v>9311.2106121422585</v>
      </c>
      <c r="X8" s="632">
        <v>4350580</v>
      </c>
      <c r="Y8" s="632">
        <v>280048</v>
      </c>
      <c r="Z8" s="633">
        <v>7119.4215109325824</v>
      </c>
      <c r="AA8" s="633">
        <v>15.535122550419928</v>
      </c>
      <c r="AB8" s="630">
        <v>2763841.378</v>
      </c>
      <c r="AC8" s="630">
        <v>-11770.22</v>
      </c>
      <c r="AD8" s="630">
        <v>0</v>
      </c>
      <c r="AE8" s="630">
        <v>0</v>
      </c>
      <c r="AF8" s="630">
        <v>1269.2950000000001</v>
      </c>
      <c r="AG8" s="630" t="s">
        <v>434</v>
      </c>
      <c r="AH8" s="630">
        <v>2753340.4530000002</v>
      </c>
      <c r="AI8" s="630">
        <v>2109277.7480000001</v>
      </c>
      <c r="AJ8" s="630">
        <v>10780.465</v>
      </c>
      <c r="AK8" s="630">
        <v>0</v>
      </c>
      <c r="AL8" s="630">
        <v>0</v>
      </c>
      <c r="AM8" s="630">
        <v>0</v>
      </c>
      <c r="AN8" s="630">
        <v>0</v>
      </c>
      <c r="AO8" s="630">
        <v>3376.8249999999998</v>
      </c>
      <c r="AP8" s="630">
        <v>2123435.0380000002</v>
      </c>
      <c r="AQ8" s="630">
        <v>0</v>
      </c>
      <c r="AR8" s="630">
        <v>2123435.0380000002</v>
      </c>
      <c r="AS8" s="630" t="s">
        <v>434</v>
      </c>
      <c r="AT8" s="630">
        <v>110287.754</v>
      </c>
      <c r="AU8" s="630">
        <v>283688.47100000002</v>
      </c>
      <c r="AV8" s="630">
        <v>0</v>
      </c>
      <c r="AW8" s="630" t="s">
        <v>434</v>
      </c>
      <c r="AX8" s="630">
        <v>2517411.2629999998</v>
      </c>
      <c r="AY8" s="630">
        <v>235929.19</v>
      </c>
      <c r="AZ8" s="612" t="s">
        <v>430</v>
      </c>
      <c r="BA8" s="612" t="s">
        <v>433</v>
      </c>
      <c r="BB8" s="613" t="s">
        <v>552</v>
      </c>
      <c r="BC8" s="614">
        <v>9.6421194583828515E-2</v>
      </c>
      <c r="BD8" s="614">
        <v>0.13277448552382681</v>
      </c>
      <c r="BE8" s="613" t="s">
        <v>581</v>
      </c>
      <c r="BF8" s="613" t="s">
        <v>581</v>
      </c>
      <c r="BG8" s="643"/>
      <c r="BH8" s="655"/>
    </row>
    <row r="9" spans="1:60" customFormat="1">
      <c r="A9" s="601" t="s">
        <v>90</v>
      </c>
      <c r="B9" s="601" t="s">
        <v>420</v>
      </c>
      <c r="C9" s="601">
        <v>3</v>
      </c>
      <c r="D9" s="601">
        <v>4</v>
      </c>
      <c r="E9" s="623" t="s">
        <v>194</v>
      </c>
      <c r="F9" s="623" t="s">
        <v>90</v>
      </c>
      <c r="G9" s="601" t="s">
        <v>567</v>
      </c>
      <c r="H9" s="623">
        <v>2014</v>
      </c>
      <c r="I9" s="631">
        <v>37668.978000000003</v>
      </c>
      <c r="J9" s="631">
        <v>263947.467</v>
      </c>
      <c r="K9" s="634">
        <v>1.3710145663523856</v>
      </c>
      <c r="L9" s="634">
        <v>348.64599199999998</v>
      </c>
      <c r="M9" s="631">
        <v>2747525.7319999998</v>
      </c>
      <c r="N9" s="632">
        <v>601902</v>
      </c>
      <c r="O9" s="632">
        <v>6570806</v>
      </c>
      <c r="P9" s="635">
        <v>340.30317970124213</v>
      </c>
      <c r="Q9" s="631">
        <v>2235338.4789999998</v>
      </c>
      <c r="R9" s="631">
        <v>2236066.1749999998</v>
      </c>
      <c r="S9" s="631">
        <v>1827991.446</v>
      </c>
      <c r="T9" s="633">
        <v>81.750328610019793</v>
      </c>
      <c r="U9" s="625"/>
      <c r="V9" s="632">
        <v>2898543</v>
      </c>
      <c r="W9" s="633">
        <v>5293.4930661474409</v>
      </c>
      <c r="X9" s="632">
        <v>261703</v>
      </c>
      <c r="Y9" s="632">
        <v>49355</v>
      </c>
      <c r="Z9" s="633">
        <v>477.93771418605269</v>
      </c>
      <c r="AA9" s="633">
        <v>5.302461756660926</v>
      </c>
      <c r="AB9" s="630">
        <v>2234981.6710000001</v>
      </c>
      <c r="AC9" s="630">
        <v>727.69600000000003</v>
      </c>
      <c r="AD9" s="630">
        <v>0</v>
      </c>
      <c r="AE9" s="630">
        <v>0</v>
      </c>
      <c r="AF9" s="630">
        <v>0</v>
      </c>
      <c r="AG9" s="630" t="s">
        <v>434</v>
      </c>
      <c r="AH9" s="630">
        <v>2235709.3670000001</v>
      </c>
      <c r="AI9" s="630">
        <v>793120.821</v>
      </c>
      <c r="AJ9" s="630">
        <v>42435.302000000003</v>
      </c>
      <c r="AK9" s="630">
        <v>0</v>
      </c>
      <c r="AL9" s="630">
        <v>335624.39600000001</v>
      </c>
      <c r="AM9" s="630">
        <v>439431.07500000001</v>
      </c>
      <c r="AN9" s="630">
        <v>213496.47899999999</v>
      </c>
      <c r="AO9" s="630">
        <v>3883.373</v>
      </c>
      <c r="AP9" s="630">
        <v>1827991.446</v>
      </c>
      <c r="AQ9" s="630">
        <v>0.4</v>
      </c>
      <c r="AR9" s="630">
        <v>1827991.0460000001</v>
      </c>
      <c r="AS9" s="630" t="s">
        <v>434</v>
      </c>
      <c r="AT9" s="630">
        <v>121143.568</v>
      </c>
      <c r="AU9" s="630">
        <v>212292.84899999999</v>
      </c>
      <c r="AV9" s="630">
        <v>0</v>
      </c>
      <c r="AW9" s="630" t="s">
        <v>434</v>
      </c>
      <c r="AX9" s="630">
        <v>2161427.463</v>
      </c>
      <c r="AY9" s="630">
        <v>74281.903999999995</v>
      </c>
      <c r="AZ9" s="612" t="s">
        <v>430</v>
      </c>
      <c r="BA9" s="612" t="s">
        <v>433</v>
      </c>
      <c r="BB9" s="613" t="s">
        <v>552</v>
      </c>
      <c r="BC9" s="614">
        <v>9.6067332118438556E-2</v>
      </c>
      <c r="BD9" s="614">
        <v>8.6429381781363487E-2</v>
      </c>
      <c r="BE9" s="613" t="s">
        <v>576</v>
      </c>
      <c r="BF9" s="613" t="s">
        <v>576</v>
      </c>
      <c r="BG9" s="643"/>
      <c r="BH9" s="655"/>
    </row>
    <row r="10" spans="1:60" customFormat="1">
      <c r="A10" s="601" t="s">
        <v>57</v>
      </c>
      <c r="B10" s="601" t="s">
        <v>422</v>
      </c>
      <c r="C10" s="601">
        <v>6</v>
      </c>
      <c r="D10" s="601">
        <v>6</v>
      </c>
      <c r="E10" s="623" t="s">
        <v>293</v>
      </c>
      <c r="F10" s="623" t="s">
        <v>57</v>
      </c>
      <c r="G10" s="601" t="s">
        <v>567</v>
      </c>
      <c r="H10" s="623">
        <v>2014</v>
      </c>
      <c r="I10" s="631">
        <v>363.15199999999999</v>
      </c>
      <c r="J10" s="625">
        <v>216300.95300000001</v>
      </c>
      <c r="K10" s="626">
        <v>1.8409516467676763E-2</v>
      </c>
      <c r="L10" s="626">
        <v>241.32392139999999</v>
      </c>
      <c r="M10" s="625">
        <v>1972631.93</v>
      </c>
      <c r="N10" s="627">
        <v>525928</v>
      </c>
      <c r="O10" s="627">
        <v>5940848</v>
      </c>
      <c r="P10" s="628">
        <v>248.56276528199342</v>
      </c>
      <c r="Q10" s="625">
        <v>1476673.6070000001</v>
      </c>
      <c r="R10" s="625">
        <v>1476673.6070000001</v>
      </c>
      <c r="S10" s="625">
        <v>1272023.99</v>
      </c>
      <c r="T10" s="629">
        <v>86.141174594718677</v>
      </c>
      <c r="U10" s="625"/>
      <c r="V10" s="632">
        <v>2240649</v>
      </c>
      <c r="W10" s="633">
        <v>4525.9175121127491</v>
      </c>
      <c r="X10" s="632">
        <v>255995</v>
      </c>
      <c r="Y10" s="632">
        <v>52516</v>
      </c>
      <c r="Z10" s="633">
        <v>517.08779622033762</v>
      </c>
      <c r="AA10" s="633">
        <v>4.8746096427755354</v>
      </c>
      <c r="AB10" s="630">
        <v>1475561.0179999999</v>
      </c>
      <c r="AC10" s="630">
        <v>0</v>
      </c>
      <c r="AD10" s="630">
        <v>0</v>
      </c>
      <c r="AE10" s="630">
        <v>0</v>
      </c>
      <c r="AF10" s="630">
        <v>0</v>
      </c>
      <c r="AG10" s="630" t="s">
        <v>434</v>
      </c>
      <c r="AH10" s="630">
        <v>1475561.0179999999</v>
      </c>
      <c r="AI10" s="630">
        <v>958671.31</v>
      </c>
      <c r="AJ10" s="630">
        <v>46136.046999999999</v>
      </c>
      <c r="AK10" s="630">
        <v>0</v>
      </c>
      <c r="AL10" s="630">
        <v>84378.842000000004</v>
      </c>
      <c r="AM10" s="630">
        <v>182837.79199999999</v>
      </c>
      <c r="AN10" s="630">
        <v>0</v>
      </c>
      <c r="AO10" s="630">
        <v>0</v>
      </c>
      <c r="AP10" s="630">
        <v>1272023.9909999999</v>
      </c>
      <c r="AQ10" s="630">
        <v>-66.210999999999999</v>
      </c>
      <c r="AR10" s="630">
        <v>1272090.202</v>
      </c>
      <c r="AS10" s="630" t="s">
        <v>434</v>
      </c>
      <c r="AT10" s="630">
        <v>43886.77</v>
      </c>
      <c r="AU10" s="630">
        <v>162468.56200000001</v>
      </c>
      <c r="AV10" s="630">
        <v>0</v>
      </c>
      <c r="AW10" s="630" t="s">
        <v>434</v>
      </c>
      <c r="AX10" s="630">
        <v>1478445.534</v>
      </c>
      <c r="AY10" s="630">
        <v>-2884.5160000000001</v>
      </c>
      <c r="AZ10" s="612" t="s">
        <v>430</v>
      </c>
      <c r="BA10" s="612" t="s">
        <v>433</v>
      </c>
      <c r="BB10" s="613" t="s">
        <v>552</v>
      </c>
      <c r="BC10" s="614">
        <v>0.10965094385347399</v>
      </c>
      <c r="BD10" s="614">
        <v>2.8937310199339289E-2</v>
      </c>
      <c r="BE10" s="613" t="s">
        <v>574</v>
      </c>
      <c r="BF10" s="613" t="s">
        <v>574</v>
      </c>
      <c r="BG10" s="643"/>
      <c r="BH10" s="655"/>
    </row>
    <row r="11" spans="1:60" customFormat="1">
      <c r="A11" s="601" t="s">
        <v>85</v>
      </c>
      <c r="B11" s="601" t="s">
        <v>423</v>
      </c>
      <c r="C11" s="601">
        <v>7</v>
      </c>
      <c r="D11" s="601">
        <v>7</v>
      </c>
      <c r="E11" s="623" t="s">
        <v>288</v>
      </c>
      <c r="F11" s="623" t="s">
        <v>85</v>
      </c>
      <c r="G11" s="601" t="s">
        <v>469</v>
      </c>
      <c r="H11" s="623">
        <v>2014</v>
      </c>
      <c r="I11" s="631">
        <v>2230.6570000000002</v>
      </c>
      <c r="J11" s="625">
        <v>228131.54300000001</v>
      </c>
      <c r="K11" s="626">
        <v>7.2445428351736479E-2</v>
      </c>
      <c r="L11" s="626">
        <v>356.15136310000003</v>
      </c>
      <c r="M11" s="625">
        <v>3079085.9419999998</v>
      </c>
      <c r="N11" s="627">
        <v>506833</v>
      </c>
      <c r="O11" s="627">
        <v>5819768</v>
      </c>
      <c r="P11" s="628">
        <v>529.74701895333283</v>
      </c>
      <c r="Q11" s="625">
        <v>3083004.7489999998</v>
      </c>
      <c r="R11" s="625">
        <v>3083004.7489999998</v>
      </c>
      <c r="S11" s="625">
        <v>2833395.571</v>
      </c>
      <c r="T11" s="629">
        <v>91.903704394845235</v>
      </c>
      <c r="U11" s="625"/>
      <c r="V11" s="632">
        <v>3533679</v>
      </c>
      <c r="W11" s="633">
        <v>7286.226529992261</v>
      </c>
      <c r="X11" s="632">
        <v>286342</v>
      </c>
      <c r="Y11" s="632">
        <v>58714</v>
      </c>
      <c r="Z11" s="633">
        <v>590.41941190782859</v>
      </c>
      <c r="AA11" s="633">
        <v>4.8768947780767791</v>
      </c>
      <c r="AB11" s="630">
        <v>3052257.1009999998</v>
      </c>
      <c r="AC11" s="630">
        <v>0</v>
      </c>
      <c r="AD11" s="630">
        <v>0</v>
      </c>
      <c r="AE11" s="630">
        <v>0</v>
      </c>
      <c r="AF11" s="630">
        <v>0</v>
      </c>
      <c r="AG11" s="630" t="s">
        <v>434</v>
      </c>
      <c r="AH11" s="630">
        <v>3052257.1009999998</v>
      </c>
      <c r="AI11" s="630">
        <v>2833395.571</v>
      </c>
      <c r="AJ11" s="630">
        <v>0</v>
      </c>
      <c r="AK11" s="630">
        <v>0</v>
      </c>
      <c r="AL11" s="630">
        <v>0</v>
      </c>
      <c r="AM11" s="630">
        <v>0</v>
      </c>
      <c r="AN11" s="630">
        <v>0</v>
      </c>
      <c r="AO11" s="630">
        <v>0</v>
      </c>
      <c r="AP11" s="630">
        <v>2833395.571</v>
      </c>
      <c r="AQ11" s="630">
        <v>30747.648000000001</v>
      </c>
      <c r="AR11" s="630">
        <v>2802647.923</v>
      </c>
      <c r="AS11" s="630" t="s">
        <v>434</v>
      </c>
      <c r="AT11" s="630">
        <v>0</v>
      </c>
      <c r="AU11" s="630">
        <v>228131.54300000001</v>
      </c>
      <c r="AV11" s="630">
        <v>0</v>
      </c>
      <c r="AW11" s="630" t="s">
        <v>434</v>
      </c>
      <c r="AX11" s="630">
        <v>3030779.466</v>
      </c>
      <c r="AY11" s="630">
        <v>21477.634999999998</v>
      </c>
      <c r="AZ11" s="612" t="s">
        <v>430</v>
      </c>
      <c r="BA11" s="612" t="s">
        <v>431</v>
      </c>
      <c r="BB11" s="613" t="s">
        <v>552</v>
      </c>
      <c r="BC11" s="614">
        <v>7.4090670834546013E-2</v>
      </c>
      <c r="BD11" s="652">
        <v>7.2445428351736478E-4</v>
      </c>
      <c r="BE11" s="613" t="s">
        <v>573</v>
      </c>
      <c r="BF11" s="613" t="s">
        <v>573</v>
      </c>
      <c r="BG11" s="643"/>
      <c r="BH11" s="655"/>
    </row>
    <row r="12" spans="1:60" customFormat="1">
      <c r="A12" s="601" t="s">
        <v>94</v>
      </c>
      <c r="B12" s="601" t="s">
        <v>421</v>
      </c>
      <c r="C12" s="601">
        <v>4</v>
      </c>
      <c r="D12" s="601">
        <v>8</v>
      </c>
      <c r="E12" s="623" t="s">
        <v>256</v>
      </c>
      <c r="F12" s="623" t="s">
        <v>94</v>
      </c>
      <c r="G12" s="601" t="s">
        <v>469</v>
      </c>
      <c r="H12" s="623">
        <v>2014</v>
      </c>
      <c r="I12" s="631">
        <v>-24625.457999999999</v>
      </c>
      <c r="J12" s="631">
        <v>154900.24</v>
      </c>
      <c r="K12" s="634">
        <v>-1.8146479646028713</v>
      </c>
      <c r="L12" s="634">
        <v>308.07381880000003</v>
      </c>
      <c r="M12" s="631">
        <v>1357037.7549999999</v>
      </c>
      <c r="N12" s="632">
        <v>474417</v>
      </c>
      <c r="O12" s="632">
        <v>5255294</v>
      </c>
      <c r="P12" s="635">
        <v>233.08376695956497</v>
      </c>
      <c r="Q12" s="631">
        <v>1468108.594</v>
      </c>
      <c r="R12" s="631">
        <v>1224923.7220000001</v>
      </c>
      <c r="S12" s="631">
        <v>1072172.648</v>
      </c>
      <c r="T12" s="633">
        <v>87.529748076835759</v>
      </c>
      <c r="U12" s="625"/>
      <c r="V12" s="632">
        <v>2155834</v>
      </c>
      <c r="W12" s="633">
        <v>4922.6566582193118</v>
      </c>
      <c r="X12" s="632">
        <v>119103</v>
      </c>
      <c r="Y12" s="632">
        <v>28356</v>
      </c>
      <c r="Z12" s="633">
        <v>271.96118808957215</v>
      </c>
      <c r="AA12" s="633">
        <v>4.2002750740584007</v>
      </c>
      <c r="AB12" s="630">
        <v>1467580.919</v>
      </c>
      <c r="AC12" s="630">
        <v>-243184.872</v>
      </c>
      <c r="AD12" s="630">
        <v>0</v>
      </c>
      <c r="AE12" s="630">
        <v>0</v>
      </c>
      <c r="AF12" s="630">
        <v>0</v>
      </c>
      <c r="AG12" s="630" t="s">
        <v>434</v>
      </c>
      <c r="AH12" s="630">
        <v>1224396.047</v>
      </c>
      <c r="AI12" s="630">
        <v>729632.88</v>
      </c>
      <c r="AJ12" s="630">
        <v>5856.1949999999997</v>
      </c>
      <c r="AK12" s="630">
        <v>26893.503000000001</v>
      </c>
      <c r="AL12" s="630">
        <v>93931.615000000005</v>
      </c>
      <c r="AM12" s="630">
        <v>211340.283</v>
      </c>
      <c r="AN12" s="630">
        <v>0</v>
      </c>
      <c r="AO12" s="630">
        <v>4518.1710000000003</v>
      </c>
      <c r="AP12" s="630">
        <v>1072172.6470000001</v>
      </c>
      <c r="AQ12" s="630">
        <v>1482.501</v>
      </c>
      <c r="AR12" s="630">
        <v>1070690.1459999999</v>
      </c>
      <c r="AS12" s="630" t="s">
        <v>434</v>
      </c>
      <c r="AT12" s="630">
        <v>31492.725999999999</v>
      </c>
      <c r="AU12" s="630">
        <v>142007.85800000001</v>
      </c>
      <c r="AV12" s="630">
        <v>0</v>
      </c>
      <c r="AW12" s="630" t="s">
        <v>434</v>
      </c>
      <c r="AX12" s="630">
        <v>1244190.73</v>
      </c>
      <c r="AY12" s="630">
        <v>-19794.683000000001</v>
      </c>
      <c r="AZ12" s="612" t="s">
        <v>430</v>
      </c>
      <c r="BA12" s="612" t="s">
        <v>433</v>
      </c>
      <c r="BB12" s="613" t="s">
        <v>552</v>
      </c>
      <c r="BC12" s="614">
        <v>0.11414585882321307</v>
      </c>
      <c r="BD12" s="652">
        <v>-1.8146479646028713E-2</v>
      </c>
      <c r="BE12" s="613" t="s">
        <v>572</v>
      </c>
      <c r="BF12" s="613" t="s">
        <v>572</v>
      </c>
      <c r="BG12" s="643"/>
      <c r="BH12" s="655"/>
    </row>
    <row r="13" spans="1:60" customFormat="1">
      <c r="A13" s="601" t="s">
        <v>78</v>
      </c>
      <c r="B13" s="601" t="s">
        <v>418</v>
      </c>
      <c r="C13" s="601">
        <v>1</v>
      </c>
      <c r="D13" s="601">
        <v>10</v>
      </c>
      <c r="E13" s="623" t="s">
        <v>185</v>
      </c>
      <c r="F13" s="623" t="s">
        <v>78</v>
      </c>
      <c r="G13" s="601" t="s">
        <v>469</v>
      </c>
      <c r="H13" s="623">
        <v>2014</v>
      </c>
      <c r="I13" s="631">
        <v>97135.59</v>
      </c>
      <c r="J13" s="631">
        <v>160635.96599999999</v>
      </c>
      <c r="K13" s="634">
        <v>4.8823703048050815</v>
      </c>
      <c r="L13" s="634">
        <v>402.49655749999999</v>
      </c>
      <c r="M13" s="631">
        <v>1989517.057</v>
      </c>
      <c r="N13" s="632">
        <v>456999</v>
      </c>
      <c r="O13" s="632">
        <v>4936926</v>
      </c>
      <c r="P13" s="635">
        <v>390.92858633084637</v>
      </c>
      <c r="Q13" s="631">
        <v>1935510.23</v>
      </c>
      <c r="R13" s="631">
        <v>1929985.5020000001</v>
      </c>
      <c r="S13" s="631">
        <v>1563235.871</v>
      </c>
      <c r="T13" s="633">
        <v>80.997285698781369</v>
      </c>
      <c r="U13" s="625"/>
      <c r="V13" s="632">
        <v>3246003</v>
      </c>
      <c r="W13" s="633">
        <v>7889.937179532365</v>
      </c>
      <c r="X13" s="632">
        <v>244241</v>
      </c>
      <c r="Y13" s="632">
        <v>38822</v>
      </c>
      <c r="Z13" s="633">
        <v>593.66739546025201</v>
      </c>
      <c r="AA13" s="633">
        <v>6.2913038998506003</v>
      </c>
      <c r="AB13" s="630">
        <v>1935510.23</v>
      </c>
      <c r="AC13" s="630">
        <v>-5524.7280000000001</v>
      </c>
      <c r="AD13" s="630">
        <v>0</v>
      </c>
      <c r="AE13" s="630">
        <v>0</v>
      </c>
      <c r="AF13" s="630">
        <v>0</v>
      </c>
      <c r="AG13" s="630" t="s">
        <v>434</v>
      </c>
      <c r="AH13" s="630">
        <v>1929985.5020000001</v>
      </c>
      <c r="AI13" s="630">
        <v>1188379.9310000001</v>
      </c>
      <c r="AJ13" s="630">
        <v>94899.210999999996</v>
      </c>
      <c r="AK13" s="630">
        <v>0</v>
      </c>
      <c r="AL13" s="630">
        <v>0</v>
      </c>
      <c r="AM13" s="630">
        <v>278502.48599999998</v>
      </c>
      <c r="AN13" s="630">
        <v>0</v>
      </c>
      <c r="AO13" s="630">
        <v>1454.242</v>
      </c>
      <c r="AP13" s="630">
        <v>1563235.87</v>
      </c>
      <c r="AQ13" s="630">
        <v>0</v>
      </c>
      <c r="AR13" s="630">
        <v>1563235.87</v>
      </c>
      <c r="AS13" s="630" t="s">
        <v>434</v>
      </c>
      <c r="AT13" s="630">
        <v>90003.887000000002</v>
      </c>
      <c r="AU13" s="630">
        <v>153036.76300000001</v>
      </c>
      <c r="AV13" s="630">
        <v>0</v>
      </c>
      <c r="AW13" s="630" t="s">
        <v>434</v>
      </c>
      <c r="AX13" s="630">
        <v>1806276.52</v>
      </c>
      <c r="AY13" s="630">
        <v>123708.982</v>
      </c>
      <c r="AZ13" s="612" t="s">
        <v>430</v>
      </c>
      <c r="BA13" s="612" t="s">
        <v>433</v>
      </c>
      <c r="BB13" s="613" t="s">
        <v>552</v>
      </c>
      <c r="BC13" s="614">
        <v>8.0741185623320832E-2</v>
      </c>
      <c r="BD13" s="652">
        <v>4.8823703048050816E-2</v>
      </c>
      <c r="BE13" s="613" t="s">
        <v>574</v>
      </c>
      <c r="BF13" s="613" t="s">
        <v>574</v>
      </c>
      <c r="BG13" s="643"/>
      <c r="BH13" s="655"/>
    </row>
    <row r="14" spans="1:60" customFormat="1">
      <c r="A14" s="601" t="s">
        <v>90</v>
      </c>
      <c r="B14" s="601" t="s">
        <v>419</v>
      </c>
      <c r="C14" s="601">
        <v>2</v>
      </c>
      <c r="D14" s="601">
        <v>9</v>
      </c>
      <c r="E14" s="623" t="s">
        <v>200</v>
      </c>
      <c r="F14" s="623" t="s">
        <v>90</v>
      </c>
      <c r="G14" s="601" t="s">
        <v>567</v>
      </c>
      <c r="H14" s="623">
        <v>2014</v>
      </c>
      <c r="I14" s="631">
        <v>11216.416999999999</v>
      </c>
      <c r="J14" s="631">
        <v>226939.66899999999</v>
      </c>
      <c r="K14" s="634">
        <v>0.47455065714286743</v>
      </c>
      <c r="L14" s="634">
        <v>365.00340080000001</v>
      </c>
      <c r="M14" s="631">
        <v>2363586.8650000002</v>
      </c>
      <c r="N14" s="632">
        <v>440980</v>
      </c>
      <c r="O14" s="632">
        <v>5115472</v>
      </c>
      <c r="P14" s="635">
        <v>362.03036689478506</v>
      </c>
      <c r="Q14" s="631">
        <v>1878280.7109999999</v>
      </c>
      <c r="R14" s="631">
        <v>1851956.2050000001</v>
      </c>
      <c r="S14" s="631">
        <v>1575013.247</v>
      </c>
      <c r="T14" s="633">
        <v>85.045922940710142</v>
      </c>
      <c r="U14" s="636"/>
      <c r="V14" s="632">
        <v>2490832</v>
      </c>
      <c r="W14" s="633">
        <v>5843.0549517229301</v>
      </c>
      <c r="X14" s="632">
        <v>170368</v>
      </c>
      <c r="Y14" s="632">
        <v>41341</v>
      </c>
      <c r="Z14" s="633">
        <v>399.65344351410778</v>
      </c>
      <c r="AA14" s="633">
        <v>4.1210420647783073</v>
      </c>
      <c r="AB14" s="630">
        <v>1926024.433</v>
      </c>
      <c r="AC14" s="630">
        <v>-26324.506000000001</v>
      </c>
      <c r="AD14" s="630">
        <v>0</v>
      </c>
      <c r="AE14" s="630">
        <v>0</v>
      </c>
      <c r="AF14" s="630">
        <v>0</v>
      </c>
      <c r="AG14" s="630" t="s">
        <v>434</v>
      </c>
      <c r="AH14" s="630">
        <v>1899699.9269999999</v>
      </c>
      <c r="AI14" s="630">
        <v>1152447.902</v>
      </c>
      <c r="AJ14" s="630">
        <v>65071.701999999997</v>
      </c>
      <c r="AK14" s="630">
        <v>0</v>
      </c>
      <c r="AL14" s="630">
        <v>64647.695</v>
      </c>
      <c r="AM14" s="630">
        <v>292781.19400000002</v>
      </c>
      <c r="AN14" s="630">
        <v>0</v>
      </c>
      <c r="AO14" s="630">
        <v>64.754000000000005</v>
      </c>
      <c r="AP14" s="630">
        <v>1575013.247</v>
      </c>
      <c r="AQ14" s="630">
        <v>-40636.237999999998</v>
      </c>
      <c r="AR14" s="630">
        <v>1615649.4850000001</v>
      </c>
      <c r="AS14" s="630" t="s">
        <v>434</v>
      </c>
      <c r="AT14" s="630">
        <v>44757.536</v>
      </c>
      <c r="AU14" s="630">
        <v>218245.74400000001</v>
      </c>
      <c r="AV14" s="630">
        <v>0</v>
      </c>
      <c r="AW14" s="630" t="s">
        <v>434</v>
      </c>
      <c r="AX14" s="630">
        <v>1878652.7649999999</v>
      </c>
      <c r="AY14" s="630">
        <v>21047.162</v>
      </c>
      <c r="AZ14" s="612" t="s">
        <v>430</v>
      </c>
      <c r="BA14" s="612" t="s">
        <v>433</v>
      </c>
      <c r="BB14" s="613" t="s">
        <v>552</v>
      </c>
      <c r="BC14" s="614">
        <v>9.6014947603797918E-2</v>
      </c>
      <c r="BD14" s="614">
        <v>5.3525822989100691E-2</v>
      </c>
      <c r="BE14" s="613" t="s">
        <v>575</v>
      </c>
      <c r="BF14" s="613" t="s">
        <v>575</v>
      </c>
      <c r="BG14" s="643"/>
      <c r="BH14" s="655"/>
    </row>
    <row r="15" spans="1:60" customFormat="1">
      <c r="A15" s="601" t="s">
        <v>81</v>
      </c>
      <c r="B15" s="601" t="s">
        <v>418</v>
      </c>
      <c r="C15" s="601">
        <v>1</v>
      </c>
      <c r="D15" s="601">
        <v>11</v>
      </c>
      <c r="E15" s="623" t="s">
        <v>282</v>
      </c>
      <c r="F15" s="623" t="s">
        <v>81</v>
      </c>
      <c r="G15" s="601" t="s">
        <v>567</v>
      </c>
      <c r="H15" s="623">
        <v>2014</v>
      </c>
      <c r="I15" s="631">
        <v>112260.717</v>
      </c>
      <c r="J15" s="631">
        <v>205027.00200000001</v>
      </c>
      <c r="K15" s="634">
        <v>4.5246289585215971</v>
      </c>
      <c r="L15" s="634">
        <v>459.78444630000001</v>
      </c>
      <c r="M15" s="631">
        <v>2481103.2689999999</v>
      </c>
      <c r="N15" s="632">
        <v>438318</v>
      </c>
      <c r="O15" s="632">
        <v>4885431</v>
      </c>
      <c r="P15" s="635">
        <v>374.57294126147724</v>
      </c>
      <c r="Q15" s="631">
        <v>1829950.2590000001</v>
      </c>
      <c r="R15" s="631">
        <v>1829950.2590000001</v>
      </c>
      <c r="S15" s="631">
        <v>1435162.74</v>
      </c>
      <c r="T15" s="633">
        <v>78.426325138709686</v>
      </c>
      <c r="U15" s="625"/>
      <c r="V15" s="632">
        <v>4525478</v>
      </c>
      <c r="W15" s="633">
        <v>11115.853647303586</v>
      </c>
      <c r="X15" s="632">
        <v>240546</v>
      </c>
      <c r="Y15" s="632">
        <v>46768</v>
      </c>
      <c r="Z15" s="633">
        <v>590.84899571808501</v>
      </c>
      <c r="AA15" s="633">
        <v>5.1433886418063635</v>
      </c>
      <c r="AB15" s="630">
        <v>1829950.2590000001</v>
      </c>
      <c r="AC15" s="630">
        <v>0</v>
      </c>
      <c r="AD15" s="630">
        <v>0</v>
      </c>
      <c r="AE15" s="630">
        <v>0</v>
      </c>
      <c r="AF15" s="630">
        <v>0</v>
      </c>
      <c r="AG15" s="630" t="s">
        <v>434</v>
      </c>
      <c r="AH15" s="630">
        <v>1829950.2590000001</v>
      </c>
      <c r="AI15" s="630">
        <v>1046302.676</v>
      </c>
      <c r="AJ15" s="630">
        <v>61622.131999999998</v>
      </c>
      <c r="AK15" s="630">
        <v>0</v>
      </c>
      <c r="AL15" s="630">
        <v>0</v>
      </c>
      <c r="AM15" s="630">
        <v>318917.80499999999</v>
      </c>
      <c r="AN15" s="630">
        <v>0</v>
      </c>
      <c r="AO15" s="630">
        <v>8320.1260000000002</v>
      </c>
      <c r="AP15" s="630">
        <v>1435162.7390000001</v>
      </c>
      <c r="AQ15" s="630">
        <v>0</v>
      </c>
      <c r="AR15" s="630">
        <v>1435162.7390000001</v>
      </c>
      <c r="AS15" s="630" t="s">
        <v>434</v>
      </c>
      <c r="AT15" s="630">
        <v>76878.815000000002</v>
      </c>
      <c r="AU15" s="630">
        <v>162629.01199999999</v>
      </c>
      <c r="AV15" s="630">
        <v>0</v>
      </c>
      <c r="AW15" s="630" t="s">
        <v>434</v>
      </c>
      <c r="AX15" s="630">
        <v>1674670.5660000001</v>
      </c>
      <c r="AY15" s="630">
        <v>155279.693</v>
      </c>
      <c r="AZ15" s="612" t="s">
        <v>430</v>
      </c>
      <c r="BA15" s="612" t="s">
        <v>433</v>
      </c>
      <c r="BB15" s="613" t="s">
        <v>552</v>
      </c>
      <c r="BC15" s="614">
        <v>8.2635416494628799E-2</v>
      </c>
      <c r="BD15" s="614">
        <v>0.13310133211827435</v>
      </c>
      <c r="BE15" s="613" t="s">
        <v>581</v>
      </c>
      <c r="BF15" s="613" t="s">
        <v>581</v>
      </c>
      <c r="BG15" s="643"/>
      <c r="BH15" s="655"/>
    </row>
    <row r="16" spans="1:60" customFormat="1">
      <c r="A16" s="612" t="s">
        <v>89</v>
      </c>
      <c r="B16" s="612" t="s">
        <v>330</v>
      </c>
      <c r="C16" s="612">
        <v>16</v>
      </c>
      <c r="D16" s="601">
        <v>12</v>
      </c>
      <c r="E16" s="623" t="s">
        <v>330</v>
      </c>
      <c r="F16" s="623" t="s">
        <v>89</v>
      </c>
      <c r="G16" s="601" t="s">
        <v>469</v>
      </c>
      <c r="H16" s="623">
        <v>2014</v>
      </c>
      <c r="I16" s="624">
        <v>60252.033000000003</v>
      </c>
      <c r="J16" s="625">
        <v>179528.09400000001</v>
      </c>
      <c r="K16" s="626">
        <v>3.318279739628458</v>
      </c>
      <c r="L16" s="626">
        <v>602.58253349999995</v>
      </c>
      <c r="M16" s="625">
        <v>1815761.1089999999</v>
      </c>
      <c r="N16" s="627">
        <v>426399</v>
      </c>
      <c r="O16" s="627">
        <v>4868303</v>
      </c>
      <c r="P16" s="628">
        <v>369.80931343016243</v>
      </c>
      <c r="Q16" s="625">
        <v>1796343.79</v>
      </c>
      <c r="R16" s="625">
        <v>1800343.79</v>
      </c>
      <c r="S16" s="625">
        <v>1409483.0819999999</v>
      </c>
      <c r="T16" s="629">
        <v>78.289662776019014</v>
      </c>
      <c r="U16" s="625"/>
      <c r="V16" s="627">
        <v>4612062</v>
      </c>
      <c r="W16" s="629">
        <v>11368.385246357921</v>
      </c>
      <c r="X16" s="627">
        <v>324225</v>
      </c>
      <c r="Y16" s="627">
        <v>43643</v>
      </c>
      <c r="Z16" s="629">
        <v>799.19019009293379</v>
      </c>
      <c r="AA16" s="629">
        <v>7.4290264188987924</v>
      </c>
      <c r="AB16" s="630" t="s">
        <v>20</v>
      </c>
      <c r="AC16" s="630" t="s">
        <v>20</v>
      </c>
      <c r="AD16" s="630" t="s">
        <v>20</v>
      </c>
      <c r="AE16" s="630" t="s">
        <v>20</v>
      </c>
      <c r="AF16" s="630" t="s">
        <v>20</v>
      </c>
      <c r="AG16" s="630" t="s">
        <v>20</v>
      </c>
      <c r="AH16" s="630" t="s">
        <v>20</v>
      </c>
      <c r="AI16" s="630" t="s">
        <v>20</v>
      </c>
      <c r="AJ16" s="630" t="s">
        <v>20</v>
      </c>
      <c r="AK16" s="630" t="s">
        <v>20</v>
      </c>
      <c r="AL16" s="630" t="s">
        <v>20</v>
      </c>
      <c r="AM16" s="630" t="s">
        <v>20</v>
      </c>
      <c r="AN16" s="630" t="s">
        <v>20</v>
      </c>
      <c r="AO16" s="630" t="s">
        <v>20</v>
      </c>
      <c r="AP16" s="630" t="s">
        <v>20</v>
      </c>
      <c r="AQ16" s="630" t="s">
        <v>20</v>
      </c>
      <c r="AR16" s="630" t="s">
        <v>20</v>
      </c>
      <c r="AS16" s="630" t="s">
        <v>20</v>
      </c>
      <c r="AT16" s="630" t="s">
        <v>20</v>
      </c>
      <c r="AU16" s="630" t="s">
        <v>20</v>
      </c>
      <c r="AV16" s="630" t="s">
        <v>20</v>
      </c>
      <c r="AW16" s="630" t="s">
        <v>20</v>
      </c>
      <c r="AX16" s="630" t="s">
        <v>20</v>
      </c>
      <c r="AY16" s="630" t="s">
        <v>20</v>
      </c>
      <c r="AZ16" s="612" t="s">
        <v>430</v>
      </c>
      <c r="BA16" s="612" t="s">
        <v>431</v>
      </c>
      <c r="BB16" s="613" t="s">
        <v>552</v>
      </c>
      <c r="BC16" s="614">
        <v>9.8872089015538012E-2</v>
      </c>
      <c r="BD16" s="652">
        <v>3.3182797396284582E-2</v>
      </c>
      <c r="BE16" s="613" t="s">
        <v>574</v>
      </c>
      <c r="BF16" s="613" t="s">
        <v>574</v>
      </c>
      <c r="BG16" s="643"/>
      <c r="BH16" s="655"/>
    </row>
    <row r="17" spans="1:60" customFormat="1">
      <c r="A17" s="601" t="s">
        <v>90</v>
      </c>
      <c r="B17" s="601" t="s">
        <v>419</v>
      </c>
      <c r="C17" s="601">
        <v>2</v>
      </c>
      <c r="D17" s="601">
        <v>13</v>
      </c>
      <c r="E17" s="623" t="s">
        <v>268</v>
      </c>
      <c r="F17" s="623" t="s">
        <v>90</v>
      </c>
      <c r="G17" s="601" t="s">
        <v>469</v>
      </c>
      <c r="H17" s="623">
        <v>2014</v>
      </c>
      <c r="I17" s="631">
        <v>32071.710999999999</v>
      </c>
      <c r="J17" s="631">
        <v>174332.337</v>
      </c>
      <c r="K17" s="634">
        <v>1.7272922919748073</v>
      </c>
      <c r="L17" s="634">
        <v>358.5293618</v>
      </c>
      <c r="M17" s="631">
        <v>1856762.237</v>
      </c>
      <c r="N17" s="632">
        <v>416213</v>
      </c>
      <c r="O17" s="632">
        <v>4448799</v>
      </c>
      <c r="P17" s="635">
        <v>394.10139792784526</v>
      </c>
      <c r="Q17" s="631">
        <v>1776606.486</v>
      </c>
      <c r="R17" s="631">
        <v>1753277.905</v>
      </c>
      <c r="S17" s="631">
        <v>1505198.9369999999</v>
      </c>
      <c r="T17" s="633">
        <v>85.850562121810341</v>
      </c>
      <c r="U17" s="636"/>
      <c r="V17" s="632">
        <v>2015972</v>
      </c>
      <c r="W17" s="633">
        <v>5437.796582853035</v>
      </c>
      <c r="X17" s="632">
        <v>191669</v>
      </c>
      <c r="Y17" s="632">
        <v>42206</v>
      </c>
      <c r="Z17" s="633">
        <v>516.99975656351296</v>
      </c>
      <c r="AA17" s="633">
        <v>4.5412737525470313</v>
      </c>
      <c r="AB17" s="630">
        <v>1776327.0419999999</v>
      </c>
      <c r="AC17" s="630">
        <v>-23328.580999999998</v>
      </c>
      <c r="AD17" s="630">
        <v>0</v>
      </c>
      <c r="AE17" s="630">
        <v>0</v>
      </c>
      <c r="AF17" s="630">
        <v>0</v>
      </c>
      <c r="AG17" s="630" t="s">
        <v>434</v>
      </c>
      <c r="AH17" s="630">
        <v>1752998.4609999999</v>
      </c>
      <c r="AI17" s="630">
        <v>1028168.149</v>
      </c>
      <c r="AJ17" s="630">
        <v>73052.83</v>
      </c>
      <c r="AK17" s="630">
        <v>0</v>
      </c>
      <c r="AL17" s="630">
        <v>99836.422000000006</v>
      </c>
      <c r="AM17" s="630">
        <v>300963.07</v>
      </c>
      <c r="AN17" s="630">
        <v>0</v>
      </c>
      <c r="AO17" s="630">
        <v>3178.4659999999999</v>
      </c>
      <c r="AP17" s="630">
        <v>1505198.9369999999</v>
      </c>
      <c r="AQ17" s="630">
        <v>491.39100000000002</v>
      </c>
      <c r="AR17" s="630">
        <v>1504707.5460000001</v>
      </c>
      <c r="AS17" s="630" t="s">
        <v>434</v>
      </c>
      <c r="AT17" s="630">
        <v>42507.370999999999</v>
      </c>
      <c r="AU17" s="630">
        <v>164346.171</v>
      </c>
      <c r="AV17" s="630">
        <v>0</v>
      </c>
      <c r="AW17" s="630" t="s">
        <v>434</v>
      </c>
      <c r="AX17" s="630">
        <v>1711561.088</v>
      </c>
      <c r="AY17" s="630">
        <v>41437.373</v>
      </c>
      <c r="AZ17" s="612" t="s">
        <v>430</v>
      </c>
      <c r="BA17" s="612" t="s">
        <v>433</v>
      </c>
      <c r="BB17" s="613" t="s">
        <v>552</v>
      </c>
      <c r="BC17" s="614">
        <v>9.3890501177830668E-2</v>
      </c>
      <c r="BD17" s="652">
        <v>1.7272922919748072E-2</v>
      </c>
      <c r="BE17" s="613" t="s">
        <v>573</v>
      </c>
      <c r="BF17" s="613" t="s">
        <v>573</v>
      </c>
      <c r="BG17" s="643"/>
      <c r="BH17" s="655"/>
    </row>
    <row r="18" spans="1:60" customFormat="1">
      <c r="A18" s="601" t="s">
        <v>64</v>
      </c>
      <c r="B18" s="601" t="s">
        <v>422</v>
      </c>
      <c r="C18" s="601">
        <v>6</v>
      </c>
      <c r="D18" s="601">
        <v>14</v>
      </c>
      <c r="E18" s="623" t="s">
        <v>290</v>
      </c>
      <c r="F18" s="623" t="s">
        <v>64</v>
      </c>
      <c r="G18" s="601" t="s">
        <v>469</v>
      </c>
      <c r="H18" s="623">
        <v>2014</v>
      </c>
      <c r="I18" s="631">
        <v>88988.656000000003</v>
      </c>
      <c r="J18" s="625">
        <v>134240.495</v>
      </c>
      <c r="K18" s="626">
        <v>3.6781848369181276</v>
      </c>
      <c r="L18" s="626">
        <v>283.30703720000002</v>
      </c>
      <c r="M18" s="625">
        <v>2419363.3530000001</v>
      </c>
      <c r="N18" s="627">
        <v>412832</v>
      </c>
      <c r="O18" s="627">
        <v>4438107</v>
      </c>
      <c r="P18" s="628">
        <v>495.47840396817833</v>
      </c>
      <c r="Q18" s="625">
        <v>2198986.173</v>
      </c>
      <c r="R18" s="625">
        <v>2198986.173</v>
      </c>
      <c r="S18" s="625">
        <v>1859913.6340000001</v>
      </c>
      <c r="T18" s="629">
        <v>84.580506091249532</v>
      </c>
      <c r="U18" s="625"/>
      <c r="V18" s="632">
        <v>2609720</v>
      </c>
      <c r="W18" s="633">
        <v>7056.3057627948128</v>
      </c>
      <c r="X18" s="632">
        <v>303507</v>
      </c>
      <c r="Y18" s="632">
        <v>62755</v>
      </c>
      <c r="Z18" s="633">
        <v>820.6390697655554</v>
      </c>
      <c r="AA18" s="633">
        <v>4.8363795713488962</v>
      </c>
      <c r="AB18" s="630">
        <v>2197159.6320000002</v>
      </c>
      <c r="AC18" s="630">
        <v>0</v>
      </c>
      <c r="AD18" s="630">
        <v>0</v>
      </c>
      <c r="AE18" s="630">
        <v>0</v>
      </c>
      <c r="AF18" s="630">
        <v>0</v>
      </c>
      <c r="AG18" s="630" t="s">
        <v>434</v>
      </c>
      <c r="AH18" s="630">
        <v>2197159.6320000002</v>
      </c>
      <c r="AI18" s="630">
        <v>1224752.7320000001</v>
      </c>
      <c r="AJ18" s="630">
        <v>109501.30499999999</v>
      </c>
      <c r="AK18" s="630">
        <v>0</v>
      </c>
      <c r="AL18" s="630">
        <v>138549.80300000001</v>
      </c>
      <c r="AM18" s="630">
        <v>387109.79700000002</v>
      </c>
      <c r="AN18" s="630">
        <v>0</v>
      </c>
      <c r="AO18" s="630">
        <v>0</v>
      </c>
      <c r="AP18" s="630">
        <v>1859913.6370000001</v>
      </c>
      <c r="AQ18" s="630">
        <v>543.61699999999996</v>
      </c>
      <c r="AR18" s="630">
        <v>1859370.02</v>
      </c>
      <c r="AS18" s="630" t="s">
        <v>434</v>
      </c>
      <c r="AT18" s="630">
        <v>66316.436000000002</v>
      </c>
      <c r="AU18" s="630">
        <v>117101.96400000001</v>
      </c>
      <c r="AV18" s="630">
        <v>0</v>
      </c>
      <c r="AW18" s="630" t="s">
        <v>434</v>
      </c>
      <c r="AX18" s="630">
        <v>2042788.42</v>
      </c>
      <c r="AY18" s="630">
        <v>154371.212</v>
      </c>
      <c r="AZ18" s="612" t="s">
        <v>430</v>
      </c>
      <c r="BA18" s="612" t="s">
        <v>433</v>
      </c>
      <c r="BB18" s="613" t="s">
        <v>552</v>
      </c>
      <c r="BC18" s="614">
        <v>5.5485875998552411E-2</v>
      </c>
      <c r="BD18" s="652">
        <v>3.6781848369181275E-2</v>
      </c>
      <c r="BE18" s="613" t="s">
        <v>574</v>
      </c>
      <c r="BF18" s="613" t="s">
        <v>574</v>
      </c>
      <c r="BG18" s="643"/>
      <c r="BH18" s="655"/>
    </row>
    <row r="19" spans="1:60" customFormat="1">
      <c r="A19" s="601" t="s">
        <v>56</v>
      </c>
      <c r="B19" s="601" t="s">
        <v>419</v>
      </c>
      <c r="C19" s="601">
        <v>2</v>
      </c>
      <c r="D19" s="601">
        <v>21</v>
      </c>
      <c r="E19" s="623" t="s">
        <v>323</v>
      </c>
      <c r="F19" s="623" t="s">
        <v>56</v>
      </c>
      <c r="G19" s="601" t="s">
        <v>567</v>
      </c>
      <c r="H19" s="623">
        <v>2014</v>
      </c>
      <c r="I19" s="631">
        <v>-119274.558</v>
      </c>
      <c r="J19" s="631">
        <v>95251.89</v>
      </c>
      <c r="K19" s="634">
        <v>-5.2577752316743709</v>
      </c>
      <c r="L19" s="634">
        <v>142.47629739999999</v>
      </c>
      <c r="M19" s="631">
        <v>2268536.648</v>
      </c>
      <c r="N19" s="632">
        <v>411749</v>
      </c>
      <c r="O19" s="632">
        <v>3694434</v>
      </c>
      <c r="P19" s="635">
        <v>261.86312923711722</v>
      </c>
      <c r="Q19" s="631">
        <v>967436.04799999995</v>
      </c>
      <c r="R19" s="631">
        <v>967436.04799999995</v>
      </c>
      <c r="S19" s="631">
        <v>932200.728</v>
      </c>
      <c r="T19" s="633">
        <v>96.357865713930892</v>
      </c>
      <c r="U19" s="636"/>
      <c r="V19" s="632">
        <v>1690866</v>
      </c>
      <c r="W19" s="633">
        <v>5492.1517071356529</v>
      </c>
      <c r="X19" s="632">
        <v>150166</v>
      </c>
      <c r="Y19" s="632">
        <v>42305</v>
      </c>
      <c r="Z19" s="633">
        <v>487.75861200930916</v>
      </c>
      <c r="AA19" s="633">
        <v>3.5496040657132726</v>
      </c>
      <c r="AB19" s="630">
        <v>961940.65</v>
      </c>
      <c r="AC19" s="630">
        <v>0</v>
      </c>
      <c r="AD19" s="630">
        <v>0</v>
      </c>
      <c r="AE19" s="630">
        <v>0</v>
      </c>
      <c r="AF19" s="630">
        <v>0</v>
      </c>
      <c r="AG19" s="630" t="s">
        <v>434</v>
      </c>
      <c r="AH19" s="630">
        <v>961940.65</v>
      </c>
      <c r="AI19" s="630">
        <v>521413.41499999998</v>
      </c>
      <c r="AJ19" s="630">
        <v>146330.413</v>
      </c>
      <c r="AK19" s="630">
        <v>0</v>
      </c>
      <c r="AL19" s="630">
        <v>104240.179</v>
      </c>
      <c r="AM19" s="630">
        <v>155444.71299999999</v>
      </c>
      <c r="AN19" s="630">
        <v>0</v>
      </c>
      <c r="AO19" s="630">
        <v>4772.0079999999998</v>
      </c>
      <c r="AP19" s="630">
        <v>932200.728</v>
      </c>
      <c r="AQ19" s="630">
        <v>5022.576</v>
      </c>
      <c r="AR19" s="630">
        <v>927178.152</v>
      </c>
      <c r="AS19" s="630" t="s">
        <v>434</v>
      </c>
      <c r="AT19" s="630">
        <v>28413.304</v>
      </c>
      <c r="AU19" s="630">
        <v>72187.707999999999</v>
      </c>
      <c r="AV19" s="630">
        <v>19398.982</v>
      </c>
      <c r="AW19" s="630" t="s">
        <v>434</v>
      </c>
      <c r="AX19" s="630">
        <v>1047178.1459999999</v>
      </c>
      <c r="AY19" s="630">
        <v>-85237.495999999999</v>
      </c>
      <c r="AZ19" s="612" t="s">
        <v>430</v>
      </c>
      <c r="BA19" s="612" t="s">
        <v>433</v>
      </c>
      <c r="BB19" s="613" t="s">
        <v>552</v>
      </c>
      <c r="BC19" s="614">
        <v>4.198825268437982E-2</v>
      </c>
      <c r="BD19" s="614">
        <v>-5.5669098236887232E-3</v>
      </c>
      <c r="BE19" s="613" t="s">
        <v>572</v>
      </c>
      <c r="BF19" s="613" t="s">
        <v>572</v>
      </c>
      <c r="BG19" s="643"/>
      <c r="BH19" s="655"/>
    </row>
    <row r="20" spans="1:60" customFormat="1">
      <c r="A20" s="601" t="s">
        <v>57</v>
      </c>
      <c r="B20" s="601" t="s">
        <v>419</v>
      </c>
      <c r="C20" s="601">
        <v>2</v>
      </c>
      <c r="D20" s="601">
        <v>15</v>
      </c>
      <c r="E20" s="623" t="s">
        <v>260</v>
      </c>
      <c r="F20" s="623" t="s">
        <v>57</v>
      </c>
      <c r="G20" s="601" t="s">
        <v>469</v>
      </c>
      <c r="H20" s="623">
        <v>2014</v>
      </c>
      <c r="I20" s="631">
        <v>12417.01</v>
      </c>
      <c r="J20" s="631">
        <v>120177.71400000001</v>
      </c>
      <c r="K20" s="634">
        <v>1.1917336323588992</v>
      </c>
      <c r="L20" s="634">
        <v>351.20147989999998</v>
      </c>
      <c r="M20" s="631">
        <v>1041928.302</v>
      </c>
      <c r="N20" s="632">
        <v>385310</v>
      </c>
      <c r="O20" s="632">
        <v>4286191</v>
      </c>
      <c r="P20" s="635">
        <v>242.7798623533109</v>
      </c>
      <c r="Q20" s="631">
        <v>1040600.861</v>
      </c>
      <c r="R20" s="631">
        <v>1040600.861</v>
      </c>
      <c r="S20" s="631">
        <v>863867.46100000001</v>
      </c>
      <c r="T20" s="633">
        <v>83.016216243549692</v>
      </c>
      <c r="U20" s="636"/>
      <c r="V20" s="632">
        <v>1545612</v>
      </c>
      <c r="W20" s="633">
        <v>4327.2322675307751</v>
      </c>
      <c r="X20" s="632">
        <v>132713</v>
      </c>
      <c r="Y20" s="632">
        <v>28846</v>
      </c>
      <c r="Z20" s="633">
        <v>371.55507069097013</v>
      </c>
      <c r="AA20" s="633">
        <v>4.6007418706233096</v>
      </c>
      <c r="AB20" s="630">
        <v>1030483.586</v>
      </c>
      <c r="AC20" s="630">
        <v>0</v>
      </c>
      <c r="AD20" s="630">
        <v>0</v>
      </c>
      <c r="AE20" s="630">
        <v>0</v>
      </c>
      <c r="AF20" s="630">
        <v>0</v>
      </c>
      <c r="AG20" s="630" t="s">
        <v>434</v>
      </c>
      <c r="AH20" s="630">
        <v>1030483.586</v>
      </c>
      <c r="AI20" s="630">
        <v>580672.82700000005</v>
      </c>
      <c r="AJ20" s="630">
        <v>126226.982</v>
      </c>
      <c r="AK20" s="630">
        <v>0</v>
      </c>
      <c r="AL20" s="630">
        <v>52647.970999999998</v>
      </c>
      <c r="AM20" s="630">
        <v>95843.409</v>
      </c>
      <c r="AN20" s="630">
        <v>0</v>
      </c>
      <c r="AO20" s="630">
        <v>8476.2710000000006</v>
      </c>
      <c r="AP20" s="630">
        <v>863867.46</v>
      </c>
      <c r="AQ20" s="630">
        <v>12229.995999999999</v>
      </c>
      <c r="AR20" s="630">
        <v>851637.46400000004</v>
      </c>
      <c r="AS20" s="630" t="s">
        <v>434</v>
      </c>
      <c r="AT20" s="630">
        <v>28635.312999999998</v>
      </c>
      <c r="AU20" s="630">
        <v>117698.774</v>
      </c>
      <c r="AV20" s="630">
        <v>0</v>
      </c>
      <c r="AW20" s="630" t="s">
        <v>434</v>
      </c>
      <c r="AX20" s="630">
        <v>997971.55099999998</v>
      </c>
      <c r="AY20" s="630">
        <v>32512.035</v>
      </c>
      <c r="AZ20" s="612" t="s">
        <v>430</v>
      </c>
      <c r="BA20" s="612" t="s">
        <v>433</v>
      </c>
      <c r="BB20" s="613" t="s">
        <v>552</v>
      </c>
      <c r="BC20" s="614">
        <v>0.11534163509074159</v>
      </c>
      <c r="BD20" s="652">
        <v>1.1917336323588991E-2</v>
      </c>
      <c r="BE20" s="613" t="s">
        <v>573</v>
      </c>
      <c r="BF20" s="613" t="s">
        <v>573</v>
      </c>
      <c r="BG20" s="643"/>
      <c r="BH20" s="655"/>
    </row>
    <row r="21" spans="1:60" customFormat="1">
      <c r="A21" s="612" t="s">
        <v>51</v>
      </c>
      <c r="B21" s="612" t="s">
        <v>325</v>
      </c>
      <c r="C21" s="612">
        <v>26</v>
      </c>
      <c r="D21" s="601">
        <v>17</v>
      </c>
      <c r="E21" s="623" t="s">
        <v>325</v>
      </c>
      <c r="F21" s="623" t="s">
        <v>51</v>
      </c>
      <c r="G21" s="601" t="s">
        <v>567</v>
      </c>
      <c r="H21" s="623">
        <v>2014</v>
      </c>
      <c r="I21" s="624">
        <v>14529.832</v>
      </c>
      <c r="J21" s="625">
        <v>152245.011</v>
      </c>
      <c r="K21" s="626">
        <v>1.0796657608924125</v>
      </c>
      <c r="L21" s="626">
        <v>387.82075159999999</v>
      </c>
      <c r="M21" s="625">
        <v>1345771.3049999999</v>
      </c>
      <c r="N21" s="627">
        <v>370191</v>
      </c>
      <c r="O21" s="627">
        <v>4136949</v>
      </c>
      <c r="P21" s="628">
        <v>215.31122138561534</v>
      </c>
      <c r="Q21" s="625">
        <v>890731.54200000002</v>
      </c>
      <c r="R21" s="625">
        <v>890731.54200000002</v>
      </c>
      <c r="S21" s="625">
        <v>754146.76399999997</v>
      </c>
      <c r="T21" s="629">
        <v>84.665999623936059</v>
      </c>
      <c r="U21" s="625"/>
      <c r="V21" s="627">
        <v>723925</v>
      </c>
      <c r="W21" s="629">
        <v>2099.8808542237284</v>
      </c>
      <c r="X21" s="627">
        <v>140077</v>
      </c>
      <c r="Y21" s="627">
        <v>23067</v>
      </c>
      <c r="Z21" s="629">
        <v>406.31972982988185</v>
      </c>
      <c r="AA21" s="629">
        <v>6.0726145575930985</v>
      </c>
      <c r="AB21" s="630" t="s">
        <v>20</v>
      </c>
      <c r="AC21" s="630" t="s">
        <v>20</v>
      </c>
      <c r="AD21" s="630" t="s">
        <v>20</v>
      </c>
      <c r="AE21" s="630" t="s">
        <v>20</v>
      </c>
      <c r="AF21" s="630" t="s">
        <v>20</v>
      </c>
      <c r="AG21" s="630" t="s">
        <v>20</v>
      </c>
      <c r="AH21" s="630" t="s">
        <v>20</v>
      </c>
      <c r="AI21" s="630" t="s">
        <v>20</v>
      </c>
      <c r="AJ21" s="630" t="s">
        <v>20</v>
      </c>
      <c r="AK21" s="630" t="s">
        <v>20</v>
      </c>
      <c r="AL21" s="630" t="s">
        <v>20</v>
      </c>
      <c r="AM21" s="630" t="s">
        <v>20</v>
      </c>
      <c r="AN21" s="630" t="s">
        <v>20</v>
      </c>
      <c r="AO21" s="630" t="s">
        <v>20</v>
      </c>
      <c r="AP21" s="630" t="s">
        <v>20</v>
      </c>
      <c r="AQ21" s="630" t="s">
        <v>20</v>
      </c>
      <c r="AR21" s="630" t="s">
        <v>20</v>
      </c>
      <c r="AS21" s="630" t="s">
        <v>20</v>
      </c>
      <c r="AT21" s="630" t="s">
        <v>20</v>
      </c>
      <c r="AU21" s="630" t="s">
        <v>20</v>
      </c>
      <c r="AV21" s="630" t="s">
        <v>20</v>
      </c>
      <c r="AW21" s="630" t="s">
        <v>20</v>
      </c>
      <c r="AX21" s="630" t="s">
        <v>20</v>
      </c>
      <c r="AY21" s="630" t="s">
        <v>20</v>
      </c>
      <c r="AZ21" s="612" t="s">
        <v>430</v>
      </c>
      <c r="BA21" s="612" t="s">
        <v>431</v>
      </c>
      <c r="BB21" s="613" t="s">
        <v>552</v>
      </c>
      <c r="BC21" s="614">
        <v>0.11312844198294153</v>
      </c>
      <c r="BD21" s="614">
        <v>4.0211561777697857E-2</v>
      </c>
      <c r="BE21" s="613" t="s">
        <v>574</v>
      </c>
      <c r="BF21" s="613" t="s">
        <v>574</v>
      </c>
      <c r="BG21" s="643"/>
      <c r="BH21" s="655"/>
    </row>
    <row r="22" spans="1:60" customFormat="1">
      <c r="A22" s="601" t="s">
        <v>69</v>
      </c>
      <c r="B22" s="601" t="s">
        <v>425</v>
      </c>
      <c r="C22" s="601">
        <v>8</v>
      </c>
      <c r="D22" s="601">
        <v>16</v>
      </c>
      <c r="E22" s="623" t="s">
        <v>247</v>
      </c>
      <c r="F22" s="623" t="s">
        <v>69</v>
      </c>
      <c r="G22" s="601" t="s">
        <v>469</v>
      </c>
      <c r="H22" s="623">
        <v>2014</v>
      </c>
      <c r="I22" s="624">
        <v>3391.6950000000002</v>
      </c>
      <c r="J22" s="625">
        <v>222736.16099999999</v>
      </c>
      <c r="K22" s="626">
        <v>0.23499293870363219</v>
      </c>
      <c r="L22" s="626">
        <v>260.756238</v>
      </c>
      <c r="M22" s="625">
        <v>1443317.8370000001</v>
      </c>
      <c r="N22" s="627">
        <v>365130</v>
      </c>
      <c r="O22" s="627">
        <v>4145686</v>
      </c>
      <c r="P22" s="628">
        <v>335.69962269211896</v>
      </c>
      <c r="Q22" s="625">
        <v>1391705.226</v>
      </c>
      <c r="R22" s="625">
        <v>1391705.226</v>
      </c>
      <c r="S22" s="625">
        <v>1176100.713</v>
      </c>
      <c r="T22" s="629">
        <v>84.50788938835241</v>
      </c>
      <c r="U22" s="625"/>
      <c r="V22" s="627">
        <v>3628827</v>
      </c>
      <c r="W22" s="629">
        <v>10503.912742064884</v>
      </c>
      <c r="X22" s="627">
        <v>184279</v>
      </c>
      <c r="Y22" s="627">
        <v>49864</v>
      </c>
      <c r="Z22" s="629">
        <v>533.40942849989119</v>
      </c>
      <c r="AA22" s="629">
        <v>3.6956321193646717</v>
      </c>
      <c r="AB22" s="630">
        <v>1388785.7150000001</v>
      </c>
      <c r="AC22" s="630">
        <v>0</v>
      </c>
      <c r="AD22" s="630">
        <v>0</v>
      </c>
      <c r="AE22" s="630">
        <v>0</v>
      </c>
      <c r="AF22" s="630">
        <v>24626.991000000002</v>
      </c>
      <c r="AG22" s="630" t="s">
        <v>434</v>
      </c>
      <c r="AH22" s="630">
        <v>1413412.706</v>
      </c>
      <c r="AI22" s="630">
        <v>933546.272</v>
      </c>
      <c r="AJ22" s="630">
        <v>7290.9520000000002</v>
      </c>
      <c r="AK22" s="630">
        <v>61090.014000000003</v>
      </c>
      <c r="AL22" s="630">
        <v>16407.545999999998</v>
      </c>
      <c r="AM22" s="630">
        <v>146844.32199999999</v>
      </c>
      <c r="AN22" s="630">
        <v>264.44400000000002</v>
      </c>
      <c r="AO22" s="630">
        <v>10657.166999999999</v>
      </c>
      <c r="AP22" s="630">
        <v>1176100.7169999999</v>
      </c>
      <c r="AQ22" s="630">
        <v>884.80700000000002</v>
      </c>
      <c r="AR22" s="630">
        <v>1175215.9099999999</v>
      </c>
      <c r="AS22" s="630" t="s">
        <v>434</v>
      </c>
      <c r="AT22" s="630">
        <v>4336.5360000000001</v>
      </c>
      <c r="AU22" s="630">
        <v>219562.52799999999</v>
      </c>
      <c r="AV22" s="630">
        <v>0</v>
      </c>
      <c r="AW22" s="630" t="s">
        <v>434</v>
      </c>
      <c r="AX22" s="630">
        <v>1399114.9739999999</v>
      </c>
      <c r="AY22" s="630">
        <v>14297.732</v>
      </c>
      <c r="AZ22" s="612" t="s">
        <v>430</v>
      </c>
      <c r="BA22" s="612" t="s">
        <v>433</v>
      </c>
      <c r="BB22" s="613" t="s">
        <v>552</v>
      </c>
      <c r="BC22" s="614">
        <v>0.15432232269987528</v>
      </c>
      <c r="BD22" s="652">
        <v>2.349929387036322E-3</v>
      </c>
      <c r="BE22" s="613" t="s">
        <v>573</v>
      </c>
      <c r="BF22" s="613" t="s">
        <v>573</v>
      </c>
      <c r="BG22" s="643"/>
      <c r="BH22" s="655"/>
    </row>
    <row r="23" spans="1:60" customFormat="1">
      <c r="A23" s="612" t="s">
        <v>70</v>
      </c>
      <c r="B23" s="601" t="s">
        <v>326</v>
      </c>
      <c r="C23" s="612">
        <v>15</v>
      </c>
      <c r="D23" s="601">
        <v>19</v>
      </c>
      <c r="E23" s="623" t="s">
        <v>326</v>
      </c>
      <c r="F23" s="623" t="s">
        <v>70</v>
      </c>
      <c r="G23" s="601" t="s">
        <v>567</v>
      </c>
      <c r="H23" s="623">
        <v>2014</v>
      </c>
      <c r="I23" s="624">
        <v>107845.83500000001</v>
      </c>
      <c r="J23" s="625">
        <v>161884.13800000001</v>
      </c>
      <c r="K23" s="626">
        <v>3.5321188364234271</v>
      </c>
      <c r="L23" s="626">
        <v>498.67530119999998</v>
      </c>
      <c r="M23" s="625">
        <v>3053290.1069999998</v>
      </c>
      <c r="N23" s="627">
        <v>360782</v>
      </c>
      <c r="O23" s="627">
        <v>3874924</v>
      </c>
      <c r="P23" s="628">
        <v>561.83557922684417</v>
      </c>
      <c r="Q23" s="625">
        <v>2177070.17</v>
      </c>
      <c r="R23" s="625">
        <v>2177070.17</v>
      </c>
      <c r="S23" s="625">
        <v>1891566.2120000001</v>
      </c>
      <c r="T23" s="629">
        <v>86.885863306831325</v>
      </c>
      <c r="U23" s="625"/>
      <c r="V23" s="627">
        <v>1198844</v>
      </c>
      <c r="W23" s="629">
        <v>3712.6219765858632</v>
      </c>
      <c r="X23" s="627">
        <v>146987</v>
      </c>
      <c r="Y23" s="627">
        <v>46365</v>
      </c>
      <c r="Z23" s="629">
        <v>455.19447607230489</v>
      </c>
      <c r="AA23" s="629">
        <v>3.1702146015313275</v>
      </c>
      <c r="AB23" s="630" t="s">
        <v>20</v>
      </c>
      <c r="AC23" s="630" t="s">
        <v>20</v>
      </c>
      <c r="AD23" s="630" t="s">
        <v>20</v>
      </c>
      <c r="AE23" s="630" t="s">
        <v>20</v>
      </c>
      <c r="AF23" s="630" t="s">
        <v>20</v>
      </c>
      <c r="AG23" s="630" t="s">
        <v>20</v>
      </c>
      <c r="AH23" s="630" t="s">
        <v>20</v>
      </c>
      <c r="AI23" s="630" t="s">
        <v>20</v>
      </c>
      <c r="AJ23" s="630" t="s">
        <v>20</v>
      </c>
      <c r="AK23" s="630" t="s">
        <v>20</v>
      </c>
      <c r="AL23" s="630" t="s">
        <v>20</v>
      </c>
      <c r="AM23" s="630" t="s">
        <v>20</v>
      </c>
      <c r="AN23" s="630" t="s">
        <v>20</v>
      </c>
      <c r="AO23" s="630" t="s">
        <v>20</v>
      </c>
      <c r="AP23" s="630" t="s">
        <v>20</v>
      </c>
      <c r="AQ23" s="630" t="s">
        <v>20</v>
      </c>
      <c r="AR23" s="630" t="s">
        <v>20</v>
      </c>
      <c r="AS23" s="630" t="s">
        <v>20</v>
      </c>
      <c r="AT23" s="630" t="s">
        <v>20</v>
      </c>
      <c r="AU23" s="630" t="s">
        <v>20</v>
      </c>
      <c r="AV23" s="630" t="s">
        <v>20</v>
      </c>
      <c r="AW23" s="630" t="s">
        <v>20</v>
      </c>
      <c r="AX23" s="630" t="s">
        <v>20</v>
      </c>
      <c r="AY23" s="630" t="s">
        <v>20</v>
      </c>
      <c r="AZ23" s="612" t="s">
        <v>430</v>
      </c>
      <c r="BA23" s="612" t="s">
        <v>431</v>
      </c>
      <c r="BB23" s="613" t="s">
        <v>552</v>
      </c>
      <c r="BC23" s="614">
        <v>5.3019573092272822E-2</v>
      </c>
      <c r="BD23" s="614">
        <v>7.812179383941395E-2</v>
      </c>
      <c r="BE23" s="613" t="s">
        <v>576</v>
      </c>
      <c r="BF23" s="613" t="s">
        <v>576</v>
      </c>
      <c r="BG23" s="643"/>
      <c r="BH23" s="655"/>
    </row>
    <row r="24" spans="1:60" customFormat="1">
      <c r="A24" s="601" t="s">
        <v>87</v>
      </c>
      <c r="B24" s="601" t="s">
        <v>423</v>
      </c>
      <c r="C24" s="601">
        <v>7</v>
      </c>
      <c r="D24" s="601">
        <v>18</v>
      </c>
      <c r="E24" s="623" t="s">
        <v>266</v>
      </c>
      <c r="F24" s="623" t="s">
        <v>87</v>
      </c>
      <c r="G24" s="601" t="s">
        <v>469</v>
      </c>
      <c r="H24" s="623">
        <v>2014</v>
      </c>
      <c r="I24" s="631">
        <v>36095.951999999997</v>
      </c>
      <c r="J24" s="625">
        <v>67603.745999999999</v>
      </c>
      <c r="K24" s="626">
        <v>3.1789400689526541</v>
      </c>
      <c r="L24" s="626">
        <v>310.20461139999998</v>
      </c>
      <c r="M24" s="625">
        <v>1135471.2960000001</v>
      </c>
      <c r="N24" s="627">
        <v>355539</v>
      </c>
      <c r="O24" s="627">
        <v>3946175</v>
      </c>
      <c r="P24" s="628">
        <v>285.70029712316358</v>
      </c>
      <c r="Q24" s="625">
        <v>1127423.3700000001</v>
      </c>
      <c r="R24" s="625">
        <v>1127423.3700000001</v>
      </c>
      <c r="S24" s="625">
        <v>978053.75800000003</v>
      </c>
      <c r="T24" s="629">
        <v>86.751240396941554</v>
      </c>
      <c r="U24" s="625"/>
      <c r="V24" s="632">
        <v>2492045</v>
      </c>
      <c r="W24" s="633">
        <v>7578.1079146261891</v>
      </c>
      <c r="X24" s="632">
        <v>128366</v>
      </c>
      <c r="Y24" s="632">
        <v>33206</v>
      </c>
      <c r="Z24" s="633">
        <v>390.35065601500185</v>
      </c>
      <c r="AA24" s="633">
        <v>3.8657471541287718</v>
      </c>
      <c r="AB24" s="630">
        <v>1127423.3700000001</v>
      </c>
      <c r="AC24" s="630">
        <v>0</v>
      </c>
      <c r="AD24" s="630">
        <v>0</v>
      </c>
      <c r="AE24" s="630">
        <v>0</v>
      </c>
      <c r="AF24" s="630">
        <v>0</v>
      </c>
      <c r="AG24" s="630" t="s">
        <v>434</v>
      </c>
      <c r="AH24" s="630">
        <v>1127423.3700000001</v>
      </c>
      <c r="AI24" s="630">
        <v>408482.82400000002</v>
      </c>
      <c r="AJ24" s="630">
        <v>141557.481</v>
      </c>
      <c r="AK24" s="630">
        <v>43090.067000000003</v>
      </c>
      <c r="AL24" s="630">
        <v>66005.248000000007</v>
      </c>
      <c r="AM24" s="630">
        <v>204582.08499999999</v>
      </c>
      <c r="AN24" s="630">
        <v>114336.053</v>
      </c>
      <c r="AO24" s="630">
        <v>0</v>
      </c>
      <c r="AP24" s="630">
        <v>978053.75800000003</v>
      </c>
      <c r="AQ24" s="630">
        <v>0</v>
      </c>
      <c r="AR24" s="630">
        <v>978053.75800000003</v>
      </c>
      <c r="AS24" s="630" t="s">
        <v>434</v>
      </c>
      <c r="AT24" s="630">
        <v>24697.356</v>
      </c>
      <c r="AU24" s="630">
        <v>76536.644</v>
      </c>
      <c r="AV24" s="630">
        <v>0</v>
      </c>
      <c r="AW24" s="630" t="s">
        <v>434</v>
      </c>
      <c r="AX24" s="630">
        <v>1079287.7579999999</v>
      </c>
      <c r="AY24" s="630">
        <v>48135.612000000001</v>
      </c>
      <c r="AZ24" s="612" t="s">
        <v>430</v>
      </c>
      <c r="BA24" s="612" t="s">
        <v>431</v>
      </c>
      <c r="BB24" s="613" t="s">
        <v>552</v>
      </c>
      <c r="BC24" s="614">
        <v>5.9538049300015064E-2</v>
      </c>
      <c r="BD24" s="652">
        <v>3.1789400689526542E-2</v>
      </c>
      <c r="BE24" s="613" t="s">
        <v>574</v>
      </c>
      <c r="BF24" s="613" t="s">
        <v>574</v>
      </c>
      <c r="BG24" s="643"/>
      <c r="BH24" s="655"/>
    </row>
    <row r="25" spans="1:60" customFormat="1">
      <c r="A25" s="601" t="s">
        <v>82</v>
      </c>
      <c r="B25" s="601" t="s">
        <v>421</v>
      </c>
      <c r="C25" s="601">
        <v>4</v>
      </c>
      <c r="D25" s="601">
        <v>22</v>
      </c>
      <c r="E25" s="623" t="s">
        <v>254</v>
      </c>
      <c r="F25" s="623" t="s">
        <v>82</v>
      </c>
      <c r="G25" s="601" t="s">
        <v>469</v>
      </c>
      <c r="H25" s="623">
        <v>2014</v>
      </c>
      <c r="I25" s="631">
        <v>55873.718000000001</v>
      </c>
      <c r="J25" s="631">
        <v>285253.60499999998</v>
      </c>
      <c r="K25" s="634">
        <v>3.1357532602634528</v>
      </c>
      <c r="L25" s="634">
        <v>404.28569390000001</v>
      </c>
      <c r="M25" s="631">
        <v>1781827.63</v>
      </c>
      <c r="N25" s="632">
        <v>343635</v>
      </c>
      <c r="O25" s="632">
        <v>3627617</v>
      </c>
      <c r="P25" s="635">
        <v>483.93693986989257</v>
      </c>
      <c r="Q25" s="631">
        <v>1755537.87</v>
      </c>
      <c r="R25" s="631">
        <v>1755537.87</v>
      </c>
      <c r="S25" s="631">
        <v>1323470.9539999999</v>
      </c>
      <c r="T25" s="633">
        <v>75.388345453350993</v>
      </c>
      <c r="U25" s="625"/>
      <c r="V25" s="632">
        <v>1398998</v>
      </c>
      <c r="W25" s="633">
        <v>4627.8248227417616</v>
      </c>
      <c r="X25" s="632">
        <v>806114</v>
      </c>
      <c r="Y25" s="632">
        <v>63935</v>
      </c>
      <c r="Z25" s="633">
        <v>2666.5902161115687</v>
      </c>
      <c r="AA25" s="633">
        <v>12.608336591851099</v>
      </c>
      <c r="AB25" s="630">
        <v>1750575.2679999999</v>
      </c>
      <c r="AC25" s="630">
        <v>0</v>
      </c>
      <c r="AD25" s="630">
        <v>0</v>
      </c>
      <c r="AE25" s="630">
        <v>0</v>
      </c>
      <c r="AF25" s="630">
        <v>0</v>
      </c>
      <c r="AG25" s="630" t="s">
        <v>434</v>
      </c>
      <c r="AH25" s="630">
        <v>1750575.2679999999</v>
      </c>
      <c r="AI25" s="630">
        <v>938771.29700000002</v>
      </c>
      <c r="AJ25" s="630">
        <v>37720.572</v>
      </c>
      <c r="AK25" s="630">
        <v>72521.786999999997</v>
      </c>
      <c r="AL25" s="630">
        <v>71835.592000000004</v>
      </c>
      <c r="AM25" s="630">
        <v>202265.86300000001</v>
      </c>
      <c r="AN25" s="630">
        <v>0</v>
      </c>
      <c r="AO25" s="630">
        <v>355.84300000000002</v>
      </c>
      <c r="AP25" s="630">
        <v>1323470.9539999999</v>
      </c>
      <c r="AQ25" s="630">
        <v>1011.611</v>
      </c>
      <c r="AR25" s="630">
        <v>1322459.3430000001</v>
      </c>
      <c r="AS25" s="630" t="s">
        <v>434</v>
      </c>
      <c r="AT25" s="630">
        <v>46796.614000000001</v>
      </c>
      <c r="AU25" s="630">
        <v>280210.55</v>
      </c>
      <c r="AV25" s="630">
        <v>0</v>
      </c>
      <c r="AW25" s="630" t="s">
        <v>434</v>
      </c>
      <c r="AX25" s="630">
        <v>1649466.507</v>
      </c>
      <c r="AY25" s="630">
        <v>101108.761</v>
      </c>
      <c r="AZ25" s="612" t="s">
        <v>430</v>
      </c>
      <c r="BA25" s="612" t="s">
        <v>433</v>
      </c>
      <c r="BB25" s="613" t="s">
        <v>552</v>
      </c>
      <c r="BC25" s="614">
        <v>0.16009046004073918</v>
      </c>
      <c r="BD25" s="652">
        <v>3.1357532602634526E-2</v>
      </c>
      <c r="BE25" s="613" t="s">
        <v>574</v>
      </c>
      <c r="BF25" s="613" t="s">
        <v>574</v>
      </c>
      <c r="BG25" s="643"/>
      <c r="BH25" s="655"/>
    </row>
    <row r="26" spans="1:60" customFormat="1">
      <c r="A26" s="612" t="s">
        <v>94</v>
      </c>
      <c r="B26" s="612" t="s">
        <v>147</v>
      </c>
      <c r="C26" s="612">
        <v>21</v>
      </c>
      <c r="D26" s="601">
        <v>20</v>
      </c>
      <c r="E26" s="623" t="s">
        <v>147</v>
      </c>
      <c r="F26" s="623" t="s">
        <v>94</v>
      </c>
      <c r="G26" s="601" t="s">
        <v>469</v>
      </c>
      <c r="H26" s="623">
        <v>2014</v>
      </c>
      <c r="I26" s="624">
        <v>-40138.362000000001</v>
      </c>
      <c r="J26" s="625">
        <v>96138.206000000006</v>
      </c>
      <c r="K26" s="626">
        <v>-4.017549605029731</v>
      </c>
      <c r="L26" s="626">
        <v>308.31049730000001</v>
      </c>
      <c r="M26" s="625">
        <v>999075.70400000003</v>
      </c>
      <c r="N26" s="627">
        <v>330986</v>
      </c>
      <c r="O26" s="627">
        <v>3698743</v>
      </c>
      <c r="P26" s="628">
        <v>253.04573526735976</v>
      </c>
      <c r="Q26" s="625">
        <v>935951.14199999999</v>
      </c>
      <c r="R26" s="625">
        <v>935951.14199999999</v>
      </c>
      <c r="S26" s="625">
        <v>863573.799</v>
      </c>
      <c r="T26" s="629">
        <v>92.266974230584367</v>
      </c>
      <c r="U26" s="625"/>
      <c r="V26" s="627">
        <v>1037516</v>
      </c>
      <c r="W26" s="629">
        <v>3366.0603075152831</v>
      </c>
      <c r="X26" s="627">
        <v>75631</v>
      </c>
      <c r="Y26" s="627">
        <v>16796</v>
      </c>
      <c r="Z26" s="629">
        <v>245.37309026336786</v>
      </c>
      <c r="AA26" s="629">
        <v>4.5029173612764941</v>
      </c>
      <c r="AB26" s="630">
        <v>805137.94700000004</v>
      </c>
      <c r="AC26" s="630">
        <v>0</v>
      </c>
      <c r="AD26" s="630">
        <v>0</v>
      </c>
      <c r="AE26" s="630">
        <v>0</v>
      </c>
      <c r="AF26" s="630">
        <v>0</v>
      </c>
      <c r="AG26" s="630" t="s">
        <v>434</v>
      </c>
      <c r="AH26" s="630">
        <v>805137.94700000004</v>
      </c>
      <c r="AI26" s="630">
        <v>758239.44799999997</v>
      </c>
      <c r="AJ26" s="630">
        <v>0</v>
      </c>
      <c r="AK26" s="630">
        <v>0</v>
      </c>
      <c r="AL26" s="630">
        <v>0</v>
      </c>
      <c r="AM26" s="630">
        <v>104719.927</v>
      </c>
      <c r="AN26" s="630">
        <v>0</v>
      </c>
      <c r="AO26" s="630">
        <v>614.42399999999998</v>
      </c>
      <c r="AP26" s="630">
        <v>863573.799</v>
      </c>
      <c r="AQ26" s="630">
        <v>123965.234</v>
      </c>
      <c r="AR26" s="630">
        <v>739608.56499999994</v>
      </c>
      <c r="AS26" s="630" t="s">
        <v>434</v>
      </c>
      <c r="AT26" s="630">
        <v>16165.922</v>
      </c>
      <c r="AU26" s="630">
        <v>76941.142999999996</v>
      </c>
      <c r="AV26" s="630">
        <v>0</v>
      </c>
      <c r="AW26" s="630" t="s">
        <v>434</v>
      </c>
      <c r="AX26" s="630">
        <v>832715.63</v>
      </c>
      <c r="AY26" s="630">
        <v>-27577.683000000001</v>
      </c>
      <c r="AZ26" s="612" t="s">
        <v>435</v>
      </c>
      <c r="BA26" s="612" t="s">
        <v>431</v>
      </c>
      <c r="BB26" s="613" t="s">
        <v>552</v>
      </c>
      <c r="BC26" s="614">
        <v>9.6227148368328255E-2</v>
      </c>
      <c r="BD26" s="652">
        <v>-4.0175496050297313E-2</v>
      </c>
      <c r="BE26" s="613" t="s">
        <v>571</v>
      </c>
      <c r="BF26" s="613" t="s">
        <v>571</v>
      </c>
      <c r="BG26" s="643"/>
      <c r="BH26" s="655"/>
    </row>
    <row r="27" spans="1:60" customFormat="1">
      <c r="A27" s="612" t="s">
        <v>52</v>
      </c>
      <c r="B27" s="612" t="s">
        <v>402</v>
      </c>
      <c r="C27" s="612">
        <v>75</v>
      </c>
      <c r="D27" s="601">
        <v>33</v>
      </c>
      <c r="E27" s="623" t="s">
        <v>402</v>
      </c>
      <c r="F27" s="623" t="s">
        <v>52</v>
      </c>
      <c r="G27" s="601" t="s">
        <v>567</v>
      </c>
      <c r="H27" s="623">
        <v>2014</v>
      </c>
      <c r="I27" s="624">
        <v>3814.6970000000001</v>
      </c>
      <c r="J27" s="625">
        <v>19798.615000000002</v>
      </c>
      <c r="K27" s="626">
        <v>1.7142211715086664</v>
      </c>
      <c r="L27" s="626" t="s">
        <v>434</v>
      </c>
      <c r="M27" s="625">
        <v>222532.37</v>
      </c>
      <c r="N27" s="627">
        <v>320496</v>
      </c>
      <c r="O27" s="627">
        <v>2818917</v>
      </c>
      <c r="P27" s="628">
        <v>40.80484384605861</v>
      </c>
      <c r="Q27" s="625">
        <v>115025.467</v>
      </c>
      <c r="R27" s="625">
        <v>115025.46799999999</v>
      </c>
      <c r="S27" s="625">
        <v>104376.151</v>
      </c>
      <c r="T27" s="629">
        <v>90.741774682455542</v>
      </c>
      <c r="U27" s="625"/>
      <c r="V27" s="627">
        <v>416383</v>
      </c>
      <c r="W27" s="629">
        <v>1772.5232775565935</v>
      </c>
      <c r="X27" s="627">
        <v>16436</v>
      </c>
      <c r="Y27" s="627">
        <v>1434</v>
      </c>
      <c r="Z27" s="629">
        <v>69.967295950891781</v>
      </c>
      <c r="AA27" s="629">
        <v>11.461645746164574</v>
      </c>
      <c r="AB27" s="630">
        <v>115025.467</v>
      </c>
      <c r="AC27" s="630">
        <v>0</v>
      </c>
      <c r="AD27" s="630">
        <v>0</v>
      </c>
      <c r="AE27" s="630">
        <v>0</v>
      </c>
      <c r="AF27" s="630">
        <v>0</v>
      </c>
      <c r="AG27" s="630" t="s">
        <v>434</v>
      </c>
      <c r="AH27" s="630">
        <v>115025.467</v>
      </c>
      <c r="AI27" s="630">
        <v>103651.6</v>
      </c>
      <c r="AJ27" s="630">
        <v>4.1669999999999998</v>
      </c>
      <c r="AK27" s="630">
        <v>0</v>
      </c>
      <c r="AL27" s="630">
        <v>2193.402</v>
      </c>
      <c r="AM27" s="630">
        <v>-0.14299999999999999</v>
      </c>
      <c r="AN27" s="630">
        <v>0</v>
      </c>
      <c r="AO27" s="630">
        <v>-1472.875</v>
      </c>
      <c r="AP27" s="630">
        <v>104376.151</v>
      </c>
      <c r="AQ27" s="630">
        <v>0</v>
      </c>
      <c r="AR27" s="630">
        <v>104376.151</v>
      </c>
      <c r="AS27" s="630" t="s">
        <v>434</v>
      </c>
      <c r="AT27" s="630">
        <v>3383.8119999999999</v>
      </c>
      <c r="AU27" s="630">
        <v>10657.259</v>
      </c>
      <c r="AV27" s="630">
        <v>0</v>
      </c>
      <c r="AW27" s="630" t="s">
        <v>434</v>
      </c>
      <c r="AX27" s="630">
        <v>118417.22199999999</v>
      </c>
      <c r="AY27" s="630">
        <v>-3391.7550000000001</v>
      </c>
      <c r="AZ27" s="612">
        <v>0</v>
      </c>
      <c r="BA27" s="612">
        <v>0</v>
      </c>
      <c r="BB27" s="613" t="s">
        <v>552</v>
      </c>
      <c r="BC27" s="614">
        <v>8.8969595749148769E-2</v>
      </c>
      <c r="BD27" s="614">
        <v>3.6126574262957817E-3</v>
      </c>
      <c r="BE27" s="613" t="s">
        <v>573</v>
      </c>
      <c r="BF27" s="613" t="s">
        <v>573</v>
      </c>
      <c r="BG27" s="643"/>
      <c r="BH27" s="655"/>
    </row>
    <row r="28" spans="1:60" customFormat="1">
      <c r="A28" s="601" t="s">
        <v>56</v>
      </c>
      <c r="B28" s="601" t="s">
        <v>420</v>
      </c>
      <c r="C28" s="601">
        <v>3</v>
      </c>
      <c r="D28" s="601">
        <v>29</v>
      </c>
      <c r="E28" s="623" t="s">
        <v>186</v>
      </c>
      <c r="F28" s="623" t="s">
        <v>56</v>
      </c>
      <c r="G28" s="601" t="s">
        <v>567</v>
      </c>
      <c r="H28" s="623">
        <v>2014</v>
      </c>
      <c r="I28" s="631">
        <v>-26651.523000000001</v>
      </c>
      <c r="J28" s="631">
        <v>56823.35</v>
      </c>
      <c r="K28" s="634">
        <v>-2.8405403141168586</v>
      </c>
      <c r="L28" s="634">
        <v>231.3074259</v>
      </c>
      <c r="M28" s="631">
        <v>938255.40399999998</v>
      </c>
      <c r="N28" s="632">
        <v>314695</v>
      </c>
      <c r="O28" s="632">
        <v>2912993</v>
      </c>
      <c r="P28" s="635">
        <v>239.48068601606664</v>
      </c>
      <c r="Q28" s="631">
        <v>697605.56200000003</v>
      </c>
      <c r="R28" s="631">
        <v>697605.56200000003</v>
      </c>
      <c r="S28" s="631">
        <v>637508.83400000003</v>
      </c>
      <c r="T28" s="633">
        <v>91.385285428673228</v>
      </c>
      <c r="U28" s="625"/>
      <c r="V28" s="632">
        <v>1425688</v>
      </c>
      <c r="W28" s="633">
        <v>5873.0851739087602</v>
      </c>
      <c r="X28" s="632">
        <v>110191</v>
      </c>
      <c r="Y28" s="632">
        <v>22810</v>
      </c>
      <c r="Z28" s="633">
        <v>453.92900017267465</v>
      </c>
      <c r="AA28" s="633">
        <v>4.8308198158702327</v>
      </c>
      <c r="AB28" s="630">
        <v>697605.56200000003</v>
      </c>
      <c r="AC28" s="630">
        <v>0</v>
      </c>
      <c r="AD28" s="630">
        <v>0</v>
      </c>
      <c r="AE28" s="630">
        <v>0</v>
      </c>
      <c r="AF28" s="630">
        <v>0</v>
      </c>
      <c r="AG28" s="630" t="s">
        <v>434</v>
      </c>
      <c r="AH28" s="630">
        <v>697605.56200000003</v>
      </c>
      <c r="AI28" s="630">
        <v>363141.87900000002</v>
      </c>
      <c r="AJ28" s="630">
        <v>39365.474999999999</v>
      </c>
      <c r="AK28" s="630">
        <v>0</v>
      </c>
      <c r="AL28" s="630">
        <v>93813.41</v>
      </c>
      <c r="AM28" s="630">
        <v>116019.914</v>
      </c>
      <c r="AN28" s="630">
        <v>23791.494999999999</v>
      </c>
      <c r="AO28" s="630">
        <v>1376.6610000000001</v>
      </c>
      <c r="AP28" s="630">
        <v>637508.83400000003</v>
      </c>
      <c r="AQ28" s="630">
        <v>0</v>
      </c>
      <c r="AR28" s="630">
        <v>637508.83400000003</v>
      </c>
      <c r="AS28" s="630" t="s">
        <v>434</v>
      </c>
      <c r="AT28" s="630">
        <v>38368.175000000003</v>
      </c>
      <c r="AU28" s="630">
        <v>42303.553</v>
      </c>
      <c r="AV28" s="630">
        <v>1154.567</v>
      </c>
      <c r="AW28" s="630" t="s">
        <v>434</v>
      </c>
      <c r="AX28" s="630">
        <v>719335.12899999996</v>
      </c>
      <c r="AY28" s="630">
        <v>-21729.566999999999</v>
      </c>
      <c r="AZ28" s="612" t="s">
        <v>430</v>
      </c>
      <c r="BA28" s="612" t="s">
        <v>433</v>
      </c>
      <c r="BB28" s="613" t="s">
        <v>552</v>
      </c>
      <c r="BC28" s="614">
        <v>6.0562774014142527E-2</v>
      </c>
      <c r="BD28" s="614">
        <v>2.5584371699125232E-2</v>
      </c>
      <c r="BE28" s="613" t="s">
        <v>574</v>
      </c>
      <c r="BF28" s="613" t="s">
        <v>574</v>
      </c>
      <c r="BG28" s="643"/>
      <c r="BH28" s="655"/>
    </row>
    <row r="29" spans="1:60" customFormat="1">
      <c r="A29" s="601" t="s">
        <v>57</v>
      </c>
      <c r="B29" s="601" t="s">
        <v>420</v>
      </c>
      <c r="C29" s="601">
        <v>3</v>
      </c>
      <c r="D29" s="601">
        <v>23</v>
      </c>
      <c r="E29" s="623" t="s">
        <v>198</v>
      </c>
      <c r="F29" s="623" t="s">
        <v>57</v>
      </c>
      <c r="G29" s="601" t="s">
        <v>469</v>
      </c>
      <c r="H29" s="623">
        <v>2014</v>
      </c>
      <c r="I29" s="631">
        <v>36662.406000000003</v>
      </c>
      <c r="J29" s="631">
        <v>118874.186</v>
      </c>
      <c r="K29" s="634">
        <v>3.4761020022287941</v>
      </c>
      <c r="L29" s="634">
        <v>431.97331980000001</v>
      </c>
      <c r="M29" s="631">
        <v>1054698.797</v>
      </c>
      <c r="N29" s="632">
        <v>314627</v>
      </c>
      <c r="O29" s="632">
        <v>3506583</v>
      </c>
      <c r="P29" s="635">
        <v>272.65310075363965</v>
      </c>
      <c r="Q29" s="631">
        <v>956080.728</v>
      </c>
      <c r="R29" s="631">
        <v>956080.728</v>
      </c>
      <c r="S29" s="631">
        <v>741036.11300000001</v>
      </c>
      <c r="T29" s="633">
        <v>77.507692739519371</v>
      </c>
      <c r="U29" s="625"/>
      <c r="V29" s="632">
        <v>1791120</v>
      </c>
      <c r="W29" s="633">
        <v>6129.454229373724</v>
      </c>
      <c r="X29" s="632">
        <v>173756</v>
      </c>
      <c r="Y29" s="632">
        <v>27958</v>
      </c>
      <c r="Z29" s="633">
        <v>594.61646851079809</v>
      </c>
      <c r="AA29" s="633">
        <v>6.2148937692252666</v>
      </c>
      <c r="AB29" s="630">
        <v>955987.73499999999</v>
      </c>
      <c r="AC29" s="630">
        <v>0</v>
      </c>
      <c r="AD29" s="630">
        <v>0</v>
      </c>
      <c r="AE29" s="630">
        <v>0</v>
      </c>
      <c r="AF29" s="630">
        <v>0</v>
      </c>
      <c r="AG29" s="630" t="s">
        <v>434</v>
      </c>
      <c r="AH29" s="630">
        <v>955987.73499999999</v>
      </c>
      <c r="AI29" s="630">
        <v>516351.56300000002</v>
      </c>
      <c r="AJ29" s="630">
        <v>73867.392000000007</v>
      </c>
      <c r="AK29" s="630">
        <v>0</v>
      </c>
      <c r="AL29" s="630">
        <v>59984.493999999999</v>
      </c>
      <c r="AM29" s="630">
        <v>79429.376999999993</v>
      </c>
      <c r="AN29" s="630">
        <v>9140.1190000000006</v>
      </c>
      <c r="AO29" s="630">
        <v>2263.1680000000001</v>
      </c>
      <c r="AP29" s="630">
        <v>741036.11300000001</v>
      </c>
      <c r="AQ29" s="630">
        <v>0</v>
      </c>
      <c r="AR29" s="630">
        <v>741036.11300000001</v>
      </c>
      <c r="AS29" s="630" t="s">
        <v>434</v>
      </c>
      <c r="AT29" s="630">
        <v>52002.856</v>
      </c>
      <c r="AU29" s="630">
        <v>107486.573</v>
      </c>
      <c r="AV29" s="630">
        <v>0</v>
      </c>
      <c r="AW29" s="630" t="s">
        <v>434</v>
      </c>
      <c r="AX29" s="630">
        <v>900525.54200000002</v>
      </c>
      <c r="AY29" s="630">
        <v>55462.192999999999</v>
      </c>
      <c r="AZ29" s="612" t="s">
        <v>430</v>
      </c>
      <c r="BA29" s="612" t="s">
        <v>433</v>
      </c>
      <c r="BB29" s="613" t="s">
        <v>552</v>
      </c>
      <c r="BC29" s="614">
        <v>0.11270913206512362</v>
      </c>
      <c r="BD29" s="652">
        <v>3.4761020022287939E-2</v>
      </c>
      <c r="BE29" s="613" t="s">
        <v>574</v>
      </c>
      <c r="BF29" s="613" t="s">
        <v>574</v>
      </c>
      <c r="BG29" s="643"/>
      <c r="BH29" s="655"/>
    </row>
    <row r="30" spans="1:60" customFormat="1">
      <c r="A30" s="601" t="s">
        <v>64</v>
      </c>
      <c r="B30" s="601" t="s">
        <v>424</v>
      </c>
      <c r="C30" s="601">
        <v>5</v>
      </c>
      <c r="D30" s="601">
        <v>24</v>
      </c>
      <c r="E30" s="623" t="s">
        <v>209</v>
      </c>
      <c r="F30" s="623" t="s">
        <v>64</v>
      </c>
      <c r="G30" s="601" t="s">
        <v>567</v>
      </c>
      <c r="H30" s="623">
        <v>2014</v>
      </c>
      <c r="I30" s="624">
        <v>159124.05900000001</v>
      </c>
      <c r="J30" s="625">
        <v>478472.64299999998</v>
      </c>
      <c r="K30" s="626">
        <v>3.4853444896458039</v>
      </c>
      <c r="L30" s="626">
        <v>468.04442740000002</v>
      </c>
      <c r="M30" s="625">
        <v>4565518.8310000002</v>
      </c>
      <c r="N30" s="627">
        <v>306658</v>
      </c>
      <c r="O30" s="627">
        <v>3499619</v>
      </c>
      <c r="P30" s="628">
        <v>435.83740058560659</v>
      </c>
      <c r="Q30" s="625">
        <v>1525264.848</v>
      </c>
      <c r="R30" s="625">
        <v>1525264.848</v>
      </c>
      <c r="S30" s="625">
        <v>1154390.9350000001</v>
      </c>
      <c r="T30" s="629">
        <v>75.684622019165559</v>
      </c>
      <c r="U30" s="625"/>
      <c r="V30" s="627">
        <v>1615194</v>
      </c>
      <c r="W30" s="629">
        <v>5538.410895586062</v>
      </c>
      <c r="X30" s="627">
        <v>149060</v>
      </c>
      <c r="Y30" s="627">
        <v>30747</v>
      </c>
      <c r="Z30" s="629">
        <v>511.11849604199773</v>
      </c>
      <c r="AA30" s="629">
        <v>4.8479526457865809</v>
      </c>
      <c r="AB30" s="630">
        <v>1539008.6510000001</v>
      </c>
      <c r="AC30" s="630">
        <v>0</v>
      </c>
      <c r="AD30" s="630">
        <v>0</v>
      </c>
      <c r="AE30" s="630">
        <v>0</v>
      </c>
      <c r="AF30" s="630">
        <v>0</v>
      </c>
      <c r="AG30" s="630" t="s">
        <v>434</v>
      </c>
      <c r="AH30" s="630">
        <v>1539008.6510000001</v>
      </c>
      <c r="AI30" s="630">
        <v>939025.28899999999</v>
      </c>
      <c r="AJ30" s="630">
        <v>3175.431</v>
      </c>
      <c r="AK30" s="630">
        <v>0</v>
      </c>
      <c r="AL30" s="630">
        <v>0</v>
      </c>
      <c r="AM30" s="630">
        <v>197791.47099999999</v>
      </c>
      <c r="AN30" s="630">
        <v>0</v>
      </c>
      <c r="AO30" s="630">
        <v>14398.743</v>
      </c>
      <c r="AP30" s="630">
        <v>1154390.9339999999</v>
      </c>
      <c r="AQ30" s="630">
        <v>-11756.021000000001</v>
      </c>
      <c r="AR30" s="630">
        <v>1166146.9550000001</v>
      </c>
      <c r="AS30" s="630" t="s">
        <v>434</v>
      </c>
      <c r="AT30" s="630">
        <v>19329.307000000001</v>
      </c>
      <c r="AU30" s="630">
        <v>79693.576000000001</v>
      </c>
      <c r="AV30" s="630">
        <v>0</v>
      </c>
      <c r="AW30" s="630" t="s">
        <v>434</v>
      </c>
      <c r="AX30" s="630">
        <v>1265169.838</v>
      </c>
      <c r="AY30" s="630">
        <v>273838.81300000002</v>
      </c>
      <c r="AZ30" s="612" t="s">
        <v>430</v>
      </c>
      <c r="BA30" s="612" t="s">
        <v>433</v>
      </c>
      <c r="BB30" s="613" t="s">
        <v>552</v>
      </c>
      <c r="BC30" s="614">
        <v>0.104801373230827</v>
      </c>
      <c r="BD30" s="614">
        <v>0.13835240657751741</v>
      </c>
      <c r="BE30" s="613" t="s">
        <v>581</v>
      </c>
      <c r="BF30" s="613" t="s">
        <v>581</v>
      </c>
      <c r="BG30" s="643"/>
      <c r="BH30" s="655"/>
    </row>
    <row r="31" spans="1:60" customFormat="1">
      <c r="A31" s="601" t="s">
        <v>82</v>
      </c>
      <c r="B31" s="601" t="s">
        <v>419</v>
      </c>
      <c r="C31" s="601">
        <v>2</v>
      </c>
      <c r="D31" s="601">
        <v>35</v>
      </c>
      <c r="E31" s="623" t="s">
        <v>201</v>
      </c>
      <c r="F31" s="623" t="s">
        <v>82</v>
      </c>
      <c r="G31" s="601" t="s">
        <v>469</v>
      </c>
      <c r="H31" s="623">
        <v>2014</v>
      </c>
      <c r="I31" s="631">
        <v>-946.83900000000006</v>
      </c>
      <c r="J31" s="631">
        <v>217214.429</v>
      </c>
      <c r="K31" s="634">
        <v>-7.1413418413269911E-2</v>
      </c>
      <c r="L31" s="634">
        <v>334.338348</v>
      </c>
      <c r="M31" s="631">
        <v>1325855.8700000001</v>
      </c>
      <c r="N31" s="632">
        <v>289736</v>
      </c>
      <c r="O31" s="632">
        <v>2791911</v>
      </c>
      <c r="P31" s="635">
        <v>462.36474980756907</v>
      </c>
      <c r="Q31" s="631">
        <v>1290881.2309999999</v>
      </c>
      <c r="R31" s="631">
        <v>1290881.2309999999</v>
      </c>
      <c r="S31" s="631">
        <v>1023592.835</v>
      </c>
      <c r="T31" s="633">
        <v>79.294114006682008</v>
      </c>
      <c r="U31" s="636"/>
      <c r="V31" s="632">
        <v>1510095</v>
      </c>
      <c r="W31" s="633">
        <v>6490.5865552304494</v>
      </c>
      <c r="X31" s="632">
        <v>741111</v>
      </c>
      <c r="Y31" s="632">
        <v>43450</v>
      </c>
      <c r="Z31" s="633">
        <v>3185.3923710318845</v>
      </c>
      <c r="AA31" s="633">
        <v>17.056639815880324</v>
      </c>
      <c r="AB31" s="630">
        <v>1281293.0279999999</v>
      </c>
      <c r="AC31" s="630">
        <v>0</v>
      </c>
      <c r="AD31" s="630">
        <v>0</v>
      </c>
      <c r="AE31" s="630">
        <v>0</v>
      </c>
      <c r="AF31" s="630">
        <v>0</v>
      </c>
      <c r="AG31" s="630" t="s">
        <v>434</v>
      </c>
      <c r="AH31" s="630">
        <v>1281293.0279999999</v>
      </c>
      <c r="AI31" s="630">
        <v>689230.85600000003</v>
      </c>
      <c r="AJ31" s="630">
        <v>80591.142999999996</v>
      </c>
      <c r="AK31" s="630">
        <v>0</v>
      </c>
      <c r="AL31" s="630">
        <v>76418.028999999995</v>
      </c>
      <c r="AM31" s="630">
        <v>178887.95499999999</v>
      </c>
      <c r="AN31" s="630">
        <v>-1535.1489999999999</v>
      </c>
      <c r="AO31" s="630">
        <v>0</v>
      </c>
      <c r="AP31" s="630">
        <v>1023592.834</v>
      </c>
      <c r="AQ31" s="630">
        <v>9640.2039999999997</v>
      </c>
      <c r="AR31" s="630">
        <v>1013952.63</v>
      </c>
      <c r="AS31" s="630" t="s">
        <v>434</v>
      </c>
      <c r="AT31" s="630">
        <v>34103.374000000003</v>
      </c>
      <c r="AU31" s="630">
        <v>212771.09099999999</v>
      </c>
      <c r="AV31" s="630">
        <v>5462.3739999999998</v>
      </c>
      <c r="AW31" s="630" t="s">
        <v>434</v>
      </c>
      <c r="AX31" s="630">
        <v>1266289.469</v>
      </c>
      <c r="AY31" s="630">
        <v>15003.558999999999</v>
      </c>
      <c r="AZ31" s="612" t="s">
        <v>430</v>
      </c>
      <c r="BA31" s="612" t="s">
        <v>433</v>
      </c>
      <c r="BB31" s="613" t="s">
        <v>552</v>
      </c>
      <c r="BC31" s="614">
        <v>0.16382959408702544</v>
      </c>
      <c r="BD31" s="652">
        <v>-7.1413418413269905E-4</v>
      </c>
      <c r="BE31" s="613" t="s">
        <v>572</v>
      </c>
      <c r="BF31" s="613" t="s">
        <v>572</v>
      </c>
      <c r="BG31" s="643"/>
      <c r="BH31" s="655"/>
    </row>
    <row r="32" spans="1:60" customFormat="1">
      <c r="A32" s="612" t="s">
        <v>62</v>
      </c>
      <c r="B32" s="612" t="s">
        <v>391</v>
      </c>
      <c r="C32" s="612">
        <v>42</v>
      </c>
      <c r="D32" s="601">
        <v>25</v>
      </c>
      <c r="E32" s="623" t="s">
        <v>391</v>
      </c>
      <c r="F32" s="623" t="s">
        <v>62</v>
      </c>
      <c r="G32" s="601" t="s">
        <v>567</v>
      </c>
      <c r="H32" s="623">
        <v>2014</v>
      </c>
      <c r="I32" s="624">
        <v>3169.8939999999998</v>
      </c>
      <c r="J32" s="625">
        <v>32828.612000000001</v>
      </c>
      <c r="K32" s="626">
        <v>0.54300471342139256</v>
      </c>
      <c r="L32" s="626">
        <v>376.10310709999999</v>
      </c>
      <c r="M32" s="625">
        <v>583769.15</v>
      </c>
      <c r="N32" s="627">
        <v>284668</v>
      </c>
      <c r="O32" s="627">
        <v>3414640</v>
      </c>
      <c r="P32" s="628">
        <v>142.57956475646043</v>
      </c>
      <c r="Q32" s="625">
        <v>486857.88500000001</v>
      </c>
      <c r="R32" s="625">
        <v>486857.88500000001</v>
      </c>
      <c r="S32" s="625">
        <v>397018.94699999999</v>
      </c>
      <c r="T32" s="629">
        <v>81.547194619226502</v>
      </c>
      <c r="U32" s="625"/>
      <c r="V32" s="627">
        <v>1682267</v>
      </c>
      <c r="W32" s="629">
        <v>5911.9567509312838</v>
      </c>
      <c r="X32" s="627">
        <v>145189</v>
      </c>
      <c r="Y32" s="627">
        <v>38265</v>
      </c>
      <c r="Z32" s="629">
        <v>510.23475388327904</v>
      </c>
      <c r="AA32" s="629">
        <v>3.7943028877564355</v>
      </c>
      <c r="AB32" s="630">
        <v>483061.20299999998</v>
      </c>
      <c r="AC32" s="630">
        <v>0</v>
      </c>
      <c r="AD32" s="630">
        <v>0</v>
      </c>
      <c r="AE32" s="630">
        <v>0</v>
      </c>
      <c r="AF32" s="630">
        <v>0</v>
      </c>
      <c r="AG32" s="630" t="s">
        <v>434</v>
      </c>
      <c r="AH32" s="630">
        <v>483061.20299999998</v>
      </c>
      <c r="AI32" s="630">
        <v>328845.33100000001</v>
      </c>
      <c r="AJ32" s="630">
        <v>37916.517999999996</v>
      </c>
      <c r="AK32" s="630">
        <v>0</v>
      </c>
      <c r="AL32" s="630">
        <v>25787.941999999999</v>
      </c>
      <c r="AM32" s="630">
        <v>0</v>
      </c>
      <c r="AN32" s="630">
        <v>4469.1559999999999</v>
      </c>
      <c r="AO32" s="630">
        <v>0</v>
      </c>
      <c r="AP32" s="630">
        <v>397018.94699999999</v>
      </c>
      <c r="AQ32" s="630">
        <v>0</v>
      </c>
      <c r="AR32" s="630">
        <v>397018.94699999999</v>
      </c>
      <c r="AS32" s="630" t="s">
        <v>434</v>
      </c>
      <c r="AT32" s="630">
        <v>63139.275000000001</v>
      </c>
      <c r="AU32" s="630">
        <v>22034.44</v>
      </c>
      <c r="AV32" s="630">
        <v>0</v>
      </c>
      <c r="AW32" s="630" t="s">
        <v>434</v>
      </c>
      <c r="AX32" s="630">
        <v>482192.663</v>
      </c>
      <c r="AY32" s="630">
        <v>868.54</v>
      </c>
      <c r="AZ32" s="612" t="s">
        <v>430</v>
      </c>
      <c r="BA32" s="612" t="s">
        <v>433</v>
      </c>
      <c r="BB32" s="613" t="s">
        <v>552</v>
      </c>
      <c r="BC32" s="614">
        <v>5.6235606146710561E-2</v>
      </c>
      <c r="BD32" s="614">
        <v>0.12829244766102441</v>
      </c>
      <c r="BE32" s="613" t="s">
        <v>581</v>
      </c>
      <c r="BF32" s="613" t="s">
        <v>581</v>
      </c>
      <c r="BG32" s="643"/>
      <c r="BH32" s="655"/>
    </row>
    <row r="33" spans="1:60" customFormat="1">
      <c r="A33" s="601" t="s">
        <v>82</v>
      </c>
      <c r="B33" s="601" t="s">
        <v>418</v>
      </c>
      <c r="C33" s="601">
        <v>1</v>
      </c>
      <c r="D33" s="601">
        <v>36</v>
      </c>
      <c r="E33" s="623" t="s">
        <v>276</v>
      </c>
      <c r="F33" s="623" t="s">
        <v>82</v>
      </c>
      <c r="G33" s="601" t="s">
        <v>469</v>
      </c>
      <c r="H33" s="623">
        <v>2014</v>
      </c>
      <c r="I33" s="631">
        <v>47832.332000000002</v>
      </c>
      <c r="J33" s="631">
        <v>169401.72099999999</v>
      </c>
      <c r="K33" s="634">
        <v>3.5069114489508815</v>
      </c>
      <c r="L33" s="634">
        <v>564.01801039999998</v>
      </c>
      <c r="M33" s="631">
        <v>1363944.676</v>
      </c>
      <c r="N33" s="632">
        <v>283148</v>
      </c>
      <c r="O33" s="632">
        <v>2729938</v>
      </c>
      <c r="P33" s="635">
        <v>502.56003616199342</v>
      </c>
      <c r="Q33" s="631">
        <v>1421593.821</v>
      </c>
      <c r="R33" s="631">
        <v>1371957.74</v>
      </c>
      <c r="S33" s="631">
        <v>1065838.79</v>
      </c>
      <c r="T33" s="633">
        <v>77.687435911837923</v>
      </c>
      <c r="U33" s="625"/>
      <c r="V33" s="632">
        <v>2315758</v>
      </c>
      <c r="W33" s="633">
        <v>10179.387224178718</v>
      </c>
      <c r="X33" s="632">
        <v>1004521</v>
      </c>
      <c r="Y33" s="632">
        <v>59241</v>
      </c>
      <c r="Z33" s="633">
        <v>4415.5772035848431</v>
      </c>
      <c r="AA33" s="633">
        <v>16.95651660167789</v>
      </c>
      <c r="AB33" s="630">
        <v>1413163.4950000001</v>
      </c>
      <c r="AC33" s="630">
        <v>-49636.082000000002</v>
      </c>
      <c r="AD33" s="630">
        <v>0</v>
      </c>
      <c r="AE33" s="630">
        <v>0</v>
      </c>
      <c r="AF33" s="630">
        <v>417.26299999999998</v>
      </c>
      <c r="AG33" s="630" t="s">
        <v>434</v>
      </c>
      <c r="AH33" s="630">
        <v>1363944.676</v>
      </c>
      <c r="AI33" s="630">
        <v>848138.39300000004</v>
      </c>
      <c r="AJ33" s="630">
        <v>34614.563000000002</v>
      </c>
      <c r="AK33" s="630">
        <v>0</v>
      </c>
      <c r="AL33" s="630">
        <v>0</v>
      </c>
      <c r="AM33" s="630">
        <v>183019.74799999999</v>
      </c>
      <c r="AN33" s="630">
        <v>0</v>
      </c>
      <c r="AO33" s="630">
        <v>66.087000000000003</v>
      </c>
      <c r="AP33" s="630">
        <v>1065838.791</v>
      </c>
      <c r="AQ33" s="630">
        <v>13401.652</v>
      </c>
      <c r="AR33" s="630">
        <v>1052437.139</v>
      </c>
      <c r="AS33" s="630" t="s">
        <v>434</v>
      </c>
      <c r="AT33" s="630">
        <v>64409.004999999997</v>
      </c>
      <c r="AU33" s="630">
        <v>169401.72099999999</v>
      </c>
      <c r="AV33" s="630">
        <v>0</v>
      </c>
      <c r="AW33" s="630" t="s">
        <v>434</v>
      </c>
      <c r="AX33" s="630">
        <v>1286247.865</v>
      </c>
      <c r="AY33" s="630">
        <v>77696.811000000002</v>
      </c>
      <c r="AZ33" s="612" t="s">
        <v>430</v>
      </c>
      <c r="BA33" s="612" t="s">
        <v>433</v>
      </c>
      <c r="BB33" s="613" t="s">
        <v>552</v>
      </c>
      <c r="BC33" s="614">
        <v>0.12419984767769275</v>
      </c>
      <c r="BD33" s="652">
        <v>3.5069114489508814E-2</v>
      </c>
      <c r="BE33" s="613" t="s">
        <v>574</v>
      </c>
      <c r="BF33" s="613" t="s">
        <v>574</v>
      </c>
      <c r="BG33" s="643"/>
      <c r="BH33" s="655"/>
    </row>
    <row r="34" spans="1:60" customFormat="1">
      <c r="A34" s="612" t="s">
        <v>56</v>
      </c>
      <c r="B34" s="612" t="s">
        <v>426</v>
      </c>
      <c r="C34" s="612">
        <v>9</v>
      </c>
      <c r="D34" s="601">
        <v>64</v>
      </c>
      <c r="E34" s="623" t="s">
        <v>234</v>
      </c>
      <c r="F34" s="623" t="s">
        <v>56</v>
      </c>
      <c r="G34" s="601" t="s">
        <v>567</v>
      </c>
      <c r="H34" s="623">
        <v>2014</v>
      </c>
      <c r="I34" s="624">
        <v>332911.59399999998</v>
      </c>
      <c r="J34" s="625">
        <v>678799.99</v>
      </c>
      <c r="K34" s="626">
        <v>4.7791999412006323</v>
      </c>
      <c r="L34" s="626">
        <v>413.57068880000003</v>
      </c>
      <c r="M34" s="625">
        <v>6965843.6160000004</v>
      </c>
      <c r="N34" s="627">
        <v>280600</v>
      </c>
      <c r="O34" s="627">
        <v>1869514</v>
      </c>
      <c r="P34" s="628">
        <v>379.16339861589694</v>
      </c>
      <c r="Q34" s="625">
        <v>708851.28200000001</v>
      </c>
      <c r="R34" s="625">
        <v>708851.28200000001</v>
      </c>
      <c r="S34" s="625">
        <v>661276.53899999999</v>
      </c>
      <c r="T34" s="629">
        <v>93.288473307719855</v>
      </c>
      <c r="U34" s="625"/>
      <c r="V34" s="627">
        <v>1270348</v>
      </c>
      <c r="W34" s="629">
        <v>8154.0849653974237</v>
      </c>
      <c r="X34" s="627">
        <v>85632</v>
      </c>
      <c r="Y34" s="627">
        <v>17251</v>
      </c>
      <c r="Z34" s="629">
        <v>549.65301142435953</v>
      </c>
      <c r="AA34" s="629">
        <v>4.9638861515274479</v>
      </c>
      <c r="AB34" s="630">
        <v>708851.28200000001</v>
      </c>
      <c r="AC34" s="630">
        <v>0</v>
      </c>
      <c r="AD34" s="630">
        <v>0</v>
      </c>
      <c r="AE34" s="630">
        <v>0</v>
      </c>
      <c r="AF34" s="630">
        <v>0</v>
      </c>
      <c r="AG34" s="630" t="s">
        <v>434</v>
      </c>
      <c r="AH34" s="630">
        <v>708851.28200000001</v>
      </c>
      <c r="AI34" s="630">
        <v>481245.51799999998</v>
      </c>
      <c r="AJ34" s="630">
        <v>27072.815999999999</v>
      </c>
      <c r="AK34" s="630">
        <v>0</v>
      </c>
      <c r="AL34" s="630">
        <v>43513.133999999998</v>
      </c>
      <c r="AM34" s="630">
        <v>109445.071</v>
      </c>
      <c r="AN34" s="630">
        <v>0</v>
      </c>
      <c r="AO34" s="630">
        <v>0</v>
      </c>
      <c r="AP34" s="630">
        <v>661276.53899999999</v>
      </c>
      <c r="AQ34" s="630">
        <v>0</v>
      </c>
      <c r="AR34" s="630">
        <v>661276.53899999999</v>
      </c>
      <c r="AS34" s="630" t="s">
        <v>434</v>
      </c>
      <c r="AT34" s="630">
        <v>29744.075000000001</v>
      </c>
      <c r="AU34" s="630">
        <v>85750.410999999993</v>
      </c>
      <c r="AV34" s="630">
        <v>-4473</v>
      </c>
      <c r="AW34" s="630" t="s">
        <v>434</v>
      </c>
      <c r="AX34" s="630">
        <v>772298.02500000002</v>
      </c>
      <c r="AY34" s="630">
        <v>-63446.743000000002</v>
      </c>
      <c r="AZ34" s="612" t="s">
        <v>435</v>
      </c>
      <c r="BA34" s="612" t="s">
        <v>433</v>
      </c>
      <c r="BB34" s="613" t="s">
        <v>552</v>
      </c>
      <c r="BC34" s="614">
        <v>9.7446917763248264E-2</v>
      </c>
      <c r="BD34" s="614">
        <v>-3.0331650840446811E-2</v>
      </c>
      <c r="BE34" s="613" t="s">
        <v>571</v>
      </c>
      <c r="BF34" s="613" t="s">
        <v>571</v>
      </c>
      <c r="BG34" s="643"/>
      <c r="BH34" s="655"/>
    </row>
    <row r="35" spans="1:60" customFormat="1">
      <c r="A35" s="612" t="s">
        <v>85</v>
      </c>
      <c r="B35" s="601" t="s">
        <v>329</v>
      </c>
      <c r="C35" s="612">
        <v>14</v>
      </c>
      <c r="D35" s="601">
        <v>27</v>
      </c>
      <c r="E35" s="623" t="s">
        <v>329</v>
      </c>
      <c r="F35" s="623" t="s">
        <v>85</v>
      </c>
      <c r="G35" s="601" t="s">
        <v>567</v>
      </c>
      <c r="H35" s="623">
        <v>2014</v>
      </c>
      <c r="I35" s="624">
        <v>59029.082000000002</v>
      </c>
      <c r="J35" s="625">
        <v>171341.641</v>
      </c>
      <c r="K35" s="626">
        <v>3.4980816072202545</v>
      </c>
      <c r="L35" s="626">
        <v>411.1238712</v>
      </c>
      <c r="M35" s="625">
        <v>1687470.1229999999</v>
      </c>
      <c r="N35" s="627">
        <v>268842</v>
      </c>
      <c r="O35" s="627">
        <v>3135317</v>
      </c>
      <c r="P35" s="628">
        <v>433.86245282374955</v>
      </c>
      <c r="Q35" s="625">
        <v>1360296.324</v>
      </c>
      <c r="R35" s="625">
        <v>1360296.324</v>
      </c>
      <c r="S35" s="625">
        <v>1200270.541</v>
      </c>
      <c r="T35" s="629">
        <v>88.235961519807788</v>
      </c>
      <c r="U35" s="625"/>
      <c r="V35" s="627">
        <v>2174823</v>
      </c>
      <c r="W35" s="629">
        <v>8323.8396627836992</v>
      </c>
      <c r="X35" s="627">
        <v>177213</v>
      </c>
      <c r="Y35" s="627">
        <v>33757</v>
      </c>
      <c r="Z35" s="629">
        <v>678.25868963170228</v>
      </c>
      <c r="AA35" s="629">
        <v>5.249666735788133</v>
      </c>
      <c r="AB35" s="630" t="s">
        <v>20</v>
      </c>
      <c r="AC35" s="630" t="s">
        <v>20</v>
      </c>
      <c r="AD35" s="630" t="s">
        <v>20</v>
      </c>
      <c r="AE35" s="630" t="s">
        <v>20</v>
      </c>
      <c r="AF35" s="630" t="s">
        <v>20</v>
      </c>
      <c r="AG35" s="630" t="s">
        <v>20</v>
      </c>
      <c r="AH35" s="630" t="s">
        <v>20</v>
      </c>
      <c r="AI35" s="630" t="s">
        <v>20</v>
      </c>
      <c r="AJ35" s="630" t="s">
        <v>20</v>
      </c>
      <c r="AK35" s="630" t="s">
        <v>20</v>
      </c>
      <c r="AL35" s="630" t="s">
        <v>20</v>
      </c>
      <c r="AM35" s="630" t="s">
        <v>20</v>
      </c>
      <c r="AN35" s="630" t="s">
        <v>20</v>
      </c>
      <c r="AO35" s="630" t="s">
        <v>20</v>
      </c>
      <c r="AP35" s="630" t="s">
        <v>20</v>
      </c>
      <c r="AQ35" s="630" t="s">
        <v>20</v>
      </c>
      <c r="AR35" s="630" t="s">
        <v>20</v>
      </c>
      <c r="AS35" s="630" t="s">
        <v>20</v>
      </c>
      <c r="AT35" s="630" t="s">
        <v>20</v>
      </c>
      <c r="AU35" s="630" t="s">
        <v>20</v>
      </c>
      <c r="AV35" s="630" t="s">
        <v>20</v>
      </c>
      <c r="AW35" s="630" t="s">
        <v>20</v>
      </c>
      <c r="AX35" s="630" t="s">
        <v>20</v>
      </c>
      <c r="AY35" s="630" t="s">
        <v>20</v>
      </c>
      <c r="AZ35" s="612" t="s">
        <v>435</v>
      </c>
      <c r="BA35" s="612" t="s">
        <v>431</v>
      </c>
      <c r="BB35" s="613" t="s">
        <v>552</v>
      </c>
      <c r="BC35" s="614">
        <v>0.10153758497091922</v>
      </c>
      <c r="BD35" s="614">
        <v>1.6102799831002851E-2</v>
      </c>
      <c r="BE35" s="613" t="s">
        <v>573</v>
      </c>
      <c r="BF35" s="613" t="s">
        <v>573</v>
      </c>
      <c r="BG35" s="643"/>
      <c r="BH35" s="655"/>
    </row>
    <row r="36" spans="1:60" customFormat="1">
      <c r="A36" s="601" t="s">
        <v>56</v>
      </c>
      <c r="B36" s="601" t="s">
        <v>418</v>
      </c>
      <c r="C36" s="601">
        <v>1</v>
      </c>
      <c r="D36" s="601">
        <v>45</v>
      </c>
      <c r="E36" s="623" t="s">
        <v>278</v>
      </c>
      <c r="F36" s="623" t="s">
        <v>56</v>
      </c>
      <c r="G36" s="601" t="s">
        <v>567</v>
      </c>
      <c r="H36" s="623">
        <v>2014</v>
      </c>
      <c r="I36" s="631">
        <v>-165123.617</v>
      </c>
      <c r="J36" s="631">
        <v>148527.33499999999</v>
      </c>
      <c r="K36" s="634">
        <v>-7.0281433387702084</v>
      </c>
      <c r="L36" s="634">
        <v>120.2608195</v>
      </c>
      <c r="M36" s="631">
        <v>2349462.8530000001</v>
      </c>
      <c r="N36" s="632">
        <v>264163</v>
      </c>
      <c r="O36" s="632">
        <v>2440955</v>
      </c>
      <c r="P36" s="635">
        <v>594.8426976326889</v>
      </c>
      <c r="Q36" s="631">
        <v>1453618.3430000001</v>
      </c>
      <c r="R36" s="631">
        <v>1451984.257</v>
      </c>
      <c r="S36" s="631">
        <v>1482537.605</v>
      </c>
      <c r="T36" s="633">
        <v>102.10424788372895</v>
      </c>
      <c r="U36" s="625"/>
      <c r="V36" s="632">
        <v>1744315</v>
      </c>
      <c r="W36" s="633">
        <v>8575.2420671417531</v>
      </c>
      <c r="X36" s="632">
        <v>560476</v>
      </c>
      <c r="Y36" s="632">
        <v>40527</v>
      </c>
      <c r="Z36" s="633">
        <v>2755.3609140684689</v>
      </c>
      <c r="AA36" s="633">
        <v>13.829693784390653</v>
      </c>
      <c r="AB36" s="630">
        <v>1452177.44</v>
      </c>
      <c r="AC36" s="630">
        <v>-1634.086</v>
      </c>
      <c r="AD36" s="630">
        <v>0</v>
      </c>
      <c r="AE36" s="630">
        <v>0</v>
      </c>
      <c r="AF36" s="630">
        <v>0</v>
      </c>
      <c r="AG36" s="630" t="s">
        <v>434</v>
      </c>
      <c r="AH36" s="630">
        <v>1450543.3540000001</v>
      </c>
      <c r="AI36" s="630">
        <v>1326284.4650000001</v>
      </c>
      <c r="AJ36" s="630">
        <v>12928.662</v>
      </c>
      <c r="AK36" s="630">
        <v>0</v>
      </c>
      <c r="AL36" s="630">
        <v>0</v>
      </c>
      <c r="AM36" s="630">
        <v>142941.60800000001</v>
      </c>
      <c r="AN36" s="630">
        <v>0</v>
      </c>
      <c r="AO36" s="630">
        <v>382.87</v>
      </c>
      <c r="AP36" s="630">
        <v>1482537.605</v>
      </c>
      <c r="AQ36" s="630">
        <v>0</v>
      </c>
      <c r="AR36" s="630">
        <v>1482537.605</v>
      </c>
      <c r="AS36" s="630" t="s">
        <v>434</v>
      </c>
      <c r="AT36" s="630">
        <v>71283.356</v>
      </c>
      <c r="AU36" s="630">
        <v>57600.273000000001</v>
      </c>
      <c r="AV36" s="630">
        <v>76798</v>
      </c>
      <c r="AW36" s="630" t="s">
        <v>434</v>
      </c>
      <c r="AX36" s="630">
        <v>1688219.2339999999</v>
      </c>
      <c r="AY36" s="630">
        <v>-237675.88</v>
      </c>
      <c r="AZ36" s="612" t="s">
        <v>430</v>
      </c>
      <c r="BA36" s="612" t="s">
        <v>433</v>
      </c>
      <c r="BB36" s="613" t="s">
        <v>552</v>
      </c>
      <c r="BC36" s="614">
        <v>6.3217571118584517E-2</v>
      </c>
      <c r="BD36" s="614">
        <v>-8.4260049955873897E-2</v>
      </c>
      <c r="BE36" s="613" t="s">
        <v>569</v>
      </c>
      <c r="BF36" s="613" t="s">
        <v>569</v>
      </c>
      <c r="BG36" s="643"/>
      <c r="BH36" s="655"/>
    </row>
    <row r="37" spans="1:60" customFormat="1">
      <c r="A37" s="601" t="s">
        <v>85</v>
      </c>
      <c r="B37" s="612" t="s">
        <v>426</v>
      </c>
      <c r="C37" s="612">
        <v>9</v>
      </c>
      <c r="D37" s="601">
        <v>26</v>
      </c>
      <c r="E37" s="623" t="s">
        <v>217</v>
      </c>
      <c r="F37" s="623" t="s">
        <v>85</v>
      </c>
      <c r="G37" s="601" t="s">
        <v>567</v>
      </c>
      <c r="H37" s="623">
        <v>2014</v>
      </c>
      <c r="I37" s="624">
        <v>-22509.887999999999</v>
      </c>
      <c r="J37" s="625">
        <v>145103.58300000001</v>
      </c>
      <c r="K37" s="626">
        <v>-1.1781429592032793</v>
      </c>
      <c r="L37" s="626">
        <v>314.86233820000001</v>
      </c>
      <c r="M37" s="625">
        <v>1910624.4979999999</v>
      </c>
      <c r="N37" s="627">
        <v>261321</v>
      </c>
      <c r="O37" s="627">
        <v>3146638</v>
      </c>
      <c r="P37" s="628">
        <v>414.32762999747666</v>
      </c>
      <c r="Q37" s="625">
        <v>1303739.0649999999</v>
      </c>
      <c r="R37" s="625">
        <v>1303739.0649999999</v>
      </c>
      <c r="S37" s="625">
        <v>1177904.8689999999</v>
      </c>
      <c r="T37" s="629">
        <v>90.348206985728382</v>
      </c>
      <c r="U37" s="625"/>
      <c r="V37" s="627">
        <v>1211864</v>
      </c>
      <c r="W37" s="629">
        <v>4621.5573574081291</v>
      </c>
      <c r="X37" s="627">
        <v>143811</v>
      </c>
      <c r="Y37" s="627">
        <v>32073</v>
      </c>
      <c r="Z37" s="629">
        <v>548.4367760130018</v>
      </c>
      <c r="AA37" s="629">
        <v>4.4838649331213167</v>
      </c>
      <c r="AB37" s="630">
        <v>1303739.0649999999</v>
      </c>
      <c r="AC37" s="630">
        <v>0</v>
      </c>
      <c r="AD37" s="630">
        <v>0</v>
      </c>
      <c r="AE37" s="630">
        <v>0</v>
      </c>
      <c r="AF37" s="630">
        <v>0</v>
      </c>
      <c r="AG37" s="630" t="s">
        <v>434</v>
      </c>
      <c r="AH37" s="630">
        <v>1303739.0649999999</v>
      </c>
      <c r="AI37" s="630">
        <v>490754.81</v>
      </c>
      <c r="AJ37" s="630">
        <v>248516.37100000001</v>
      </c>
      <c r="AK37" s="630">
        <v>0</v>
      </c>
      <c r="AL37" s="630">
        <v>53804.08</v>
      </c>
      <c r="AM37" s="630">
        <v>350480.93800000002</v>
      </c>
      <c r="AN37" s="630">
        <v>34348.67</v>
      </c>
      <c r="AO37" s="630">
        <v>0</v>
      </c>
      <c r="AP37" s="630">
        <v>1177904.8689999999</v>
      </c>
      <c r="AQ37" s="630">
        <v>0</v>
      </c>
      <c r="AR37" s="630">
        <v>1177904.8689999999</v>
      </c>
      <c r="AS37" s="630" t="s">
        <v>434</v>
      </c>
      <c r="AT37" s="630">
        <v>53286.618999999999</v>
      </c>
      <c r="AU37" s="630">
        <v>108523.99800000001</v>
      </c>
      <c r="AV37" s="630">
        <v>8682.2039999999997</v>
      </c>
      <c r="AW37" s="630" t="s">
        <v>434</v>
      </c>
      <c r="AX37" s="630">
        <v>1348397.69</v>
      </c>
      <c r="AY37" s="630">
        <v>-44658.625</v>
      </c>
      <c r="AZ37" s="612" t="s">
        <v>430</v>
      </c>
      <c r="BA37" s="612" t="s">
        <v>431</v>
      </c>
      <c r="BB37" s="613" t="s">
        <v>552</v>
      </c>
      <c r="BC37" s="614">
        <v>7.5945630945217793E-2</v>
      </c>
      <c r="BD37" s="614">
        <v>2.0572299197498353E-2</v>
      </c>
      <c r="BE37" s="613" t="s">
        <v>573</v>
      </c>
      <c r="BF37" s="613" t="s">
        <v>573</v>
      </c>
      <c r="BG37" s="643"/>
      <c r="BH37" s="655"/>
    </row>
    <row r="38" spans="1:60" customFormat="1">
      <c r="A38" s="601" t="s">
        <v>69</v>
      </c>
      <c r="B38" s="601" t="s">
        <v>418</v>
      </c>
      <c r="C38" s="601">
        <v>1</v>
      </c>
      <c r="D38" s="601">
        <v>28</v>
      </c>
      <c r="E38" s="623" t="s">
        <v>275</v>
      </c>
      <c r="F38" s="623" t="s">
        <v>69</v>
      </c>
      <c r="G38" s="601" t="s">
        <v>469</v>
      </c>
      <c r="H38" s="623">
        <v>2014</v>
      </c>
      <c r="I38" s="631">
        <v>30385.87</v>
      </c>
      <c r="J38" s="631">
        <v>105658.285</v>
      </c>
      <c r="K38" s="634">
        <v>2.7857032108654423</v>
      </c>
      <c r="L38" s="634">
        <v>352.59811939999997</v>
      </c>
      <c r="M38" s="631">
        <v>1090779.1569999999</v>
      </c>
      <c r="N38" s="632">
        <v>250401</v>
      </c>
      <c r="O38" s="632">
        <v>2973293</v>
      </c>
      <c r="P38" s="635">
        <v>339.18465721339942</v>
      </c>
      <c r="Q38" s="631">
        <v>1008451.179</v>
      </c>
      <c r="R38" s="631">
        <v>1008495.367</v>
      </c>
      <c r="S38" s="631">
        <v>822046.24</v>
      </c>
      <c r="T38" s="633">
        <v>81.512148384515086</v>
      </c>
      <c r="U38" s="625"/>
      <c r="V38" s="632">
        <v>2383764</v>
      </c>
      <c r="W38" s="633">
        <v>9620.7027023572846</v>
      </c>
      <c r="X38" s="632">
        <v>126230</v>
      </c>
      <c r="Y38" s="632">
        <v>24356</v>
      </c>
      <c r="Z38" s="633">
        <v>509.45534126640058</v>
      </c>
      <c r="AA38" s="633">
        <v>5.1827065199540154</v>
      </c>
      <c r="AB38" s="630">
        <v>1006517.147</v>
      </c>
      <c r="AC38" s="630">
        <v>-1656.549</v>
      </c>
      <c r="AD38" s="630">
        <v>0</v>
      </c>
      <c r="AE38" s="630">
        <v>0</v>
      </c>
      <c r="AF38" s="630">
        <v>1700.7370000000001</v>
      </c>
      <c r="AG38" s="630" t="s">
        <v>434</v>
      </c>
      <c r="AH38" s="630">
        <v>1006561.335</v>
      </c>
      <c r="AI38" s="630">
        <v>688812.07400000002</v>
      </c>
      <c r="AJ38" s="630">
        <v>7924.1909999999998</v>
      </c>
      <c r="AK38" s="630">
        <v>0</v>
      </c>
      <c r="AL38" s="630">
        <v>2512.8049999999998</v>
      </c>
      <c r="AM38" s="630">
        <v>120071.06200000001</v>
      </c>
      <c r="AN38" s="630">
        <v>0</v>
      </c>
      <c r="AO38" s="630">
        <v>2726.1080000000002</v>
      </c>
      <c r="AP38" s="630">
        <v>822046.24</v>
      </c>
      <c r="AQ38" s="630">
        <v>1985.816</v>
      </c>
      <c r="AR38" s="630">
        <v>820060.424</v>
      </c>
      <c r="AS38" s="630" t="s">
        <v>434</v>
      </c>
      <c r="AT38" s="630">
        <v>39134.629999999997</v>
      </c>
      <c r="AU38" s="630">
        <v>99466.421000000002</v>
      </c>
      <c r="AV38" s="630">
        <v>0</v>
      </c>
      <c r="AW38" s="630" t="s">
        <v>434</v>
      </c>
      <c r="AX38" s="630">
        <v>958661.47499999998</v>
      </c>
      <c r="AY38" s="630">
        <v>47899.86</v>
      </c>
      <c r="AZ38" s="612" t="s">
        <v>430</v>
      </c>
      <c r="BA38" s="612" t="s">
        <v>433</v>
      </c>
      <c r="BB38" s="613" t="s">
        <v>552</v>
      </c>
      <c r="BC38" s="614">
        <v>9.6864965123274735E-2</v>
      </c>
      <c r="BD38" s="652">
        <v>2.7857032108654423E-2</v>
      </c>
      <c r="BE38" s="613" t="s">
        <v>574</v>
      </c>
      <c r="BF38" s="613" t="s">
        <v>574</v>
      </c>
      <c r="BG38" s="643"/>
      <c r="BH38" s="655"/>
    </row>
    <row r="39" spans="1:60" customFormat="1">
      <c r="A39" s="601" t="s">
        <v>92</v>
      </c>
      <c r="B39" s="601" t="s">
        <v>420</v>
      </c>
      <c r="C39" s="601">
        <v>3</v>
      </c>
      <c r="D39" s="601">
        <v>34</v>
      </c>
      <c r="E39" s="623" t="s">
        <v>226</v>
      </c>
      <c r="F39" s="623" t="s">
        <v>92</v>
      </c>
      <c r="G39" s="601" t="s">
        <v>567</v>
      </c>
      <c r="H39" s="623">
        <v>2014</v>
      </c>
      <c r="I39" s="631">
        <v>65346.525000000001</v>
      </c>
      <c r="J39" s="631">
        <v>168810.693</v>
      </c>
      <c r="K39" s="634">
        <v>3.1395533452830011</v>
      </c>
      <c r="L39" s="634">
        <v>421.23676189999998</v>
      </c>
      <c r="M39" s="631">
        <v>2081395.594</v>
      </c>
      <c r="N39" s="632">
        <v>245129</v>
      </c>
      <c r="O39" s="632">
        <v>2795724</v>
      </c>
      <c r="P39" s="635">
        <v>335.20167834879265</v>
      </c>
      <c r="Q39" s="631">
        <v>937131.37699999998</v>
      </c>
      <c r="R39" s="631">
        <v>937131.37699999998</v>
      </c>
      <c r="S39" s="631">
        <v>823246.76599999995</v>
      </c>
      <c r="T39" s="633">
        <v>87.847529834656257</v>
      </c>
      <c r="U39" s="625"/>
      <c r="V39" s="632">
        <v>1492838</v>
      </c>
      <c r="W39" s="633">
        <v>6407.6625589650484</v>
      </c>
      <c r="X39" s="632">
        <v>133355</v>
      </c>
      <c r="Y39" s="632">
        <v>25442</v>
      </c>
      <c r="Z39" s="633">
        <v>572.39555835983811</v>
      </c>
      <c r="AA39" s="633">
        <v>5.2415297539501609</v>
      </c>
      <c r="AB39" s="630">
        <v>932306.43599999999</v>
      </c>
      <c r="AC39" s="630">
        <v>0</v>
      </c>
      <c r="AD39" s="630">
        <v>0</v>
      </c>
      <c r="AE39" s="630">
        <v>0</v>
      </c>
      <c r="AF39" s="630">
        <v>0</v>
      </c>
      <c r="AG39" s="630" t="s">
        <v>434</v>
      </c>
      <c r="AH39" s="630">
        <v>932306.43599999999</v>
      </c>
      <c r="AI39" s="630">
        <v>535800.98400000005</v>
      </c>
      <c r="AJ39" s="630">
        <v>11652.822</v>
      </c>
      <c r="AK39" s="630">
        <v>0</v>
      </c>
      <c r="AL39" s="630">
        <v>58215.928999999996</v>
      </c>
      <c r="AM39" s="630">
        <v>192622.77299999999</v>
      </c>
      <c r="AN39" s="630">
        <v>24973.806</v>
      </c>
      <c r="AO39" s="630">
        <v>-19.547999999999998</v>
      </c>
      <c r="AP39" s="630">
        <v>823246.76599999995</v>
      </c>
      <c r="AQ39" s="630">
        <v>3421.4690000000001</v>
      </c>
      <c r="AR39" s="630">
        <v>819825.29700000002</v>
      </c>
      <c r="AS39" s="630" t="s">
        <v>434</v>
      </c>
      <c r="AT39" s="630">
        <v>25589.947</v>
      </c>
      <c r="AU39" s="630">
        <v>54039.413999999997</v>
      </c>
      <c r="AV39" s="630">
        <v>0</v>
      </c>
      <c r="AW39" s="630" t="s">
        <v>434</v>
      </c>
      <c r="AX39" s="630">
        <v>899454.65800000005</v>
      </c>
      <c r="AY39" s="630">
        <v>32851.777999999998</v>
      </c>
      <c r="AZ39" s="612" t="s">
        <v>430</v>
      </c>
      <c r="BA39" s="612" t="s">
        <v>433</v>
      </c>
      <c r="BB39" s="613" t="s">
        <v>555</v>
      </c>
      <c r="BC39" s="614">
        <v>8.1104569206655097E-2</v>
      </c>
      <c r="BD39" s="614">
        <v>4.0420132446782331E-2</v>
      </c>
      <c r="BE39" s="613" t="s">
        <v>574</v>
      </c>
      <c r="BF39" s="613" t="s">
        <v>574</v>
      </c>
      <c r="BG39" s="643"/>
      <c r="BH39" s="655"/>
    </row>
    <row r="40" spans="1:60" customFormat="1">
      <c r="A40" s="601" t="s">
        <v>62</v>
      </c>
      <c r="B40" s="601" t="s">
        <v>420</v>
      </c>
      <c r="C40" s="601">
        <v>3</v>
      </c>
      <c r="D40" s="601">
        <v>30</v>
      </c>
      <c r="E40" s="623" t="s">
        <v>199</v>
      </c>
      <c r="F40" s="623" t="s">
        <v>62</v>
      </c>
      <c r="G40" s="601" t="s">
        <v>567</v>
      </c>
      <c r="H40" s="623">
        <v>2014</v>
      </c>
      <c r="I40" s="631">
        <v>389098.64799999999</v>
      </c>
      <c r="J40" s="631">
        <v>360833.63900000002</v>
      </c>
      <c r="K40" s="634">
        <v>7.9901100468558779</v>
      </c>
      <c r="L40" s="634">
        <v>456.41209020000002</v>
      </c>
      <c r="M40" s="631">
        <v>4869753.3039999995</v>
      </c>
      <c r="N40" s="632">
        <v>244753</v>
      </c>
      <c r="O40" s="632">
        <v>2912429</v>
      </c>
      <c r="P40" s="635">
        <v>164.79658834601634</v>
      </c>
      <c r="Q40" s="631">
        <v>480527.93599999999</v>
      </c>
      <c r="R40" s="631">
        <v>479958.36300000001</v>
      </c>
      <c r="S40" s="631">
        <v>381761</v>
      </c>
      <c r="T40" s="633">
        <v>79.540441302821932</v>
      </c>
      <c r="U40" s="625"/>
      <c r="V40" s="632">
        <v>0</v>
      </c>
      <c r="W40" s="633">
        <v>0</v>
      </c>
      <c r="X40" s="632">
        <v>0</v>
      </c>
      <c r="Y40" s="632">
        <v>0</v>
      </c>
      <c r="Z40" s="633">
        <v>0</v>
      </c>
      <c r="AA40" s="633" t="s">
        <v>434</v>
      </c>
      <c r="AB40" s="630">
        <v>478714.92200000002</v>
      </c>
      <c r="AC40" s="630">
        <v>-569.57299999999998</v>
      </c>
      <c r="AD40" s="630">
        <v>0</v>
      </c>
      <c r="AE40" s="630">
        <v>0</v>
      </c>
      <c r="AF40" s="630">
        <v>0</v>
      </c>
      <c r="AG40" s="630" t="s">
        <v>434</v>
      </c>
      <c r="AH40" s="630">
        <v>478145.348</v>
      </c>
      <c r="AI40" s="630">
        <v>353538.21</v>
      </c>
      <c r="AJ40" s="630">
        <v>24801.567999999999</v>
      </c>
      <c r="AK40" s="630">
        <v>0</v>
      </c>
      <c r="AL40" s="630">
        <v>3480.3850000000002</v>
      </c>
      <c r="AM40" s="630">
        <v>-81.412999999999997</v>
      </c>
      <c r="AN40" s="630">
        <v>0</v>
      </c>
      <c r="AO40" s="630">
        <v>22.248999999999999</v>
      </c>
      <c r="AP40" s="630">
        <v>381761</v>
      </c>
      <c r="AQ40" s="630">
        <v>2024.25</v>
      </c>
      <c r="AR40" s="630">
        <v>379736.75</v>
      </c>
      <c r="AS40" s="630" t="s">
        <v>434</v>
      </c>
      <c r="AT40" s="630">
        <v>15507.4</v>
      </c>
      <c r="AU40" s="630">
        <v>58034.767</v>
      </c>
      <c r="AV40" s="630">
        <v>0</v>
      </c>
      <c r="AW40" s="630" t="s">
        <v>434</v>
      </c>
      <c r="AX40" s="630">
        <v>453278.91700000002</v>
      </c>
      <c r="AY40" s="630">
        <v>24866.431</v>
      </c>
      <c r="AZ40" s="612" t="s">
        <v>430</v>
      </c>
      <c r="BA40" s="612" t="s">
        <v>433</v>
      </c>
      <c r="BB40" s="613" t="s">
        <v>555</v>
      </c>
      <c r="BC40" s="614">
        <v>7.409690316419365E-2</v>
      </c>
      <c r="BD40" s="614">
        <v>0.13049868380758706</v>
      </c>
      <c r="BE40" s="613" t="s">
        <v>581</v>
      </c>
      <c r="BF40" s="613" t="s">
        <v>581</v>
      </c>
      <c r="BG40" s="643"/>
      <c r="BH40" s="655"/>
    </row>
    <row r="41" spans="1:60" customFormat="1">
      <c r="A41" s="612" t="s">
        <v>66</v>
      </c>
      <c r="B41" s="612" t="s">
        <v>162</v>
      </c>
      <c r="C41" s="612">
        <v>18</v>
      </c>
      <c r="D41" s="601">
        <v>37</v>
      </c>
      <c r="E41" s="623" t="s">
        <v>162</v>
      </c>
      <c r="F41" s="623" t="s">
        <v>66</v>
      </c>
      <c r="G41" s="601" t="s">
        <v>567</v>
      </c>
      <c r="H41" s="623">
        <v>2014</v>
      </c>
      <c r="I41" s="624">
        <v>-101299.11</v>
      </c>
      <c r="J41" s="625">
        <v>62290.762000000002</v>
      </c>
      <c r="K41" s="626">
        <v>-5.8969691876374197</v>
      </c>
      <c r="L41" s="626">
        <v>195.92121</v>
      </c>
      <c r="M41" s="625">
        <v>1717816.5049999999</v>
      </c>
      <c r="N41" s="627">
        <v>244160</v>
      </c>
      <c r="O41" s="627">
        <v>2717732</v>
      </c>
      <c r="P41" s="628">
        <v>474.19040471981782</v>
      </c>
      <c r="Q41" s="625">
        <v>1288722.4369999999</v>
      </c>
      <c r="R41" s="625">
        <v>1288722.4369999999</v>
      </c>
      <c r="S41" s="625">
        <v>1331239.0279999999</v>
      </c>
      <c r="T41" s="629">
        <v>103.29912708736366</v>
      </c>
      <c r="U41" s="625"/>
      <c r="V41" s="627">
        <v>1686311</v>
      </c>
      <c r="W41" s="629">
        <v>7445.8158493920664</v>
      </c>
      <c r="X41" s="627">
        <v>138993</v>
      </c>
      <c r="Y41" s="627">
        <v>26346</v>
      </c>
      <c r="Z41" s="629">
        <v>613.71614272488978</v>
      </c>
      <c r="AA41" s="629">
        <v>5.2756775222045089</v>
      </c>
      <c r="AB41" s="630">
        <v>1285504.314</v>
      </c>
      <c r="AC41" s="630">
        <v>0</v>
      </c>
      <c r="AD41" s="630">
        <v>0</v>
      </c>
      <c r="AE41" s="630">
        <v>0</v>
      </c>
      <c r="AF41" s="630">
        <v>0</v>
      </c>
      <c r="AG41" s="630" t="s">
        <v>434</v>
      </c>
      <c r="AH41" s="630">
        <v>1285504.314</v>
      </c>
      <c r="AI41" s="630">
        <v>909791.18099999998</v>
      </c>
      <c r="AJ41" s="630">
        <v>154287.28400000001</v>
      </c>
      <c r="AK41" s="630">
        <v>0</v>
      </c>
      <c r="AL41" s="630">
        <v>53404.03</v>
      </c>
      <c r="AM41" s="630">
        <v>210556.76199999999</v>
      </c>
      <c r="AN41" s="630">
        <v>3199.7710000000002</v>
      </c>
      <c r="AO41" s="630">
        <v>0</v>
      </c>
      <c r="AP41" s="630">
        <v>1331239.0279999999</v>
      </c>
      <c r="AQ41" s="630">
        <v>1881.723</v>
      </c>
      <c r="AR41" s="630">
        <v>1329357.3049999999</v>
      </c>
      <c r="AS41" s="630" t="s">
        <v>434</v>
      </c>
      <c r="AT41" s="630">
        <v>39797.214</v>
      </c>
      <c r="AU41" s="630">
        <v>43061.404999999999</v>
      </c>
      <c r="AV41" s="630">
        <v>-21107.78</v>
      </c>
      <c r="AW41" s="630" t="s">
        <v>434</v>
      </c>
      <c r="AX41" s="630">
        <v>1391108.1440000001</v>
      </c>
      <c r="AY41" s="630">
        <v>-105603.83</v>
      </c>
      <c r="AZ41" s="612" t="s">
        <v>435</v>
      </c>
      <c r="BA41" s="612" t="s">
        <v>431</v>
      </c>
      <c r="BB41" s="613" t="s">
        <v>555</v>
      </c>
      <c r="BC41" s="614">
        <v>3.6261592445230355E-2</v>
      </c>
      <c r="BD41" s="614">
        <v>-6.9252863318866986E-2</v>
      </c>
      <c r="BE41" s="613" t="s">
        <v>570</v>
      </c>
      <c r="BF41" s="613" t="s">
        <v>570</v>
      </c>
      <c r="BG41" s="643"/>
      <c r="BH41" s="655"/>
    </row>
    <row r="42" spans="1:60" customFormat="1">
      <c r="A42" s="612" t="s">
        <v>81</v>
      </c>
      <c r="B42" s="612" t="s">
        <v>331</v>
      </c>
      <c r="C42" s="612">
        <v>19</v>
      </c>
      <c r="D42" s="601">
        <v>38</v>
      </c>
      <c r="E42" s="623" t="s">
        <v>331</v>
      </c>
      <c r="F42" s="623" t="s">
        <v>81</v>
      </c>
      <c r="G42" s="601" t="s">
        <v>567</v>
      </c>
      <c r="H42" s="623">
        <v>2014</v>
      </c>
      <c r="I42" s="624">
        <v>-357238.29800000001</v>
      </c>
      <c r="J42" s="625">
        <v>509293.962</v>
      </c>
      <c r="K42" s="626">
        <v>-7.0202016983869546</v>
      </c>
      <c r="L42" s="626">
        <v>410.90096299999999</v>
      </c>
      <c r="M42" s="625">
        <v>5088718.4349999996</v>
      </c>
      <c r="N42" s="627">
        <v>238995</v>
      </c>
      <c r="O42" s="627">
        <v>2671566</v>
      </c>
      <c r="P42" s="628">
        <v>469.59343620932441</v>
      </c>
      <c r="Q42" s="625">
        <v>1254549.858</v>
      </c>
      <c r="R42" s="625">
        <v>1254549.858</v>
      </c>
      <c r="S42" s="625">
        <v>1124536.53</v>
      </c>
      <c r="T42" s="629">
        <v>89.636655157949093</v>
      </c>
      <c r="U42" s="625"/>
      <c r="V42" s="627">
        <v>1669704</v>
      </c>
      <c r="W42" s="629">
        <v>7499.8888292484635</v>
      </c>
      <c r="X42" s="627">
        <v>5821</v>
      </c>
      <c r="Y42" s="627">
        <v>1266</v>
      </c>
      <c r="Z42" s="629">
        <v>26.146462411933676</v>
      </c>
      <c r="AA42" s="629">
        <v>4.597946287519747</v>
      </c>
      <c r="AB42" s="630" t="s">
        <v>20</v>
      </c>
      <c r="AC42" s="630" t="s">
        <v>20</v>
      </c>
      <c r="AD42" s="630" t="s">
        <v>20</v>
      </c>
      <c r="AE42" s="630" t="s">
        <v>20</v>
      </c>
      <c r="AF42" s="630" t="s">
        <v>20</v>
      </c>
      <c r="AG42" s="630" t="s">
        <v>20</v>
      </c>
      <c r="AH42" s="630" t="s">
        <v>20</v>
      </c>
      <c r="AI42" s="630" t="s">
        <v>20</v>
      </c>
      <c r="AJ42" s="630" t="s">
        <v>20</v>
      </c>
      <c r="AK42" s="630" t="s">
        <v>20</v>
      </c>
      <c r="AL42" s="630" t="s">
        <v>20</v>
      </c>
      <c r="AM42" s="630" t="s">
        <v>20</v>
      </c>
      <c r="AN42" s="630" t="s">
        <v>20</v>
      </c>
      <c r="AO42" s="630" t="s">
        <v>20</v>
      </c>
      <c r="AP42" s="630" t="s">
        <v>20</v>
      </c>
      <c r="AQ42" s="630" t="s">
        <v>20</v>
      </c>
      <c r="AR42" s="630" t="s">
        <v>20</v>
      </c>
      <c r="AS42" s="630" t="s">
        <v>20</v>
      </c>
      <c r="AT42" s="630" t="s">
        <v>20</v>
      </c>
      <c r="AU42" s="630" t="s">
        <v>20</v>
      </c>
      <c r="AV42" s="630" t="s">
        <v>20</v>
      </c>
      <c r="AW42" s="630" t="s">
        <v>20</v>
      </c>
      <c r="AX42" s="630" t="s">
        <v>20</v>
      </c>
      <c r="AY42" s="630" t="s">
        <v>20</v>
      </c>
      <c r="AZ42" s="612" t="s">
        <v>430</v>
      </c>
      <c r="BA42" s="612" t="s">
        <v>433</v>
      </c>
      <c r="BB42" s="613" t="s">
        <v>555</v>
      </c>
      <c r="BC42" s="614">
        <v>0.10008295182871521</v>
      </c>
      <c r="BD42" s="614">
        <v>3.5504965917938225E-3</v>
      </c>
      <c r="BE42" s="613" t="s">
        <v>573</v>
      </c>
      <c r="BF42" s="613" t="s">
        <v>573</v>
      </c>
      <c r="BG42" s="643"/>
      <c r="BH42" s="655"/>
    </row>
    <row r="43" spans="1:60" customFormat="1">
      <c r="A43" s="612" t="s">
        <v>67</v>
      </c>
      <c r="B43" s="601" t="s">
        <v>386</v>
      </c>
      <c r="C43" s="612">
        <v>20</v>
      </c>
      <c r="D43" s="601">
        <v>31</v>
      </c>
      <c r="E43" s="623" t="s">
        <v>386</v>
      </c>
      <c r="F43" s="623" t="s">
        <v>67</v>
      </c>
      <c r="G43" s="601" t="s">
        <v>567</v>
      </c>
      <c r="H43" s="623">
        <v>2014</v>
      </c>
      <c r="I43" s="624" t="s">
        <v>434</v>
      </c>
      <c r="J43" s="625" t="s">
        <v>434</v>
      </c>
      <c r="K43" s="626" t="s">
        <v>434</v>
      </c>
      <c r="L43" s="626" t="s">
        <v>434</v>
      </c>
      <c r="M43" s="625" t="s">
        <v>434</v>
      </c>
      <c r="N43" s="627">
        <v>237663</v>
      </c>
      <c r="O43" s="627">
        <v>2840498</v>
      </c>
      <c r="P43" s="628">
        <v>385.76867683061209</v>
      </c>
      <c r="Q43" s="625">
        <v>1095775.155</v>
      </c>
      <c r="R43" s="625">
        <v>1095775.155</v>
      </c>
      <c r="S43" s="625">
        <v>883310.52599999995</v>
      </c>
      <c r="T43" s="629">
        <v>80.610563396101085</v>
      </c>
      <c r="U43" s="625"/>
      <c r="V43" s="627">
        <v>4386262</v>
      </c>
      <c r="W43" s="629">
        <v>18530.252089598373</v>
      </c>
      <c r="X43" s="627">
        <v>98743</v>
      </c>
      <c r="Y43" s="627">
        <v>22300</v>
      </c>
      <c r="Z43" s="629">
        <v>417.15079538869594</v>
      </c>
      <c r="AA43" s="629">
        <v>4.4279372197309419</v>
      </c>
      <c r="AB43" s="630" t="s">
        <v>20</v>
      </c>
      <c r="AC43" s="630" t="s">
        <v>20</v>
      </c>
      <c r="AD43" s="630" t="s">
        <v>20</v>
      </c>
      <c r="AE43" s="630" t="s">
        <v>20</v>
      </c>
      <c r="AF43" s="630" t="s">
        <v>20</v>
      </c>
      <c r="AG43" s="630" t="s">
        <v>20</v>
      </c>
      <c r="AH43" s="630" t="s">
        <v>20</v>
      </c>
      <c r="AI43" s="630" t="s">
        <v>20</v>
      </c>
      <c r="AJ43" s="630" t="s">
        <v>20</v>
      </c>
      <c r="AK43" s="630" t="s">
        <v>20</v>
      </c>
      <c r="AL43" s="630" t="s">
        <v>20</v>
      </c>
      <c r="AM43" s="630" t="s">
        <v>20</v>
      </c>
      <c r="AN43" s="630" t="s">
        <v>20</v>
      </c>
      <c r="AO43" s="630" t="s">
        <v>20</v>
      </c>
      <c r="AP43" s="630" t="s">
        <v>20</v>
      </c>
      <c r="AQ43" s="630" t="s">
        <v>20</v>
      </c>
      <c r="AR43" s="630" t="s">
        <v>20</v>
      </c>
      <c r="AS43" s="630" t="s">
        <v>20</v>
      </c>
      <c r="AT43" s="630" t="s">
        <v>20</v>
      </c>
      <c r="AU43" s="630" t="s">
        <v>20</v>
      </c>
      <c r="AV43" s="630" t="s">
        <v>20</v>
      </c>
      <c r="AW43" s="630" t="s">
        <v>20</v>
      </c>
      <c r="AX43" s="630" t="s">
        <v>20</v>
      </c>
      <c r="AY43" s="630" t="s">
        <v>20</v>
      </c>
      <c r="AZ43" s="637" t="s">
        <v>435</v>
      </c>
      <c r="BA43" s="637" t="s">
        <v>431</v>
      </c>
      <c r="BB43" s="613" t="s">
        <v>555</v>
      </c>
      <c r="BC43" s="614">
        <v>0</v>
      </c>
      <c r="BD43" s="614">
        <v>-100</v>
      </c>
      <c r="BE43" s="613" t="s">
        <v>455</v>
      </c>
      <c r="BF43" s="613" t="s">
        <v>455</v>
      </c>
      <c r="BG43" s="643"/>
      <c r="BH43" s="655"/>
    </row>
    <row r="44" spans="1:60" customFormat="1">
      <c r="A44" s="601" t="s">
        <v>95</v>
      </c>
      <c r="B44" s="612" t="s">
        <v>426</v>
      </c>
      <c r="C44" s="612">
        <v>9</v>
      </c>
      <c r="D44" s="601">
        <v>44</v>
      </c>
      <c r="E44" s="623" t="s">
        <v>176</v>
      </c>
      <c r="F44" s="623" t="s">
        <v>95</v>
      </c>
      <c r="G44" s="601" t="s">
        <v>469</v>
      </c>
      <c r="H44" s="623">
        <v>2014</v>
      </c>
      <c r="I44" s="624">
        <v>114971.523</v>
      </c>
      <c r="J44" s="625">
        <v>79092.182000000001</v>
      </c>
      <c r="K44" s="626">
        <v>8.9104801793152077</v>
      </c>
      <c r="L44" s="626">
        <v>533.21971810000002</v>
      </c>
      <c r="M44" s="625">
        <v>1290295.48</v>
      </c>
      <c r="N44" s="627">
        <v>236330</v>
      </c>
      <c r="O44" s="627">
        <v>2458602</v>
      </c>
      <c r="P44" s="628">
        <v>524.80860261237888</v>
      </c>
      <c r="Q44" s="625">
        <v>1293066.98</v>
      </c>
      <c r="R44" s="625">
        <v>1290295.48</v>
      </c>
      <c r="S44" s="625">
        <v>1099598.21</v>
      </c>
      <c r="T44" s="629">
        <v>85.220651164336402</v>
      </c>
      <c r="U44" s="625"/>
      <c r="V44" s="627">
        <v>1330925</v>
      </c>
      <c r="W44" s="629">
        <v>6496.0087073873692</v>
      </c>
      <c r="X44" s="627">
        <v>113156</v>
      </c>
      <c r="Y44" s="627">
        <v>27431</v>
      </c>
      <c r="Z44" s="629">
        <v>552.29435264430765</v>
      </c>
      <c r="AA44" s="629">
        <v>4.1251139222048048</v>
      </c>
      <c r="AB44" s="630">
        <v>1290295.48</v>
      </c>
      <c r="AC44" s="630">
        <v>0</v>
      </c>
      <c r="AD44" s="630">
        <v>0</v>
      </c>
      <c r="AE44" s="630">
        <v>0</v>
      </c>
      <c r="AF44" s="630">
        <v>0</v>
      </c>
      <c r="AG44" s="630" t="s">
        <v>434</v>
      </c>
      <c r="AH44" s="630">
        <v>1290295.48</v>
      </c>
      <c r="AI44" s="630">
        <v>466321.06400000001</v>
      </c>
      <c r="AJ44" s="630">
        <v>241109.43299999999</v>
      </c>
      <c r="AK44" s="630">
        <v>0</v>
      </c>
      <c r="AL44" s="630">
        <v>75734.286999999997</v>
      </c>
      <c r="AM44" s="630">
        <v>208562.962</v>
      </c>
      <c r="AN44" s="630">
        <v>107870.463</v>
      </c>
      <c r="AO44" s="630">
        <v>0</v>
      </c>
      <c r="AP44" s="630">
        <v>1099598.209</v>
      </c>
      <c r="AQ44" s="630">
        <v>1030.441</v>
      </c>
      <c r="AR44" s="630">
        <v>1098567.7679999999</v>
      </c>
      <c r="AS44" s="630" t="s">
        <v>434</v>
      </c>
      <c r="AT44" s="630">
        <v>4067.107</v>
      </c>
      <c r="AU44" s="630">
        <v>79092.182000000001</v>
      </c>
      <c r="AV44" s="630">
        <v>0</v>
      </c>
      <c r="AW44" s="630" t="s">
        <v>434</v>
      </c>
      <c r="AX44" s="630">
        <v>1181727.057</v>
      </c>
      <c r="AY44" s="630">
        <v>108568.423</v>
      </c>
      <c r="AZ44" s="612" t="s">
        <v>430</v>
      </c>
      <c r="BA44" s="612" t="s">
        <v>433</v>
      </c>
      <c r="BB44" s="613" t="s">
        <v>555</v>
      </c>
      <c r="BC44" s="614">
        <v>6.1297728486191395E-2</v>
      </c>
      <c r="BD44" s="652">
        <v>8.9104801793152083E-2</v>
      </c>
      <c r="BE44" s="613" t="s">
        <v>576</v>
      </c>
      <c r="BF44" s="613" t="s">
        <v>576</v>
      </c>
      <c r="BG44" s="643"/>
      <c r="BH44" s="655"/>
    </row>
    <row r="45" spans="1:60" customFormat="1">
      <c r="A45" s="601" t="s">
        <v>90</v>
      </c>
      <c r="B45" s="612" t="s">
        <v>146</v>
      </c>
      <c r="C45" s="612">
        <v>25</v>
      </c>
      <c r="D45" s="601">
        <v>41</v>
      </c>
      <c r="E45" s="623" t="s">
        <v>146</v>
      </c>
      <c r="F45" s="623" t="s">
        <v>90</v>
      </c>
      <c r="G45" s="601" t="s">
        <v>469</v>
      </c>
      <c r="H45" s="623">
        <v>2014</v>
      </c>
      <c r="I45" s="624">
        <v>16274.630999999999</v>
      </c>
      <c r="J45" s="625">
        <v>58439.805</v>
      </c>
      <c r="K45" s="626">
        <v>2.2597470086509119</v>
      </c>
      <c r="L45" s="626">
        <v>406.38681689999999</v>
      </c>
      <c r="M45" s="625">
        <v>720197.03700000001</v>
      </c>
      <c r="N45" s="627">
        <v>235198</v>
      </c>
      <c r="O45" s="627">
        <v>2597386</v>
      </c>
      <c r="P45" s="628">
        <v>253.20044229082623</v>
      </c>
      <c r="Q45" s="625">
        <v>657659.28399999999</v>
      </c>
      <c r="R45" s="625">
        <v>657659.28399999999</v>
      </c>
      <c r="S45" s="625">
        <v>574491.18200000003</v>
      </c>
      <c r="T45" s="629">
        <v>87.353922612609239</v>
      </c>
      <c r="U45" s="625"/>
      <c r="V45" s="627">
        <v>359072</v>
      </c>
      <c r="W45" s="629">
        <v>1658.9232405195069</v>
      </c>
      <c r="X45" s="627">
        <v>143999</v>
      </c>
      <c r="Y45" s="627">
        <v>41225</v>
      </c>
      <c r="Z45" s="629">
        <v>665.27963113684291</v>
      </c>
      <c r="AA45" s="629">
        <v>3.493001819284415</v>
      </c>
      <c r="AB45" s="630">
        <v>655942.34900000005</v>
      </c>
      <c r="AC45" s="630">
        <v>0</v>
      </c>
      <c r="AD45" s="630">
        <v>0</v>
      </c>
      <c r="AE45" s="630">
        <v>0</v>
      </c>
      <c r="AF45" s="630">
        <v>0.14699999999999999</v>
      </c>
      <c r="AG45" s="630" t="s">
        <v>434</v>
      </c>
      <c r="AH45" s="630">
        <v>655942.49600000004</v>
      </c>
      <c r="AI45" s="630">
        <v>313217.30099999998</v>
      </c>
      <c r="AJ45" s="630">
        <v>60998.788</v>
      </c>
      <c r="AK45" s="630">
        <v>95579.327000000005</v>
      </c>
      <c r="AL45" s="630">
        <v>22366.001</v>
      </c>
      <c r="AM45" s="630">
        <v>79602.577999999994</v>
      </c>
      <c r="AN45" s="630">
        <v>0</v>
      </c>
      <c r="AO45" s="630">
        <v>2727.1869999999999</v>
      </c>
      <c r="AP45" s="630">
        <v>574491.18200000003</v>
      </c>
      <c r="AQ45" s="630">
        <v>1242.1510000000001</v>
      </c>
      <c r="AR45" s="630">
        <v>573249.03099999996</v>
      </c>
      <c r="AS45" s="630" t="s">
        <v>434</v>
      </c>
      <c r="AT45" s="630">
        <v>7397.1239999999998</v>
      </c>
      <c r="AU45" s="630">
        <v>52569.8</v>
      </c>
      <c r="AV45" s="630">
        <v>0</v>
      </c>
      <c r="AW45" s="630" t="s">
        <v>434</v>
      </c>
      <c r="AX45" s="630">
        <v>633215.95499999996</v>
      </c>
      <c r="AY45" s="630">
        <v>22726.541000000001</v>
      </c>
      <c r="AZ45" s="612" t="s">
        <v>435</v>
      </c>
      <c r="BA45" s="612" t="s">
        <v>431</v>
      </c>
      <c r="BB45" s="613" t="s">
        <v>555</v>
      </c>
      <c r="BC45" s="614">
        <v>8.1144189711516407E-2</v>
      </c>
      <c r="BD45" s="652">
        <v>2.2597470086509121E-2</v>
      </c>
      <c r="BE45" s="613" t="s">
        <v>573</v>
      </c>
      <c r="BF45" s="613" t="s">
        <v>573</v>
      </c>
      <c r="BG45" s="643"/>
      <c r="BH45" s="655"/>
    </row>
    <row r="46" spans="1:60" customFormat="1">
      <c r="A46" s="601" t="s">
        <v>67</v>
      </c>
      <c r="B46" s="601" t="s">
        <v>420</v>
      </c>
      <c r="C46" s="601">
        <v>3</v>
      </c>
      <c r="D46" s="601">
        <v>32</v>
      </c>
      <c r="E46" s="623" t="s">
        <v>190</v>
      </c>
      <c r="F46" s="623" t="s">
        <v>67</v>
      </c>
      <c r="G46" s="601" t="s">
        <v>469</v>
      </c>
      <c r="H46" s="623">
        <v>2014</v>
      </c>
      <c r="I46" s="631">
        <v>51278.733999999997</v>
      </c>
      <c r="J46" s="631">
        <v>73389.370999999999</v>
      </c>
      <c r="K46" s="634">
        <v>4.7941067216305244</v>
      </c>
      <c r="L46" s="634">
        <v>335.45865129999999</v>
      </c>
      <c r="M46" s="631">
        <v>1069620.202</v>
      </c>
      <c r="N46" s="632">
        <v>230798</v>
      </c>
      <c r="O46" s="632">
        <v>2819794</v>
      </c>
      <c r="P46" s="635">
        <v>359.90200099723597</v>
      </c>
      <c r="Q46" s="631">
        <v>1015593.344</v>
      </c>
      <c r="R46" s="631">
        <v>1014849.503</v>
      </c>
      <c r="S46" s="631">
        <v>826358.34900000005</v>
      </c>
      <c r="T46" s="633">
        <v>81.426689036866975</v>
      </c>
      <c r="U46" s="625"/>
      <c r="V46" s="632">
        <v>1281286</v>
      </c>
      <c r="W46" s="633">
        <v>5452.67916734343</v>
      </c>
      <c r="X46" s="632">
        <v>100592</v>
      </c>
      <c r="Y46" s="632">
        <v>19624</v>
      </c>
      <c r="Z46" s="633">
        <v>428.08233509256348</v>
      </c>
      <c r="AA46" s="633">
        <v>5.1259682022013857</v>
      </c>
      <c r="AB46" s="630">
        <v>1014894.426</v>
      </c>
      <c r="AC46" s="630">
        <v>-743.84</v>
      </c>
      <c r="AD46" s="630">
        <v>0</v>
      </c>
      <c r="AE46" s="630">
        <v>0</v>
      </c>
      <c r="AF46" s="630">
        <v>0</v>
      </c>
      <c r="AG46" s="630" t="s">
        <v>434</v>
      </c>
      <c r="AH46" s="630">
        <v>1014150.586</v>
      </c>
      <c r="AI46" s="630">
        <v>531792.05099999998</v>
      </c>
      <c r="AJ46" s="630">
        <v>25786.519</v>
      </c>
      <c r="AK46" s="630">
        <v>0</v>
      </c>
      <c r="AL46" s="630">
        <v>178266.03200000001</v>
      </c>
      <c r="AM46" s="630">
        <v>81862.062999999995</v>
      </c>
      <c r="AN46" s="630">
        <v>6691.3379999999997</v>
      </c>
      <c r="AO46" s="630">
        <v>1960.346</v>
      </c>
      <c r="AP46" s="630">
        <v>826358.34900000005</v>
      </c>
      <c r="AQ46" s="630">
        <v>569.64300000000003</v>
      </c>
      <c r="AR46" s="630">
        <v>825788.70600000001</v>
      </c>
      <c r="AS46" s="630" t="s">
        <v>434</v>
      </c>
      <c r="AT46" s="630">
        <v>42334.201999999997</v>
      </c>
      <c r="AU46" s="630">
        <v>66826.872000000003</v>
      </c>
      <c r="AV46" s="630">
        <v>0</v>
      </c>
      <c r="AW46" s="630" t="s">
        <v>434</v>
      </c>
      <c r="AX46" s="630">
        <v>934949.78</v>
      </c>
      <c r="AY46" s="630">
        <v>79200.805999999997</v>
      </c>
      <c r="AZ46" s="612" t="s">
        <v>430</v>
      </c>
      <c r="BA46" s="612" t="s">
        <v>433</v>
      </c>
      <c r="BB46" s="613" t="s">
        <v>555</v>
      </c>
      <c r="BC46" s="614">
        <v>6.8612551317537657E-2</v>
      </c>
      <c r="BD46" s="652">
        <v>4.7941067216305241E-2</v>
      </c>
      <c r="BE46" s="613" t="s">
        <v>574</v>
      </c>
      <c r="BF46" s="613" t="s">
        <v>574</v>
      </c>
      <c r="BG46" s="643"/>
      <c r="BH46" s="655"/>
    </row>
    <row r="47" spans="1:60" customFormat="1">
      <c r="A47" s="601" t="s">
        <v>69</v>
      </c>
      <c r="B47" s="601" t="s">
        <v>421</v>
      </c>
      <c r="C47" s="601">
        <v>4</v>
      </c>
      <c r="D47" s="601">
        <v>40</v>
      </c>
      <c r="E47" s="623" t="s">
        <v>252</v>
      </c>
      <c r="F47" s="623" t="s">
        <v>69</v>
      </c>
      <c r="G47" s="601" t="s">
        <v>567</v>
      </c>
      <c r="H47" s="623">
        <v>2014</v>
      </c>
      <c r="I47" s="631">
        <v>26719.673999999999</v>
      </c>
      <c r="J47" s="631">
        <v>126670.79399999999</v>
      </c>
      <c r="K47" s="634">
        <v>2.5214960253169441</v>
      </c>
      <c r="L47" s="634">
        <v>495.40194220000001</v>
      </c>
      <c r="M47" s="631">
        <v>1059675.436</v>
      </c>
      <c r="N47" s="632">
        <v>224273</v>
      </c>
      <c r="O47" s="632">
        <v>2613190</v>
      </c>
      <c r="P47" s="635">
        <v>336.40485498566886</v>
      </c>
      <c r="Q47" s="631">
        <v>879089.80299999996</v>
      </c>
      <c r="R47" s="631">
        <v>879089.80299999996</v>
      </c>
      <c r="S47" s="631">
        <v>699966.19900000002</v>
      </c>
      <c r="T47" s="633">
        <v>79.623969770924546</v>
      </c>
      <c r="U47" s="625"/>
      <c r="V47" s="632">
        <v>1094128</v>
      </c>
      <c r="W47" s="633">
        <v>5024.3327121257926</v>
      </c>
      <c r="X47" s="632">
        <v>114411</v>
      </c>
      <c r="Y47" s="632">
        <v>18256</v>
      </c>
      <c r="Z47" s="633">
        <v>525.38544843658519</v>
      </c>
      <c r="AA47" s="633">
        <v>6.267035495179667</v>
      </c>
      <c r="AB47" s="630">
        <v>878932.45900000003</v>
      </c>
      <c r="AC47" s="630">
        <v>0</v>
      </c>
      <c r="AD47" s="630">
        <v>0</v>
      </c>
      <c r="AE47" s="630">
        <v>0</v>
      </c>
      <c r="AF47" s="630">
        <v>0</v>
      </c>
      <c r="AG47" s="630" t="s">
        <v>434</v>
      </c>
      <c r="AH47" s="630">
        <v>878932.45900000003</v>
      </c>
      <c r="AI47" s="630">
        <v>513977.67099999997</v>
      </c>
      <c r="AJ47" s="630">
        <v>10806.700999999999</v>
      </c>
      <c r="AK47" s="630">
        <v>38280.239999999998</v>
      </c>
      <c r="AL47" s="630">
        <v>38453.591999999997</v>
      </c>
      <c r="AM47" s="630">
        <v>91327.99</v>
      </c>
      <c r="AN47" s="630">
        <v>0</v>
      </c>
      <c r="AO47" s="630">
        <v>7120.0060000000003</v>
      </c>
      <c r="AP47" s="630">
        <v>699966.2</v>
      </c>
      <c r="AQ47" s="630">
        <v>353.50900000000001</v>
      </c>
      <c r="AR47" s="630">
        <v>699612.69099999999</v>
      </c>
      <c r="AS47" s="630" t="s">
        <v>434</v>
      </c>
      <c r="AT47" s="630">
        <v>19958.294000000002</v>
      </c>
      <c r="AU47" s="630">
        <v>105027.552</v>
      </c>
      <c r="AV47" s="630">
        <v>0</v>
      </c>
      <c r="AW47" s="630" t="s">
        <v>434</v>
      </c>
      <c r="AX47" s="630">
        <v>824598.53700000001</v>
      </c>
      <c r="AY47" s="630">
        <v>54333.921999999999</v>
      </c>
      <c r="AZ47" s="612" t="s">
        <v>430</v>
      </c>
      <c r="BA47" s="612" t="s">
        <v>433</v>
      </c>
      <c r="BB47" s="613" t="s">
        <v>555</v>
      </c>
      <c r="BC47" s="614">
        <v>0.11953735049115548</v>
      </c>
      <c r="BD47" s="614">
        <v>8.4222951799599113E-2</v>
      </c>
      <c r="BE47" s="613" t="s">
        <v>576</v>
      </c>
      <c r="BF47" s="613" t="s">
        <v>576</v>
      </c>
      <c r="BG47" s="643"/>
      <c r="BH47" s="655"/>
    </row>
    <row r="48" spans="1:60" customFormat="1">
      <c r="A48" s="601" t="s">
        <v>89</v>
      </c>
      <c r="B48" s="601" t="s">
        <v>420</v>
      </c>
      <c r="C48" s="601">
        <v>3</v>
      </c>
      <c r="D48" s="601">
        <v>42</v>
      </c>
      <c r="E48" s="623" t="s">
        <v>193</v>
      </c>
      <c r="F48" s="623" t="s">
        <v>89</v>
      </c>
      <c r="G48" s="601" t="s">
        <v>469</v>
      </c>
      <c r="H48" s="623">
        <v>2014</v>
      </c>
      <c r="I48" s="631">
        <v>26120.954000000002</v>
      </c>
      <c r="J48" s="631">
        <v>104645.302</v>
      </c>
      <c r="K48" s="634">
        <v>2.5956148936408385</v>
      </c>
      <c r="L48" s="634">
        <v>509.87786440000002</v>
      </c>
      <c r="M48" s="631">
        <v>1006349.365</v>
      </c>
      <c r="N48" s="632">
        <v>222134</v>
      </c>
      <c r="O48" s="632">
        <v>2551443</v>
      </c>
      <c r="P48" s="635">
        <v>369.3406225418322</v>
      </c>
      <c r="Q48" s="631">
        <v>945130.554</v>
      </c>
      <c r="R48" s="631">
        <v>942351.54599999997</v>
      </c>
      <c r="S48" s="631">
        <v>734431.47199999995</v>
      </c>
      <c r="T48" s="633">
        <v>77.936039381209852</v>
      </c>
      <c r="U48" s="625"/>
      <c r="V48" s="632">
        <v>1341038</v>
      </c>
      <c r="W48" s="633">
        <v>6307.1979268202349</v>
      </c>
      <c r="X48" s="632">
        <v>145902</v>
      </c>
      <c r="Y48" s="632">
        <v>21451</v>
      </c>
      <c r="Z48" s="633">
        <v>686.20933330668174</v>
      </c>
      <c r="AA48" s="633">
        <v>6.8016409491398999</v>
      </c>
      <c r="AB48" s="630">
        <v>945877.08200000005</v>
      </c>
      <c r="AC48" s="630">
        <v>-3525.5360000000001</v>
      </c>
      <c r="AD48" s="630">
        <v>0</v>
      </c>
      <c r="AE48" s="630">
        <v>0</v>
      </c>
      <c r="AF48" s="630">
        <v>0</v>
      </c>
      <c r="AG48" s="630" t="s">
        <v>434</v>
      </c>
      <c r="AH48" s="630">
        <v>942351.54599999997</v>
      </c>
      <c r="AI48" s="630">
        <v>568912.99399999995</v>
      </c>
      <c r="AJ48" s="630">
        <v>48951.945</v>
      </c>
      <c r="AK48" s="630">
        <v>0</v>
      </c>
      <c r="AL48" s="630">
        <v>53246.116000000002</v>
      </c>
      <c r="AM48" s="630">
        <v>-0.108</v>
      </c>
      <c r="AN48" s="630">
        <v>61879.266000000003</v>
      </c>
      <c r="AO48" s="630">
        <v>1441.259</v>
      </c>
      <c r="AP48" s="630">
        <v>734431.47199999995</v>
      </c>
      <c r="AQ48" s="630">
        <v>0</v>
      </c>
      <c r="AR48" s="630">
        <v>734431.47199999995</v>
      </c>
      <c r="AS48" s="630" t="s">
        <v>434</v>
      </c>
      <c r="AT48" s="630">
        <v>55608.347999999998</v>
      </c>
      <c r="AU48" s="630">
        <v>99638.865999999995</v>
      </c>
      <c r="AV48" s="630">
        <v>0</v>
      </c>
      <c r="AW48" s="630" t="s">
        <v>434</v>
      </c>
      <c r="AX48" s="630">
        <v>889678.68599999999</v>
      </c>
      <c r="AY48" s="630">
        <v>52672.86</v>
      </c>
      <c r="AZ48" s="612" t="s">
        <v>430</v>
      </c>
      <c r="BA48" s="612" t="s">
        <v>433</v>
      </c>
      <c r="BB48" s="613" t="s">
        <v>555</v>
      </c>
      <c r="BC48" s="614">
        <v>0.10398506288121918</v>
      </c>
      <c r="BD48" s="652">
        <v>2.5956148936408387E-2</v>
      </c>
      <c r="BE48" s="613" t="s">
        <v>574</v>
      </c>
      <c r="BF48" s="613" t="s">
        <v>574</v>
      </c>
      <c r="BG48" s="643"/>
      <c r="BH48" s="655"/>
    </row>
    <row r="49" spans="1:60" customFormat="1">
      <c r="A49" s="601" t="s">
        <v>67</v>
      </c>
      <c r="B49" s="601" t="s">
        <v>418</v>
      </c>
      <c r="C49" s="601">
        <v>1</v>
      </c>
      <c r="D49" s="601">
        <v>39</v>
      </c>
      <c r="E49" s="623" t="s">
        <v>272</v>
      </c>
      <c r="F49" s="623" t="s">
        <v>67</v>
      </c>
      <c r="G49" s="601" t="s">
        <v>469</v>
      </c>
      <c r="H49" s="623">
        <v>2014</v>
      </c>
      <c r="I49" s="631">
        <v>12554.182000000001</v>
      </c>
      <c r="J49" s="631">
        <v>71870.528000000006</v>
      </c>
      <c r="K49" s="634">
        <v>1.0825320096987667</v>
      </c>
      <c r="L49" s="634">
        <v>355.5669393</v>
      </c>
      <c r="M49" s="631">
        <v>1159705.3840000001</v>
      </c>
      <c r="N49" s="632">
        <v>221674</v>
      </c>
      <c r="O49" s="632">
        <v>2658970</v>
      </c>
      <c r="P49" s="635">
        <v>416.73971838719507</v>
      </c>
      <c r="Q49" s="631">
        <v>1108341.409</v>
      </c>
      <c r="R49" s="631">
        <v>1108098.409</v>
      </c>
      <c r="S49" s="631">
        <v>960057.52099999995</v>
      </c>
      <c r="T49" s="633">
        <v>86.640095609053432</v>
      </c>
      <c r="U49" s="625"/>
      <c r="V49" s="632">
        <v>1972205</v>
      </c>
      <c r="W49" s="633">
        <v>8900.6118910706027</v>
      </c>
      <c r="X49" s="632">
        <v>95010</v>
      </c>
      <c r="Y49" s="632">
        <v>19692</v>
      </c>
      <c r="Z49" s="633">
        <v>428.78257370335132</v>
      </c>
      <c r="AA49" s="633">
        <v>4.8248019500304693</v>
      </c>
      <c r="AB49" s="630">
        <v>1107227.487</v>
      </c>
      <c r="AC49" s="630">
        <v>-243</v>
      </c>
      <c r="AD49" s="630">
        <v>0</v>
      </c>
      <c r="AE49" s="630">
        <v>0</v>
      </c>
      <c r="AF49" s="630">
        <v>0</v>
      </c>
      <c r="AG49" s="630" t="s">
        <v>434</v>
      </c>
      <c r="AH49" s="630">
        <v>1106984.487</v>
      </c>
      <c r="AI49" s="630">
        <v>840825.29799999995</v>
      </c>
      <c r="AJ49" s="630">
        <v>10841.567999999999</v>
      </c>
      <c r="AK49" s="630">
        <v>0</v>
      </c>
      <c r="AL49" s="630">
        <v>0</v>
      </c>
      <c r="AM49" s="630">
        <v>108390.65399999999</v>
      </c>
      <c r="AN49" s="630">
        <v>0</v>
      </c>
      <c r="AO49" s="630">
        <v>0</v>
      </c>
      <c r="AP49" s="630">
        <v>960057.52</v>
      </c>
      <c r="AQ49" s="630">
        <v>0</v>
      </c>
      <c r="AR49" s="630">
        <v>960057.52</v>
      </c>
      <c r="AS49" s="630" t="s">
        <v>434</v>
      </c>
      <c r="AT49" s="630">
        <v>39693.873</v>
      </c>
      <c r="AU49" s="630">
        <v>65416.656999999999</v>
      </c>
      <c r="AV49" s="630">
        <v>13005</v>
      </c>
      <c r="AW49" s="630" t="s">
        <v>434</v>
      </c>
      <c r="AX49" s="630">
        <v>1078173.05</v>
      </c>
      <c r="AY49" s="630">
        <v>28811.437000000002</v>
      </c>
      <c r="AZ49" s="612" t="s">
        <v>430</v>
      </c>
      <c r="BA49" s="612" t="s">
        <v>433</v>
      </c>
      <c r="BB49" s="613" t="s">
        <v>555</v>
      </c>
      <c r="BC49" s="614">
        <v>6.1973091607204267E-2</v>
      </c>
      <c r="BD49" s="652">
        <v>1.0825320096987667E-2</v>
      </c>
      <c r="BE49" s="613" t="s">
        <v>573</v>
      </c>
      <c r="BF49" s="613" t="s">
        <v>573</v>
      </c>
      <c r="BG49" s="643"/>
      <c r="BH49" s="655"/>
    </row>
    <row r="50" spans="1:60" customFormat="1">
      <c r="A50" s="612" t="s">
        <v>82</v>
      </c>
      <c r="B50" s="612" t="s">
        <v>389</v>
      </c>
      <c r="C50" s="612">
        <v>32</v>
      </c>
      <c r="D50" s="601">
        <v>53</v>
      </c>
      <c r="E50" s="623" t="s">
        <v>389</v>
      </c>
      <c r="F50" s="623" t="s">
        <v>82</v>
      </c>
      <c r="G50" s="601" t="s">
        <v>469</v>
      </c>
      <c r="H50" s="623">
        <v>2014</v>
      </c>
      <c r="I50" s="624">
        <v>10480.743</v>
      </c>
      <c r="J50" s="625">
        <v>97529.442999999999</v>
      </c>
      <c r="K50" s="626">
        <v>1.4414957182194927</v>
      </c>
      <c r="L50" s="626">
        <v>429.9736623</v>
      </c>
      <c r="M50" s="625">
        <v>727074.16799999995</v>
      </c>
      <c r="N50" s="627">
        <v>221598</v>
      </c>
      <c r="O50" s="627">
        <v>2187212</v>
      </c>
      <c r="P50" s="628">
        <v>332.87900944215744</v>
      </c>
      <c r="Q50" s="625">
        <v>728076.96400000004</v>
      </c>
      <c r="R50" s="625">
        <v>728076.96400000004</v>
      </c>
      <c r="S50" s="625">
        <v>607011.23300000001</v>
      </c>
      <c r="T50" s="629">
        <v>83.371849819986878</v>
      </c>
      <c r="U50" s="625"/>
      <c r="V50" s="627">
        <v>120537</v>
      </c>
      <c r="W50" s="629">
        <v>661.31861017587687</v>
      </c>
      <c r="X50" s="627">
        <v>105039</v>
      </c>
      <c r="Y50" s="627">
        <v>23986</v>
      </c>
      <c r="Z50" s="629">
        <v>576.2898155277129</v>
      </c>
      <c r="AA50" s="629">
        <v>4.379179521387476</v>
      </c>
      <c r="AB50" s="630">
        <v>725282.73600000003</v>
      </c>
      <c r="AC50" s="630">
        <v>0</v>
      </c>
      <c r="AD50" s="630">
        <v>0</v>
      </c>
      <c r="AE50" s="630">
        <v>0</v>
      </c>
      <c r="AF50" s="630">
        <v>1791.432</v>
      </c>
      <c r="AG50" s="630" t="s">
        <v>434</v>
      </c>
      <c r="AH50" s="630">
        <v>727074.16799999995</v>
      </c>
      <c r="AI50" s="630">
        <v>460059.55200000003</v>
      </c>
      <c r="AJ50" s="630">
        <v>3286.0129999999999</v>
      </c>
      <c r="AK50" s="630">
        <v>0</v>
      </c>
      <c r="AL50" s="630">
        <v>24580.116000000002</v>
      </c>
      <c r="AM50" s="630">
        <v>119085.552</v>
      </c>
      <c r="AN50" s="630">
        <v>0</v>
      </c>
      <c r="AO50" s="630">
        <v>0</v>
      </c>
      <c r="AP50" s="630">
        <v>607011.23300000001</v>
      </c>
      <c r="AQ50" s="630">
        <v>2680.4270000000001</v>
      </c>
      <c r="AR50" s="630">
        <v>604330.80599999998</v>
      </c>
      <c r="AS50" s="630" t="s">
        <v>434</v>
      </c>
      <c r="AT50" s="630">
        <v>8308.07</v>
      </c>
      <c r="AU50" s="630">
        <v>97529.442999999999</v>
      </c>
      <c r="AV50" s="630">
        <v>0</v>
      </c>
      <c r="AW50" s="630" t="s">
        <v>434</v>
      </c>
      <c r="AX50" s="630">
        <v>710168.31900000002</v>
      </c>
      <c r="AY50" s="630">
        <v>16905.848999999998</v>
      </c>
      <c r="AZ50" s="612" t="s">
        <v>435</v>
      </c>
      <c r="BA50" s="612" t="s">
        <v>431</v>
      </c>
      <c r="BB50" s="613" t="s">
        <v>555</v>
      </c>
      <c r="BC50" s="614">
        <v>0.13413960678630521</v>
      </c>
      <c r="BD50" s="652">
        <v>1.4414957182194927E-2</v>
      </c>
      <c r="BE50" s="613" t="s">
        <v>573</v>
      </c>
      <c r="BF50" s="613" t="s">
        <v>573</v>
      </c>
      <c r="BG50" s="643"/>
      <c r="BH50" s="655"/>
    </row>
    <row r="51" spans="1:60" customFormat="1">
      <c r="A51" s="601" t="s">
        <v>71</v>
      </c>
      <c r="B51" s="601" t="s">
        <v>424</v>
      </c>
      <c r="C51" s="601">
        <v>5</v>
      </c>
      <c r="D51" s="601">
        <v>43</v>
      </c>
      <c r="E51" s="623" t="s">
        <v>313</v>
      </c>
      <c r="F51" s="623" t="s">
        <v>71</v>
      </c>
      <c r="G51" s="601" t="s">
        <v>469</v>
      </c>
      <c r="H51" s="623">
        <v>2014</v>
      </c>
      <c r="I51" s="624">
        <v>24256.258999999998</v>
      </c>
      <c r="J51" s="625">
        <v>54460.158000000003</v>
      </c>
      <c r="K51" s="626">
        <v>3.7582984205454708</v>
      </c>
      <c r="L51" s="626">
        <v>608.02851310000005</v>
      </c>
      <c r="M51" s="625">
        <v>645405.348</v>
      </c>
      <c r="N51" s="627">
        <v>218904</v>
      </c>
      <c r="O51" s="627">
        <v>2528125</v>
      </c>
      <c r="P51" s="628">
        <v>243.12981597033374</v>
      </c>
      <c r="Q51" s="625">
        <v>614662.56599999999</v>
      </c>
      <c r="R51" s="625">
        <v>614662.56599999999</v>
      </c>
      <c r="S51" s="625">
        <v>526245.38399999996</v>
      </c>
      <c r="T51" s="629">
        <v>85.615329956501697</v>
      </c>
      <c r="U51" s="625"/>
      <c r="V51" s="627">
        <v>832553</v>
      </c>
      <c r="W51" s="629">
        <v>3951.7966872682323</v>
      </c>
      <c r="X51" s="627">
        <v>81896</v>
      </c>
      <c r="Y51" s="627">
        <v>20895</v>
      </c>
      <c r="Z51" s="629">
        <v>388.72761433868976</v>
      </c>
      <c r="AA51" s="629">
        <v>3.9194065565924863</v>
      </c>
      <c r="AB51" s="630">
        <v>598710.87100000004</v>
      </c>
      <c r="AC51" s="630">
        <v>0</v>
      </c>
      <c r="AD51" s="630">
        <v>0</v>
      </c>
      <c r="AE51" s="630">
        <v>0</v>
      </c>
      <c r="AF51" s="630">
        <v>0</v>
      </c>
      <c r="AG51" s="630" t="s">
        <v>434</v>
      </c>
      <c r="AH51" s="630">
        <v>598710.87100000004</v>
      </c>
      <c r="AI51" s="630">
        <v>512562.62800000003</v>
      </c>
      <c r="AJ51" s="630">
        <v>13682.755999999999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526245.38399999996</v>
      </c>
      <c r="AQ51" s="630">
        <v>8677.6110000000008</v>
      </c>
      <c r="AR51" s="630">
        <v>517567.77299999999</v>
      </c>
      <c r="AS51" s="630" t="s">
        <v>434</v>
      </c>
      <c r="AT51" s="630">
        <v>10614.474</v>
      </c>
      <c r="AU51" s="630">
        <v>50520.016000000003</v>
      </c>
      <c r="AV51" s="630">
        <v>0</v>
      </c>
      <c r="AW51" s="630" t="s">
        <v>434</v>
      </c>
      <c r="AX51" s="630">
        <v>578702.26300000004</v>
      </c>
      <c r="AY51" s="630">
        <v>20008.608</v>
      </c>
      <c r="AZ51" s="612" t="s">
        <v>430</v>
      </c>
      <c r="BA51" s="612" t="s">
        <v>433</v>
      </c>
      <c r="BB51" s="613" t="s">
        <v>555</v>
      </c>
      <c r="BC51" s="614">
        <v>8.4381324339444425E-2</v>
      </c>
      <c r="BD51" s="652">
        <v>3.7582984205454709E-2</v>
      </c>
      <c r="BE51" s="613" t="s">
        <v>574</v>
      </c>
      <c r="BF51" s="613" t="s">
        <v>574</v>
      </c>
      <c r="BG51" s="643"/>
      <c r="BH51" s="655"/>
    </row>
    <row r="52" spans="1:60" customFormat="1">
      <c r="A52" s="601" t="s">
        <v>80</v>
      </c>
      <c r="B52" s="601" t="s">
        <v>418</v>
      </c>
      <c r="C52" s="601">
        <v>1</v>
      </c>
      <c r="D52" s="601">
        <v>57</v>
      </c>
      <c r="E52" s="623" t="s">
        <v>224</v>
      </c>
      <c r="F52" s="623" t="s">
        <v>80</v>
      </c>
      <c r="G52" s="601" t="s">
        <v>567</v>
      </c>
      <c r="H52" s="623">
        <v>2014</v>
      </c>
      <c r="I52" s="631">
        <v>89162.877999999997</v>
      </c>
      <c r="J52" s="631">
        <v>152784.32800000001</v>
      </c>
      <c r="K52" s="634">
        <v>4.6168340309480431</v>
      </c>
      <c r="L52" s="634">
        <v>453.79241289999999</v>
      </c>
      <c r="M52" s="631">
        <v>1931255.865</v>
      </c>
      <c r="N52" s="632">
        <v>216120</v>
      </c>
      <c r="O52" s="632">
        <v>2111688</v>
      </c>
      <c r="P52" s="635">
        <v>231.80282645921179</v>
      </c>
      <c r="Q52" s="631">
        <v>485961.65500000003</v>
      </c>
      <c r="R52" s="631">
        <v>489495.24699999997</v>
      </c>
      <c r="S52" s="631">
        <v>379721.897</v>
      </c>
      <c r="T52" s="633">
        <v>77.574174484272376</v>
      </c>
      <c r="U52" s="625"/>
      <c r="V52" s="632">
        <v>1028647</v>
      </c>
      <c r="W52" s="633">
        <v>5845.448759475832</v>
      </c>
      <c r="X52" s="632">
        <v>59471</v>
      </c>
      <c r="Y52" s="632">
        <v>12797</v>
      </c>
      <c r="Z52" s="633">
        <v>337.95333401525227</v>
      </c>
      <c r="AA52" s="633">
        <v>4.6472610768148783</v>
      </c>
      <c r="AB52" s="630">
        <v>485961.65500000003</v>
      </c>
      <c r="AC52" s="630">
        <v>0</v>
      </c>
      <c r="AD52" s="630">
        <v>0</v>
      </c>
      <c r="AE52" s="630">
        <v>0</v>
      </c>
      <c r="AF52" s="630">
        <v>0</v>
      </c>
      <c r="AG52" s="630" t="s">
        <v>434</v>
      </c>
      <c r="AH52" s="630">
        <v>485961.65500000003</v>
      </c>
      <c r="AI52" s="630">
        <v>284688.50300000003</v>
      </c>
      <c r="AJ52" s="630">
        <v>26628.403999999999</v>
      </c>
      <c r="AK52" s="630">
        <v>0</v>
      </c>
      <c r="AL52" s="630">
        <v>8559.8070000000007</v>
      </c>
      <c r="AM52" s="630">
        <v>59845.184000000001</v>
      </c>
      <c r="AN52" s="630">
        <v>0</v>
      </c>
      <c r="AO52" s="630">
        <v>0</v>
      </c>
      <c r="AP52" s="630">
        <v>379721.89799999999</v>
      </c>
      <c r="AQ52" s="630">
        <v>0</v>
      </c>
      <c r="AR52" s="630">
        <v>379721.89799999999</v>
      </c>
      <c r="AS52" s="630" t="s">
        <v>434</v>
      </c>
      <c r="AT52" s="630">
        <v>11060.33</v>
      </c>
      <c r="AU52" s="630">
        <v>38203.822</v>
      </c>
      <c r="AV52" s="630">
        <v>0</v>
      </c>
      <c r="AW52" s="630" t="s">
        <v>434</v>
      </c>
      <c r="AX52" s="630">
        <v>428986.05</v>
      </c>
      <c r="AY52" s="630">
        <v>56975.605000000003</v>
      </c>
      <c r="AZ52" s="612" t="s">
        <v>430</v>
      </c>
      <c r="BA52" s="612" t="s">
        <v>433</v>
      </c>
      <c r="BB52" s="613" t="s">
        <v>555</v>
      </c>
      <c r="BC52" s="614">
        <v>7.911138589603714E-2</v>
      </c>
      <c r="BD52" s="614">
        <v>0.14514686926123913</v>
      </c>
      <c r="BE52" s="613" t="s">
        <v>581</v>
      </c>
      <c r="BF52" s="613" t="s">
        <v>581</v>
      </c>
      <c r="BG52" s="643"/>
      <c r="BH52" s="655"/>
    </row>
    <row r="53" spans="1:60" customFormat="1">
      <c r="A53" s="601" t="s">
        <v>79</v>
      </c>
      <c r="B53" s="601" t="s">
        <v>421</v>
      </c>
      <c r="C53" s="601">
        <v>4</v>
      </c>
      <c r="D53" s="601">
        <v>46</v>
      </c>
      <c r="E53" s="623" t="s">
        <v>253</v>
      </c>
      <c r="F53" s="623" t="s">
        <v>79</v>
      </c>
      <c r="G53" s="601" t="s">
        <v>469</v>
      </c>
      <c r="H53" s="623">
        <v>2014</v>
      </c>
      <c r="I53" s="631">
        <v>-24899.163</v>
      </c>
      <c r="J53" s="631">
        <v>152322.378</v>
      </c>
      <c r="K53" s="634">
        <v>-2.2208012124890524</v>
      </c>
      <c r="L53" s="634">
        <v>234.85554590000001</v>
      </c>
      <c r="M53" s="631">
        <v>1121179.2779999999</v>
      </c>
      <c r="N53" s="632">
        <v>209061</v>
      </c>
      <c r="O53" s="632">
        <v>2438046</v>
      </c>
      <c r="P53" s="635">
        <v>451.81088092677498</v>
      </c>
      <c r="Q53" s="631">
        <v>1137118.5689999999</v>
      </c>
      <c r="R53" s="631">
        <v>1101535.7109999999</v>
      </c>
      <c r="S53" s="631">
        <v>927460.32499999995</v>
      </c>
      <c r="T53" s="633">
        <v>84.197027453429527</v>
      </c>
      <c r="U53" s="625"/>
      <c r="V53" s="632">
        <v>712303</v>
      </c>
      <c r="W53" s="633">
        <v>3505.9371316209786</v>
      </c>
      <c r="X53" s="632">
        <v>293008</v>
      </c>
      <c r="Y53" s="632">
        <v>37005</v>
      </c>
      <c r="Z53" s="633">
        <v>1442.177875232871</v>
      </c>
      <c r="AA53" s="633">
        <v>7.9180651263342794</v>
      </c>
      <c r="AB53" s="630">
        <v>1132596.9939999999</v>
      </c>
      <c r="AC53" s="630">
        <v>-35582.858</v>
      </c>
      <c r="AD53" s="630">
        <v>0</v>
      </c>
      <c r="AE53" s="630">
        <v>0</v>
      </c>
      <c r="AF53" s="630">
        <v>0</v>
      </c>
      <c r="AG53" s="630" t="s">
        <v>434</v>
      </c>
      <c r="AH53" s="630">
        <v>1097014.1359999999</v>
      </c>
      <c r="AI53" s="630">
        <v>674674.95200000005</v>
      </c>
      <c r="AJ53" s="630">
        <v>71139.009000000005</v>
      </c>
      <c r="AK53" s="630">
        <v>22844.59</v>
      </c>
      <c r="AL53" s="630">
        <v>74930.486999999994</v>
      </c>
      <c r="AM53" s="630">
        <v>83787.947</v>
      </c>
      <c r="AN53" s="630">
        <v>0</v>
      </c>
      <c r="AO53" s="630">
        <v>83.34</v>
      </c>
      <c r="AP53" s="630">
        <v>927460.32499999995</v>
      </c>
      <c r="AQ53" s="630">
        <v>2033.048</v>
      </c>
      <c r="AR53" s="630">
        <v>925427.277</v>
      </c>
      <c r="AS53" s="630" t="s">
        <v>434</v>
      </c>
      <c r="AT53" s="630">
        <v>56833.864999999998</v>
      </c>
      <c r="AU53" s="630">
        <v>145899.83100000001</v>
      </c>
      <c r="AV53" s="630">
        <v>0</v>
      </c>
      <c r="AW53" s="630" t="s">
        <v>434</v>
      </c>
      <c r="AX53" s="630">
        <v>1128160.973</v>
      </c>
      <c r="AY53" s="630">
        <v>-31146.837</v>
      </c>
      <c r="AZ53" s="612" t="s">
        <v>430</v>
      </c>
      <c r="BA53" s="612" t="s">
        <v>433</v>
      </c>
      <c r="BB53" s="613" t="s">
        <v>555</v>
      </c>
      <c r="BC53" s="614">
        <v>0.13585907355665558</v>
      </c>
      <c r="BD53" s="652">
        <v>-2.2208012124890524E-2</v>
      </c>
      <c r="BE53" s="613" t="s">
        <v>572</v>
      </c>
      <c r="BF53" s="613" t="s">
        <v>572</v>
      </c>
      <c r="BG53" s="643"/>
      <c r="BH53" s="655"/>
    </row>
    <row r="54" spans="1:60" customFormat="1">
      <c r="A54" s="612" t="s">
        <v>66</v>
      </c>
      <c r="B54" s="612" t="s">
        <v>270</v>
      </c>
      <c r="C54" s="612">
        <v>11</v>
      </c>
      <c r="D54" s="601">
        <v>47</v>
      </c>
      <c r="E54" s="623" t="s">
        <v>324</v>
      </c>
      <c r="F54" s="623" t="s">
        <v>66</v>
      </c>
      <c r="G54" s="601" t="s">
        <v>567</v>
      </c>
      <c r="H54" s="613">
        <v>2014</v>
      </c>
      <c r="I54" s="624">
        <v>33076.110999999997</v>
      </c>
      <c r="J54" s="625">
        <v>60193.860999999997</v>
      </c>
      <c r="K54" s="626">
        <v>2.6549884203007648</v>
      </c>
      <c r="L54" s="626">
        <v>384.97260720000003</v>
      </c>
      <c r="M54" s="625">
        <v>1245809.9909999999</v>
      </c>
      <c r="N54" s="627">
        <v>205235</v>
      </c>
      <c r="O54" s="627">
        <v>2375541</v>
      </c>
      <c r="P54" s="628">
        <v>453.86231473167584</v>
      </c>
      <c r="Q54" s="625">
        <v>1078168.537</v>
      </c>
      <c r="R54" s="625">
        <v>1078168.537</v>
      </c>
      <c r="S54" s="625">
        <v>995624.31599999999</v>
      </c>
      <c r="T54" s="629">
        <v>92.344033593330494</v>
      </c>
      <c r="U54" s="625"/>
      <c r="V54" s="627">
        <v>2772257</v>
      </c>
      <c r="W54" s="629">
        <v>14004.00329861703</v>
      </c>
      <c r="X54" s="627">
        <v>183546</v>
      </c>
      <c r="Y54" s="627">
        <v>35309</v>
      </c>
      <c r="Z54" s="629">
        <v>927.17911414705111</v>
      </c>
      <c r="AA54" s="629">
        <v>5.1982780594182785</v>
      </c>
      <c r="AB54" s="630">
        <v>1077451.7509999999</v>
      </c>
      <c r="AC54" s="630">
        <v>0</v>
      </c>
      <c r="AD54" s="630">
        <v>0</v>
      </c>
      <c r="AE54" s="630">
        <v>0</v>
      </c>
      <c r="AF54" s="630">
        <v>0</v>
      </c>
      <c r="AG54" s="630" t="s">
        <v>434</v>
      </c>
      <c r="AH54" s="630">
        <v>1077451.7509999999</v>
      </c>
      <c r="AI54" s="630">
        <v>758615.63500000001</v>
      </c>
      <c r="AJ54" s="630">
        <v>10823.879000000001</v>
      </c>
      <c r="AK54" s="630">
        <v>0</v>
      </c>
      <c r="AL54" s="630">
        <v>43792.226000000002</v>
      </c>
      <c r="AM54" s="630">
        <v>182167.35</v>
      </c>
      <c r="AN54" s="630">
        <v>0</v>
      </c>
      <c r="AO54" s="630">
        <v>225.227</v>
      </c>
      <c r="AP54" s="630">
        <v>995624.31599999999</v>
      </c>
      <c r="AQ54" s="630">
        <v>135.32400000000001</v>
      </c>
      <c r="AR54" s="630">
        <v>995488.99199999997</v>
      </c>
      <c r="AS54" s="630" t="s">
        <v>434</v>
      </c>
      <c r="AT54" s="630">
        <v>24753.61</v>
      </c>
      <c r="AU54" s="630">
        <v>51348.644</v>
      </c>
      <c r="AV54" s="630">
        <v>-13085</v>
      </c>
      <c r="AW54" s="630" t="s">
        <v>434</v>
      </c>
      <c r="AX54" s="630">
        <v>1058506.246</v>
      </c>
      <c r="AY54" s="630">
        <v>18945.505000000001</v>
      </c>
      <c r="AZ54" s="612" t="s">
        <v>430</v>
      </c>
      <c r="BA54" s="612" t="s">
        <v>431</v>
      </c>
      <c r="BB54" s="613" t="s">
        <v>555</v>
      </c>
      <c r="BC54" s="614">
        <v>4.8317047892418134E-2</v>
      </c>
      <c r="BD54" s="614">
        <v>2.8242616174276876E-2</v>
      </c>
      <c r="BE54" s="613" t="s">
        <v>574</v>
      </c>
      <c r="BF54" s="613" t="s">
        <v>574</v>
      </c>
      <c r="BG54" s="643"/>
      <c r="BH54" s="655"/>
    </row>
    <row r="55" spans="1:60" customFormat="1">
      <c r="A55" s="601" t="s">
        <v>78</v>
      </c>
      <c r="B55" s="601" t="s">
        <v>420</v>
      </c>
      <c r="C55" s="601">
        <v>3</v>
      </c>
      <c r="D55" s="601">
        <v>55</v>
      </c>
      <c r="E55" s="623" t="s">
        <v>192</v>
      </c>
      <c r="F55" s="623" t="s">
        <v>78</v>
      </c>
      <c r="G55" s="601" t="s">
        <v>469</v>
      </c>
      <c r="H55" s="623">
        <v>2014</v>
      </c>
      <c r="I55" s="631">
        <v>77743.879000000001</v>
      </c>
      <c r="J55" s="631">
        <v>78498.05</v>
      </c>
      <c r="K55" s="634">
        <v>8.0529585311993994</v>
      </c>
      <c r="L55" s="634">
        <v>632.55961090000005</v>
      </c>
      <c r="M55" s="631">
        <v>965407.66599999997</v>
      </c>
      <c r="N55" s="632">
        <v>201811</v>
      </c>
      <c r="O55" s="632">
        <v>2150453</v>
      </c>
      <c r="P55" s="635">
        <v>404.4449304402375</v>
      </c>
      <c r="Q55" s="631">
        <v>869739.81400000001</v>
      </c>
      <c r="R55" s="631">
        <v>869739.81400000001</v>
      </c>
      <c r="S55" s="631">
        <v>643373.10400000005</v>
      </c>
      <c r="T55" s="633">
        <v>73.973054198942307</v>
      </c>
      <c r="U55" s="625"/>
      <c r="V55" s="632">
        <v>966064</v>
      </c>
      <c r="W55" s="633">
        <v>5390.8492768732913</v>
      </c>
      <c r="X55" s="632">
        <v>108670</v>
      </c>
      <c r="Y55" s="632">
        <v>14766</v>
      </c>
      <c r="Z55" s="633">
        <v>606.40246496900886</v>
      </c>
      <c r="AA55" s="633">
        <v>7.35947446837329</v>
      </c>
      <c r="AB55" s="630">
        <v>869739.81400000001</v>
      </c>
      <c r="AC55" s="630">
        <v>0</v>
      </c>
      <c r="AD55" s="630">
        <v>0</v>
      </c>
      <c r="AE55" s="630">
        <v>0</v>
      </c>
      <c r="AF55" s="630">
        <v>0</v>
      </c>
      <c r="AG55" s="630" t="s">
        <v>434</v>
      </c>
      <c r="AH55" s="630">
        <v>869739.81400000001</v>
      </c>
      <c r="AI55" s="630">
        <v>310338.78499999997</v>
      </c>
      <c r="AJ55" s="630">
        <v>43178.370999999999</v>
      </c>
      <c r="AK55" s="630">
        <v>0</v>
      </c>
      <c r="AL55" s="630">
        <v>84461.347999999998</v>
      </c>
      <c r="AM55" s="630">
        <v>103286.288</v>
      </c>
      <c r="AN55" s="630">
        <v>101087.803</v>
      </c>
      <c r="AO55" s="630">
        <v>1020.509</v>
      </c>
      <c r="AP55" s="630">
        <v>643373.10400000005</v>
      </c>
      <c r="AQ55" s="630">
        <v>0</v>
      </c>
      <c r="AR55" s="630">
        <v>643373.10400000005</v>
      </c>
      <c r="AS55" s="630" t="s">
        <v>434</v>
      </c>
      <c r="AT55" s="630">
        <v>42741.650999999998</v>
      </c>
      <c r="AU55" s="630">
        <v>69927.460999999996</v>
      </c>
      <c r="AV55" s="630">
        <v>0</v>
      </c>
      <c r="AW55" s="630" t="s">
        <v>434</v>
      </c>
      <c r="AX55" s="630">
        <v>756042.21600000001</v>
      </c>
      <c r="AY55" s="630">
        <v>113697.598</v>
      </c>
      <c r="AZ55" s="612" t="s">
        <v>430</v>
      </c>
      <c r="BA55" s="612" t="s">
        <v>433</v>
      </c>
      <c r="BB55" s="613" t="s">
        <v>555</v>
      </c>
      <c r="BC55" s="614">
        <v>8.1310779647361955E-2</v>
      </c>
      <c r="BD55" s="652">
        <v>8.0529585311994001E-2</v>
      </c>
      <c r="BE55" s="613" t="s">
        <v>576</v>
      </c>
      <c r="BF55" s="613" t="s">
        <v>576</v>
      </c>
      <c r="BG55" s="643"/>
      <c r="BH55" s="655"/>
    </row>
    <row r="56" spans="1:60" customFormat="1">
      <c r="A56" s="601" t="s">
        <v>90</v>
      </c>
      <c r="B56" s="601" t="s">
        <v>421</v>
      </c>
      <c r="C56" s="601">
        <v>4</v>
      </c>
      <c r="D56" s="601">
        <v>51</v>
      </c>
      <c r="E56" s="623" t="s">
        <v>258</v>
      </c>
      <c r="F56" s="623" t="s">
        <v>90</v>
      </c>
      <c r="G56" s="601" t="s">
        <v>567</v>
      </c>
      <c r="H56" s="623">
        <v>2014</v>
      </c>
      <c r="I56" s="631">
        <v>-7346.7920000000004</v>
      </c>
      <c r="J56" s="631">
        <v>159168.12599999999</v>
      </c>
      <c r="K56" s="634">
        <v>-0.54045983718946744</v>
      </c>
      <c r="L56" s="634">
        <v>311.62600600000002</v>
      </c>
      <c r="M56" s="631">
        <v>1359359.4739999999</v>
      </c>
      <c r="N56" s="632">
        <v>197700</v>
      </c>
      <c r="O56" s="632">
        <v>2274065</v>
      </c>
      <c r="P56" s="635">
        <v>527.80917431999524</v>
      </c>
      <c r="Q56" s="631">
        <v>1196982.53</v>
      </c>
      <c r="R56" s="631">
        <v>1200272.3700000001</v>
      </c>
      <c r="S56" s="631">
        <v>1022581.084</v>
      </c>
      <c r="T56" s="633">
        <v>85.195753027289967</v>
      </c>
      <c r="U56" s="625"/>
      <c r="V56" s="632">
        <v>1049480</v>
      </c>
      <c r="W56" s="633">
        <v>5537.9947362982148</v>
      </c>
      <c r="X56" s="632">
        <v>120467</v>
      </c>
      <c r="Y56" s="632">
        <v>24418</v>
      </c>
      <c r="Z56" s="633">
        <v>635.69159192899065</v>
      </c>
      <c r="AA56" s="633">
        <v>4.9335326398558443</v>
      </c>
      <c r="AB56" s="630">
        <v>1196285.844</v>
      </c>
      <c r="AC56" s="630">
        <v>3289.84</v>
      </c>
      <c r="AD56" s="630">
        <v>0</v>
      </c>
      <c r="AE56" s="630">
        <v>0</v>
      </c>
      <c r="AF56" s="630">
        <v>0</v>
      </c>
      <c r="AG56" s="630" t="s">
        <v>434</v>
      </c>
      <c r="AH56" s="630">
        <v>1199575.6839999999</v>
      </c>
      <c r="AI56" s="630">
        <v>610531.16099999996</v>
      </c>
      <c r="AJ56" s="630">
        <v>8749.8610000000008</v>
      </c>
      <c r="AK56" s="630">
        <v>76090.115000000005</v>
      </c>
      <c r="AL56" s="630">
        <v>127286.037</v>
      </c>
      <c r="AM56" s="630">
        <v>199217.16</v>
      </c>
      <c r="AN56" s="630">
        <v>0</v>
      </c>
      <c r="AO56" s="630">
        <v>706.75</v>
      </c>
      <c r="AP56" s="630">
        <v>1022581.084</v>
      </c>
      <c r="AQ56" s="630">
        <v>1744.049</v>
      </c>
      <c r="AR56" s="630">
        <v>1020837.035</v>
      </c>
      <c r="AS56" s="630" t="s">
        <v>434</v>
      </c>
      <c r="AT56" s="630">
        <v>49141.375999999997</v>
      </c>
      <c r="AU56" s="630">
        <v>143218.58799999999</v>
      </c>
      <c r="AV56" s="630">
        <v>0</v>
      </c>
      <c r="AW56" s="630" t="s">
        <v>434</v>
      </c>
      <c r="AX56" s="630">
        <v>1213196.9990000001</v>
      </c>
      <c r="AY56" s="630">
        <v>-13621.315000000001</v>
      </c>
      <c r="AZ56" s="612" t="s">
        <v>430</v>
      </c>
      <c r="BA56" s="612" t="s">
        <v>433</v>
      </c>
      <c r="BB56" s="613" t="s">
        <v>555</v>
      </c>
      <c r="BC56" s="614">
        <v>0.11709053347871101</v>
      </c>
      <c r="BD56" s="614">
        <v>3.0951936248389322E-2</v>
      </c>
      <c r="BE56" s="613" t="s">
        <v>574</v>
      </c>
      <c r="BF56" s="613" t="s">
        <v>574</v>
      </c>
      <c r="BG56" s="643"/>
      <c r="BH56" s="655"/>
    </row>
    <row r="57" spans="1:60" customFormat="1">
      <c r="A57" s="601" t="s">
        <v>62</v>
      </c>
      <c r="B57" s="601" t="s">
        <v>419</v>
      </c>
      <c r="C57" s="601">
        <v>2</v>
      </c>
      <c r="D57" s="601">
        <v>48</v>
      </c>
      <c r="E57" s="623" t="s">
        <v>207</v>
      </c>
      <c r="F57" s="623" t="s">
        <v>62</v>
      </c>
      <c r="G57" s="601" t="s">
        <v>567</v>
      </c>
      <c r="H57" s="623">
        <v>2014</v>
      </c>
      <c r="I57" s="631">
        <v>-3109.5439999999999</v>
      </c>
      <c r="J57" s="631">
        <v>104519.05</v>
      </c>
      <c r="K57" s="634">
        <v>-0.33401046789784289</v>
      </c>
      <c r="L57" s="634">
        <v>275.8559252</v>
      </c>
      <c r="M57" s="631">
        <v>930972.02</v>
      </c>
      <c r="N57" s="632">
        <v>197233</v>
      </c>
      <c r="O57" s="632">
        <v>2338442</v>
      </c>
      <c r="P57" s="635">
        <v>145.06909771548749</v>
      </c>
      <c r="Q57" s="631">
        <v>339235.67099999997</v>
      </c>
      <c r="R57" s="631">
        <v>339235.67099999997</v>
      </c>
      <c r="S57" s="631">
        <v>268560.87300000002</v>
      </c>
      <c r="T57" s="633">
        <v>79.166460357289495</v>
      </c>
      <c r="U57" s="636"/>
      <c r="V57" s="632">
        <v>1070251</v>
      </c>
      <c r="W57" s="633">
        <v>5492.1233881362032</v>
      </c>
      <c r="X57" s="632">
        <v>59626</v>
      </c>
      <c r="Y57" s="632">
        <v>13773</v>
      </c>
      <c r="Z57" s="633">
        <v>305.97808284319217</v>
      </c>
      <c r="AA57" s="633">
        <v>4.3291948014230739</v>
      </c>
      <c r="AB57" s="630">
        <v>879611.84299999999</v>
      </c>
      <c r="AC57" s="630">
        <v>0</v>
      </c>
      <c r="AD57" s="630">
        <v>0</v>
      </c>
      <c r="AE57" s="630">
        <v>0</v>
      </c>
      <c r="AF57" s="630">
        <v>0</v>
      </c>
      <c r="AG57" s="630" t="s">
        <v>434</v>
      </c>
      <c r="AH57" s="630">
        <v>879611.84299999999</v>
      </c>
      <c r="AI57" s="630">
        <v>513670.549</v>
      </c>
      <c r="AJ57" s="630">
        <v>80292.866999999998</v>
      </c>
      <c r="AK57" s="630">
        <v>0</v>
      </c>
      <c r="AL57" s="630">
        <v>64241.101000000002</v>
      </c>
      <c r="AM57" s="630">
        <v>106602.768</v>
      </c>
      <c r="AN57" s="630">
        <v>0</v>
      </c>
      <c r="AO57" s="630">
        <v>20629.588</v>
      </c>
      <c r="AP57" s="630">
        <v>785436.87300000002</v>
      </c>
      <c r="AQ57" s="630">
        <v>8151.3119999999999</v>
      </c>
      <c r="AR57" s="630">
        <v>777285.56099999999</v>
      </c>
      <c r="AS57" s="630" t="s">
        <v>434</v>
      </c>
      <c r="AT57" s="630">
        <v>26805.252</v>
      </c>
      <c r="AU57" s="630">
        <v>96377.258000000002</v>
      </c>
      <c r="AV57" s="630">
        <v>-8109.3220000000001</v>
      </c>
      <c r="AW57" s="630" t="s">
        <v>434</v>
      </c>
      <c r="AX57" s="630">
        <v>892358.74899999995</v>
      </c>
      <c r="AY57" s="630">
        <v>-12746.906000000001</v>
      </c>
      <c r="AZ57" s="612" t="s">
        <v>430</v>
      </c>
      <c r="BA57" s="612" t="s">
        <v>433</v>
      </c>
      <c r="BB57" s="613" t="s">
        <v>555</v>
      </c>
      <c r="BC57" s="614">
        <v>0.11226873391962951</v>
      </c>
      <c r="BD57" s="614">
        <v>9.6066662507475573E-2</v>
      </c>
      <c r="BE57" s="613" t="s">
        <v>576</v>
      </c>
      <c r="BF57" s="613" t="s">
        <v>576</v>
      </c>
      <c r="BG57" s="643"/>
      <c r="BH57" s="655"/>
    </row>
    <row r="58" spans="1:60" customFormat="1">
      <c r="A58" s="601" t="s">
        <v>94</v>
      </c>
      <c r="B58" s="601" t="s">
        <v>419</v>
      </c>
      <c r="C58" s="601">
        <v>2</v>
      </c>
      <c r="D58" s="601">
        <v>48</v>
      </c>
      <c r="E58" s="623" t="s">
        <v>207</v>
      </c>
      <c r="F58" s="623" t="s">
        <v>94</v>
      </c>
      <c r="G58" s="601" t="s">
        <v>567</v>
      </c>
      <c r="H58" s="623">
        <v>2014</v>
      </c>
      <c r="I58" s="631">
        <v>-3109.5439999999999</v>
      </c>
      <c r="J58" s="631">
        <v>104519.05</v>
      </c>
      <c r="K58" s="634">
        <v>-0.33401046789784289</v>
      </c>
      <c r="L58" s="634">
        <v>275.8559252</v>
      </c>
      <c r="M58" s="631">
        <v>930972.02</v>
      </c>
      <c r="N58" s="632">
        <v>197233</v>
      </c>
      <c r="O58" s="632">
        <v>2338442</v>
      </c>
      <c r="P58" s="635">
        <v>145.06909771548749</v>
      </c>
      <c r="Q58" s="631">
        <v>339235.67099999997</v>
      </c>
      <c r="R58" s="631">
        <v>339235.67099999997</v>
      </c>
      <c r="S58" s="631">
        <v>268560.87300000002</v>
      </c>
      <c r="T58" s="633">
        <v>79.166460357289495</v>
      </c>
      <c r="U58" s="636"/>
      <c r="V58" s="632">
        <v>1070251</v>
      </c>
      <c r="W58" s="633">
        <v>5492.1233881362032</v>
      </c>
      <c r="X58" s="632">
        <v>59626</v>
      </c>
      <c r="Y58" s="632">
        <v>13773</v>
      </c>
      <c r="Z58" s="633">
        <v>305.97808284319217</v>
      </c>
      <c r="AA58" s="633">
        <v>4.3291948014230739</v>
      </c>
      <c r="AB58" s="630">
        <v>879611.84299999999</v>
      </c>
      <c r="AC58" s="630">
        <v>0</v>
      </c>
      <c r="AD58" s="630">
        <v>0</v>
      </c>
      <c r="AE58" s="630">
        <v>0</v>
      </c>
      <c r="AF58" s="630">
        <v>0</v>
      </c>
      <c r="AG58" s="630" t="s">
        <v>434</v>
      </c>
      <c r="AH58" s="630">
        <v>879611.84299999999</v>
      </c>
      <c r="AI58" s="630">
        <v>513670.549</v>
      </c>
      <c r="AJ58" s="630">
        <v>80292.866999999998</v>
      </c>
      <c r="AK58" s="630">
        <v>0</v>
      </c>
      <c r="AL58" s="630">
        <v>64241.101000000002</v>
      </c>
      <c r="AM58" s="630">
        <v>106602.768</v>
      </c>
      <c r="AN58" s="630">
        <v>0</v>
      </c>
      <c r="AO58" s="630">
        <v>20629.588</v>
      </c>
      <c r="AP58" s="630">
        <v>785436.87300000002</v>
      </c>
      <c r="AQ58" s="630">
        <v>8151.3119999999999</v>
      </c>
      <c r="AR58" s="630">
        <v>777285.56099999999</v>
      </c>
      <c r="AS58" s="630" t="s">
        <v>434</v>
      </c>
      <c r="AT58" s="630">
        <v>26805.252</v>
      </c>
      <c r="AU58" s="630">
        <v>96377.258000000002</v>
      </c>
      <c r="AV58" s="630">
        <v>-8109.3220000000001</v>
      </c>
      <c r="AW58" s="630" t="s">
        <v>434</v>
      </c>
      <c r="AX58" s="630">
        <v>892358.74899999995</v>
      </c>
      <c r="AY58" s="630">
        <v>-12746.906000000001</v>
      </c>
      <c r="AZ58" s="612" t="s">
        <v>430</v>
      </c>
      <c r="BA58" s="612" t="s">
        <v>433</v>
      </c>
      <c r="BB58" s="613" t="s">
        <v>555</v>
      </c>
      <c r="BC58" s="614">
        <v>0.11226873391962951</v>
      </c>
      <c r="BD58" s="614">
        <v>9.6066662507475573E-2</v>
      </c>
      <c r="BE58" s="613" t="s">
        <v>576</v>
      </c>
      <c r="BF58" s="613" t="s">
        <v>576</v>
      </c>
      <c r="BG58" s="643"/>
      <c r="BH58" s="655"/>
    </row>
    <row r="59" spans="1:60" customFormat="1">
      <c r="A59" s="612" t="s">
        <v>79</v>
      </c>
      <c r="B59" s="612" t="s">
        <v>261</v>
      </c>
      <c r="C59" s="612">
        <v>22</v>
      </c>
      <c r="D59" s="601">
        <v>50</v>
      </c>
      <c r="E59" s="623" t="s">
        <v>261</v>
      </c>
      <c r="F59" s="623" t="s">
        <v>79</v>
      </c>
      <c r="G59" s="601" t="s">
        <v>567</v>
      </c>
      <c r="H59" s="623">
        <v>2014</v>
      </c>
      <c r="I59" s="624">
        <v>71002.875</v>
      </c>
      <c r="J59" s="625">
        <v>141594.17600000001</v>
      </c>
      <c r="K59" s="626">
        <v>4.904100133376522</v>
      </c>
      <c r="L59" s="626">
        <v>623.77185139999995</v>
      </c>
      <c r="M59" s="625">
        <v>1447826.7790000001</v>
      </c>
      <c r="N59" s="627">
        <v>193114</v>
      </c>
      <c r="O59" s="627">
        <v>2314913</v>
      </c>
      <c r="P59" s="628">
        <v>404.01679328769592</v>
      </c>
      <c r="Q59" s="625">
        <v>935263.72699999996</v>
      </c>
      <c r="R59" s="625">
        <v>935263.72699999996</v>
      </c>
      <c r="S59" s="625">
        <v>723990.36600000004</v>
      </c>
      <c r="T59" s="629">
        <v>77.410290284892028</v>
      </c>
      <c r="U59" s="625"/>
      <c r="V59" s="627">
        <v>1081793</v>
      </c>
      <c r="W59" s="629">
        <v>5607.7770525285396</v>
      </c>
      <c r="X59" s="627">
        <v>61329</v>
      </c>
      <c r="Y59" s="627">
        <v>18440</v>
      </c>
      <c r="Z59" s="629">
        <v>317.91605127276921</v>
      </c>
      <c r="AA59" s="629">
        <v>3.3258676789587853</v>
      </c>
      <c r="AB59" s="630">
        <v>920574.90500000003</v>
      </c>
      <c r="AC59" s="630">
        <v>0</v>
      </c>
      <c r="AD59" s="630">
        <v>0</v>
      </c>
      <c r="AE59" s="630">
        <v>0</v>
      </c>
      <c r="AF59" s="630">
        <v>0</v>
      </c>
      <c r="AG59" s="630" t="s">
        <v>434</v>
      </c>
      <c r="AH59" s="630">
        <v>920574.90500000003</v>
      </c>
      <c r="AI59" s="630">
        <v>595968.65700000001</v>
      </c>
      <c r="AJ59" s="630">
        <v>63914.781000000003</v>
      </c>
      <c r="AK59" s="630">
        <v>0</v>
      </c>
      <c r="AL59" s="630">
        <v>0</v>
      </c>
      <c r="AM59" s="630">
        <v>64001.93</v>
      </c>
      <c r="AN59" s="630">
        <v>0</v>
      </c>
      <c r="AO59" s="630">
        <v>105</v>
      </c>
      <c r="AP59" s="630">
        <v>723990.36800000002</v>
      </c>
      <c r="AQ59" s="630">
        <v>1173.0889999999999</v>
      </c>
      <c r="AR59" s="630">
        <v>722817.27899999998</v>
      </c>
      <c r="AS59" s="630" t="s">
        <v>434</v>
      </c>
      <c r="AT59" s="630">
        <v>26495.993999999999</v>
      </c>
      <c r="AU59" s="630">
        <v>91103.982999999993</v>
      </c>
      <c r="AV59" s="630">
        <v>0</v>
      </c>
      <c r="AW59" s="630" t="s">
        <v>434</v>
      </c>
      <c r="AX59" s="630">
        <v>840417.25600000005</v>
      </c>
      <c r="AY59" s="630">
        <v>80157.649000000005</v>
      </c>
      <c r="AZ59" s="612" t="s">
        <v>435</v>
      </c>
      <c r="BA59" s="612" t="s">
        <v>431</v>
      </c>
      <c r="BB59" s="613" t="s">
        <v>555</v>
      </c>
      <c r="BC59" s="614">
        <v>9.7797732473077839E-2</v>
      </c>
      <c r="BD59" s="614">
        <v>0.12809936467800193</v>
      </c>
      <c r="BE59" s="613" t="s">
        <v>581</v>
      </c>
      <c r="BF59" s="613" t="s">
        <v>581</v>
      </c>
      <c r="BG59" s="643"/>
      <c r="BH59" s="655"/>
    </row>
    <row r="60" spans="1:60" customFormat="1">
      <c r="A60" s="612" t="s">
        <v>67</v>
      </c>
      <c r="B60" s="612" t="s">
        <v>387</v>
      </c>
      <c r="C60" s="612">
        <v>23</v>
      </c>
      <c r="D60" s="601">
        <v>52</v>
      </c>
      <c r="E60" s="623" t="s">
        <v>387</v>
      </c>
      <c r="F60" s="623" t="s">
        <v>67</v>
      </c>
      <c r="G60" s="601" t="s">
        <v>567</v>
      </c>
      <c r="H60" s="623">
        <v>2014</v>
      </c>
      <c r="I60" s="624" t="s">
        <v>434</v>
      </c>
      <c r="J60" s="625" t="s">
        <v>434</v>
      </c>
      <c r="K60" s="626" t="s">
        <v>434</v>
      </c>
      <c r="L60" s="626" t="s">
        <v>434</v>
      </c>
      <c r="M60" s="625" t="s">
        <v>434</v>
      </c>
      <c r="N60" s="627">
        <v>191912</v>
      </c>
      <c r="O60" s="627">
        <v>2266916</v>
      </c>
      <c r="P60" s="628">
        <v>394.83084640101356</v>
      </c>
      <c r="Q60" s="625">
        <v>895048.36300000001</v>
      </c>
      <c r="R60" s="625">
        <v>895048.36300000001</v>
      </c>
      <c r="S60" s="625">
        <v>747013.99699999997</v>
      </c>
      <c r="T60" s="629">
        <v>83.460741104109474</v>
      </c>
      <c r="U60" s="625"/>
      <c r="V60" s="627">
        <v>960932</v>
      </c>
      <c r="W60" s="629">
        <v>5086.7275187964615</v>
      </c>
      <c r="X60" s="627">
        <v>82501</v>
      </c>
      <c r="Y60" s="627">
        <v>20560</v>
      </c>
      <c r="Z60" s="629">
        <v>436.7219605843357</v>
      </c>
      <c r="AA60" s="629">
        <v>4.0126945525291831</v>
      </c>
      <c r="AB60" s="630" t="s">
        <v>20</v>
      </c>
      <c r="AC60" s="630" t="s">
        <v>20</v>
      </c>
      <c r="AD60" s="630" t="s">
        <v>20</v>
      </c>
      <c r="AE60" s="630" t="s">
        <v>20</v>
      </c>
      <c r="AF60" s="630" t="s">
        <v>20</v>
      </c>
      <c r="AG60" s="630" t="s">
        <v>20</v>
      </c>
      <c r="AH60" s="630" t="s">
        <v>20</v>
      </c>
      <c r="AI60" s="630" t="s">
        <v>20</v>
      </c>
      <c r="AJ60" s="630" t="s">
        <v>20</v>
      </c>
      <c r="AK60" s="630" t="s">
        <v>20</v>
      </c>
      <c r="AL60" s="630" t="s">
        <v>20</v>
      </c>
      <c r="AM60" s="630" t="s">
        <v>20</v>
      </c>
      <c r="AN60" s="630" t="s">
        <v>20</v>
      </c>
      <c r="AO60" s="630" t="s">
        <v>20</v>
      </c>
      <c r="AP60" s="630" t="s">
        <v>20</v>
      </c>
      <c r="AQ60" s="630" t="s">
        <v>20</v>
      </c>
      <c r="AR60" s="630" t="s">
        <v>20</v>
      </c>
      <c r="AS60" s="630" t="s">
        <v>20</v>
      </c>
      <c r="AT60" s="630" t="s">
        <v>20</v>
      </c>
      <c r="AU60" s="630" t="s">
        <v>20</v>
      </c>
      <c r="AV60" s="630" t="s">
        <v>20</v>
      </c>
      <c r="AW60" s="630" t="s">
        <v>20</v>
      </c>
      <c r="AX60" s="630" t="s">
        <v>20</v>
      </c>
      <c r="AY60" s="630" t="s">
        <v>20</v>
      </c>
      <c r="AZ60" s="637" t="s">
        <v>435</v>
      </c>
      <c r="BA60" s="637" t="s">
        <v>433</v>
      </c>
      <c r="BB60" s="613" t="s">
        <v>555</v>
      </c>
      <c r="BC60" s="614">
        <v>0</v>
      </c>
      <c r="BD60" s="614">
        <v>-100</v>
      </c>
      <c r="BE60" s="613" t="s">
        <v>455</v>
      </c>
      <c r="BF60" s="613" t="s">
        <v>455</v>
      </c>
      <c r="BG60" s="643"/>
      <c r="BH60" s="655"/>
    </row>
    <row r="61" spans="1:60" customFormat="1">
      <c r="A61" s="601" t="s">
        <v>90</v>
      </c>
      <c r="B61" s="601" t="s">
        <v>418</v>
      </c>
      <c r="C61" s="601">
        <v>1</v>
      </c>
      <c r="D61" s="601">
        <v>58</v>
      </c>
      <c r="E61" s="623" t="s">
        <v>277</v>
      </c>
      <c r="F61" s="623" t="s">
        <v>90</v>
      </c>
      <c r="G61" s="601" t="s">
        <v>567</v>
      </c>
      <c r="H61" s="623">
        <v>2014</v>
      </c>
      <c r="I61" s="631">
        <v>43531.290999999997</v>
      </c>
      <c r="J61" s="631">
        <v>114234.67200000001</v>
      </c>
      <c r="K61" s="634">
        <v>2.8157981001741677</v>
      </c>
      <c r="L61" s="634">
        <v>390.17596509999998</v>
      </c>
      <c r="M61" s="631">
        <v>1545966.3459999999</v>
      </c>
      <c r="N61" s="632">
        <v>190929</v>
      </c>
      <c r="O61" s="632">
        <v>2110640</v>
      </c>
      <c r="P61" s="635">
        <v>534.21259144145847</v>
      </c>
      <c r="Q61" s="631">
        <v>1124336.004</v>
      </c>
      <c r="R61" s="631">
        <v>1127530.4639999999</v>
      </c>
      <c r="S61" s="631">
        <v>949501.321</v>
      </c>
      <c r="T61" s="633">
        <v>84.210702177533364</v>
      </c>
      <c r="U61" s="625"/>
      <c r="V61" s="632">
        <v>2253227</v>
      </c>
      <c r="W61" s="633">
        <v>12810.675434939165</v>
      </c>
      <c r="X61" s="632">
        <v>135625</v>
      </c>
      <c r="Y61" s="632">
        <v>25998</v>
      </c>
      <c r="Z61" s="633">
        <v>771.09312815070314</v>
      </c>
      <c r="AA61" s="633">
        <v>5.2167474421109317</v>
      </c>
      <c r="AB61" s="630">
        <v>1086784.933</v>
      </c>
      <c r="AC61" s="630">
        <v>3194.4589999999998</v>
      </c>
      <c r="AD61" s="630">
        <v>0</v>
      </c>
      <c r="AE61" s="630">
        <v>0</v>
      </c>
      <c r="AF61" s="630">
        <v>0</v>
      </c>
      <c r="AG61" s="630" t="s">
        <v>434</v>
      </c>
      <c r="AH61" s="630">
        <v>1089979.392</v>
      </c>
      <c r="AI61" s="630">
        <v>718299.21499999997</v>
      </c>
      <c r="AJ61" s="630">
        <v>8834.3279999999995</v>
      </c>
      <c r="AK61" s="630">
        <v>0</v>
      </c>
      <c r="AL61" s="630">
        <v>0</v>
      </c>
      <c r="AM61" s="630">
        <v>220133.424</v>
      </c>
      <c r="AN61" s="630">
        <v>0</v>
      </c>
      <c r="AO61" s="630">
        <v>2234.3539999999998</v>
      </c>
      <c r="AP61" s="630">
        <v>949501.321</v>
      </c>
      <c r="AQ61" s="630">
        <v>31740.996999999999</v>
      </c>
      <c r="AR61" s="630">
        <v>917760.32400000002</v>
      </c>
      <c r="AS61" s="630" t="s">
        <v>434</v>
      </c>
      <c r="AT61" s="630">
        <v>83153.519</v>
      </c>
      <c r="AU61" s="630">
        <v>76886.740999999995</v>
      </c>
      <c r="AV61" s="630">
        <v>0</v>
      </c>
      <c r="AW61" s="630" t="s">
        <v>434</v>
      </c>
      <c r="AX61" s="630">
        <v>1077800.584</v>
      </c>
      <c r="AY61" s="630">
        <v>12178.808000000001</v>
      </c>
      <c r="AZ61" s="612" t="s">
        <v>430</v>
      </c>
      <c r="BA61" s="612" t="s">
        <v>433</v>
      </c>
      <c r="BB61" s="613" t="s">
        <v>555</v>
      </c>
      <c r="BC61" s="614">
        <v>7.3892081994907807E-2</v>
      </c>
      <c r="BD61" s="614">
        <v>8.4000896229758606E-2</v>
      </c>
      <c r="BE61" s="613" t="s">
        <v>576</v>
      </c>
      <c r="BF61" s="613" t="s">
        <v>576</v>
      </c>
      <c r="BG61" s="643"/>
      <c r="BH61" s="655"/>
    </row>
    <row r="62" spans="1:60" customFormat="1">
      <c r="A62" s="612" t="s">
        <v>92</v>
      </c>
      <c r="B62" s="612" t="s">
        <v>388</v>
      </c>
      <c r="C62" s="612">
        <v>30</v>
      </c>
      <c r="D62" s="601">
        <v>54</v>
      </c>
      <c r="E62" s="623" t="s">
        <v>388</v>
      </c>
      <c r="F62" s="623" t="s">
        <v>92</v>
      </c>
      <c r="G62" s="601" t="s">
        <v>469</v>
      </c>
      <c r="H62" s="623">
        <v>2014</v>
      </c>
      <c r="I62" s="624">
        <v>-2156.4430000000002</v>
      </c>
      <c r="J62" s="625">
        <v>56081.163999999997</v>
      </c>
      <c r="K62" s="626">
        <v>-0.26136510129582236</v>
      </c>
      <c r="L62" s="626">
        <v>512.34555230000001</v>
      </c>
      <c r="M62" s="625">
        <v>825069.21900000004</v>
      </c>
      <c r="N62" s="627">
        <v>190106</v>
      </c>
      <c r="O62" s="627">
        <v>2155086</v>
      </c>
      <c r="P62" s="628">
        <v>378.78740477178172</v>
      </c>
      <c r="Q62" s="625">
        <v>816319.43299999996</v>
      </c>
      <c r="R62" s="625">
        <v>816319.43299999996</v>
      </c>
      <c r="S62" s="625">
        <v>756910.16299999994</v>
      </c>
      <c r="T62" s="629">
        <v>92.722301148501515</v>
      </c>
      <c r="U62" s="625"/>
      <c r="V62" s="627">
        <v>0</v>
      </c>
      <c r="W62" s="629">
        <v>0</v>
      </c>
      <c r="X62" s="627">
        <v>0</v>
      </c>
      <c r="Y62" s="627">
        <v>0</v>
      </c>
      <c r="Z62" s="629">
        <v>0</v>
      </c>
      <c r="AA62" s="629" t="s">
        <v>434</v>
      </c>
      <c r="AB62" s="630">
        <v>816319.43299999996</v>
      </c>
      <c r="AC62" s="630">
        <v>0</v>
      </c>
      <c r="AD62" s="630">
        <v>0</v>
      </c>
      <c r="AE62" s="630">
        <v>0</v>
      </c>
      <c r="AF62" s="630">
        <v>8749.7860000000001</v>
      </c>
      <c r="AG62" s="630" t="s">
        <v>434</v>
      </c>
      <c r="AH62" s="630">
        <v>825069.21900000004</v>
      </c>
      <c r="AI62" s="630">
        <v>367343.09899999999</v>
      </c>
      <c r="AJ62" s="630">
        <v>142820.05900000001</v>
      </c>
      <c r="AK62" s="630">
        <v>26505.027999999998</v>
      </c>
      <c r="AL62" s="630">
        <v>44255.972000000002</v>
      </c>
      <c r="AM62" s="630">
        <v>178530.111</v>
      </c>
      <c r="AN62" s="630">
        <v>0</v>
      </c>
      <c r="AO62" s="630">
        <v>0</v>
      </c>
      <c r="AP62" s="630">
        <v>759454.26899999997</v>
      </c>
      <c r="AQ62" s="630">
        <v>2544.1060000000002</v>
      </c>
      <c r="AR62" s="630">
        <v>756910.16299999994</v>
      </c>
      <c r="AS62" s="630" t="s">
        <v>434</v>
      </c>
      <c r="AT62" s="630">
        <v>15377.188</v>
      </c>
      <c r="AU62" s="630">
        <v>56081.163999999997</v>
      </c>
      <c r="AV62" s="630">
        <v>0</v>
      </c>
      <c r="AW62" s="630" t="s">
        <v>434</v>
      </c>
      <c r="AX62" s="630">
        <v>828368.51500000001</v>
      </c>
      <c r="AY62" s="630">
        <v>-3299.2959999999998</v>
      </c>
      <c r="AZ62" s="637" t="s">
        <v>435</v>
      </c>
      <c r="BA62" s="637" t="s">
        <v>431</v>
      </c>
      <c r="BB62" s="613" t="s">
        <v>555</v>
      </c>
      <c r="BC62" s="614">
        <v>6.7971465555303909E-2</v>
      </c>
      <c r="BD62" s="652">
        <v>-2.6136510129582237E-3</v>
      </c>
      <c r="BE62" s="613" t="s">
        <v>572</v>
      </c>
      <c r="BF62" s="613" t="s">
        <v>572</v>
      </c>
      <c r="BG62" s="643"/>
      <c r="BH62" s="655"/>
    </row>
    <row r="63" spans="1:60" customFormat="1">
      <c r="A63" s="612" t="s">
        <v>90</v>
      </c>
      <c r="B63" s="612" t="s">
        <v>164</v>
      </c>
      <c r="C63" s="612">
        <v>48</v>
      </c>
      <c r="D63" s="601">
        <v>59</v>
      </c>
      <c r="E63" s="623" t="s">
        <v>164</v>
      </c>
      <c r="F63" s="623" t="s">
        <v>90</v>
      </c>
      <c r="G63" s="601" t="s">
        <v>469</v>
      </c>
      <c r="H63" s="623">
        <v>2014</v>
      </c>
      <c r="I63" s="624">
        <v>23637.377</v>
      </c>
      <c r="J63" s="625">
        <v>58988.493000000002</v>
      </c>
      <c r="K63" s="626">
        <v>4.7215752157357622</v>
      </c>
      <c r="L63" s="626">
        <v>789.83265879999999</v>
      </c>
      <c r="M63" s="625">
        <v>500624.81099999999</v>
      </c>
      <c r="N63" s="627">
        <v>189839</v>
      </c>
      <c r="O63" s="627">
        <v>2063132</v>
      </c>
      <c r="P63" s="628">
        <v>219.8274540843727</v>
      </c>
      <c r="Q63" s="625">
        <v>453533.05499999999</v>
      </c>
      <c r="R63" s="625">
        <v>453533.05499999999</v>
      </c>
      <c r="S63" s="625">
        <v>360424.88299999997</v>
      </c>
      <c r="T63" s="629">
        <v>79.470477184954021</v>
      </c>
      <c r="U63" s="625"/>
      <c r="V63" s="627">
        <v>1354711</v>
      </c>
      <c r="W63" s="629">
        <v>7879.5404268849497</v>
      </c>
      <c r="X63" s="627">
        <v>43487</v>
      </c>
      <c r="Y63" s="627">
        <v>6948</v>
      </c>
      <c r="Z63" s="629">
        <v>252.93776646380357</v>
      </c>
      <c r="AA63" s="629">
        <v>6.2589234312032236</v>
      </c>
      <c r="AB63" s="630">
        <v>451655.946</v>
      </c>
      <c r="AC63" s="630">
        <v>0</v>
      </c>
      <c r="AD63" s="630">
        <v>0</v>
      </c>
      <c r="AE63" s="630">
        <v>0</v>
      </c>
      <c r="AF63" s="630">
        <v>-16675.692999999999</v>
      </c>
      <c r="AG63" s="630" t="s">
        <v>434</v>
      </c>
      <c r="AH63" s="630">
        <v>434980.25300000003</v>
      </c>
      <c r="AI63" s="630">
        <v>183892.429</v>
      </c>
      <c r="AJ63" s="630">
        <v>48234.677000000003</v>
      </c>
      <c r="AK63" s="630">
        <v>25132.760999999999</v>
      </c>
      <c r="AL63" s="630">
        <v>40081.480000000003</v>
      </c>
      <c r="AM63" s="630">
        <v>63083.536</v>
      </c>
      <c r="AN63" s="630">
        <v>0</v>
      </c>
      <c r="AO63" s="630">
        <v>0</v>
      </c>
      <c r="AP63" s="630">
        <v>360424.88299999997</v>
      </c>
      <c r="AQ63" s="630">
        <v>1000.551</v>
      </c>
      <c r="AR63" s="630">
        <v>359424.33299999998</v>
      </c>
      <c r="AS63" s="630" t="s">
        <v>434</v>
      </c>
      <c r="AT63" s="630">
        <v>1737.6410000000001</v>
      </c>
      <c r="AU63" s="630">
        <v>52026.841</v>
      </c>
      <c r="AV63" s="630">
        <v>0</v>
      </c>
      <c r="AW63" s="630" t="s">
        <v>434</v>
      </c>
      <c r="AX63" s="630">
        <v>413188.81400000001</v>
      </c>
      <c r="AY63" s="630">
        <v>21791.438999999998</v>
      </c>
      <c r="AZ63" s="612" t="s">
        <v>435</v>
      </c>
      <c r="BA63" s="612" t="s">
        <v>431</v>
      </c>
      <c r="BB63" s="613" t="s">
        <v>555</v>
      </c>
      <c r="BC63" s="614">
        <v>0.11782974336044244</v>
      </c>
      <c r="BD63" s="652">
        <v>4.721575215735762E-2</v>
      </c>
      <c r="BE63" s="613" t="s">
        <v>574</v>
      </c>
      <c r="BF63" s="613" t="s">
        <v>574</v>
      </c>
      <c r="BG63" s="643"/>
      <c r="BH63" s="655"/>
    </row>
    <row r="64" spans="1:60" customFormat="1">
      <c r="A64" s="612" t="s">
        <v>70</v>
      </c>
      <c r="B64" s="612" t="s">
        <v>244</v>
      </c>
      <c r="C64" s="612">
        <v>17</v>
      </c>
      <c r="D64" s="601">
        <v>63</v>
      </c>
      <c r="E64" s="623" t="s">
        <v>244</v>
      </c>
      <c r="F64" s="623" t="s">
        <v>70</v>
      </c>
      <c r="G64" s="601" t="s">
        <v>567</v>
      </c>
      <c r="H64" s="623">
        <v>2014</v>
      </c>
      <c r="I64" s="624">
        <v>46910.697</v>
      </c>
      <c r="J64" s="625">
        <v>82622.972999999998</v>
      </c>
      <c r="K64" s="626">
        <v>2.7280518940732623</v>
      </c>
      <c r="L64" s="626">
        <v>736.64903300000003</v>
      </c>
      <c r="M64" s="625">
        <v>1719567.6189999999</v>
      </c>
      <c r="N64" s="627">
        <v>181473</v>
      </c>
      <c r="O64" s="627">
        <v>1952553</v>
      </c>
      <c r="P64" s="628">
        <v>717.75689520335686</v>
      </c>
      <c r="Q64" s="625">
        <v>1401458.379</v>
      </c>
      <c r="R64" s="625">
        <v>1401458.379</v>
      </c>
      <c r="S64" s="625">
        <v>1292068.2409999999</v>
      </c>
      <c r="T64" s="629">
        <v>92.194549646343802</v>
      </c>
      <c r="U64" s="625"/>
      <c r="V64" s="627">
        <v>2031741</v>
      </c>
      <c r="W64" s="629">
        <v>12486.673601177536</v>
      </c>
      <c r="X64" s="627">
        <v>142067</v>
      </c>
      <c r="Y64" s="627">
        <v>27233</v>
      </c>
      <c r="Z64" s="629">
        <v>873.1153520544641</v>
      </c>
      <c r="AA64" s="629">
        <v>5.2167223589028016</v>
      </c>
      <c r="AB64" s="630">
        <v>1401288.6</v>
      </c>
      <c r="AC64" s="630">
        <v>0</v>
      </c>
      <c r="AD64" s="630">
        <v>0</v>
      </c>
      <c r="AE64" s="630">
        <v>0</v>
      </c>
      <c r="AF64" s="630">
        <v>0</v>
      </c>
      <c r="AG64" s="630" t="s">
        <v>434</v>
      </c>
      <c r="AH64" s="630">
        <v>1401288.6</v>
      </c>
      <c r="AI64" s="630">
        <v>999543.18099999998</v>
      </c>
      <c r="AJ64" s="630">
        <v>23364.098999999998</v>
      </c>
      <c r="AK64" s="630">
        <v>0</v>
      </c>
      <c r="AL64" s="630">
        <v>87937.888000000006</v>
      </c>
      <c r="AM64" s="630">
        <v>173697.78</v>
      </c>
      <c r="AN64" s="630">
        <v>0</v>
      </c>
      <c r="AO64" s="630">
        <v>6431.8180000000002</v>
      </c>
      <c r="AP64" s="630">
        <v>1290974.7660000001</v>
      </c>
      <c r="AQ64" s="630">
        <v>875</v>
      </c>
      <c r="AR64" s="630">
        <v>1290099.7660000001</v>
      </c>
      <c r="AS64" s="630" t="s">
        <v>434</v>
      </c>
      <c r="AT64" s="630">
        <v>21462.161</v>
      </c>
      <c r="AU64" s="630">
        <v>48964.798000000003</v>
      </c>
      <c r="AV64" s="630">
        <v>4800</v>
      </c>
      <c r="AW64" s="630" t="s">
        <v>434</v>
      </c>
      <c r="AX64" s="630">
        <v>1365326.7250000001</v>
      </c>
      <c r="AY64" s="630">
        <v>35961.875</v>
      </c>
      <c r="AZ64" s="612" t="s">
        <v>430</v>
      </c>
      <c r="BA64" s="612" t="s">
        <v>431</v>
      </c>
      <c r="BB64" s="613" t="s">
        <v>555</v>
      </c>
      <c r="BC64" s="614">
        <v>4.8048690895940861E-2</v>
      </c>
      <c r="BD64" s="614">
        <v>3.0005812640621098E-2</v>
      </c>
      <c r="BE64" s="613" t="s">
        <v>574</v>
      </c>
      <c r="BF64" s="613" t="s">
        <v>574</v>
      </c>
      <c r="BG64" s="643"/>
      <c r="BH64" s="655"/>
    </row>
    <row r="65" spans="1:60" customFormat="1">
      <c r="A65" s="612" t="s">
        <v>85</v>
      </c>
      <c r="B65" s="612" t="s">
        <v>156</v>
      </c>
      <c r="C65" s="612">
        <v>27</v>
      </c>
      <c r="D65" s="601">
        <v>56</v>
      </c>
      <c r="E65" s="623" t="s">
        <v>156</v>
      </c>
      <c r="F65" s="623" t="s">
        <v>85</v>
      </c>
      <c r="G65" s="601" t="s">
        <v>469</v>
      </c>
      <c r="H65" s="623">
        <v>2014</v>
      </c>
      <c r="I65" s="624">
        <v>-8539.7520000000004</v>
      </c>
      <c r="J65" s="625">
        <v>255739.18299999999</v>
      </c>
      <c r="K65" s="626">
        <v>-0.93870796653770339</v>
      </c>
      <c r="L65" s="626">
        <v>313.52786639999999</v>
      </c>
      <c r="M65" s="625">
        <v>909734.68900000001</v>
      </c>
      <c r="N65" s="627">
        <v>178358</v>
      </c>
      <c r="O65" s="627">
        <v>2127744</v>
      </c>
      <c r="P65" s="628">
        <v>387.09485727606329</v>
      </c>
      <c r="Q65" s="625">
        <v>1151566.399</v>
      </c>
      <c r="R65" s="625">
        <v>823638.76</v>
      </c>
      <c r="S65" s="625">
        <v>896428.04200000002</v>
      </c>
      <c r="T65" s="629">
        <v>108.83752508199105</v>
      </c>
      <c r="U65" s="625"/>
      <c r="V65" s="627">
        <v>1352034</v>
      </c>
      <c r="W65" s="629">
        <v>7625.1691932864105</v>
      </c>
      <c r="X65" s="627">
        <v>121082</v>
      </c>
      <c r="Y65" s="627">
        <v>33532</v>
      </c>
      <c r="Z65" s="629">
        <v>682.87538350478258</v>
      </c>
      <c r="AA65" s="629">
        <v>3.6109388047238458</v>
      </c>
      <c r="AB65" s="630">
        <v>823638.76</v>
      </c>
      <c r="AC65" s="630">
        <v>0</v>
      </c>
      <c r="AD65" s="630">
        <v>0</v>
      </c>
      <c r="AE65" s="630">
        <v>0</v>
      </c>
      <c r="AF65" s="630">
        <v>0</v>
      </c>
      <c r="AG65" s="630" t="s">
        <v>434</v>
      </c>
      <c r="AH65" s="630">
        <v>823638.76</v>
      </c>
      <c r="AI65" s="630">
        <v>249449.772</v>
      </c>
      <c r="AJ65" s="630">
        <v>303015.98800000001</v>
      </c>
      <c r="AK65" s="630">
        <v>0</v>
      </c>
      <c r="AL65" s="630">
        <v>58700.284</v>
      </c>
      <c r="AM65" s="630">
        <v>230559.89499999999</v>
      </c>
      <c r="AN65" s="630">
        <v>64055.955000000002</v>
      </c>
      <c r="AO65" s="630">
        <v>-9353.8520000000008</v>
      </c>
      <c r="AP65" s="630">
        <v>896428.04200000002</v>
      </c>
      <c r="AQ65" s="630">
        <v>324173.179</v>
      </c>
      <c r="AR65" s="630">
        <v>572254.86300000001</v>
      </c>
      <c r="AS65" s="630" t="s">
        <v>434</v>
      </c>
      <c r="AT65" s="630">
        <v>13886.874</v>
      </c>
      <c r="AU65" s="630">
        <v>240561.98800000001</v>
      </c>
      <c r="AV65" s="630">
        <v>0</v>
      </c>
      <c r="AW65" s="630" t="s">
        <v>434</v>
      </c>
      <c r="AX65" s="630">
        <v>826703.72499999998</v>
      </c>
      <c r="AY65" s="630">
        <v>-3064.9650000000001</v>
      </c>
      <c r="AZ65" s="612" t="s">
        <v>435</v>
      </c>
      <c r="BA65" s="612" t="s">
        <v>431</v>
      </c>
      <c r="BB65" s="613" t="s">
        <v>555</v>
      </c>
      <c r="BC65" s="614">
        <v>0.28111402818014342</v>
      </c>
      <c r="BD65" s="652">
        <v>-9.3870796653770343E-3</v>
      </c>
      <c r="BE65" s="613" t="s">
        <v>572</v>
      </c>
      <c r="BF65" s="613" t="s">
        <v>572</v>
      </c>
      <c r="BG65" s="643"/>
      <c r="BH65" s="655"/>
    </row>
    <row r="66" spans="1:60" customFormat="1">
      <c r="A66" s="601" t="s">
        <v>94</v>
      </c>
      <c r="B66" s="601" t="s">
        <v>418</v>
      </c>
      <c r="C66" s="601">
        <v>1</v>
      </c>
      <c r="D66" s="601">
        <v>66</v>
      </c>
      <c r="E66" s="623" t="s">
        <v>285</v>
      </c>
      <c r="F66" s="623" t="s">
        <v>94</v>
      </c>
      <c r="G66" s="601" t="s">
        <v>567</v>
      </c>
      <c r="H66" s="623">
        <v>2014</v>
      </c>
      <c r="I66" s="631">
        <v>22478.350999999999</v>
      </c>
      <c r="J66" s="631">
        <v>107083.16099999999</v>
      </c>
      <c r="K66" s="634">
        <v>1.6845440427002449</v>
      </c>
      <c r="L66" s="634">
        <v>4124.4088890000003</v>
      </c>
      <c r="M66" s="631">
        <v>1334387.848</v>
      </c>
      <c r="N66" s="632">
        <v>176116</v>
      </c>
      <c r="O66" s="632">
        <v>1756398</v>
      </c>
      <c r="P66" s="635">
        <v>318.50697222383536</v>
      </c>
      <c r="Q66" s="631">
        <v>748171.00899999996</v>
      </c>
      <c r="R66" s="631">
        <v>559425.00899999996</v>
      </c>
      <c r="S66" s="631">
        <v>496516.80499999999</v>
      </c>
      <c r="T66" s="633">
        <v>88.754845960059683</v>
      </c>
      <c r="U66" s="625"/>
      <c r="V66" s="632">
        <v>1199557</v>
      </c>
      <c r="W66" s="633">
        <v>8195.5707077780771</v>
      </c>
      <c r="X66" s="632">
        <v>77628</v>
      </c>
      <c r="Y66" s="632">
        <v>14107</v>
      </c>
      <c r="Z66" s="633">
        <v>530.36726300075497</v>
      </c>
      <c r="AA66" s="633">
        <v>5.5028000283547174</v>
      </c>
      <c r="AB66" s="630">
        <v>748171.00899999996</v>
      </c>
      <c r="AC66" s="630">
        <v>-188746</v>
      </c>
      <c r="AD66" s="630">
        <v>0</v>
      </c>
      <c r="AE66" s="630">
        <v>0</v>
      </c>
      <c r="AF66" s="630">
        <v>0</v>
      </c>
      <c r="AG66" s="630" t="s">
        <v>434</v>
      </c>
      <c r="AH66" s="630">
        <v>559425.00899999996</v>
      </c>
      <c r="AI66" s="630">
        <v>388837.40500000003</v>
      </c>
      <c r="AJ66" s="630">
        <v>1759.6590000000001</v>
      </c>
      <c r="AK66" s="630">
        <v>0</v>
      </c>
      <c r="AL66" s="630">
        <v>0</v>
      </c>
      <c r="AM66" s="630">
        <v>105836.822</v>
      </c>
      <c r="AN66" s="630">
        <v>0</v>
      </c>
      <c r="AO66" s="630">
        <v>82.918999999999997</v>
      </c>
      <c r="AP66" s="630">
        <v>496516.80499999999</v>
      </c>
      <c r="AQ66" s="630">
        <v>0</v>
      </c>
      <c r="AR66" s="630">
        <v>496516.80499999999</v>
      </c>
      <c r="AS66" s="630" t="s">
        <v>434</v>
      </c>
      <c r="AT66" s="630">
        <v>26030.062999999998</v>
      </c>
      <c r="AU66" s="630">
        <v>37647.023999999998</v>
      </c>
      <c r="AV66" s="630">
        <v>-143</v>
      </c>
      <c r="AW66" s="630" t="s">
        <v>434</v>
      </c>
      <c r="AX66" s="630">
        <v>560050.89199999999</v>
      </c>
      <c r="AY66" s="630">
        <v>-625.88300000000004</v>
      </c>
      <c r="AZ66" s="612" t="s">
        <v>430</v>
      </c>
      <c r="BA66" s="612" t="s">
        <v>433</v>
      </c>
      <c r="BB66" s="613" t="s">
        <v>555</v>
      </c>
      <c r="BC66" s="614">
        <v>8.024890301608921E-2</v>
      </c>
      <c r="BD66" s="614">
        <v>3.2202637383313984E-2</v>
      </c>
      <c r="BE66" s="613" t="s">
        <v>574</v>
      </c>
      <c r="BF66" s="613" t="s">
        <v>574</v>
      </c>
      <c r="BG66" s="643"/>
      <c r="BH66" s="655"/>
    </row>
    <row r="67" spans="1:60" customFormat="1">
      <c r="A67" s="612" t="s">
        <v>81</v>
      </c>
      <c r="B67" s="612" t="s">
        <v>152</v>
      </c>
      <c r="C67" s="612">
        <v>31</v>
      </c>
      <c r="D67" s="601">
        <v>60</v>
      </c>
      <c r="E67" s="623" t="s">
        <v>152</v>
      </c>
      <c r="F67" s="623" t="s">
        <v>81</v>
      </c>
      <c r="G67" s="601" t="s">
        <v>567</v>
      </c>
      <c r="H67" s="623">
        <v>2014</v>
      </c>
      <c r="I67" s="624">
        <v>24190.129000000001</v>
      </c>
      <c r="J67" s="625">
        <v>570246.10499999998</v>
      </c>
      <c r="K67" s="626">
        <v>0.40696551872394626</v>
      </c>
      <c r="L67" s="626">
        <v>520.31950670000003</v>
      </c>
      <c r="M67" s="625">
        <v>5944024.2199999997</v>
      </c>
      <c r="N67" s="627">
        <v>173132</v>
      </c>
      <c r="O67" s="627">
        <v>2061020</v>
      </c>
      <c r="P67" s="628">
        <v>387.96342442091782</v>
      </c>
      <c r="Q67" s="625">
        <v>799600.37699999998</v>
      </c>
      <c r="R67" s="625">
        <v>799600.37699999998</v>
      </c>
      <c r="S67" s="625">
        <v>752831.17500000005</v>
      </c>
      <c r="T67" s="629">
        <v>94.150927970360371</v>
      </c>
      <c r="U67" s="625"/>
      <c r="V67" s="627">
        <v>1643870</v>
      </c>
      <c r="W67" s="629">
        <v>9571.2026084171921</v>
      </c>
      <c r="X67" s="627">
        <v>106771</v>
      </c>
      <c r="Y67" s="627">
        <v>22367</v>
      </c>
      <c r="Z67" s="629">
        <v>621.65917846503191</v>
      </c>
      <c r="AA67" s="629">
        <v>4.773595028390039</v>
      </c>
      <c r="AB67" s="630">
        <v>799600.37699999998</v>
      </c>
      <c r="AC67" s="630">
        <v>0</v>
      </c>
      <c r="AD67" s="630">
        <v>0</v>
      </c>
      <c r="AE67" s="630">
        <v>0</v>
      </c>
      <c r="AF67" s="630">
        <v>0</v>
      </c>
      <c r="AG67" s="630" t="s">
        <v>434</v>
      </c>
      <c r="AH67" s="630">
        <v>799600.37699999998</v>
      </c>
      <c r="AI67" s="630">
        <v>462395.576</v>
      </c>
      <c r="AJ67" s="630">
        <v>45805.411</v>
      </c>
      <c r="AK67" s="630">
        <v>0</v>
      </c>
      <c r="AL67" s="630">
        <v>37049.847999999998</v>
      </c>
      <c r="AM67" s="630">
        <v>184018.98</v>
      </c>
      <c r="AN67" s="630">
        <v>23561.360000000001</v>
      </c>
      <c r="AO67" s="630">
        <v>0</v>
      </c>
      <c r="AP67" s="630">
        <v>752831.17500000005</v>
      </c>
      <c r="AQ67" s="630">
        <v>0</v>
      </c>
      <c r="AR67" s="630">
        <v>752831.17500000005</v>
      </c>
      <c r="AS67" s="630" t="s">
        <v>434</v>
      </c>
      <c r="AT67" s="630">
        <v>22600.565999999999</v>
      </c>
      <c r="AU67" s="630">
        <v>58523.913999999997</v>
      </c>
      <c r="AV67" s="630">
        <v>-11000</v>
      </c>
      <c r="AW67" s="630" t="s">
        <v>434</v>
      </c>
      <c r="AX67" s="630">
        <v>822955.65500000003</v>
      </c>
      <c r="AY67" s="630">
        <v>-23355.277999999998</v>
      </c>
      <c r="AZ67" s="612" t="s">
        <v>430</v>
      </c>
      <c r="BA67" s="612" t="s">
        <v>431</v>
      </c>
      <c r="BB67" s="613" t="s">
        <v>555</v>
      </c>
      <c r="BC67" s="614">
        <v>9.593603321488485E-2</v>
      </c>
      <c r="BD67" s="614">
        <v>-3.7445312918488613E-2</v>
      </c>
      <c r="BE67" s="613" t="s">
        <v>571</v>
      </c>
      <c r="BF67" s="613" t="s">
        <v>571</v>
      </c>
      <c r="BG67" s="643"/>
      <c r="BH67" s="655"/>
    </row>
    <row r="68" spans="1:60" customFormat="1">
      <c r="A68" s="601" t="s">
        <v>80</v>
      </c>
      <c r="B68" s="601" t="s">
        <v>420</v>
      </c>
      <c r="C68" s="601">
        <v>3</v>
      </c>
      <c r="D68" s="601">
        <v>69</v>
      </c>
      <c r="E68" s="623" t="s">
        <v>191</v>
      </c>
      <c r="F68" s="623" t="s">
        <v>80</v>
      </c>
      <c r="G68" s="601" t="s">
        <v>469</v>
      </c>
      <c r="H68" s="623">
        <v>2014</v>
      </c>
      <c r="I68" s="631">
        <v>14147.955</v>
      </c>
      <c r="J68" s="631">
        <v>48839.925000000003</v>
      </c>
      <c r="K68" s="634">
        <v>3.5301885830343869</v>
      </c>
      <c r="L68" s="634">
        <v>362.96172189999999</v>
      </c>
      <c r="M68" s="631">
        <v>400770.516</v>
      </c>
      <c r="N68" s="632">
        <v>172198</v>
      </c>
      <c r="O68" s="632">
        <v>1722877</v>
      </c>
      <c r="P68" s="635">
        <v>225.46757139366304</v>
      </c>
      <c r="Q68" s="631">
        <v>403026.44500000001</v>
      </c>
      <c r="R68" s="631">
        <v>388452.89299999998</v>
      </c>
      <c r="S68" s="631">
        <v>300916.56400000001</v>
      </c>
      <c r="T68" s="633">
        <v>77.465393982791127</v>
      </c>
      <c r="U68" s="625"/>
      <c r="V68" s="632">
        <v>732241</v>
      </c>
      <c r="W68" s="633">
        <v>5100.1272870901403</v>
      </c>
      <c r="X68" s="632">
        <v>72626</v>
      </c>
      <c r="Y68" s="632">
        <v>15036</v>
      </c>
      <c r="Z68" s="633">
        <v>505.84690607628983</v>
      </c>
      <c r="AA68" s="633">
        <v>4.8301409949454639</v>
      </c>
      <c r="AB68" s="630">
        <v>403026.44500000001</v>
      </c>
      <c r="AC68" s="630">
        <v>-14573.552</v>
      </c>
      <c r="AD68" s="630">
        <v>0</v>
      </c>
      <c r="AE68" s="630">
        <v>0</v>
      </c>
      <c r="AF68" s="630">
        <v>0</v>
      </c>
      <c r="AG68" s="630" t="s">
        <v>434</v>
      </c>
      <c r="AH68" s="630">
        <v>388452.89299999998</v>
      </c>
      <c r="AI68" s="630">
        <v>187191.12899999999</v>
      </c>
      <c r="AJ68" s="630">
        <v>33498.637999999999</v>
      </c>
      <c r="AK68" s="630">
        <v>0</v>
      </c>
      <c r="AL68" s="630">
        <v>23688.994999999999</v>
      </c>
      <c r="AM68" s="630">
        <v>49038.445</v>
      </c>
      <c r="AN68" s="630">
        <v>7004.9960000000001</v>
      </c>
      <c r="AO68" s="630">
        <v>494.36099999999999</v>
      </c>
      <c r="AP68" s="630">
        <v>300916.56400000001</v>
      </c>
      <c r="AQ68" s="630">
        <v>2334.652</v>
      </c>
      <c r="AR68" s="630">
        <v>298581.91200000001</v>
      </c>
      <c r="AS68" s="630" t="s">
        <v>434</v>
      </c>
      <c r="AT68" s="630">
        <v>20223.815999999999</v>
      </c>
      <c r="AU68" s="630">
        <v>47072.538999999997</v>
      </c>
      <c r="AV68" s="630">
        <v>0</v>
      </c>
      <c r="AW68" s="630" t="s">
        <v>434</v>
      </c>
      <c r="AX68" s="630">
        <v>365878.26699999999</v>
      </c>
      <c r="AY68" s="630">
        <v>22574.626</v>
      </c>
      <c r="AZ68" s="612" t="s">
        <v>430</v>
      </c>
      <c r="BA68" s="612" t="s">
        <v>433</v>
      </c>
      <c r="BB68" s="613" t="s">
        <v>555</v>
      </c>
      <c r="BC68" s="614">
        <v>0.12186506504385668</v>
      </c>
      <c r="BD68" s="652">
        <v>3.5301885830343868E-2</v>
      </c>
      <c r="BE68" s="613" t="s">
        <v>574</v>
      </c>
      <c r="BF68" s="613" t="s">
        <v>574</v>
      </c>
      <c r="BG68" s="643"/>
      <c r="BH68" s="655"/>
    </row>
    <row r="69" spans="1:60" customFormat="1">
      <c r="A69" s="612" t="s">
        <v>92</v>
      </c>
      <c r="B69" s="612" t="s">
        <v>390</v>
      </c>
      <c r="C69" s="612">
        <v>33</v>
      </c>
      <c r="D69" s="601">
        <v>61</v>
      </c>
      <c r="E69" s="623" t="s">
        <v>390</v>
      </c>
      <c r="F69" s="623" t="s">
        <v>92</v>
      </c>
      <c r="G69" s="601" t="s">
        <v>567</v>
      </c>
      <c r="H69" s="623">
        <v>2014</v>
      </c>
      <c r="I69" s="624">
        <v>51477.534</v>
      </c>
      <c r="J69" s="625">
        <v>105306.466</v>
      </c>
      <c r="K69" s="626">
        <v>3.724519700466665</v>
      </c>
      <c r="L69" s="626">
        <v>457.2009913</v>
      </c>
      <c r="M69" s="625">
        <v>1382125.432</v>
      </c>
      <c r="N69" s="627">
        <v>171971</v>
      </c>
      <c r="O69" s="627">
        <v>2007597</v>
      </c>
      <c r="P69" s="628">
        <v>337.64060018021547</v>
      </c>
      <c r="Q69" s="625">
        <v>677846.25600000005</v>
      </c>
      <c r="R69" s="625">
        <v>677846.25600000005</v>
      </c>
      <c r="S69" s="625">
        <v>595898.49100000004</v>
      </c>
      <c r="T69" s="629">
        <v>87.910567584517267</v>
      </c>
      <c r="U69" s="625"/>
      <c r="V69" s="627">
        <v>920251</v>
      </c>
      <c r="W69" s="629">
        <v>5500.6119256006059</v>
      </c>
      <c r="X69" s="627">
        <v>73989</v>
      </c>
      <c r="Y69" s="627">
        <v>15395</v>
      </c>
      <c r="Z69" s="629">
        <v>442.25409780947075</v>
      </c>
      <c r="AA69" s="629">
        <v>4.8060409223773952</v>
      </c>
      <c r="AB69" s="630">
        <v>677668.92200000002</v>
      </c>
      <c r="AC69" s="630">
        <v>0</v>
      </c>
      <c r="AD69" s="630">
        <v>0</v>
      </c>
      <c r="AE69" s="630">
        <v>0</v>
      </c>
      <c r="AF69" s="630">
        <v>0</v>
      </c>
      <c r="AG69" s="630" t="s">
        <v>434</v>
      </c>
      <c r="AH69" s="630">
        <v>677668.92200000002</v>
      </c>
      <c r="AI69" s="630">
        <v>390712.25</v>
      </c>
      <c r="AJ69" s="630">
        <v>0</v>
      </c>
      <c r="AK69" s="630">
        <v>321.41899999999998</v>
      </c>
      <c r="AL69" s="630">
        <v>43428.779000000002</v>
      </c>
      <c r="AM69" s="630">
        <v>132030.92199999999</v>
      </c>
      <c r="AN69" s="630">
        <v>12904.852999999999</v>
      </c>
      <c r="AO69" s="630">
        <v>16500.268</v>
      </c>
      <c r="AP69" s="630">
        <v>595898.49100000004</v>
      </c>
      <c r="AQ69" s="630">
        <v>0</v>
      </c>
      <c r="AR69" s="630">
        <v>595898.49100000004</v>
      </c>
      <c r="AS69" s="630" t="s">
        <v>434</v>
      </c>
      <c r="AT69" s="630">
        <v>5195.2870000000003</v>
      </c>
      <c r="AU69" s="630">
        <v>30187.887999999999</v>
      </c>
      <c r="AV69" s="630">
        <v>0</v>
      </c>
      <c r="AW69" s="630" t="s">
        <v>434</v>
      </c>
      <c r="AX69" s="630">
        <v>631281.66599999997</v>
      </c>
      <c r="AY69" s="630">
        <v>46387.256999999998</v>
      </c>
      <c r="AZ69" s="612" t="s">
        <v>435</v>
      </c>
      <c r="BA69" s="612" t="s">
        <v>431</v>
      </c>
      <c r="BB69" s="613" t="s">
        <v>555</v>
      </c>
      <c r="BC69" s="614">
        <v>7.6191685328889883E-2</v>
      </c>
      <c r="BD69" s="614">
        <v>4.4702638825937488E-2</v>
      </c>
      <c r="BE69" s="613" t="s">
        <v>574</v>
      </c>
      <c r="BF69" s="613" t="s">
        <v>574</v>
      </c>
      <c r="BG69" s="643"/>
      <c r="BH69" s="655"/>
    </row>
    <row r="70" spans="1:60" customFormat="1">
      <c r="A70" s="601" t="s">
        <v>85</v>
      </c>
      <c r="B70" s="601" t="s">
        <v>418</v>
      </c>
      <c r="C70" s="601">
        <v>1</v>
      </c>
      <c r="D70" s="601">
        <v>62</v>
      </c>
      <c r="E70" s="623" t="s">
        <v>283</v>
      </c>
      <c r="F70" s="623" t="s">
        <v>85</v>
      </c>
      <c r="G70" s="601" t="s">
        <v>469</v>
      </c>
      <c r="H70" s="623">
        <v>2014</v>
      </c>
      <c r="I70" s="631">
        <v>10076.960999999999</v>
      </c>
      <c r="J70" s="631">
        <v>108423.227</v>
      </c>
      <c r="K70" s="634">
        <v>1.0954165084818013</v>
      </c>
      <c r="L70" s="634">
        <v>494.91214730000002</v>
      </c>
      <c r="M70" s="631">
        <v>919920.49800000002</v>
      </c>
      <c r="N70" s="632">
        <v>165369</v>
      </c>
      <c r="O70" s="632">
        <v>1999631</v>
      </c>
      <c r="P70" s="635">
        <v>432.62191074253201</v>
      </c>
      <c r="Q70" s="631">
        <v>865084.18400000001</v>
      </c>
      <c r="R70" s="631">
        <v>865084.18400000001</v>
      </c>
      <c r="S70" s="631">
        <v>716351.17099999997</v>
      </c>
      <c r="T70" s="633">
        <v>82.807105279363185</v>
      </c>
      <c r="U70" s="625"/>
      <c r="V70" s="632">
        <v>1402353</v>
      </c>
      <c r="W70" s="633">
        <v>8415.6706912425343</v>
      </c>
      <c r="X70" s="632">
        <v>102534</v>
      </c>
      <c r="Y70" s="632">
        <v>18411</v>
      </c>
      <c r="Z70" s="633">
        <v>615.31752608356237</v>
      </c>
      <c r="AA70" s="633">
        <v>5.5691706045299005</v>
      </c>
      <c r="AB70" s="630">
        <v>865084.18400000001</v>
      </c>
      <c r="AC70" s="630">
        <v>0</v>
      </c>
      <c r="AD70" s="630">
        <v>0</v>
      </c>
      <c r="AE70" s="630">
        <v>0</v>
      </c>
      <c r="AF70" s="630">
        <v>829.351</v>
      </c>
      <c r="AG70" s="630" t="s">
        <v>434</v>
      </c>
      <c r="AH70" s="630">
        <v>865913.53500000003</v>
      </c>
      <c r="AI70" s="630">
        <v>437398.82500000001</v>
      </c>
      <c r="AJ70" s="630">
        <v>64276.211000000003</v>
      </c>
      <c r="AK70" s="630">
        <v>0</v>
      </c>
      <c r="AL70" s="630">
        <v>6013.9840000000004</v>
      </c>
      <c r="AM70" s="630">
        <v>155254.823</v>
      </c>
      <c r="AN70" s="630">
        <v>53407.328000000001</v>
      </c>
      <c r="AO70" s="630">
        <v>0</v>
      </c>
      <c r="AP70" s="630">
        <v>716351.17099999997</v>
      </c>
      <c r="AQ70" s="630">
        <v>0</v>
      </c>
      <c r="AR70" s="630">
        <v>716351.17099999997</v>
      </c>
      <c r="AS70" s="630" t="s">
        <v>434</v>
      </c>
      <c r="AT70" s="630">
        <v>40799.552000000003</v>
      </c>
      <c r="AU70" s="630">
        <v>100574.32799999999</v>
      </c>
      <c r="AV70" s="630">
        <v>0</v>
      </c>
      <c r="AW70" s="630" t="s">
        <v>434</v>
      </c>
      <c r="AX70" s="630">
        <v>857725.05099999998</v>
      </c>
      <c r="AY70" s="630">
        <v>8188.4840000000004</v>
      </c>
      <c r="AZ70" s="612" t="s">
        <v>430</v>
      </c>
      <c r="BA70" s="612" t="s">
        <v>433</v>
      </c>
      <c r="BB70" s="613" t="s">
        <v>555</v>
      </c>
      <c r="BC70" s="614">
        <v>0.1178615187244148</v>
      </c>
      <c r="BD70" s="652">
        <v>1.0954165084818012E-2</v>
      </c>
      <c r="BE70" s="613" t="s">
        <v>573</v>
      </c>
      <c r="BF70" s="613" t="s">
        <v>573</v>
      </c>
      <c r="BG70" s="643"/>
      <c r="BH70" s="655"/>
    </row>
    <row r="71" spans="1:60" customFormat="1">
      <c r="A71" s="601" t="s">
        <v>61</v>
      </c>
      <c r="B71" s="601" t="s">
        <v>422</v>
      </c>
      <c r="C71" s="601">
        <v>6</v>
      </c>
      <c r="D71" s="601">
        <v>71</v>
      </c>
      <c r="E71" s="623" t="s">
        <v>319</v>
      </c>
      <c r="F71" s="623" t="s">
        <v>61</v>
      </c>
      <c r="G71" s="601" t="s">
        <v>567</v>
      </c>
      <c r="H71" s="623">
        <v>2014</v>
      </c>
      <c r="I71" s="631">
        <v>9251.1820000000007</v>
      </c>
      <c r="J71" s="625">
        <v>45017.197</v>
      </c>
      <c r="K71" s="626">
        <v>2.3066682509915264</v>
      </c>
      <c r="L71" s="626">
        <v>495.13729059999997</v>
      </c>
      <c r="M71" s="625">
        <v>401062.52799999999</v>
      </c>
      <c r="N71" s="627">
        <v>161203</v>
      </c>
      <c r="O71" s="627">
        <v>1671571</v>
      </c>
      <c r="P71" s="628">
        <v>138.91714740205472</v>
      </c>
      <c r="Q71" s="625">
        <v>232209.875</v>
      </c>
      <c r="R71" s="625">
        <v>232209.875</v>
      </c>
      <c r="S71" s="625">
        <v>188636.764</v>
      </c>
      <c r="T71" s="629">
        <v>81.235461670180896</v>
      </c>
      <c r="U71" s="625"/>
      <c r="V71" s="632">
        <v>245690</v>
      </c>
      <c r="W71" s="633">
        <v>1763.7779071304778</v>
      </c>
      <c r="X71" s="632">
        <v>42811</v>
      </c>
      <c r="Y71" s="632">
        <v>10252</v>
      </c>
      <c r="Z71" s="633">
        <v>307.33483651008544</v>
      </c>
      <c r="AA71" s="633">
        <v>4.1758681232930162</v>
      </c>
      <c r="AB71" s="630">
        <v>225802.011</v>
      </c>
      <c r="AC71" s="630">
        <v>0</v>
      </c>
      <c r="AD71" s="630">
        <v>0</v>
      </c>
      <c r="AE71" s="630">
        <v>0</v>
      </c>
      <c r="AF71" s="630">
        <v>3.786</v>
      </c>
      <c r="AG71" s="630" t="s">
        <v>434</v>
      </c>
      <c r="AH71" s="630">
        <v>225805.79699999999</v>
      </c>
      <c r="AI71" s="630">
        <v>153699.89799999999</v>
      </c>
      <c r="AJ71" s="630">
        <v>2022.5309999999999</v>
      </c>
      <c r="AK71" s="630">
        <v>0</v>
      </c>
      <c r="AL71" s="630">
        <v>11110.254000000001</v>
      </c>
      <c r="AM71" s="630">
        <v>21804.080999999998</v>
      </c>
      <c r="AN71" s="630">
        <v>0</v>
      </c>
      <c r="AO71" s="630">
        <v>0</v>
      </c>
      <c r="AP71" s="630">
        <v>188636.764</v>
      </c>
      <c r="AQ71" s="630">
        <v>4676.3590000000004</v>
      </c>
      <c r="AR71" s="630">
        <v>183960.405</v>
      </c>
      <c r="AS71" s="630" t="s">
        <v>434</v>
      </c>
      <c r="AT71" s="630">
        <v>6397.8720000000003</v>
      </c>
      <c r="AU71" s="630">
        <v>23232.350999999999</v>
      </c>
      <c r="AV71" s="630">
        <v>0</v>
      </c>
      <c r="AW71" s="630" t="s">
        <v>434</v>
      </c>
      <c r="AX71" s="630">
        <v>213590.628</v>
      </c>
      <c r="AY71" s="630">
        <v>12215.169</v>
      </c>
      <c r="AZ71" s="612" t="s">
        <v>430</v>
      </c>
      <c r="BA71" s="612" t="s">
        <v>433</v>
      </c>
      <c r="BB71" s="613" t="s">
        <v>555</v>
      </c>
      <c r="BC71" s="614">
        <v>0.11224483430174759</v>
      </c>
      <c r="BD71" s="614">
        <v>7.5400548996443439E-2</v>
      </c>
      <c r="BE71" s="613" t="s">
        <v>576</v>
      </c>
      <c r="BF71" s="613" t="s">
        <v>576</v>
      </c>
      <c r="BG71" s="643"/>
      <c r="BH71" s="655"/>
    </row>
    <row r="72" spans="1:60" customFormat="1">
      <c r="A72" s="601" t="s">
        <v>85</v>
      </c>
      <c r="B72" s="601" t="s">
        <v>424</v>
      </c>
      <c r="C72" s="601">
        <v>5</v>
      </c>
      <c r="D72" s="601">
        <v>88</v>
      </c>
      <c r="E72" s="623" t="s">
        <v>180</v>
      </c>
      <c r="F72" s="623" t="s">
        <v>85</v>
      </c>
      <c r="G72" s="601" t="s">
        <v>469</v>
      </c>
      <c r="H72" s="623">
        <v>2014</v>
      </c>
      <c r="I72" s="624">
        <v>11122.047</v>
      </c>
      <c r="J72" s="625">
        <v>67691.926000000007</v>
      </c>
      <c r="K72" s="626">
        <v>2.3812580530506642</v>
      </c>
      <c r="L72" s="626">
        <v>736.03414569999995</v>
      </c>
      <c r="M72" s="625">
        <v>467066.011</v>
      </c>
      <c r="N72" s="627">
        <v>159822</v>
      </c>
      <c r="O72" s="627">
        <v>1178487</v>
      </c>
      <c r="P72" s="628">
        <v>408.91951714359175</v>
      </c>
      <c r="Q72" s="625">
        <v>481906.33500000002</v>
      </c>
      <c r="R72" s="625">
        <v>481906.33500000002</v>
      </c>
      <c r="S72" s="625">
        <v>401848.33100000001</v>
      </c>
      <c r="T72" s="629">
        <v>83.387227312544042</v>
      </c>
      <c r="U72" s="625"/>
      <c r="V72" s="627">
        <v>487741</v>
      </c>
      <c r="W72" s="629">
        <v>4966.4459599469492</v>
      </c>
      <c r="X72" s="627">
        <v>55866</v>
      </c>
      <c r="Y72" s="627">
        <v>11396</v>
      </c>
      <c r="Z72" s="629">
        <v>568.8582054787197</v>
      </c>
      <c r="AA72" s="629">
        <v>4.9022464022464023</v>
      </c>
      <c r="AB72" s="630">
        <v>458095.48499999999</v>
      </c>
      <c r="AC72" s="630">
        <v>0</v>
      </c>
      <c r="AD72" s="630">
        <v>0</v>
      </c>
      <c r="AE72" s="630">
        <v>0</v>
      </c>
      <c r="AF72" s="630">
        <v>8970.5259999999998</v>
      </c>
      <c r="AG72" s="630" t="s">
        <v>434</v>
      </c>
      <c r="AH72" s="630">
        <v>467066.011</v>
      </c>
      <c r="AI72" s="630">
        <v>274813.29599999997</v>
      </c>
      <c r="AJ72" s="630">
        <v>15694.790999999999</v>
      </c>
      <c r="AK72" s="630">
        <v>8451.1319999999996</v>
      </c>
      <c r="AL72" s="630">
        <v>24286.663</v>
      </c>
      <c r="AM72" s="630">
        <v>78509.853000000003</v>
      </c>
      <c r="AN72" s="630">
        <v>0</v>
      </c>
      <c r="AO72" s="630">
        <v>92.596000000000004</v>
      </c>
      <c r="AP72" s="630">
        <v>401848.33100000001</v>
      </c>
      <c r="AQ72" s="630">
        <v>26256.363000000001</v>
      </c>
      <c r="AR72" s="630">
        <v>375591.96799999999</v>
      </c>
      <c r="AS72" s="630" t="s">
        <v>434</v>
      </c>
      <c r="AT72" s="630">
        <v>9254.5480000000007</v>
      </c>
      <c r="AU72" s="630">
        <v>67691.926000000007</v>
      </c>
      <c r="AV72" s="630">
        <v>0</v>
      </c>
      <c r="AW72" s="630" t="s">
        <v>434</v>
      </c>
      <c r="AX72" s="630">
        <v>452538.44199999998</v>
      </c>
      <c r="AY72" s="630">
        <v>14527.569</v>
      </c>
      <c r="AZ72" s="612" t="s">
        <v>430</v>
      </c>
      <c r="BA72" s="612" t="s">
        <v>433</v>
      </c>
      <c r="BB72" s="613" t="s">
        <v>555</v>
      </c>
      <c r="BC72" s="614">
        <v>0.14493010496539857</v>
      </c>
      <c r="BD72" s="652">
        <v>2.3812580530506642E-2</v>
      </c>
      <c r="BE72" s="613" t="s">
        <v>573</v>
      </c>
      <c r="BF72" s="613" t="s">
        <v>573</v>
      </c>
      <c r="BG72" s="643"/>
      <c r="BH72" s="655"/>
    </row>
    <row r="73" spans="1:60" customFormat="1">
      <c r="A73" s="601" t="s">
        <v>56</v>
      </c>
      <c r="B73" s="601" t="s">
        <v>421</v>
      </c>
      <c r="C73" s="601">
        <v>4</v>
      </c>
      <c r="D73" s="601">
        <v>97</v>
      </c>
      <c r="E73" s="623" t="s">
        <v>250</v>
      </c>
      <c r="F73" s="623" t="s">
        <v>56</v>
      </c>
      <c r="G73" s="601" t="s">
        <v>567</v>
      </c>
      <c r="H73" s="623">
        <v>2014</v>
      </c>
      <c r="I73" s="631">
        <v>-20212.598999999998</v>
      </c>
      <c r="J73" s="631">
        <v>44445.285000000003</v>
      </c>
      <c r="K73" s="634">
        <v>-4.4491084152570037</v>
      </c>
      <c r="L73" s="634">
        <v>32.210363700000002</v>
      </c>
      <c r="M73" s="631">
        <v>454306.73100000003</v>
      </c>
      <c r="N73" s="632">
        <v>156500</v>
      </c>
      <c r="O73" s="632">
        <v>1024588</v>
      </c>
      <c r="P73" s="635">
        <v>256.95146829750104</v>
      </c>
      <c r="Q73" s="631">
        <v>263269.391</v>
      </c>
      <c r="R73" s="631">
        <v>263269.391</v>
      </c>
      <c r="S73" s="631">
        <v>230894.367</v>
      </c>
      <c r="T73" s="633">
        <v>87.702701070934594</v>
      </c>
      <c r="U73" s="625"/>
      <c r="V73" s="632">
        <v>494688</v>
      </c>
      <c r="W73" s="633">
        <v>5793.7980925015718</v>
      </c>
      <c r="X73" s="632">
        <v>107660</v>
      </c>
      <c r="Y73" s="632">
        <v>12261</v>
      </c>
      <c r="Z73" s="633">
        <v>1260.9165830558234</v>
      </c>
      <c r="AA73" s="633">
        <v>8.7806867302830121</v>
      </c>
      <c r="AB73" s="630">
        <v>263034.78700000001</v>
      </c>
      <c r="AC73" s="630">
        <v>0</v>
      </c>
      <c r="AD73" s="630">
        <v>0</v>
      </c>
      <c r="AE73" s="630">
        <v>0</v>
      </c>
      <c r="AF73" s="630">
        <v>0</v>
      </c>
      <c r="AG73" s="630" t="s">
        <v>434</v>
      </c>
      <c r="AH73" s="630">
        <v>263034.78700000001</v>
      </c>
      <c r="AI73" s="630">
        <v>115552.77499999999</v>
      </c>
      <c r="AJ73" s="630">
        <v>24676.803</v>
      </c>
      <c r="AK73" s="630">
        <v>32274.258999999998</v>
      </c>
      <c r="AL73" s="630">
        <v>23159.275000000001</v>
      </c>
      <c r="AM73" s="630">
        <v>33712.190999999999</v>
      </c>
      <c r="AN73" s="630">
        <v>0</v>
      </c>
      <c r="AO73" s="630">
        <v>1519.0630000000001</v>
      </c>
      <c r="AP73" s="630">
        <v>230894.36600000001</v>
      </c>
      <c r="AQ73" s="630">
        <v>20.143999999999998</v>
      </c>
      <c r="AR73" s="630">
        <v>230874.22200000001</v>
      </c>
      <c r="AS73" s="630" t="s">
        <v>434</v>
      </c>
      <c r="AT73" s="630">
        <v>9507.6049999999996</v>
      </c>
      <c r="AU73" s="630">
        <v>25715.067999999999</v>
      </c>
      <c r="AV73" s="630">
        <v>0</v>
      </c>
      <c r="AW73" s="630" t="s">
        <v>434</v>
      </c>
      <c r="AX73" s="630">
        <v>266096.89500000002</v>
      </c>
      <c r="AY73" s="630">
        <v>-3062.1080000000002</v>
      </c>
      <c r="AZ73" s="612" t="s">
        <v>430</v>
      </c>
      <c r="BA73" s="612" t="s">
        <v>433</v>
      </c>
      <c r="BB73" s="613" t="s">
        <v>555</v>
      </c>
      <c r="BC73" s="614">
        <v>9.7831007042684562E-2</v>
      </c>
      <c r="BD73" s="614">
        <v>2.5141982247969472E-2</v>
      </c>
      <c r="BE73" s="613" t="s">
        <v>574</v>
      </c>
      <c r="BF73" s="613" t="s">
        <v>574</v>
      </c>
      <c r="BG73" s="643"/>
      <c r="BH73" s="655"/>
    </row>
    <row r="74" spans="1:60" customFormat="1">
      <c r="A74" s="612" t="s">
        <v>69</v>
      </c>
      <c r="B74" s="612" t="s">
        <v>243</v>
      </c>
      <c r="C74" s="612">
        <v>37</v>
      </c>
      <c r="D74" s="601">
        <v>67</v>
      </c>
      <c r="E74" s="623" t="s">
        <v>243</v>
      </c>
      <c r="F74" s="623" t="s">
        <v>69</v>
      </c>
      <c r="G74" s="601" t="s">
        <v>567</v>
      </c>
      <c r="H74" s="623">
        <v>2014</v>
      </c>
      <c r="I74" s="624">
        <v>12231.26</v>
      </c>
      <c r="J74" s="625">
        <v>58844.326999999997</v>
      </c>
      <c r="K74" s="626">
        <v>1.6926141628277758</v>
      </c>
      <c r="L74" s="626">
        <v>227.8757899</v>
      </c>
      <c r="M74" s="625">
        <v>722625.40800000005</v>
      </c>
      <c r="N74" s="627">
        <v>155336</v>
      </c>
      <c r="O74" s="627">
        <v>1752995</v>
      </c>
      <c r="P74" s="628">
        <v>342.62484833099921</v>
      </c>
      <c r="Q74" s="625">
        <v>600619.64599999995</v>
      </c>
      <c r="R74" s="625">
        <v>600619.64599999995</v>
      </c>
      <c r="S74" s="625">
        <v>523207.81199999998</v>
      </c>
      <c r="T74" s="629">
        <v>87.111338346065352</v>
      </c>
      <c r="U74" s="625"/>
      <c r="V74" s="627">
        <v>1146896</v>
      </c>
      <c r="W74" s="629">
        <v>7850.9933000379351</v>
      </c>
      <c r="X74" s="627">
        <v>142599</v>
      </c>
      <c r="Y74" s="627">
        <v>32846</v>
      </c>
      <c r="Z74" s="629">
        <v>976.15110140074557</v>
      </c>
      <c r="AA74" s="629">
        <v>4.3414418802898371</v>
      </c>
      <c r="AB74" s="630">
        <v>599798.70400000003</v>
      </c>
      <c r="AC74" s="630">
        <v>0</v>
      </c>
      <c r="AD74" s="630">
        <v>0</v>
      </c>
      <c r="AE74" s="630">
        <v>0</v>
      </c>
      <c r="AF74" s="630">
        <v>-1953.222</v>
      </c>
      <c r="AG74" s="630" t="s">
        <v>434</v>
      </c>
      <c r="AH74" s="630">
        <v>597845.48199999996</v>
      </c>
      <c r="AI74" s="630">
        <v>416016.21600000001</v>
      </c>
      <c r="AJ74" s="630">
        <v>6718.5479999999998</v>
      </c>
      <c r="AK74" s="630">
        <v>0</v>
      </c>
      <c r="AL74" s="630">
        <v>25643.941999999999</v>
      </c>
      <c r="AM74" s="630">
        <v>72188</v>
      </c>
      <c r="AN74" s="630">
        <v>0</v>
      </c>
      <c r="AO74" s="630">
        <v>2641.1060000000002</v>
      </c>
      <c r="AP74" s="630">
        <v>523207.81199999998</v>
      </c>
      <c r="AQ74" s="630">
        <v>2210.971</v>
      </c>
      <c r="AR74" s="630">
        <v>520996.84100000001</v>
      </c>
      <c r="AS74" s="630" t="s">
        <v>434</v>
      </c>
      <c r="AT74" s="630">
        <v>4554.8220000000001</v>
      </c>
      <c r="AU74" s="630">
        <v>47233.516000000003</v>
      </c>
      <c r="AV74" s="630">
        <v>0</v>
      </c>
      <c r="AW74" s="630" t="s">
        <v>434</v>
      </c>
      <c r="AX74" s="630">
        <v>572785.18000000005</v>
      </c>
      <c r="AY74" s="630">
        <v>25060.302</v>
      </c>
      <c r="AZ74" s="612" t="s">
        <v>435</v>
      </c>
      <c r="BA74" s="612" t="s">
        <v>431</v>
      </c>
      <c r="BB74" s="613" t="s">
        <v>555</v>
      </c>
      <c r="BC74" s="614">
        <v>8.143130084902854E-2</v>
      </c>
      <c r="BD74" s="614">
        <v>4.7455315690317981E-2</v>
      </c>
      <c r="BE74" s="613" t="s">
        <v>574</v>
      </c>
      <c r="BF74" s="613" t="s">
        <v>574</v>
      </c>
      <c r="BG74" s="643"/>
      <c r="BH74" s="655"/>
    </row>
    <row r="75" spans="1:60" customFormat="1">
      <c r="A75" s="601" t="s">
        <v>65</v>
      </c>
      <c r="B75" s="601" t="s">
        <v>419</v>
      </c>
      <c r="C75" s="601">
        <v>2</v>
      </c>
      <c r="D75" s="601">
        <v>65</v>
      </c>
      <c r="E75" s="623" t="s">
        <v>240</v>
      </c>
      <c r="F75" s="623" t="s">
        <v>65</v>
      </c>
      <c r="G75" s="601" t="s">
        <v>469</v>
      </c>
      <c r="H75" s="623">
        <v>2014</v>
      </c>
      <c r="I75" s="631">
        <v>-4959.366</v>
      </c>
      <c r="J75" s="631">
        <v>67523.403000000006</v>
      </c>
      <c r="K75" s="634">
        <v>-1.0994054513154052</v>
      </c>
      <c r="L75" s="634">
        <v>451.2558659</v>
      </c>
      <c r="M75" s="631">
        <v>451095.27100000001</v>
      </c>
      <c r="N75" s="632">
        <v>152240</v>
      </c>
      <c r="O75" s="632">
        <v>1803257</v>
      </c>
      <c r="P75" s="635">
        <v>252.09872968744887</v>
      </c>
      <c r="Q75" s="631">
        <v>454598.799</v>
      </c>
      <c r="R75" s="631">
        <v>454598.799</v>
      </c>
      <c r="S75" s="631">
        <v>373237.01500000001</v>
      </c>
      <c r="T75" s="633">
        <v>82.10250793029482</v>
      </c>
      <c r="U75" s="636"/>
      <c r="V75" s="632">
        <v>685192</v>
      </c>
      <c r="W75" s="633">
        <v>4559.6961498000564</v>
      </c>
      <c r="X75" s="632">
        <v>75728</v>
      </c>
      <c r="Y75" s="632">
        <v>16237</v>
      </c>
      <c r="Z75" s="633">
        <v>503.94147922342739</v>
      </c>
      <c r="AA75" s="633">
        <v>4.663915747983002</v>
      </c>
      <c r="AB75" s="630">
        <v>451095.27100000001</v>
      </c>
      <c r="AC75" s="630">
        <v>0</v>
      </c>
      <c r="AD75" s="630">
        <v>0</v>
      </c>
      <c r="AE75" s="630">
        <v>0</v>
      </c>
      <c r="AF75" s="630">
        <v>0</v>
      </c>
      <c r="AG75" s="630" t="s">
        <v>434</v>
      </c>
      <c r="AH75" s="630">
        <v>451095.27100000001</v>
      </c>
      <c r="AI75" s="630">
        <v>222912.929</v>
      </c>
      <c r="AJ75" s="630">
        <v>15262.495000000001</v>
      </c>
      <c r="AK75" s="630">
        <v>0</v>
      </c>
      <c r="AL75" s="630">
        <v>38356.481</v>
      </c>
      <c r="AM75" s="630">
        <v>95370.281000000003</v>
      </c>
      <c r="AN75" s="630">
        <v>0</v>
      </c>
      <c r="AO75" s="630">
        <v>1334.829</v>
      </c>
      <c r="AP75" s="630">
        <v>373237.01500000001</v>
      </c>
      <c r="AQ75" s="630">
        <v>801.30499999999995</v>
      </c>
      <c r="AR75" s="630">
        <v>372435.71</v>
      </c>
      <c r="AS75" s="630" t="s">
        <v>434</v>
      </c>
      <c r="AT75" s="630">
        <v>12437.168</v>
      </c>
      <c r="AU75" s="630">
        <v>67523.403999999995</v>
      </c>
      <c r="AV75" s="630">
        <v>0</v>
      </c>
      <c r="AW75" s="630" t="s">
        <v>434</v>
      </c>
      <c r="AX75" s="630">
        <v>452396.28200000001</v>
      </c>
      <c r="AY75" s="630">
        <v>-1301.011</v>
      </c>
      <c r="AZ75" s="612" t="s">
        <v>430</v>
      </c>
      <c r="BA75" s="612" t="s">
        <v>433</v>
      </c>
      <c r="BB75" s="613" t="s">
        <v>555</v>
      </c>
      <c r="BC75" s="614">
        <v>0.14968767650858394</v>
      </c>
      <c r="BD75" s="652">
        <v>-1.0994054513154052E-2</v>
      </c>
      <c r="BE75" s="613" t="s">
        <v>572</v>
      </c>
      <c r="BF75" s="613" t="s">
        <v>572</v>
      </c>
      <c r="BG75" s="643"/>
      <c r="BH75" s="655"/>
    </row>
    <row r="76" spans="1:60" customFormat="1">
      <c r="A76" s="601" t="s">
        <v>61</v>
      </c>
      <c r="B76" s="601" t="s">
        <v>425</v>
      </c>
      <c r="C76" s="601">
        <v>8</v>
      </c>
      <c r="D76" s="601">
        <v>122</v>
      </c>
      <c r="E76" s="623" t="s">
        <v>246</v>
      </c>
      <c r="F76" s="623" t="s">
        <v>61</v>
      </c>
      <c r="G76" s="601" t="s">
        <v>567</v>
      </c>
      <c r="H76" s="623">
        <v>2014</v>
      </c>
      <c r="I76" s="624">
        <v>-176.672</v>
      </c>
      <c r="J76" s="625">
        <v>26338.383000000002</v>
      </c>
      <c r="K76" s="626">
        <v>-5.5115544529909327E-2</v>
      </c>
      <c r="L76" s="626">
        <v>249.247995</v>
      </c>
      <c r="M76" s="625">
        <v>320548.40700000001</v>
      </c>
      <c r="N76" s="627">
        <v>147479</v>
      </c>
      <c r="O76" s="627">
        <v>703636</v>
      </c>
      <c r="P76" s="628">
        <v>361.7676341176404</v>
      </c>
      <c r="Q76" s="625">
        <v>254552.731</v>
      </c>
      <c r="R76" s="625">
        <v>254552.731</v>
      </c>
      <c r="S76" s="625">
        <v>235577.81200000001</v>
      </c>
      <c r="T76" s="629">
        <v>92.54578062256185</v>
      </c>
      <c r="U76" s="625"/>
      <c r="V76" s="627">
        <v>451301</v>
      </c>
      <c r="W76" s="629">
        <v>7696.6101791267074</v>
      </c>
      <c r="X76" s="627">
        <v>27900</v>
      </c>
      <c r="Y76" s="627">
        <v>6285</v>
      </c>
      <c r="Z76" s="629">
        <v>475.81419938718312</v>
      </c>
      <c r="AA76" s="629">
        <v>4.4391408114558475</v>
      </c>
      <c r="AB76" s="630">
        <v>254083.67</v>
      </c>
      <c r="AC76" s="630">
        <v>0</v>
      </c>
      <c r="AD76" s="630">
        <v>0</v>
      </c>
      <c r="AE76" s="630">
        <v>0</v>
      </c>
      <c r="AF76" s="630">
        <v>991.60400000000004</v>
      </c>
      <c r="AG76" s="630" t="s">
        <v>434</v>
      </c>
      <c r="AH76" s="630">
        <v>255075.274</v>
      </c>
      <c r="AI76" s="630">
        <v>170238.49600000001</v>
      </c>
      <c r="AJ76" s="630">
        <v>2448.828</v>
      </c>
      <c r="AK76" s="630">
        <v>14061.703</v>
      </c>
      <c r="AL76" s="630">
        <v>4424.1779999999999</v>
      </c>
      <c r="AM76" s="630">
        <v>42762.247000000003</v>
      </c>
      <c r="AN76" s="630">
        <v>31.367000000000001</v>
      </c>
      <c r="AO76" s="630">
        <v>1610.9939999999999</v>
      </c>
      <c r="AP76" s="630">
        <v>235577.81200000001</v>
      </c>
      <c r="AQ76" s="630">
        <v>1172.5709999999999</v>
      </c>
      <c r="AR76" s="630">
        <v>234405.24100000001</v>
      </c>
      <c r="AS76" s="630" t="s">
        <v>434</v>
      </c>
      <c r="AT76" s="630">
        <v>1052.5329999999999</v>
      </c>
      <c r="AU76" s="630">
        <v>20095.821</v>
      </c>
      <c r="AV76" s="630">
        <v>0</v>
      </c>
      <c r="AW76" s="630" t="s">
        <v>434</v>
      </c>
      <c r="AX76" s="630">
        <v>255553.595</v>
      </c>
      <c r="AY76" s="630">
        <v>-478.32</v>
      </c>
      <c r="AZ76" s="612" t="s">
        <v>430</v>
      </c>
      <c r="BA76" s="612" t="s">
        <v>433</v>
      </c>
      <c r="BB76" s="613" t="s">
        <v>555</v>
      </c>
      <c r="BC76" s="614">
        <v>8.2166632011994367E-2</v>
      </c>
      <c r="BD76" s="614">
        <v>-7.6244382376128295E-3</v>
      </c>
      <c r="BE76" s="613" t="s">
        <v>572</v>
      </c>
      <c r="BF76" s="613" t="s">
        <v>572</v>
      </c>
      <c r="BG76" s="643"/>
      <c r="BH76" s="655"/>
    </row>
    <row r="77" spans="1:60" customFormat="1">
      <c r="A77" s="612" t="s">
        <v>86</v>
      </c>
      <c r="B77" s="612" t="s">
        <v>163</v>
      </c>
      <c r="C77" s="612">
        <v>24</v>
      </c>
      <c r="D77" s="601">
        <v>72</v>
      </c>
      <c r="E77" s="623" t="s">
        <v>163</v>
      </c>
      <c r="F77" s="623" t="s">
        <v>86</v>
      </c>
      <c r="G77" s="601" t="s">
        <v>469</v>
      </c>
      <c r="H77" s="623">
        <v>2014</v>
      </c>
      <c r="I77" s="624">
        <v>21131.633999999998</v>
      </c>
      <c r="J77" s="625">
        <v>59451.841999999997</v>
      </c>
      <c r="K77" s="626">
        <v>2.3626029670326112</v>
      </c>
      <c r="L77" s="626">
        <v>185.93111830000001</v>
      </c>
      <c r="M77" s="625">
        <v>894421.71600000001</v>
      </c>
      <c r="N77" s="627">
        <v>146945</v>
      </c>
      <c r="O77" s="627">
        <v>1651053</v>
      </c>
      <c r="P77" s="628">
        <v>541.09372382352353</v>
      </c>
      <c r="Q77" s="625">
        <v>893374.41599999997</v>
      </c>
      <c r="R77" s="625">
        <v>893374.41599999997</v>
      </c>
      <c r="S77" s="625">
        <v>796454.33499999996</v>
      </c>
      <c r="T77" s="629">
        <v>89.151236115093766</v>
      </c>
      <c r="U77" s="625"/>
      <c r="V77" s="627">
        <v>2288543</v>
      </c>
      <c r="W77" s="629">
        <v>16633.333999574817</v>
      </c>
      <c r="X77" s="627">
        <v>883509</v>
      </c>
      <c r="Y77" s="627">
        <v>23925</v>
      </c>
      <c r="Z77" s="629">
        <v>6421.4219652549009</v>
      </c>
      <c r="AA77" s="629">
        <v>36.928275862068965</v>
      </c>
      <c r="AB77" s="630">
        <v>890162.56</v>
      </c>
      <c r="AC77" s="630">
        <v>0</v>
      </c>
      <c r="AD77" s="630">
        <v>0</v>
      </c>
      <c r="AE77" s="630">
        <v>0</v>
      </c>
      <c r="AF77" s="630">
        <v>1818.076</v>
      </c>
      <c r="AG77" s="630" t="s">
        <v>434</v>
      </c>
      <c r="AH77" s="630">
        <v>891980.63600000006</v>
      </c>
      <c r="AI77" s="630">
        <v>381649.84600000002</v>
      </c>
      <c r="AJ77" s="630">
        <v>148013.05499999999</v>
      </c>
      <c r="AK77" s="630">
        <v>81732.566000000006</v>
      </c>
      <c r="AL77" s="630">
        <v>33355.364999999998</v>
      </c>
      <c r="AM77" s="630">
        <v>86834.616999999998</v>
      </c>
      <c r="AN77" s="630">
        <v>55610.245999999999</v>
      </c>
      <c r="AO77" s="630">
        <v>9258.64</v>
      </c>
      <c r="AP77" s="630">
        <v>796454.33499999996</v>
      </c>
      <c r="AQ77" s="630">
        <v>2243.3519999999999</v>
      </c>
      <c r="AR77" s="630">
        <v>794210.98300000001</v>
      </c>
      <c r="AS77" s="630" t="s">
        <v>434</v>
      </c>
      <c r="AT77" s="630">
        <v>18246.649000000001</v>
      </c>
      <c r="AU77" s="630">
        <v>58183.841999999997</v>
      </c>
      <c r="AV77" s="630">
        <v>0</v>
      </c>
      <c r="AW77" s="630" t="s">
        <v>434</v>
      </c>
      <c r="AX77" s="630">
        <v>870641.47400000005</v>
      </c>
      <c r="AY77" s="630">
        <v>21339.162</v>
      </c>
      <c r="AZ77" s="612" t="s">
        <v>435</v>
      </c>
      <c r="BA77" s="612" t="s">
        <v>431</v>
      </c>
      <c r="BB77" s="613" t="s">
        <v>555</v>
      </c>
      <c r="BC77" s="614">
        <v>6.6469586925816546E-2</v>
      </c>
      <c r="BD77" s="652">
        <v>2.362602967032611E-2</v>
      </c>
      <c r="BE77" s="613" t="s">
        <v>573</v>
      </c>
      <c r="BF77" s="613" t="s">
        <v>573</v>
      </c>
      <c r="BG77" s="643"/>
      <c r="BH77" s="655"/>
    </row>
    <row r="78" spans="1:60" customFormat="1">
      <c r="A78" s="601" t="s">
        <v>65</v>
      </c>
      <c r="B78" s="601" t="s">
        <v>423</v>
      </c>
      <c r="C78" s="601">
        <v>7</v>
      </c>
      <c r="D78" s="601">
        <v>70</v>
      </c>
      <c r="E78" s="623" t="s">
        <v>196</v>
      </c>
      <c r="F78" s="623" t="s">
        <v>65</v>
      </c>
      <c r="G78" s="601" t="s">
        <v>469</v>
      </c>
      <c r="H78" s="623">
        <v>2014</v>
      </c>
      <c r="I78" s="631">
        <v>-1417.9349999999999</v>
      </c>
      <c r="J78" s="625">
        <v>47295.036</v>
      </c>
      <c r="K78" s="626">
        <v>-0.26390767688724093</v>
      </c>
      <c r="L78" s="626">
        <v>261.50407519999999</v>
      </c>
      <c r="M78" s="625">
        <v>537284.48400000005</v>
      </c>
      <c r="N78" s="627">
        <v>145588</v>
      </c>
      <c r="O78" s="627">
        <v>1715336</v>
      </c>
      <c r="P78" s="628">
        <v>312.99222484691046</v>
      </c>
      <c r="Q78" s="625">
        <v>536886.83100000001</v>
      </c>
      <c r="R78" s="625">
        <v>536886.83100000001</v>
      </c>
      <c r="S78" s="625">
        <v>471676.364</v>
      </c>
      <c r="T78" s="629">
        <v>87.853964143888632</v>
      </c>
      <c r="U78" s="625"/>
      <c r="V78" s="632">
        <v>987913</v>
      </c>
      <c r="W78" s="633">
        <v>6911.1567646222084</v>
      </c>
      <c r="X78" s="632">
        <v>82594</v>
      </c>
      <c r="Y78" s="632">
        <v>16192</v>
      </c>
      <c r="Z78" s="633">
        <v>577.80399875009914</v>
      </c>
      <c r="AA78" s="633">
        <v>5.1009140316205537</v>
      </c>
      <c r="AB78" s="630">
        <v>536886.83100000001</v>
      </c>
      <c r="AC78" s="630">
        <v>0</v>
      </c>
      <c r="AD78" s="630">
        <v>0</v>
      </c>
      <c r="AE78" s="630">
        <v>0</v>
      </c>
      <c r="AF78" s="630">
        <v>0</v>
      </c>
      <c r="AG78" s="630" t="s">
        <v>434</v>
      </c>
      <c r="AH78" s="630">
        <v>536886.83100000001</v>
      </c>
      <c r="AI78" s="630">
        <v>168045.97899999999</v>
      </c>
      <c r="AJ78" s="630">
        <v>81356.063999999998</v>
      </c>
      <c r="AK78" s="630">
        <v>0</v>
      </c>
      <c r="AL78" s="630">
        <v>22667.552</v>
      </c>
      <c r="AM78" s="630">
        <v>112376.757</v>
      </c>
      <c r="AN78" s="630">
        <v>84541.72</v>
      </c>
      <c r="AO78" s="630">
        <v>2688.2919999999999</v>
      </c>
      <c r="AP78" s="630">
        <v>471676.364</v>
      </c>
      <c r="AQ78" s="630">
        <v>0</v>
      </c>
      <c r="AR78" s="630">
        <v>471676.364</v>
      </c>
      <c r="AS78" s="630" t="s">
        <v>434</v>
      </c>
      <c r="AT78" s="630">
        <v>16353.402</v>
      </c>
      <c r="AU78" s="630">
        <v>51233.756000000001</v>
      </c>
      <c r="AV78" s="630">
        <v>0</v>
      </c>
      <c r="AW78" s="630" t="s">
        <v>434</v>
      </c>
      <c r="AX78" s="630">
        <v>539263.522</v>
      </c>
      <c r="AY78" s="630">
        <v>-2376.6909999999998</v>
      </c>
      <c r="AZ78" s="612" t="s">
        <v>430</v>
      </c>
      <c r="BA78" s="612" t="s">
        <v>431</v>
      </c>
      <c r="BB78" s="613" t="s">
        <v>555</v>
      </c>
      <c r="BC78" s="614">
        <v>8.8026059580011987E-2</v>
      </c>
      <c r="BD78" s="652">
        <v>-2.6390767688724091E-3</v>
      </c>
      <c r="BE78" s="613" t="s">
        <v>572</v>
      </c>
      <c r="BF78" s="613" t="s">
        <v>572</v>
      </c>
      <c r="BG78" s="643"/>
      <c r="BH78" s="655"/>
    </row>
    <row r="79" spans="1:60" customFormat="1">
      <c r="A79" s="612" t="s">
        <v>58</v>
      </c>
      <c r="B79" s="612" t="s">
        <v>155</v>
      </c>
      <c r="C79" s="612">
        <v>45</v>
      </c>
      <c r="D79" s="601">
        <v>68</v>
      </c>
      <c r="E79" s="623" t="s">
        <v>155</v>
      </c>
      <c r="F79" s="623" t="s">
        <v>58</v>
      </c>
      <c r="G79" s="601" t="s">
        <v>567</v>
      </c>
      <c r="H79" s="623">
        <v>2014</v>
      </c>
      <c r="I79" s="624">
        <v>4225.4840000000004</v>
      </c>
      <c r="J79" s="625">
        <v>211743.50099999999</v>
      </c>
      <c r="K79" s="626">
        <v>0.14707393974968203</v>
      </c>
      <c r="L79" s="626">
        <v>398.02132319999998</v>
      </c>
      <c r="M79" s="625">
        <v>2873033.8</v>
      </c>
      <c r="N79" s="627">
        <v>144088</v>
      </c>
      <c r="O79" s="627">
        <v>1747120</v>
      </c>
      <c r="P79" s="628">
        <v>263.25222137002612</v>
      </c>
      <c r="Q79" s="625">
        <v>459933.22100000002</v>
      </c>
      <c r="R79" s="625">
        <v>459933.22100000002</v>
      </c>
      <c r="S79" s="625">
        <v>410358.174</v>
      </c>
      <c r="T79" s="629">
        <v>89.221251099841723</v>
      </c>
      <c r="U79" s="625"/>
      <c r="V79" s="627">
        <v>983755</v>
      </c>
      <c r="W79" s="629">
        <v>6756.8684463574336</v>
      </c>
      <c r="X79" s="627">
        <v>43044</v>
      </c>
      <c r="Y79" s="627">
        <v>0</v>
      </c>
      <c r="Z79" s="629">
        <v>295.64540500938688</v>
      </c>
      <c r="AA79" s="629" t="s">
        <v>434</v>
      </c>
      <c r="AB79" s="630">
        <v>459933.22100000002</v>
      </c>
      <c r="AC79" s="630">
        <v>0</v>
      </c>
      <c r="AD79" s="630">
        <v>0</v>
      </c>
      <c r="AE79" s="630">
        <v>0</v>
      </c>
      <c r="AF79" s="630">
        <v>0</v>
      </c>
      <c r="AG79" s="630" t="s">
        <v>434</v>
      </c>
      <c r="AH79" s="630">
        <v>459933.22100000002</v>
      </c>
      <c r="AI79" s="630">
        <v>340734.55099999998</v>
      </c>
      <c r="AJ79" s="630">
        <v>1706.143</v>
      </c>
      <c r="AK79" s="630">
        <v>0</v>
      </c>
      <c r="AL79" s="630">
        <v>0</v>
      </c>
      <c r="AM79" s="630">
        <v>67917.48</v>
      </c>
      <c r="AN79" s="630">
        <v>0</v>
      </c>
      <c r="AO79" s="630">
        <v>0</v>
      </c>
      <c r="AP79" s="630">
        <v>410358.174</v>
      </c>
      <c r="AQ79" s="630">
        <v>0</v>
      </c>
      <c r="AR79" s="630">
        <v>410358.174</v>
      </c>
      <c r="AS79" s="630" t="s">
        <v>434</v>
      </c>
      <c r="AT79" s="630">
        <v>17327.257000000001</v>
      </c>
      <c r="AU79" s="630">
        <v>33526.678</v>
      </c>
      <c r="AV79" s="630">
        <v>-8300</v>
      </c>
      <c r="AW79" s="630" t="s">
        <v>434</v>
      </c>
      <c r="AX79" s="630">
        <v>452912.109</v>
      </c>
      <c r="AY79" s="630">
        <v>7021.1120000000001</v>
      </c>
      <c r="AZ79" s="612" t="s">
        <v>430</v>
      </c>
      <c r="BA79" s="612" t="s">
        <v>431</v>
      </c>
      <c r="BB79" s="613" t="s">
        <v>555</v>
      </c>
      <c r="BC79" s="614">
        <v>7.3700316717471265E-2</v>
      </c>
      <c r="BD79" s="614">
        <v>3.4087172284111483E-2</v>
      </c>
      <c r="BE79" s="613" t="s">
        <v>574</v>
      </c>
      <c r="BF79" s="613" t="s">
        <v>574</v>
      </c>
      <c r="BG79" s="643"/>
      <c r="BH79" s="655"/>
    </row>
    <row r="80" spans="1:60" customFormat="1">
      <c r="A80" s="601" t="s">
        <v>95</v>
      </c>
      <c r="B80" s="601" t="s">
        <v>418</v>
      </c>
      <c r="C80" s="601">
        <v>1</v>
      </c>
      <c r="D80" s="601">
        <v>77</v>
      </c>
      <c r="E80" s="623" t="s">
        <v>286</v>
      </c>
      <c r="F80" s="623" t="s">
        <v>95</v>
      </c>
      <c r="G80" s="601" t="s">
        <v>567</v>
      </c>
      <c r="H80" s="623">
        <v>2014</v>
      </c>
      <c r="I80" s="631">
        <v>31035.039000000001</v>
      </c>
      <c r="J80" s="631">
        <v>135773.46599999999</v>
      </c>
      <c r="K80" s="634">
        <v>2.1651286993507464</v>
      </c>
      <c r="L80" s="634">
        <v>416.50559909999998</v>
      </c>
      <c r="M80" s="631">
        <v>1433403.89</v>
      </c>
      <c r="N80" s="632">
        <v>135279</v>
      </c>
      <c r="O80" s="632">
        <v>1443165</v>
      </c>
      <c r="P80" s="635">
        <v>185.52789459278739</v>
      </c>
      <c r="Q80" s="631">
        <v>265641.45600000001</v>
      </c>
      <c r="R80" s="631">
        <v>267747.364</v>
      </c>
      <c r="S80" s="631">
        <v>218302.7</v>
      </c>
      <c r="T80" s="633">
        <v>81.533090275353743</v>
      </c>
      <c r="U80" s="625"/>
      <c r="V80" s="632">
        <v>1334770</v>
      </c>
      <c r="W80" s="633">
        <v>11098.689339056864</v>
      </c>
      <c r="X80" s="632">
        <v>33487</v>
      </c>
      <c r="Y80" s="632">
        <v>6630</v>
      </c>
      <c r="Z80" s="633">
        <v>278.44633150055608</v>
      </c>
      <c r="AA80" s="633">
        <v>5.0508295625942683</v>
      </c>
      <c r="AB80" s="630">
        <v>265355.11599999998</v>
      </c>
      <c r="AC80" s="630">
        <v>2105.9090000000001</v>
      </c>
      <c r="AD80" s="630">
        <v>0</v>
      </c>
      <c r="AE80" s="630">
        <v>0</v>
      </c>
      <c r="AF80" s="630">
        <v>0</v>
      </c>
      <c r="AG80" s="630" t="s">
        <v>434</v>
      </c>
      <c r="AH80" s="630">
        <v>267461.02500000002</v>
      </c>
      <c r="AI80" s="630">
        <v>215274.454</v>
      </c>
      <c r="AJ80" s="630">
        <v>3028.2460000000001</v>
      </c>
      <c r="AK80" s="630">
        <v>0</v>
      </c>
      <c r="AL80" s="630">
        <v>0</v>
      </c>
      <c r="AM80" s="630">
        <v>0</v>
      </c>
      <c r="AN80" s="630">
        <v>0</v>
      </c>
      <c r="AO80" s="630">
        <v>0</v>
      </c>
      <c r="AP80" s="630">
        <v>218302.7</v>
      </c>
      <c r="AQ80" s="630">
        <v>0</v>
      </c>
      <c r="AR80" s="630">
        <v>218302.7</v>
      </c>
      <c r="AS80" s="630" t="s">
        <v>434</v>
      </c>
      <c r="AT80" s="630">
        <v>20047.98</v>
      </c>
      <c r="AU80" s="630">
        <v>24735.811000000002</v>
      </c>
      <c r="AV80" s="630">
        <v>0</v>
      </c>
      <c r="AW80" s="630" t="s">
        <v>434</v>
      </c>
      <c r="AX80" s="630">
        <v>263086.49099999998</v>
      </c>
      <c r="AY80" s="630">
        <v>4374.5339999999997</v>
      </c>
      <c r="AZ80" s="612" t="s">
        <v>430</v>
      </c>
      <c r="BA80" s="612" t="s">
        <v>433</v>
      </c>
      <c r="BB80" s="613" t="s">
        <v>555</v>
      </c>
      <c r="BC80" s="614">
        <v>9.4721011256638912E-2</v>
      </c>
      <c r="BD80" s="614">
        <v>8.9948085989823609E-2</v>
      </c>
      <c r="BE80" s="613" t="s">
        <v>576</v>
      </c>
      <c r="BF80" s="613" t="s">
        <v>576</v>
      </c>
      <c r="BG80" s="643"/>
      <c r="BH80" s="655"/>
    </row>
    <row r="81" spans="1:60" customFormat="1">
      <c r="A81" s="612" t="s">
        <v>95</v>
      </c>
      <c r="B81" s="612" t="s">
        <v>144</v>
      </c>
      <c r="C81" s="612">
        <v>62</v>
      </c>
      <c r="D81" s="601">
        <v>73</v>
      </c>
      <c r="E81" s="623" t="s">
        <v>144</v>
      </c>
      <c r="F81" s="623" t="s">
        <v>95</v>
      </c>
      <c r="G81" s="601" t="s">
        <v>567</v>
      </c>
      <c r="H81" s="623">
        <v>2014</v>
      </c>
      <c r="I81" s="624">
        <v>9677.7479999999996</v>
      </c>
      <c r="J81" s="625">
        <v>3599.7139999999999</v>
      </c>
      <c r="K81" s="626">
        <v>3.0802842080818178</v>
      </c>
      <c r="L81" s="626">
        <v>369.4953423</v>
      </c>
      <c r="M81" s="625">
        <v>314183.60600000003</v>
      </c>
      <c r="N81" s="627">
        <v>134991</v>
      </c>
      <c r="O81" s="627">
        <v>1600977</v>
      </c>
      <c r="P81" s="628">
        <v>142.66332620643519</v>
      </c>
      <c r="Q81" s="625">
        <v>228400.704</v>
      </c>
      <c r="R81" s="625">
        <v>228400.704</v>
      </c>
      <c r="S81" s="625">
        <v>201252.302</v>
      </c>
      <c r="T81" s="629">
        <v>88.113696006821414</v>
      </c>
      <c r="U81" s="625"/>
      <c r="V81" s="627">
        <v>392061</v>
      </c>
      <c r="W81" s="629">
        <v>2938.6630788574726</v>
      </c>
      <c r="X81" s="627">
        <v>49522</v>
      </c>
      <c r="Y81" s="627">
        <v>13815</v>
      </c>
      <c r="Z81" s="629">
        <v>371.18834311798361</v>
      </c>
      <c r="AA81" s="629">
        <v>3.5846543612015926</v>
      </c>
      <c r="AB81" s="630">
        <v>228204.179</v>
      </c>
      <c r="AC81" s="630">
        <v>0</v>
      </c>
      <c r="AD81" s="630">
        <v>0</v>
      </c>
      <c r="AE81" s="630">
        <v>0</v>
      </c>
      <c r="AF81" s="630">
        <v>69.772999999999996</v>
      </c>
      <c r="AG81" s="630" t="s">
        <v>434</v>
      </c>
      <c r="AH81" s="630">
        <v>228273.95199999999</v>
      </c>
      <c r="AI81" s="630">
        <v>183109.87899999999</v>
      </c>
      <c r="AJ81" s="630">
        <v>14423.78</v>
      </c>
      <c r="AK81" s="630">
        <v>0</v>
      </c>
      <c r="AL81" s="630">
        <v>0</v>
      </c>
      <c r="AM81" s="630">
        <v>0</v>
      </c>
      <c r="AN81" s="630">
        <v>3332.3040000000001</v>
      </c>
      <c r="AO81" s="630">
        <v>386.33800000000002</v>
      </c>
      <c r="AP81" s="630">
        <v>201252.302</v>
      </c>
      <c r="AQ81" s="630">
        <v>0</v>
      </c>
      <c r="AR81" s="630">
        <v>201252.302</v>
      </c>
      <c r="AS81" s="630" t="s">
        <v>434</v>
      </c>
      <c r="AT81" s="630">
        <v>13815.585999999999</v>
      </c>
      <c r="AU81" s="630">
        <v>3599.7139999999999</v>
      </c>
      <c r="AV81" s="630">
        <v>0</v>
      </c>
      <c r="AW81" s="630" t="s">
        <v>434</v>
      </c>
      <c r="AX81" s="630">
        <v>218667.60200000001</v>
      </c>
      <c r="AY81" s="630">
        <v>9606.3510000000006</v>
      </c>
      <c r="AZ81" s="612" t="s">
        <v>435</v>
      </c>
      <c r="BA81" s="612" t="s">
        <v>431</v>
      </c>
      <c r="BB81" s="613" t="s">
        <v>555</v>
      </c>
      <c r="BC81" s="614">
        <v>1.1457357835532639E-2</v>
      </c>
      <c r="BD81" s="614">
        <v>0.10740568209625317</v>
      </c>
      <c r="BE81" s="613" t="s">
        <v>581</v>
      </c>
      <c r="BF81" s="613" t="s">
        <v>581</v>
      </c>
      <c r="BG81" s="643"/>
      <c r="BH81" s="655"/>
    </row>
    <row r="82" spans="1:60" customFormat="1">
      <c r="A82" s="612" t="s">
        <v>90</v>
      </c>
      <c r="B82" s="612" t="s">
        <v>149</v>
      </c>
      <c r="C82" s="612">
        <v>52</v>
      </c>
      <c r="D82" s="601">
        <v>78</v>
      </c>
      <c r="E82" s="623" t="s">
        <v>149</v>
      </c>
      <c r="F82" s="623" t="s">
        <v>90</v>
      </c>
      <c r="G82" s="601" t="s">
        <v>469</v>
      </c>
      <c r="H82" s="623">
        <v>2014</v>
      </c>
      <c r="I82" s="624">
        <v>-9312.3829999999998</v>
      </c>
      <c r="J82" s="625">
        <v>17192.266</v>
      </c>
      <c r="K82" s="626">
        <v>-2.4209541456190928</v>
      </c>
      <c r="L82" s="626">
        <v>154.3204484</v>
      </c>
      <c r="M82" s="625">
        <v>384657.554</v>
      </c>
      <c r="N82" s="627">
        <v>131187</v>
      </c>
      <c r="O82" s="627">
        <v>1405661</v>
      </c>
      <c r="P82" s="628">
        <v>262.10856173714717</v>
      </c>
      <c r="Q82" s="625">
        <v>368435.783</v>
      </c>
      <c r="R82" s="625">
        <v>368435.783</v>
      </c>
      <c r="S82" s="625">
        <v>342117.28</v>
      </c>
      <c r="T82" s="629">
        <v>92.856691935375892</v>
      </c>
      <c r="U82" s="625"/>
      <c r="V82" s="627">
        <v>1173641</v>
      </c>
      <c r="W82" s="629">
        <v>10019.266380727644</v>
      </c>
      <c r="X82" s="627">
        <v>69980</v>
      </c>
      <c r="Y82" s="627">
        <v>19180</v>
      </c>
      <c r="Z82" s="629">
        <v>597.41288973657231</v>
      </c>
      <c r="AA82" s="629">
        <v>3.6485922836287799</v>
      </c>
      <c r="AB82" s="630">
        <v>367624.83100000001</v>
      </c>
      <c r="AC82" s="630">
        <v>0</v>
      </c>
      <c r="AD82" s="630">
        <v>0</v>
      </c>
      <c r="AE82" s="630">
        <v>0</v>
      </c>
      <c r="AF82" s="630">
        <v>92.894000000000005</v>
      </c>
      <c r="AG82" s="630" t="s">
        <v>434</v>
      </c>
      <c r="AH82" s="630">
        <v>367717.72399999999</v>
      </c>
      <c r="AI82" s="630">
        <v>214398.274</v>
      </c>
      <c r="AJ82" s="630">
        <v>11025.004999999999</v>
      </c>
      <c r="AK82" s="630">
        <v>16459.327000000001</v>
      </c>
      <c r="AL82" s="630">
        <v>22419.973999999998</v>
      </c>
      <c r="AM82" s="630">
        <v>57884.440999999999</v>
      </c>
      <c r="AN82" s="630">
        <v>0</v>
      </c>
      <c r="AO82" s="630">
        <v>19930.259999999998</v>
      </c>
      <c r="AP82" s="630">
        <v>342117.28</v>
      </c>
      <c r="AQ82" s="630">
        <v>572.97900000000004</v>
      </c>
      <c r="AR82" s="630">
        <v>341544.30099999998</v>
      </c>
      <c r="AS82" s="630" t="s">
        <v>434</v>
      </c>
      <c r="AT82" s="630">
        <v>19944.108</v>
      </c>
      <c r="AU82" s="630">
        <v>16469.232</v>
      </c>
      <c r="AV82" s="630">
        <v>0</v>
      </c>
      <c r="AW82" s="630" t="s">
        <v>434</v>
      </c>
      <c r="AX82" s="630">
        <v>377957.64199999999</v>
      </c>
      <c r="AY82" s="630">
        <v>-10239.916999999999</v>
      </c>
      <c r="AZ82" s="612" t="s">
        <v>435</v>
      </c>
      <c r="BA82" s="612" t="s">
        <v>431</v>
      </c>
      <c r="BB82" s="613" t="s">
        <v>555</v>
      </c>
      <c r="BC82" s="614">
        <v>4.4694991223284283E-2</v>
      </c>
      <c r="BD82" s="652">
        <v>-2.420954145619093E-2</v>
      </c>
      <c r="BE82" s="613" t="s">
        <v>572</v>
      </c>
      <c r="BF82" s="613" t="s">
        <v>572</v>
      </c>
      <c r="BG82" s="643"/>
      <c r="BH82" s="655"/>
    </row>
    <row r="83" spans="1:60" customFormat="1">
      <c r="A83" s="612" t="s">
        <v>85</v>
      </c>
      <c r="B83" s="612" t="s">
        <v>218</v>
      </c>
      <c r="C83" s="612">
        <v>41</v>
      </c>
      <c r="D83" s="601">
        <v>74</v>
      </c>
      <c r="E83" s="623" t="s">
        <v>218</v>
      </c>
      <c r="F83" s="623" t="s">
        <v>85</v>
      </c>
      <c r="G83" s="601" t="s">
        <v>567</v>
      </c>
      <c r="H83" s="623">
        <v>2014</v>
      </c>
      <c r="I83" s="624">
        <v>8056.9949999999999</v>
      </c>
      <c r="J83" s="625">
        <v>159091.83100000001</v>
      </c>
      <c r="K83" s="626">
        <v>0.49957652043362305</v>
      </c>
      <c r="L83" s="626">
        <v>303.91171639999999</v>
      </c>
      <c r="M83" s="625">
        <v>1612764.946</v>
      </c>
      <c r="N83" s="627">
        <v>130192</v>
      </c>
      <c r="O83" s="627">
        <v>1515731</v>
      </c>
      <c r="P83" s="628">
        <v>369.39065902854793</v>
      </c>
      <c r="Q83" s="625">
        <v>559896.87300000002</v>
      </c>
      <c r="R83" s="625">
        <v>559896.87300000002</v>
      </c>
      <c r="S83" s="625">
        <v>495462.73499999999</v>
      </c>
      <c r="T83" s="629">
        <v>88.491784629059708</v>
      </c>
      <c r="U83" s="625"/>
      <c r="V83" s="627">
        <v>892907</v>
      </c>
      <c r="W83" s="629">
        <v>7069.1197844472399</v>
      </c>
      <c r="X83" s="627">
        <v>38762</v>
      </c>
      <c r="Y83" s="627">
        <v>10283</v>
      </c>
      <c r="Z83" s="629">
        <v>306.87767156573295</v>
      </c>
      <c r="AA83" s="629">
        <v>3.7695225128853447</v>
      </c>
      <c r="AB83" s="630">
        <v>559384.88399999996</v>
      </c>
      <c r="AC83" s="630">
        <v>0</v>
      </c>
      <c r="AD83" s="630">
        <v>0</v>
      </c>
      <c r="AE83" s="630">
        <v>0</v>
      </c>
      <c r="AF83" s="630">
        <v>0</v>
      </c>
      <c r="AG83" s="630" t="s">
        <v>434</v>
      </c>
      <c r="AH83" s="630">
        <v>559384.88399999996</v>
      </c>
      <c r="AI83" s="630">
        <v>345303.39899999998</v>
      </c>
      <c r="AJ83" s="630">
        <v>0</v>
      </c>
      <c r="AK83" s="630">
        <v>0</v>
      </c>
      <c r="AL83" s="630">
        <v>12044.348</v>
      </c>
      <c r="AM83" s="630">
        <v>134135.546</v>
      </c>
      <c r="AN83" s="630">
        <v>0</v>
      </c>
      <c r="AO83" s="630">
        <v>3979.442</v>
      </c>
      <c r="AP83" s="630">
        <v>495462.73499999999</v>
      </c>
      <c r="AQ83" s="630">
        <v>678.53200000000004</v>
      </c>
      <c r="AR83" s="630">
        <v>494784.20299999998</v>
      </c>
      <c r="AS83" s="630" t="s">
        <v>434</v>
      </c>
      <c r="AT83" s="630">
        <v>19783.675999999999</v>
      </c>
      <c r="AU83" s="630">
        <v>61485.703000000001</v>
      </c>
      <c r="AV83" s="630">
        <v>0</v>
      </c>
      <c r="AW83" s="630" t="s">
        <v>434</v>
      </c>
      <c r="AX83" s="630">
        <v>576053.58200000005</v>
      </c>
      <c r="AY83" s="630">
        <v>-16668.698</v>
      </c>
      <c r="AZ83" s="612" t="s">
        <v>435</v>
      </c>
      <c r="BA83" s="612" t="s">
        <v>431</v>
      </c>
      <c r="BB83" s="613" t="s">
        <v>555</v>
      </c>
      <c r="BC83" s="614">
        <v>9.8645392432779228E-2</v>
      </c>
      <c r="BD83" s="614">
        <v>1.6436761276623663E-2</v>
      </c>
      <c r="BE83" s="613" t="s">
        <v>573</v>
      </c>
      <c r="BF83" s="613" t="s">
        <v>573</v>
      </c>
      <c r="BG83" s="643"/>
      <c r="BH83" s="655"/>
    </row>
    <row r="84" spans="1:60" customFormat="1">
      <c r="A84" s="601" t="s">
        <v>94</v>
      </c>
      <c r="B84" s="601" t="s">
        <v>420</v>
      </c>
      <c r="C84" s="601">
        <v>3</v>
      </c>
      <c r="D84" s="601">
        <v>85</v>
      </c>
      <c r="E84" s="623" t="s">
        <v>195</v>
      </c>
      <c r="F84" s="623" t="s">
        <v>94</v>
      </c>
      <c r="G84" s="601" t="s">
        <v>469</v>
      </c>
      <c r="H84" s="623">
        <v>2014</v>
      </c>
      <c r="I84" s="631">
        <v>-4552.1620000000003</v>
      </c>
      <c r="J84" s="631">
        <v>38136.15</v>
      </c>
      <c r="K84" s="634">
        <v>-1.1674277681185459</v>
      </c>
      <c r="L84" s="634">
        <v>824.24477339999999</v>
      </c>
      <c r="M84" s="631">
        <v>389930.93400000001</v>
      </c>
      <c r="N84" s="632">
        <v>127067</v>
      </c>
      <c r="O84" s="632">
        <v>1236101</v>
      </c>
      <c r="P84" s="635">
        <v>311.21110653579279</v>
      </c>
      <c r="Q84" s="631">
        <v>579867.73499999999</v>
      </c>
      <c r="R84" s="631">
        <v>384688.36</v>
      </c>
      <c r="S84" s="631">
        <v>330869.96999999997</v>
      </c>
      <c r="T84" s="633">
        <v>86.009873030730631</v>
      </c>
      <c r="U84" s="625"/>
      <c r="V84" s="632">
        <v>580861</v>
      </c>
      <c r="W84" s="633">
        <v>5638.9663951408502</v>
      </c>
      <c r="X84" s="632">
        <v>53085</v>
      </c>
      <c r="Y84" s="632">
        <v>9388</v>
      </c>
      <c r="Z84" s="633">
        <v>515.34623788832789</v>
      </c>
      <c r="AA84" s="633">
        <v>5.6545590115040474</v>
      </c>
      <c r="AB84" s="630">
        <v>579867.73499999999</v>
      </c>
      <c r="AC84" s="630">
        <v>-195179.375</v>
      </c>
      <c r="AD84" s="630">
        <v>0</v>
      </c>
      <c r="AE84" s="630">
        <v>0</v>
      </c>
      <c r="AF84" s="630">
        <v>0</v>
      </c>
      <c r="AG84" s="630" t="s">
        <v>434</v>
      </c>
      <c r="AH84" s="630">
        <v>384688.36</v>
      </c>
      <c r="AI84" s="630">
        <v>202646.20699999999</v>
      </c>
      <c r="AJ84" s="630">
        <v>19245.028999999999</v>
      </c>
      <c r="AK84" s="630">
        <v>0</v>
      </c>
      <c r="AL84" s="630">
        <v>28810.488000000001</v>
      </c>
      <c r="AM84" s="630">
        <v>78601.792000000001</v>
      </c>
      <c r="AN84" s="630">
        <v>1541.954</v>
      </c>
      <c r="AO84" s="630">
        <v>24.5</v>
      </c>
      <c r="AP84" s="630">
        <v>330869.96999999997</v>
      </c>
      <c r="AQ84" s="630">
        <v>0</v>
      </c>
      <c r="AR84" s="630">
        <v>330869.96999999997</v>
      </c>
      <c r="AS84" s="630" t="s">
        <v>434</v>
      </c>
      <c r="AT84" s="630">
        <v>213.97800000000001</v>
      </c>
      <c r="AU84" s="630">
        <v>440.20699999999999</v>
      </c>
      <c r="AV84" s="630">
        <v>0</v>
      </c>
      <c r="AW84" s="630" t="s">
        <v>434</v>
      </c>
      <c r="AX84" s="630">
        <v>331524.15500000003</v>
      </c>
      <c r="AY84" s="630">
        <v>53164.205000000002</v>
      </c>
      <c r="AZ84" s="612" t="s">
        <v>430</v>
      </c>
      <c r="BA84" s="612" t="s">
        <v>433</v>
      </c>
      <c r="BB84" s="613" t="s">
        <v>555</v>
      </c>
      <c r="BC84" s="614">
        <v>9.7802320038553298E-2</v>
      </c>
      <c r="BD84" s="652">
        <v>-1.1674277681185459E-2</v>
      </c>
      <c r="BE84" s="613" t="s">
        <v>572</v>
      </c>
      <c r="BF84" s="613" t="s">
        <v>572</v>
      </c>
      <c r="BG84" s="643"/>
      <c r="BH84" s="655"/>
    </row>
    <row r="85" spans="1:60" customFormat="1">
      <c r="A85" s="601" t="s">
        <v>90</v>
      </c>
      <c r="B85" s="601" t="s">
        <v>420</v>
      </c>
      <c r="C85" s="601">
        <v>3</v>
      </c>
      <c r="D85" s="601">
        <v>80</v>
      </c>
      <c r="E85" s="623" t="s">
        <v>187</v>
      </c>
      <c r="F85" s="623" t="s">
        <v>90</v>
      </c>
      <c r="G85" s="601" t="s">
        <v>469</v>
      </c>
      <c r="H85" s="623">
        <v>2014</v>
      </c>
      <c r="I85" s="631">
        <v>1497.7470000000001</v>
      </c>
      <c r="J85" s="631">
        <v>26201.061000000002</v>
      </c>
      <c r="K85" s="634">
        <v>0.39100529844763893</v>
      </c>
      <c r="L85" s="634">
        <v>703.9941986</v>
      </c>
      <c r="M85" s="631">
        <v>383050.30800000002</v>
      </c>
      <c r="N85" s="632">
        <v>125645</v>
      </c>
      <c r="O85" s="632">
        <v>1360570</v>
      </c>
      <c r="P85" s="635">
        <v>281.594896991702</v>
      </c>
      <c r="Q85" s="631">
        <v>383356.00300000003</v>
      </c>
      <c r="R85" s="631">
        <v>383129.56900000002</v>
      </c>
      <c r="S85" s="631">
        <v>332266.31199999998</v>
      </c>
      <c r="T85" s="633">
        <v>86.724267424005575</v>
      </c>
      <c r="U85" s="625"/>
      <c r="V85" s="632">
        <v>534151</v>
      </c>
      <c r="W85" s="633">
        <v>4711.1225442277873</v>
      </c>
      <c r="X85" s="632">
        <v>63421</v>
      </c>
      <c r="Y85" s="632">
        <v>12554</v>
      </c>
      <c r="Z85" s="633">
        <v>559.36262007834955</v>
      </c>
      <c r="AA85" s="633">
        <v>5.0518559821570816</v>
      </c>
      <c r="AB85" s="630">
        <v>383276.74200000003</v>
      </c>
      <c r="AC85" s="630">
        <v>-226.434</v>
      </c>
      <c r="AD85" s="630">
        <v>0</v>
      </c>
      <c r="AE85" s="630">
        <v>0</v>
      </c>
      <c r="AF85" s="630">
        <v>0</v>
      </c>
      <c r="AG85" s="630" t="s">
        <v>434</v>
      </c>
      <c r="AH85" s="630">
        <v>383050.30800000002</v>
      </c>
      <c r="AI85" s="630">
        <v>165828.02299999999</v>
      </c>
      <c r="AJ85" s="630">
        <v>7425.5169999999998</v>
      </c>
      <c r="AK85" s="630">
        <v>0</v>
      </c>
      <c r="AL85" s="630">
        <v>65081.334000000003</v>
      </c>
      <c r="AM85" s="630">
        <v>85403.683000000005</v>
      </c>
      <c r="AN85" s="630">
        <v>7922.4790000000003</v>
      </c>
      <c r="AO85" s="630">
        <v>605.27599999999995</v>
      </c>
      <c r="AP85" s="630">
        <v>332266.31199999998</v>
      </c>
      <c r="AQ85" s="630">
        <v>-0.439</v>
      </c>
      <c r="AR85" s="630">
        <v>332266.75099999999</v>
      </c>
      <c r="AS85" s="630" t="s">
        <v>434</v>
      </c>
      <c r="AT85" s="630">
        <v>24467.504000000001</v>
      </c>
      <c r="AU85" s="630">
        <v>26201.061000000002</v>
      </c>
      <c r="AV85" s="630">
        <v>0</v>
      </c>
      <c r="AW85" s="630" t="s">
        <v>434</v>
      </c>
      <c r="AX85" s="630">
        <v>382935.31599999999</v>
      </c>
      <c r="AY85" s="630">
        <v>114.992</v>
      </c>
      <c r="AZ85" s="612" t="s">
        <v>430</v>
      </c>
      <c r="BA85" s="612" t="s">
        <v>433</v>
      </c>
      <c r="BB85" s="613" t="s">
        <v>555</v>
      </c>
      <c r="BC85" s="614">
        <v>6.840109628628728E-2</v>
      </c>
      <c r="BD85" s="652">
        <v>3.9100529844763891E-3</v>
      </c>
      <c r="BE85" s="613" t="s">
        <v>573</v>
      </c>
      <c r="BF85" s="613" t="s">
        <v>573</v>
      </c>
      <c r="BG85" s="643"/>
      <c r="BH85" s="655"/>
    </row>
    <row r="86" spans="1:60" customFormat="1">
      <c r="A86" s="601" t="s">
        <v>63</v>
      </c>
      <c r="B86" s="601" t="s">
        <v>419</v>
      </c>
      <c r="C86" s="601">
        <v>2</v>
      </c>
      <c r="D86" s="601">
        <v>75</v>
      </c>
      <c r="E86" s="623" t="s">
        <v>267</v>
      </c>
      <c r="F86" s="623" t="s">
        <v>63</v>
      </c>
      <c r="G86" s="601" t="s">
        <v>469</v>
      </c>
      <c r="H86" s="623">
        <v>2014</v>
      </c>
      <c r="I86" s="631">
        <v>-39266</v>
      </c>
      <c r="J86" s="631">
        <v>69118.485000000001</v>
      </c>
      <c r="K86" s="634">
        <v>-3.7760072680898702</v>
      </c>
      <c r="L86" s="634">
        <v>311.58576349999998</v>
      </c>
      <c r="M86" s="631">
        <v>1039881.473</v>
      </c>
      <c r="N86" s="632">
        <v>123422</v>
      </c>
      <c r="O86" s="632">
        <v>1504631</v>
      </c>
      <c r="P86" s="635">
        <v>670.64446166535186</v>
      </c>
      <c r="Q86" s="631">
        <v>1009072.447</v>
      </c>
      <c r="R86" s="631">
        <v>1009072.447</v>
      </c>
      <c r="S86" s="631">
        <v>966823.13199999998</v>
      </c>
      <c r="T86" s="633">
        <v>95.813054342568918</v>
      </c>
      <c r="U86" s="636"/>
      <c r="V86" s="632">
        <v>691696</v>
      </c>
      <c r="W86" s="633">
        <v>5516.5366126312701</v>
      </c>
      <c r="X86" s="632">
        <v>63654</v>
      </c>
      <c r="Y86" s="632">
        <v>15733</v>
      </c>
      <c r="Z86" s="633">
        <v>507.66466994233139</v>
      </c>
      <c r="AA86" s="633">
        <v>4.045890802771245</v>
      </c>
      <c r="AB86" s="630">
        <v>1003998.471</v>
      </c>
      <c r="AC86" s="630">
        <v>0</v>
      </c>
      <c r="AD86" s="630">
        <v>0</v>
      </c>
      <c r="AE86" s="630">
        <v>0</v>
      </c>
      <c r="AF86" s="630">
        <v>0</v>
      </c>
      <c r="AG86" s="630" t="s">
        <v>434</v>
      </c>
      <c r="AH86" s="630">
        <v>1003998.471</v>
      </c>
      <c r="AI86" s="630">
        <v>697038.87800000003</v>
      </c>
      <c r="AJ86" s="630">
        <v>116487.057</v>
      </c>
      <c r="AK86" s="630">
        <v>0</v>
      </c>
      <c r="AL86" s="630">
        <v>18955.138999999999</v>
      </c>
      <c r="AM86" s="630">
        <v>134035.614</v>
      </c>
      <c r="AN86" s="630">
        <v>0</v>
      </c>
      <c r="AO86" s="630">
        <v>306.44299999999998</v>
      </c>
      <c r="AP86" s="630">
        <v>966823.13100000005</v>
      </c>
      <c r="AQ86" s="630">
        <v>1174.26</v>
      </c>
      <c r="AR86" s="630">
        <v>965648.87100000004</v>
      </c>
      <c r="AS86" s="630" t="s">
        <v>434</v>
      </c>
      <c r="AT86" s="630">
        <v>20086.315999999999</v>
      </c>
      <c r="AU86" s="630">
        <v>66064.974000000002</v>
      </c>
      <c r="AV86" s="630">
        <v>3890.067</v>
      </c>
      <c r="AW86" s="630" t="s">
        <v>434</v>
      </c>
      <c r="AX86" s="630">
        <v>1055690.2279999999</v>
      </c>
      <c r="AY86" s="630">
        <v>-51691.756999999998</v>
      </c>
      <c r="AZ86" s="612" t="s">
        <v>430</v>
      </c>
      <c r="BA86" s="612" t="s">
        <v>433</v>
      </c>
      <c r="BB86" s="613" t="s">
        <v>555</v>
      </c>
      <c r="BC86" s="614">
        <v>6.6467656934589892E-2</v>
      </c>
      <c r="BD86" s="652">
        <v>-3.7760072680898704E-2</v>
      </c>
      <c r="BE86" s="613" t="s">
        <v>571</v>
      </c>
      <c r="BF86" s="613" t="s">
        <v>571</v>
      </c>
      <c r="BG86" s="643"/>
      <c r="BH86" s="655"/>
    </row>
    <row r="87" spans="1:60" customFormat="1">
      <c r="A87" s="601" t="s">
        <v>65</v>
      </c>
      <c r="B87" s="601" t="s">
        <v>420</v>
      </c>
      <c r="C87" s="601">
        <v>3</v>
      </c>
      <c r="D87" s="601">
        <v>79</v>
      </c>
      <c r="E87" s="623" t="s">
        <v>189</v>
      </c>
      <c r="F87" s="623" t="s">
        <v>65</v>
      </c>
      <c r="G87" s="601" t="s">
        <v>469</v>
      </c>
      <c r="H87" s="623">
        <v>2014</v>
      </c>
      <c r="I87" s="631">
        <v>-1619.452</v>
      </c>
      <c r="J87" s="631">
        <v>33959.169000000002</v>
      </c>
      <c r="K87" s="634">
        <v>-0.4089844880099367</v>
      </c>
      <c r="L87" s="634">
        <v>344.61525719999997</v>
      </c>
      <c r="M87" s="631">
        <v>395969.05200000003</v>
      </c>
      <c r="N87" s="632">
        <v>117879</v>
      </c>
      <c r="O87" s="632">
        <v>1361466</v>
      </c>
      <c r="P87" s="635">
        <v>274.26760712349778</v>
      </c>
      <c r="Q87" s="631">
        <v>373406.022</v>
      </c>
      <c r="R87" s="631">
        <v>373406.022</v>
      </c>
      <c r="S87" s="631">
        <v>321915.58799999999</v>
      </c>
      <c r="T87" s="633">
        <v>86.210604284255481</v>
      </c>
      <c r="U87" s="625"/>
      <c r="V87" s="632">
        <v>610950</v>
      </c>
      <c r="W87" s="633">
        <v>5384.9306556315032</v>
      </c>
      <c r="X87" s="632">
        <v>76048</v>
      </c>
      <c r="Y87" s="632">
        <v>14088</v>
      </c>
      <c r="Z87" s="633">
        <v>670.28923234219587</v>
      </c>
      <c r="AA87" s="633">
        <v>5.3980692788188529</v>
      </c>
      <c r="AB87" s="630">
        <v>373365.89299999998</v>
      </c>
      <c r="AC87" s="630">
        <v>0</v>
      </c>
      <c r="AD87" s="630">
        <v>0</v>
      </c>
      <c r="AE87" s="630">
        <v>0</v>
      </c>
      <c r="AF87" s="630">
        <v>0</v>
      </c>
      <c r="AG87" s="630" t="s">
        <v>434</v>
      </c>
      <c r="AH87" s="630">
        <v>373365.89299999998</v>
      </c>
      <c r="AI87" s="630">
        <v>188735.96299999999</v>
      </c>
      <c r="AJ87" s="630">
        <v>13442.414000000001</v>
      </c>
      <c r="AK87" s="630">
        <v>0</v>
      </c>
      <c r="AL87" s="630">
        <v>25401.598999999998</v>
      </c>
      <c r="AM87" s="630">
        <v>86416.534</v>
      </c>
      <c r="AN87" s="630">
        <v>7643.7039999999997</v>
      </c>
      <c r="AO87" s="630">
        <v>275.37400000000002</v>
      </c>
      <c r="AP87" s="630">
        <v>321915.58799999999</v>
      </c>
      <c r="AQ87" s="630">
        <v>0</v>
      </c>
      <c r="AR87" s="630">
        <v>321915.58799999999</v>
      </c>
      <c r="AS87" s="630" t="s">
        <v>434</v>
      </c>
      <c r="AT87" s="630">
        <v>22333.276000000002</v>
      </c>
      <c r="AU87" s="630">
        <v>30916.785</v>
      </c>
      <c r="AV87" s="630">
        <v>1069.325</v>
      </c>
      <c r="AW87" s="630" t="s">
        <v>434</v>
      </c>
      <c r="AX87" s="630">
        <v>376234.97399999999</v>
      </c>
      <c r="AY87" s="630">
        <v>-2869.0810000000001</v>
      </c>
      <c r="AZ87" s="612" t="s">
        <v>430</v>
      </c>
      <c r="BA87" s="612" t="s">
        <v>433</v>
      </c>
      <c r="BB87" s="613" t="s">
        <v>555</v>
      </c>
      <c r="BC87" s="614">
        <v>8.5762179717014858E-2</v>
      </c>
      <c r="BD87" s="652">
        <v>-4.0898448800993671E-3</v>
      </c>
      <c r="BE87" s="613" t="s">
        <v>572</v>
      </c>
      <c r="BF87" s="613" t="s">
        <v>572</v>
      </c>
      <c r="BG87" s="643"/>
      <c r="BH87" s="655"/>
    </row>
    <row r="88" spans="1:60" customFormat="1">
      <c r="A88" s="601" t="s">
        <v>87</v>
      </c>
      <c r="B88" s="601" t="s">
        <v>421</v>
      </c>
      <c r="C88" s="601">
        <v>4</v>
      </c>
      <c r="D88" s="601">
        <v>76</v>
      </c>
      <c r="E88" s="623" t="s">
        <v>321</v>
      </c>
      <c r="F88" s="623" t="s">
        <v>87</v>
      </c>
      <c r="G88" s="601" t="s">
        <v>469</v>
      </c>
      <c r="H88" s="623">
        <v>2014</v>
      </c>
      <c r="I88" s="631">
        <v>14874.208000000001</v>
      </c>
      <c r="J88" s="631">
        <v>39910.712</v>
      </c>
      <c r="K88" s="634">
        <v>3.7350040860609348</v>
      </c>
      <c r="L88" s="634">
        <v>387.47920909999999</v>
      </c>
      <c r="M88" s="631">
        <v>398238.065</v>
      </c>
      <c r="N88" s="632">
        <v>117662</v>
      </c>
      <c r="O88" s="632">
        <v>1462545</v>
      </c>
      <c r="P88" s="635">
        <v>272.59651771398489</v>
      </c>
      <c r="Q88" s="631">
        <v>398684.674</v>
      </c>
      <c r="R88" s="631">
        <v>398684.674</v>
      </c>
      <c r="S88" s="631">
        <v>334342.54700000002</v>
      </c>
      <c r="T88" s="633">
        <v>83.861399447724949</v>
      </c>
      <c r="U88" s="625"/>
      <c r="V88" s="632">
        <v>611697</v>
      </c>
      <c r="W88" s="633">
        <v>5018.8978800652285</v>
      </c>
      <c r="X88" s="632">
        <v>44251</v>
      </c>
      <c r="Y88" s="632">
        <v>9500</v>
      </c>
      <c r="Z88" s="633">
        <v>363.07395669876826</v>
      </c>
      <c r="AA88" s="633">
        <v>4.6580000000000004</v>
      </c>
      <c r="AB88" s="630">
        <v>398204.52899999998</v>
      </c>
      <c r="AC88" s="630">
        <v>0</v>
      </c>
      <c r="AD88" s="630">
        <v>0</v>
      </c>
      <c r="AE88" s="630">
        <v>0</v>
      </c>
      <c r="AF88" s="630">
        <v>33.536000000000001</v>
      </c>
      <c r="AG88" s="630" t="s">
        <v>434</v>
      </c>
      <c r="AH88" s="630">
        <v>398238.065</v>
      </c>
      <c r="AI88" s="630">
        <v>156692.016</v>
      </c>
      <c r="AJ88" s="630">
        <v>2756.0479999999998</v>
      </c>
      <c r="AK88" s="630">
        <v>43767.089</v>
      </c>
      <c r="AL88" s="630">
        <v>60844.692000000003</v>
      </c>
      <c r="AM88" s="630">
        <v>69752.380999999994</v>
      </c>
      <c r="AN88" s="630">
        <v>0</v>
      </c>
      <c r="AO88" s="630">
        <v>530.32100000000003</v>
      </c>
      <c r="AP88" s="630">
        <v>334342.54700000002</v>
      </c>
      <c r="AQ88" s="630">
        <v>0</v>
      </c>
      <c r="AR88" s="630">
        <v>334342.54700000002</v>
      </c>
      <c r="AS88" s="630" t="s">
        <v>434</v>
      </c>
      <c r="AT88" s="630">
        <v>7622.576</v>
      </c>
      <c r="AU88" s="630">
        <v>39910.712</v>
      </c>
      <c r="AV88" s="630">
        <v>0</v>
      </c>
      <c r="AW88" s="630" t="s">
        <v>434</v>
      </c>
      <c r="AX88" s="630">
        <v>381875.83500000002</v>
      </c>
      <c r="AY88" s="630">
        <v>16362.23</v>
      </c>
      <c r="AZ88" s="612" t="s">
        <v>430</v>
      </c>
      <c r="BA88" s="612" t="s">
        <v>433</v>
      </c>
      <c r="BB88" s="613" t="s">
        <v>555</v>
      </c>
      <c r="BC88" s="614">
        <v>0.10021822499564426</v>
      </c>
      <c r="BD88" s="652">
        <v>3.7350040860609349E-2</v>
      </c>
      <c r="BE88" s="613" t="s">
        <v>574</v>
      </c>
      <c r="BF88" s="613" t="s">
        <v>574</v>
      </c>
      <c r="BG88" s="643"/>
      <c r="BH88" s="655"/>
    </row>
    <row r="89" spans="1:60" customFormat="1">
      <c r="A89" s="612" t="s">
        <v>70</v>
      </c>
      <c r="B89" s="612" t="s">
        <v>327</v>
      </c>
      <c r="C89" s="612">
        <v>36</v>
      </c>
      <c r="D89" s="601">
        <v>84</v>
      </c>
      <c r="E89" s="623" t="s">
        <v>327</v>
      </c>
      <c r="F89" s="623" t="s">
        <v>70</v>
      </c>
      <c r="G89" s="601" t="s">
        <v>567</v>
      </c>
      <c r="H89" s="623">
        <v>2014</v>
      </c>
      <c r="I89" s="624">
        <v>16832</v>
      </c>
      <c r="J89" s="625">
        <v>103516</v>
      </c>
      <c r="K89" s="626">
        <v>1.2466245891367687</v>
      </c>
      <c r="L89" s="626">
        <v>614.54149380000001</v>
      </c>
      <c r="M89" s="625">
        <v>1350206</v>
      </c>
      <c r="N89" s="627">
        <v>117653</v>
      </c>
      <c r="O89" s="627">
        <v>1301216</v>
      </c>
      <c r="P89" s="628">
        <v>506.65761871972063</v>
      </c>
      <c r="Q89" s="625">
        <v>659271</v>
      </c>
      <c r="R89" s="625">
        <v>659271</v>
      </c>
      <c r="S89" s="625">
        <v>537852</v>
      </c>
      <c r="T89" s="629">
        <v>81.582839226964325</v>
      </c>
      <c r="U89" s="625"/>
      <c r="V89" s="627">
        <v>1168828</v>
      </c>
      <c r="W89" s="629">
        <v>10779.09893514989</v>
      </c>
      <c r="X89" s="627">
        <v>59211</v>
      </c>
      <c r="Y89" s="627">
        <v>9011</v>
      </c>
      <c r="Z89" s="629">
        <v>546.05230799498315</v>
      </c>
      <c r="AA89" s="629">
        <v>6.5709688158916881</v>
      </c>
      <c r="AB89" s="630" t="s">
        <v>20</v>
      </c>
      <c r="AC89" s="630" t="s">
        <v>20</v>
      </c>
      <c r="AD89" s="630" t="s">
        <v>20</v>
      </c>
      <c r="AE89" s="630" t="s">
        <v>20</v>
      </c>
      <c r="AF89" s="630" t="s">
        <v>20</v>
      </c>
      <c r="AG89" s="630" t="s">
        <v>20</v>
      </c>
      <c r="AH89" s="630" t="s">
        <v>20</v>
      </c>
      <c r="AI89" s="630" t="s">
        <v>20</v>
      </c>
      <c r="AJ89" s="630" t="s">
        <v>20</v>
      </c>
      <c r="AK89" s="630" t="s">
        <v>20</v>
      </c>
      <c r="AL89" s="630" t="s">
        <v>20</v>
      </c>
      <c r="AM89" s="630" t="s">
        <v>20</v>
      </c>
      <c r="AN89" s="630" t="s">
        <v>20</v>
      </c>
      <c r="AO89" s="630" t="s">
        <v>20</v>
      </c>
      <c r="AP89" s="630" t="s">
        <v>20</v>
      </c>
      <c r="AQ89" s="630" t="s">
        <v>20</v>
      </c>
      <c r="AR89" s="630" t="s">
        <v>20</v>
      </c>
      <c r="AS89" s="630" t="s">
        <v>20</v>
      </c>
      <c r="AT89" s="630" t="s">
        <v>20</v>
      </c>
      <c r="AU89" s="630" t="s">
        <v>20</v>
      </c>
      <c r="AV89" s="630" t="s">
        <v>20</v>
      </c>
      <c r="AW89" s="630" t="s">
        <v>20</v>
      </c>
      <c r="AX89" s="630" t="s">
        <v>20</v>
      </c>
      <c r="AY89" s="630" t="s">
        <v>20</v>
      </c>
      <c r="AZ89" s="612" t="s">
        <v>435</v>
      </c>
      <c r="BA89" s="612" t="s">
        <v>431</v>
      </c>
      <c r="BB89" s="613" t="s">
        <v>555</v>
      </c>
      <c r="BC89" s="614">
        <v>7.6666819729730135E-2</v>
      </c>
      <c r="BD89" s="614">
        <v>0.10750478800062666</v>
      </c>
      <c r="BE89" s="613" t="s">
        <v>581</v>
      </c>
      <c r="BF89" s="613" t="s">
        <v>581</v>
      </c>
      <c r="BG89" s="643"/>
      <c r="BH89" s="655"/>
    </row>
    <row r="90" spans="1:60" customFormat="1">
      <c r="A90" s="612" t="s">
        <v>90</v>
      </c>
      <c r="B90" s="612" t="s">
        <v>205</v>
      </c>
      <c r="C90" s="612">
        <v>60</v>
      </c>
      <c r="D90" s="601">
        <v>87</v>
      </c>
      <c r="E90" s="623" t="s">
        <v>205</v>
      </c>
      <c r="F90" s="623" t="s">
        <v>90</v>
      </c>
      <c r="G90" s="601" t="s">
        <v>567</v>
      </c>
      <c r="H90" s="623">
        <v>2014</v>
      </c>
      <c r="I90" s="624">
        <v>12091.906000000001</v>
      </c>
      <c r="J90" s="625">
        <v>20953.14</v>
      </c>
      <c r="K90" s="626">
        <v>3.8926079826685269</v>
      </c>
      <c r="L90" s="626">
        <v>547.22436289999996</v>
      </c>
      <c r="M90" s="625">
        <v>310637.65100000001</v>
      </c>
      <c r="N90" s="627">
        <v>112654</v>
      </c>
      <c r="O90" s="627">
        <v>1179986</v>
      </c>
      <c r="P90" s="628">
        <v>215.81497153356057</v>
      </c>
      <c r="Q90" s="625">
        <v>264931.20400000003</v>
      </c>
      <c r="R90" s="625">
        <v>254658.64499999999</v>
      </c>
      <c r="S90" s="625">
        <v>220836.899</v>
      </c>
      <c r="T90" s="629">
        <v>86.718791345175035</v>
      </c>
      <c r="U90" s="625"/>
      <c r="V90" s="627">
        <v>422058</v>
      </c>
      <c r="W90" s="629">
        <v>4292.1661782427927</v>
      </c>
      <c r="X90" s="627">
        <v>34379</v>
      </c>
      <c r="Y90" s="627">
        <v>4569</v>
      </c>
      <c r="Z90" s="629">
        <v>349.62109719945829</v>
      </c>
      <c r="AA90" s="629">
        <v>7.5244035894068722</v>
      </c>
      <c r="AB90" s="630">
        <v>264086.799</v>
      </c>
      <c r="AC90" s="630">
        <v>-5706.1729999999998</v>
      </c>
      <c r="AD90" s="630">
        <v>0</v>
      </c>
      <c r="AE90" s="630">
        <v>0</v>
      </c>
      <c r="AF90" s="630">
        <v>-4569.384</v>
      </c>
      <c r="AG90" s="630" t="s">
        <v>434</v>
      </c>
      <c r="AH90" s="630">
        <v>253811.242</v>
      </c>
      <c r="AI90" s="630">
        <v>177079.70499999999</v>
      </c>
      <c r="AJ90" s="630">
        <v>1747.624</v>
      </c>
      <c r="AK90" s="630">
        <v>0</v>
      </c>
      <c r="AL90" s="630">
        <v>0</v>
      </c>
      <c r="AM90" s="630">
        <v>42009.57</v>
      </c>
      <c r="AN90" s="630">
        <v>0</v>
      </c>
      <c r="AO90" s="630">
        <v>0</v>
      </c>
      <c r="AP90" s="630">
        <v>220836.899</v>
      </c>
      <c r="AQ90" s="630">
        <v>524.30899999999997</v>
      </c>
      <c r="AR90" s="630">
        <v>220312.59</v>
      </c>
      <c r="AS90" s="630" t="s">
        <v>434</v>
      </c>
      <c r="AT90" s="630">
        <v>8825.4590000000007</v>
      </c>
      <c r="AU90" s="630">
        <v>16006.304</v>
      </c>
      <c r="AV90" s="630">
        <v>0</v>
      </c>
      <c r="AW90" s="630" t="s">
        <v>434</v>
      </c>
      <c r="AX90" s="630">
        <v>245144.353</v>
      </c>
      <c r="AY90" s="630">
        <v>8666.8889999999992</v>
      </c>
      <c r="AZ90" s="612" t="s">
        <v>435</v>
      </c>
      <c r="BA90" s="612" t="s">
        <v>431</v>
      </c>
      <c r="BB90" s="613" t="s">
        <v>555</v>
      </c>
      <c r="BC90" s="614">
        <v>6.7452029503017319E-2</v>
      </c>
      <c r="BD90" s="614">
        <v>6.5360057045232289E-2</v>
      </c>
      <c r="BE90" s="613" t="s">
        <v>575</v>
      </c>
      <c r="BF90" s="613" t="s">
        <v>575</v>
      </c>
      <c r="BG90" s="643"/>
      <c r="BH90" s="655"/>
    </row>
    <row r="91" spans="1:60" customFormat="1">
      <c r="A91" s="601" t="s">
        <v>54</v>
      </c>
      <c r="B91" s="601" t="s">
        <v>423</v>
      </c>
      <c r="C91" s="601">
        <v>7</v>
      </c>
      <c r="D91" s="601">
        <v>83</v>
      </c>
      <c r="E91" s="623" t="s">
        <v>315</v>
      </c>
      <c r="F91" s="623" t="s">
        <v>54</v>
      </c>
      <c r="G91" s="601" t="s">
        <v>469</v>
      </c>
      <c r="H91" s="623">
        <v>2014</v>
      </c>
      <c r="I91" s="631">
        <v>16406.528999999999</v>
      </c>
      <c r="J91" s="625">
        <v>51095.033000000003</v>
      </c>
      <c r="K91" s="626">
        <v>3.6702178342970613</v>
      </c>
      <c r="L91" s="626">
        <v>332.60724900000002</v>
      </c>
      <c r="M91" s="625">
        <v>447017.85399999999</v>
      </c>
      <c r="N91" s="627">
        <v>111931</v>
      </c>
      <c r="O91" s="627">
        <v>1302890</v>
      </c>
      <c r="P91" s="628">
        <v>341.86498169454057</v>
      </c>
      <c r="Q91" s="625">
        <v>445412.46600000001</v>
      </c>
      <c r="R91" s="625">
        <v>445412.46600000001</v>
      </c>
      <c r="S91" s="625">
        <v>349985.43199999997</v>
      </c>
      <c r="T91" s="629">
        <v>78.575580774158198</v>
      </c>
      <c r="U91" s="625"/>
      <c r="V91" s="632">
        <v>735290</v>
      </c>
      <c r="W91" s="633">
        <v>6772.2371036695349</v>
      </c>
      <c r="X91" s="632">
        <v>30089</v>
      </c>
      <c r="Y91" s="632">
        <v>6659</v>
      </c>
      <c r="Z91" s="633">
        <v>277.12853732855422</v>
      </c>
      <c r="AA91" s="633">
        <v>4.5185463282775196</v>
      </c>
      <c r="AB91" s="630">
        <v>445412.46600000001</v>
      </c>
      <c r="AC91" s="630">
        <v>0</v>
      </c>
      <c r="AD91" s="630">
        <v>0</v>
      </c>
      <c r="AE91" s="630">
        <v>0</v>
      </c>
      <c r="AF91" s="630">
        <v>0</v>
      </c>
      <c r="AG91" s="630" t="s">
        <v>434</v>
      </c>
      <c r="AH91" s="630">
        <v>445412.46600000001</v>
      </c>
      <c r="AI91" s="630">
        <v>170814.701</v>
      </c>
      <c r="AJ91" s="630">
        <v>87293.486999999994</v>
      </c>
      <c r="AK91" s="630">
        <v>0</v>
      </c>
      <c r="AL91" s="630">
        <v>43616.345999999998</v>
      </c>
      <c r="AM91" s="630">
        <v>41152.171999999999</v>
      </c>
      <c r="AN91" s="630">
        <v>7108.7250000000004</v>
      </c>
      <c r="AO91" s="630">
        <v>0</v>
      </c>
      <c r="AP91" s="630">
        <v>349985.43099999998</v>
      </c>
      <c r="AQ91" s="630">
        <v>0</v>
      </c>
      <c r="AR91" s="630">
        <v>349985.43099999998</v>
      </c>
      <c r="AS91" s="630" t="s">
        <v>434</v>
      </c>
      <c r="AT91" s="630">
        <v>17481.269</v>
      </c>
      <c r="AU91" s="630">
        <v>54280.023000000001</v>
      </c>
      <c r="AV91" s="630">
        <v>0</v>
      </c>
      <c r="AW91" s="630" t="s">
        <v>434</v>
      </c>
      <c r="AX91" s="630">
        <v>421746.723</v>
      </c>
      <c r="AY91" s="630">
        <v>23665.742999999999</v>
      </c>
      <c r="AZ91" s="612" t="s">
        <v>430</v>
      </c>
      <c r="BA91" s="612" t="s">
        <v>431</v>
      </c>
      <c r="BB91" s="613" t="s">
        <v>555</v>
      </c>
      <c r="BC91" s="614">
        <v>0.11430199608984747</v>
      </c>
      <c r="BD91" s="652">
        <v>3.6702178342970612E-2</v>
      </c>
      <c r="BE91" s="613" t="s">
        <v>574</v>
      </c>
      <c r="BF91" s="613" t="s">
        <v>574</v>
      </c>
      <c r="BG91" s="643"/>
      <c r="BH91" s="655"/>
    </row>
    <row r="92" spans="1:60" customFormat="1">
      <c r="A92" s="601" t="s">
        <v>63</v>
      </c>
      <c r="B92" s="601" t="s">
        <v>420</v>
      </c>
      <c r="C92" s="601">
        <v>3</v>
      </c>
      <c r="D92" s="601">
        <v>82</v>
      </c>
      <c r="E92" s="623" t="s">
        <v>188</v>
      </c>
      <c r="F92" s="623" t="s">
        <v>63</v>
      </c>
      <c r="G92" s="601" t="s">
        <v>469</v>
      </c>
      <c r="H92" s="623">
        <v>2014</v>
      </c>
      <c r="I92" s="631">
        <v>-68532.258000000002</v>
      </c>
      <c r="J92" s="631">
        <v>35757.031999999999</v>
      </c>
      <c r="K92" s="634">
        <v>-7.6071507556188749</v>
      </c>
      <c r="L92" s="634">
        <v>261.49107359999999</v>
      </c>
      <c r="M92" s="631">
        <v>900892.59699999995</v>
      </c>
      <c r="N92" s="632">
        <v>111757</v>
      </c>
      <c r="O92" s="632">
        <v>1328836</v>
      </c>
      <c r="P92" s="635">
        <v>655.87188863035021</v>
      </c>
      <c r="Q92" s="631">
        <v>871546.17700000003</v>
      </c>
      <c r="R92" s="631">
        <v>871546.17700000003</v>
      </c>
      <c r="S92" s="631">
        <v>823555.47499999998</v>
      </c>
      <c r="T92" s="633">
        <v>94.493613388886445</v>
      </c>
      <c r="U92" s="625"/>
      <c r="V92" s="632">
        <v>708364</v>
      </c>
      <c r="W92" s="633">
        <v>6396.8525837650395</v>
      </c>
      <c r="X92" s="632">
        <v>114182</v>
      </c>
      <c r="Y92" s="632">
        <v>12094</v>
      </c>
      <c r="Z92" s="633">
        <v>1031.115954113224</v>
      </c>
      <c r="AA92" s="633">
        <v>9.4412105176120384</v>
      </c>
      <c r="AB92" s="630">
        <v>871490.61300000001</v>
      </c>
      <c r="AC92" s="630">
        <v>0</v>
      </c>
      <c r="AD92" s="630">
        <v>0</v>
      </c>
      <c r="AE92" s="630">
        <v>0</v>
      </c>
      <c r="AF92" s="630">
        <v>0</v>
      </c>
      <c r="AG92" s="630" t="s">
        <v>434</v>
      </c>
      <c r="AH92" s="630">
        <v>871490.61300000001</v>
      </c>
      <c r="AI92" s="630">
        <v>573016.10199999996</v>
      </c>
      <c r="AJ92" s="630">
        <v>38948.336000000003</v>
      </c>
      <c r="AK92" s="630">
        <v>0</v>
      </c>
      <c r="AL92" s="630">
        <v>20867.844000000001</v>
      </c>
      <c r="AM92" s="630">
        <v>105777.19500000001</v>
      </c>
      <c r="AN92" s="630">
        <v>84645.373000000007</v>
      </c>
      <c r="AO92" s="630">
        <v>300.625</v>
      </c>
      <c r="AP92" s="630">
        <v>823555.47499999998</v>
      </c>
      <c r="AQ92" s="630">
        <v>0</v>
      </c>
      <c r="AR92" s="630">
        <v>823555.47499999998</v>
      </c>
      <c r="AS92" s="630" t="s">
        <v>434</v>
      </c>
      <c r="AT92" s="630">
        <v>34874.641000000003</v>
      </c>
      <c r="AU92" s="630">
        <v>32727.665000000001</v>
      </c>
      <c r="AV92" s="630">
        <v>50871.968000000001</v>
      </c>
      <c r="AW92" s="630" t="s">
        <v>434</v>
      </c>
      <c r="AX92" s="630">
        <v>942029.74899999995</v>
      </c>
      <c r="AY92" s="630">
        <v>-70539.135999999999</v>
      </c>
      <c r="AZ92" s="612" t="s">
        <v>430</v>
      </c>
      <c r="BA92" s="612" t="s">
        <v>433</v>
      </c>
      <c r="BB92" s="613" t="s">
        <v>555</v>
      </c>
      <c r="BC92" s="614">
        <v>3.9690671362015865E-2</v>
      </c>
      <c r="BD92" s="652">
        <v>-7.6071507556188744E-2</v>
      </c>
      <c r="BE92" s="613" t="s">
        <v>569</v>
      </c>
      <c r="BF92" s="613" t="s">
        <v>569</v>
      </c>
      <c r="BG92" s="643"/>
      <c r="BH92" s="655"/>
    </row>
    <row r="93" spans="1:60" customFormat="1">
      <c r="A93" s="612" t="s">
        <v>79</v>
      </c>
      <c r="B93" s="612" t="s">
        <v>221</v>
      </c>
      <c r="C93" s="612">
        <v>28</v>
      </c>
      <c r="D93" s="601">
        <v>89</v>
      </c>
      <c r="E93" s="623" t="s">
        <v>221</v>
      </c>
      <c r="F93" s="623" t="s">
        <v>79</v>
      </c>
      <c r="G93" s="601" t="s">
        <v>567</v>
      </c>
      <c r="H93" s="623">
        <v>2014</v>
      </c>
      <c r="I93" s="624">
        <v>-44970.248</v>
      </c>
      <c r="J93" s="625">
        <v>83095.168000000005</v>
      </c>
      <c r="K93" s="626">
        <v>-4.4057433619933644</v>
      </c>
      <c r="L93" s="626">
        <v>659.21152970000003</v>
      </c>
      <c r="M93" s="625">
        <v>1020718.737</v>
      </c>
      <c r="N93" s="627">
        <v>110683</v>
      </c>
      <c r="O93" s="627">
        <v>1177751</v>
      </c>
      <c r="P93" s="628">
        <v>574.47381577260387</v>
      </c>
      <c r="Q93" s="625">
        <v>676587.11100000003</v>
      </c>
      <c r="R93" s="625">
        <v>676587.11100000003</v>
      </c>
      <c r="S93" s="625">
        <v>595156.973</v>
      </c>
      <c r="T93" s="629">
        <v>87.964574453739473</v>
      </c>
      <c r="U93" s="625"/>
      <c r="V93" s="627">
        <v>480741</v>
      </c>
      <c r="W93" s="629">
        <v>4898.2272144111957</v>
      </c>
      <c r="X93" s="627">
        <v>438493</v>
      </c>
      <c r="Y93" s="627">
        <v>32691</v>
      </c>
      <c r="Z93" s="629">
        <v>4467.7661067577101</v>
      </c>
      <c r="AA93" s="629">
        <v>13.413263589367103</v>
      </c>
      <c r="AB93" s="630">
        <v>674641.18700000003</v>
      </c>
      <c r="AC93" s="630">
        <v>0</v>
      </c>
      <c r="AD93" s="630">
        <v>0</v>
      </c>
      <c r="AE93" s="630">
        <v>0</v>
      </c>
      <c r="AF93" s="630">
        <v>0</v>
      </c>
      <c r="AG93" s="630" t="s">
        <v>434</v>
      </c>
      <c r="AH93" s="630">
        <v>674641.18700000003</v>
      </c>
      <c r="AI93" s="630">
        <v>537451.24399999995</v>
      </c>
      <c r="AJ93" s="630">
        <v>0</v>
      </c>
      <c r="AK93" s="630">
        <v>0</v>
      </c>
      <c r="AL93" s="630">
        <v>0</v>
      </c>
      <c r="AM93" s="630">
        <v>57705.728999999999</v>
      </c>
      <c r="AN93" s="630">
        <v>0</v>
      </c>
      <c r="AO93" s="630">
        <v>0</v>
      </c>
      <c r="AP93" s="630">
        <v>595156.973</v>
      </c>
      <c r="AQ93" s="630">
        <v>1441.5340000000001</v>
      </c>
      <c r="AR93" s="630">
        <v>593715.43900000001</v>
      </c>
      <c r="AS93" s="630" t="s">
        <v>434</v>
      </c>
      <c r="AT93" s="630">
        <v>84081.671000000002</v>
      </c>
      <c r="AU93" s="630">
        <v>55625.152000000002</v>
      </c>
      <c r="AV93" s="630">
        <v>-35280</v>
      </c>
      <c r="AW93" s="630" t="s">
        <v>434</v>
      </c>
      <c r="AX93" s="630">
        <v>698142.26199999999</v>
      </c>
      <c r="AY93" s="630">
        <v>-23501.075000000001</v>
      </c>
      <c r="AZ93" s="612" t="s">
        <v>430</v>
      </c>
      <c r="BA93" s="612" t="s">
        <v>431</v>
      </c>
      <c r="BB93" s="613" t="s">
        <v>555</v>
      </c>
      <c r="BC93" s="614">
        <v>8.1408486968922972E-2</v>
      </c>
      <c r="BD93" s="614">
        <v>3.8945768493682281E-2</v>
      </c>
      <c r="BE93" s="613" t="s">
        <v>574</v>
      </c>
      <c r="BF93" s="613" t="s">
        <v>574</v>
      </c>
      <c r="BG93" s="643"/>
      <c r="BH93" s="655"/>
    </row>
    <row r="94" spans="1:60" customFormat="1">
      <c r="A94" s="601" t="s">
        <v>87</v>
      </c>
      <c r="B94" s="601" t="s">
        <v>419</v>
      </c>
      <c r="C94" s="601">
        <v>2</v>
      </c>
      <c r="D94" s="601">
        <v>86</v>
      </c>
      <c r="E94" s="623" t="s">
        <v>178</v>
      </c>
      <c r="F94" s="623" t="s">
        <v>87</v>
      </c>
      <c r="G94" s="601" t="s">
        <v>469</v>
      </c>
      <c r="H94" s="623">
        <v>2014</v>
      </c>
      <c r="I94" s="631">
        <v>-8447.0460000000003</v>
      </c>
      <c r="J94" s="631">
        <v>43944.553999999996</v>
      </c>
      <c r="K94" s="634">
        <v>-2.1316605297284097</v>
      </c>
      <c r="L94" s="634">
        <v>348.74746740000001</v>
      </c>
      <c r="M94" s="631">
        <v>396266.00400000002</v>
      </c>
      <c r="N94" s="632">
        <v>109659</v>
      </c>
      <c r="O94" s="632">
        <v>1226254</v>
      </c>
      <c r="P94" s="635">
        <v>324.76165052264867</v>
      </c>
      <c r="Q94" s="631">
        <v>398240.27299999999</v>
      </c>
      <c r="R94" s="631">
        <v>398240.27299999999</v>
      </c>
      <c r="S94" s="631">
        <v>349180.52</v>
      </c>
      <c r="T94" s="633">
        <v>87.680865968068474</v>
      </c>
      <c r="U94" s="636"/>
      <c r="V94" s="632">
        <v>624580</v>
      </c>
      <c r="W94" s="633">
        <v>6112.0779218661064</v>
      </c>
      <c r="X94" s="632">
        <v>54917</v>
      </c>
      <c r="Y94" s="632">
        <v>11687</v>
      </c>
      <c r="Z94" s="633">
        <v>537.41231425137039</v>
      </c>
      <c r="AA94" s="633">
        <v>4.698981774621374</v>
      </c>
      <c r="AB94" s="630">
        <v>396266.00400000002</v>
      </c>
      <c r="AC94" s="630">
        <v>0</v>
      </c>
      <c r="AD94" s="630">
        <v>0</v>
      </c>
      <c r="AE94" s="630">
        <v>0</v>
      </c>
      <c r="AF94" s="630">
        <v>0</v>
      </c>
      <c r="AG94" s="630" t="s">
        <v>434</v>
      </c>
      <c r="AH94" s="630">
        <v>396266.00400000002</v>
      </c>
      <c r="AI94" s="630">
        <v>233963.62599999999</v>
      </c>
      <c r="AJ94" s="630">
        <v>18370.677</v>
      </c>
      <c r="AK94" s="630">
        <v>0</v>
      </c>
      <c r="AL94" s="630">
        <v>38863.288999999997</v>
      </c>
      <c r="AM94" s="630">
        <v>56653.459000000003</v>
      </c>
      <c r="AN94" s="630">
        <v>0</v>
      </c>
      <c r="AO94" s="630">
        <v>1329.4680000000001</v>
      </c>
      <c r="AP94" s="630">
        <v>349180.51899999997</v>
      </c>
      <c r="AQ94" s="630">
        <v>1955.84</v>
      </c>
      <c r="AR94" s="630">
        <v>347224.679</v>
      </c>
      <c r="AS94" s="630" t="s">
        <v>434</v>
      </c>
      <c r="AT94" s="630">
        <v>11840.208000000001</v>
      </c>
      <c r="AU94" s="630">
        <v>43944.553999999996</v>
      </c>
      <c r="AV94" s="630">
        <v>2546.6030000000001</v>
      </c>
      <c r="AW94" s="630" t="s">
        <v>434</v>
      </c>
      <c r="AX94" s="630">
        <v>405556.04399999999</v>
      </c>
      <c r="AY94" s="630">
        <v>-9290.0400000000009</v>
      </c>
      <c r="AZ94" s="612" t="s">
        <v>430</v>
      </c>
      <c r="BA94" s="612" t="s">
        <v>433</v>
      </c>
      <c r="BB94" s="613" t="s">
        <v>555</v>
      </c>
      <c r="BC94" s="614">
        <v>0.11089660368644694</v>
      </c>
      <c r="BD94" s="652">
        <v>-2.1316605297284096E-2</v>
      </c>
      <c r="BE94" s="613" t="s">
        <v>572</v>
      </c>
      <c r="BF94" s="613" t="s">
        <v>572</v>
      </c>
      <c r="BG94" s="643"/>
      <c r="BH94" s="655"/>
    </row>
    <row r="95" spans="1:60" customFormat="1">
      <c r="A95" s="601" t="s">
        <v>63</v>
      </c>
      <c r="B95" s="601" t="s">
        <v>418</v>
      </c>
      <c r="C95" s="601">
        <v>1</v>
      </c>
      <c r="D95" s="601">
        <v>81</v>
      </c>
      <c r="E95" s="623" t="s">
        <v>284</v>
      </c>
      <c r="F95" s="623" t="s">
        <v>63</v>
      </c>
      <c r="G95" s="601" t="s">
        <v>567</v>
      </c>
      <c r="H95" s="623">
        <v>2014</v>
      </c>
      <c r="I95" s="631">
        <v>47110.252999999997</v>
      </c>
      <c r="J95" s="631">
        <v>70566.861000000004</v>
      </c>
      <c r="K95" s="634">
        <v>5.1678887136695275</v>
      </c>
      <c r="L95" s="634">
        <v>557.41913399999999</v>
      </c>
      <c r="M95" s="631">
        <v>911595.73300000001</v>
      </c>
      <c r="N95" s="632">
        <v>109236</v>
      </c>
      <c r="O95" s="632">
        <v>1338067</v>
      </c>
      <c r="P95" s="635">
        <v>588.51823638128735</v>
      </c>
      <c r="Q95" s="631">
        <v>787476.83100000001</v>
      </c>
      <c r="R95" s="631">
        <v>787476.83100000001</v>
      </c>
      <c r="S95" s="631">
        <v>714199.51</v>
      </c>
      <c r="T95" s="633">
        <v>90.694669593396583</v>
      </c>
      <c r="U95" s="625"/>
      <c r="V95" s="632">
        <v>1228282</v>
      </c>
      <c r="W95" s="633">
        <v>11015.43046798105</v>
      </c>
      <c r="X95" s="632">
        <v>476183</v>
      </c>
      <c r="Y95" s="632">
        <v>75073</v>
      </c>
      <c r="Z95" s="633">
        <v>4270.4857081147657</v>
      </c>
      <c r="AA95" s="633">
        <v>6.3429328786647661</v>
      </c>
      <c r="AB95" s="630">
        <v>313163.005</v>
      </c>
      <c r="AC95" s="630">
        <v>0</v>
      </c>
      <c r="AD95" s="630">
        <v>0</v>
      </c>
      <c r="AE95" s="630">
        <v>0</v>
      </c>
      <c r="AF95" s="630">
        <v>0</v>
      </c>
      <c r="AG95" s="630" t="s">
        <v>434</v>
      </c>
      <c r="AH95" s="630">
        <v>313163.005</v>
      </c>
      <c r="AI95" s="630">
        <v>602261.84199999995</v>
      </c>
      <c r="AJ95" s="630">
        <v>21795.161</v>
      </c>
      <c r="AK95" s="630">
        <v>0</v>
      </c>
      <c r="AL95" s="630">
        <v>0</v>
      </c>
      <c r="AM95" s="630">
        <v>90142.506999999998</v>
      </c>
      <c r="AN95" s="630">
        <v>0</v>
      </c>
      <c r="AO95" s="630">
        <v>0</v>
      </c>
      <c r="AP95" s="630">
        <v>714199.51</v>
      </c>
      <c r="AQ95" s="630">
        <v>428519.70600000001</v>
      </c>
      <c r="AR95" s="630">
        <v>285679.804</v>
      </c>
      <c r="AS95" s="630" t="s">
        <v>434</v>
      </c>
      <c r="AT95" s="630">
        <v>13428.442999999999</v>
      </c>
      <c r="AU95" s="630">
        <v>17106.591</v>
      </c>
      <c r="AV95" s="630">
        <v>0</v>
      </c>
      <c r="AW95" s="630" t="s">
        <v>434</v>
      </c>
      <c r="AX95" s="630">
        <v>316214.83799999999</v>
      </c>
      <c r="AY95" s="630">
        <v>-3051.8330000000001</v>
      </c>
      <c r="AZ95" s="612" t="s">
        <v>430</v>
      </c>
      <c r="BA95" s="612" t="s">
        <v>433</v>
      </c>
      <c r="BB95" s="613" t="s">
        <v>555</v>
      </c>
      <c r="BC95" s="614">
        <v>7.7410258128095044E-2</v>
      </c>
      <c r="BD95" s="614">
        <v>1.5643045937939137E-2</v>
      </c>
      <c r="BE95" s="613" t="s">
        <v>573</v>
      </c>
      <c r="BF95" s="613" t="s">
        <v>573</v>
      </c>
      <c r="BG95" s="643"/>
      <c r="BH95" s="655"/>
    </row>
    <row r="96" spans="1:60" customFormat="1">
      <c r="A96" s="612" t="s">
        <v>90</v>
      </c>
      <c r="B96" s="612" t="s">
        <v>148</v>
      </c>
      <c r="C96" s="612">
        <v>61</v>
      </c>
      <c r="D96" s="601">
        <v>93</v>
      </c>
      <c r="E96" s="623" t="s">
        <v>148</v>
      </c>
      <c r="F96" s="623" t="s">
        <v>90</v>
      </c>
      <c r="G96" s="601" t="s">
        <v>567</v>
      </c>
      <c r="H96" s="623">
        <v>2014</v>
      </c>
      <c r="I96" s="624">
        <v>18290.798999999999</v>
      </c>
      <c r="J96" s="625">
        <v>16576.351999999999</v>
      </c>
      <c r="K96" s="626">
        <v>6.1861953238417522</v>
      </c>
      <c r="L96" s="626">
        <v>537.0594122</v>
      </c>
      <c r="M96" s="625">
        <v>295671.217</v>
      </c>
      <c r="N96" s="627">
        <v>100536</v>
      </c>
      <c r="O96" s="627">
        <v>1044669</v>
      </c>
      <c r="P96" s="628">
        <v>236.3014744383149</v>
      </c>
      <c r="Q96" s="625">
        <v>246856.82500000001</v>
      </c>
      <c r="R96" s="625">
        <v>246856.82500000001</v>
      </c>
      <c r="S96" s="625">
        <v>210754.905</v>
      </c>
      <c r="T96" s="629">
        <v>85.375360798713984</v>
      </c>
      <c r="U96" s="625"/>
      <c r="V96" s="627">
        <v>1901717</v>
      </c>
      <c r="W96" s="629">
        <v>21844.817832251174</v>
      </c>
      <c r="X96" s="627">
        <v>45193</v>
      </c>
      <c r="Y96" s="627">
        <v>11790</v>
      </c>
      <c r="Z96" s="629">
        <v>519.12711107537416</v>
      </c>
      <c r="AA96" s="629">
        <v>3.8331636980491943</v>
      </c>
      <c r="AB96" s="630">
        <v>245129.19699999999</v>
      </c>
      <c r="AC96" s="630">
        <v>0</v>
      </c>
      <c r="AD96" s="630">
        <v>0</v>
      </c>
      <c r="AE96" s="630">
        <v>0</v>
      </c>
      <c r="AF96" s="630">
        <v>-235.41</v>
      </c>
      <c r="AG96" s="630" t="s">
        <v>434</v>
      </c>
      <c r="AH96" s="630">
        <v>244893.78700000001</v>
      </c>
      <c r="AI96" s="630">
        <v>124343.889</v>
      </c>
      <c r="AJ96" s="630">
        <v>33487.264999999999</v>
      </c>
      <c r="AK96" s="630">
        <v>0</v>
      </c>
      <c r="AL96" s="630">
        <v>16492.918000000001</v>
      </c>
      <c r="AM96" s="630">
        <v>35484.125999999997</v>
      </c>
      <c r="AN96" s="630">
        <v>0</v>
      </c>
      <c r="AO96" s="630">
        <v>946.70600000000002</v>
      </c>
      <c r="AP96" s="630">
        <v>210754.90400000001</v>
      </c>
      <c r="AQ96" s="630">
        <v>1394.79</v>
      </c>
      <c r="AR96" s="630">
        <v>209360.114</v>
      </c>
      <c r="AS96" s="630" t="s">
        <v>434</v>
      </c>
      <c r="AT96" s="630">
        <v>8566.0889999999999</v>
      </c>
      <c r="AU96" s="630">
        <v>13728.419</v>
      </c>
      <c r="AV96" s="630">
        <v>0</v>
      </c>
      <c r="AW96" s="630" t="s">
        <v>434</v>
      </c>
      <c r="AX96" s="630">
        <v>231654.622</v>
      </c>
      <c r="AY96" s="630">
        <v>13239.165000000001</v>
      </c>
      <c r="AZ96" s="612" t="s">
        <v>435</v>
      </c>
      <c r="BA96" s="612" t="s">
        <v>431</v>
      </c>
      <c r="BB96" s="613" t="s">
        <v>555</v>
      </c>
      <c r="BC96" s="614">
        <v>5.6063461868863615E-2</v>
      </c>
      <c r="BD96" s="614">
        <v>9.0182930143996545E-2</v>
      </c>
      <c r="BE96" s="613" t="s">
        <v>576</v>
      </c>
      <c r="BF96" s="613" t="s">
        <v>576</v>
      </c>
      <c r="BG96" s="643"/>
      <c r="BH96" s="655"/>
    </row>
    <row r="97" spans="1:60" customFormat="1">
      <c r="A97" s="601" t="s">
        <v>72</v>
      </c>
      <c r="B97" s="601" t="s">
        <v>419</v>
      </c>
      <c r="C97" s="601">
        <v>2</v>
      </c>
      <c r="D97" s="601">
        <v>98</v>
      </c>
      <c r="E97" s="623" t="s">
        <v>241</v>
      </c>
      <c r="F97" s="623" t="s">
        <v>72</v>
      </c>
      <c r="G97" s="601" t="s">
        <v>469</v>
      </c>
      <c r="H97" s="623">
        <v>2014</v>
      </c>
      <c r="I97" s="631">
        <v>-14948.966</v>
      </c>
      <c r="J97" s="631">
        <v>74445.763999999996</v>
      </c>
      <c r="K97" s="634">
        <v>-2.7313147131694171</v>
      </c>
      <c r="L97" s="634">
        <v>351.03792700000002</v>
      </c>
      <c r="M97" s="631">
        <v>547317.59499999997</v>
      </c>
      <c r="N97" s="632">
        <v>97778</v>
      </c>
      <c r="O97" s="632">
        <v>1011611</v>
      </c>
      <c r="P97" s="635">
        <v>495.45891256619393</v>
      </c>
      <c r="Q97" s="631">
        <v>501211.68599999999</v>
      </c>
      <c r="R97" s="631">
        <v>501211.68599999999</v>
      </c>
      <c r="S97" s="631">
        <v>439875.26400000002</v>
      </c>
      <c r="T97" s="633">
        <v>87.762371925222837</v>
      </c>
      <c r="U97" s="636"/>
      <c r="V97" s="632">
        <v>739900</v>
      </c>
      <c r="W97" s="633">
        <v>8776.89151264666</v>
      </c>
      <c r="X97" s="632">
        <v>0</v>
      </c>
      <c r="Y97" s="632">
        <v>0</v>
      </c>
      <c r="Z97" s="633">
        <v>0</v>
      </c>
      <c r="AA97" s="633" t="s">
        <v>434</v>
      </c>
      <c r="AB97" s="630">
        <v>500442.86200000002</v>
      </c>
      <c r="AC97" s="630">
        <v>0</v>
      </c>
      <c r="AD97" s="630">
        <v>0</v>
      </c>
      <c r="AE97" s="630">
        <v>0</v>
      </c>
      <c r="AF97" s="630">
        <v>0</v>
      </c>
      <c r="AG97" s="630" t="s">
        <v>434</v>
      </c>
      <c r="AH97" s="630">
        <v>500442.86200000002</v>
      </c>
      <c r="AI97" s="630">
        <v>216920.60800000001</v>
      </c>
      <c r="AJ97" s="630">
        <v>47840.798999999999</v>
      </c>
      <c r="AK97" s="630">
        <v>0</v>
      </c>
      <c r="AL97" s="630">
        <v>46951.078000000001</v>
      </c>
      <c r="AM97" s="630">
        <v>127389.185</v>
      </c>
      <c r="AN97" s="630">
        <v>0</v>
      </c>
      <c r="AO97" s="630">
        <v>773.59299999999996</v>
      </c>
      <c r="AP97" s="630">
        <v>439875.26299999998</v>
      </c>
      <c r="AQ97" s="630">
        <v>471.19200000000001</v>
      </c>
      <c r="AR97" s="630">
        <v>439404.071</v>
      </c>
      <c r="AS97" s="630" t="s">
        <v>434</v>
      </c>
      <c r="AT97" s="630">
        <v>14296.531000000001</v>
      </c>
      <c r="AU97" s="630">
        <v>65012.391000000003</v>
      </c>
      <c r="AV97" s="630">
        <v>4487.4309999999996</v>
      </c>
      <c r="AW97" s="630" t="s">
        <v>434</v>
      </c>
      <c r="AX97" s="630">
        <v>523200.424</v>
      </c>
      <c r="AY97" s="630">
        <v>-22757.562000000002</v>
      </c>
      <c r="AZ97" s="612" t="s">
        <v>430</v>
      </c>
      <c r="BA97" s="612" t="s">
        <v>433</v>
      </c>
      <c r="BB97" s="613" t="s">
        <v>551</v>
      </c>
      <c r="BC97" s="614">
        <v>0.13601931434343892</v>
      </c>
      <c r="BD97" s="614">
        <v>-2.7313147131694172E-2</v>
      </c>
      <c r="BE97" s="613" t="s">
        <v>571</v>
      </c>
      <c r="BF97" s="613" t="s">
        <v>571</v>
      </c>
      <c r="BG97" s="643"/>
      <c r="BH97" s="655"/>
    </row>
    <row r="98" spans="1:60" customFormat="1">
      <c r="A98" s="612" t="s">
        <v>64</v>
      </c>
      <c r="B98" s="612" t="s">
        <v>426</v>
      </c>
      <c r="C98" s="612">
        <v>9</v>
      </c>
      <c r="D98" s="601">
        <v>117</v>
      </c>
      <c r="E98" s="623" t="s">
        <v>233</v>
      </c>
      <c r="F98" s="623" t="s">
        <v>64</v>
      </c>
      <c r="G98" s="601" t="s">
        <v>567</v>
      </c>
      <c r="H98" s="623">
        <v>2014</v>
      </c>
      <c r="I98" s="624">
        <v>-49084.294000000002</v>
      </c>
      <c r="J98" s="625">
        <v>505296.52899999998</v>
      </c>
      <c r="K98" s="626">
        <v>-0.99217396204283259</v>
      </c>
      <c r="L98" s="626">
        <v>432.79333250000002</v>
      </c>
      <c r="M98" s="625">
        <v>4947145.9519999996</v>
      </c>
      <c r="N98" s="627">
        <v>96811</v>
      </c>
      <c r="O98" s="627">
        <v>771551</v>
      </c>
      <c r="P98" s="628">
        <v>614.82746571516338</v>
      </c>
      <c r="Q98" s="625">
        <v>474370.74599999998</v>
      </c>
      <c r="R98" s="625">
        <v>474370.74599999998</v>
      </c>
      <c r="S98" s="625">
        <v>414446.375</v>
      </c>
      <c r="T98" s="629">
        <v>87.367608246230262</v>
      </c>
      <c r="U98" s="625"/>
      <c r="V98" s="627">
        <v>504347</v>
      </c>
      <c r="W98" s="629">
        <v>7844.1528816630398</v>
      </c>
      <c r="X98" s="627">
        <v>128451</v>
      </c>
      <c r="Y98" s="627">
        <v>18360</v>
      </c>
      <c r="Z98" s="629">
        <v>1997.8096068827595</v>
      </c>
      <c r="AA98" s="629">
        <v>6.996241830065359</v>
      </c>
      <c r="AB98" s="630">
        <v>117648.469</v>
      </c>
      <c r="AC98" s="630">
        <v>-9395.9950000000008</v>
      </c>
      <c r="AD98" s="630">
        <v>0</v>
      </c>
      <c r="AE98" s="630">
        <v>0</v>
      </c>
      <c r="AF98" s="630">
        <v>0</v>
      </c>
      <c r="AG98" s="630" t="s">
        <v>434</v>
      </c>
      <c r="AH98" s="630">
        <v>108252.474</v>
      </c>
      <c r="AI98" s="630">
        <v>412577.79700000002</v>
      </c>
      <c r="AJ98" s="630">
        <v>9662.0730000000003</v>
      </c>
      <c r="AK98" s="630">
        <v>0</v>
      </c>
      <c r="AL98" s="630">
        <v>732.83</v>
      </c>
      <c r="AM98" s="630">
        <v>75706.759999999995</v>
      </c>
      <c r="AN98" s="630">
        <v>0</v>
      </c>
      <c r="AO98" s="630">
        <v>0</v>
      </c>
      <c r="AP98" s="630">
        <v>498679.46</v>
      </c>
      <c r="AQ98" s="630">
        <v>414446.37599999999</v>
      </c>
      <c r="AR98" s="630">
        <v>84233.084000000003</v>
      </c>
      <c r="AS98" s="630" t="s">
        <v>434</v>
      </c>
      <c r="AT98" s="630">
        <v>10721.625</v>
      </c>
      <c r="AU98" s="630">
        <v>17811.465</v>
      </c>
      <c r="AV98" s="630">
        <v>6076.6480000000001</v>
      </c>
      <c r="AW98" s="630" t="s">
        <v>434</v>
      </c>
      <c r="AX98" s="630">
        <v>118842.822</v>
      </c>
      <c r="AY98" s="630">
        <v>-10590.348</v>
      </c>
      <c r="AZ98" s="612" t="s">
        <v>435</v>
      </c>
      <c r="BA98" s="612" t="s">
        <v>433</v>
      </c>
      <c r="BB98" s="613" t="s">
        <v>551</v>
      </c>
      <c r="BC98" s="614">
        <v>0.102138997697394</v>
      </c>
      <c r="BD98" s="614">
        <v>2.418491984030334E-2</v>
      </c>
      <c r="BE98" s="613" t="s">
        <v>573</v>
      </c>
      <c r="BF98" s="613" t="s">
        <v>573</v>
      </c>
      <c r="BG98" s="643"/>
      <c r="BH98" s="655"/>
    </row>
    <row r="99" spans="1:60" customFormat="1">
      <c r="A99" s="612" t="s">
        <v>81</v>
      </c>
      <c r="B99" s="612" t="s">
        <v>202</v>
      </c>
      <c r="C99" s="612">
        <v>49</v>
      </c>
      <c r="D99" s="601">
        <v>94</v>
      </c>
      <c r="E99" s="623" t="s">
        <v>202</v>
      </c>
      <c r="F99" s="623" t="s">
        <v>81</v>
      </c>
      <c r="G99" s="601" t="s">
        <v>567</v>
      </c>
      <c r="H99" s="623">
        <v>2014</v>
      </c>
      <c r="I99" s="624">
        <v>23693.345000000001</v>
      </c>
      <c r="J99" s="625">
        <v>81450.803</v>
      </c>
      <c r="K99" s="626">
        <v>1.6604770674086191</v>
      </c>
      <c r="L99" s="626">
        <v>458.24983150000003</v>
      </c>
      <c r="M99" s="625">
        <v>1426899.8629999999</v>
      </c>
      <c r="N99" s="627">
        <v>96539</v>
      </c>
      <c r="O99" s="627">
        <v>1043403</v>
      </c>
      <c r="P99" s="628">
        <v>419.83379384571447</v>
      </c>
      <c r="Q99" s="625">
        <v>438055.84</v>
      </c>
      <c r="R99" s="625">
        <v>438055.84</v>
      </c>
      <c r="S99" s="625">
        <v>384503.64299999998</v>
      </c>
      <c r="T99" s="629">
        <v>87.775029548744271</v>
      </c>
      <c r="U99" s="625"/>
      <c r="V99" s="627">
        <v>610912</v>
      </c>
      <c r="W99" s="629">
        <v>7025.9947498713345</v>
      </c>
      <c r="X99" s="627">
        <v>70383</v>
      </c>
      <c r="Y99" s="627">
        <v>13476</v>
      </c>
      <c r="Z99" s="629">
        <v>809.46288251040107</v>
      </c>
      <c r="AA99" s="629">
        <v>5.2228406055209264</v>
      </c>
      <c r="AB99" s="630">
        <v>438055.84</v>
      </c>
      <c r="AC99" s="630">
        <v>0</v>
      </c>
      <c r="AD99" s="630">
        <v>0</v>
      </c>
      <c r="AE99" s="630">
        <v>0</v>
      </c>
      <c r="AF99" s="630">
        <v>0</v>
      </c>
      <c r="AG99" s="630" t="s">
        <v>434</v>
      </c>
      <c r="AH99" s="630">
        <v>438055.84</v>
      </c>
      <c r="AI99" s="630">
        <v>209334.633</v>
      </c>
      <c r="AJ99" s="630">
        <v>46383.455000000002</v>
      </c>
      <c r="AK99" s="630">
        <v>0</v>
      </c>
      <c r="AL99" s="630">
        <v>12558.844999999999</v>
      </c>
      <c r="AM99" s="630">
        <v>105465.02499999999</v>
      </c>
      <c r="AN99" s="630">
        <v>9211.14</v>
      </c>
      <c r="AO99" s="630">
        <v>1550.5450000000001</v>
      </c>
      <c r="AP99" s="630">
        <v>384503.64299999998</v>
      </c>
      <c r="AQ99" s="630">
        <v>2240.3690000000001</v>
      </c>
      <c r="AR99" s="630">
        <v>382263.27399999998</v>
      </c>
      <c r="AS99" s="630" t="s">
        <v>434</v>
      </c>
      <c r="AT99" s="630">
        <v>22714.812999999998</v>
      </c>
      <c r="AU99" s="630">
        <v>18067.996999999999</v>
      </c>
      <c r="AV99" s="630">
        <v>-8000</v>
      </c>
      <c r="AW99" s="630" t="s">
        <v>434</v>
      </c>
      <c r="AX99" s="630">
        <v>415046.08399999997</v>
      </c>
      <c r="AY99" s="630">
        <v>23009.756000000001</v>
      </c>
      <c r="AZ99" s="612" t="s">
        <v>430</v>
      </c>
      <c r="BA99" s="612" t="s">
        <v>431</v>
      </c>
      <c r="BB99" s="613" t="s">
        <v>551</v>
      </c>
      <c r="BC99" s="614">
        <v>5.7082353928293847E-2</v>
      </c>
      <c r="BD99" s="614">
        <v>6.5167350584263387E-2</v>
      </c>
      <c r="BE99" s="613" t="s">
        <v>575</v>
      </c>
      <c r="BF99" s="613" t="s">
        <v>575</v>
      </c>
      <c r="BG99" s="643"/>
      <c r="BH99" s="655"/>
    </row>
    <row r="100" spans="1:60" customFormat="1">
      <c r="A100" s="612" t="s">
        <v>90</v>
      </c>
      <c r="B100" s="612" t="s">
        <v>396</v>
      </c>
      <c r="C100" s="612">
        <v>55</v>
      </c>
      <c r="D100" s="601">
        <v>91</v>
      </c>
      <c r="E100" s="623" t="s">
        <v>396</v>
      </c>
      <c r="F100" s="623" t="s">
        <v>90</v>
      </c>
      <c r="G100" s="601" t="s">
        <v>567</v>
      </c>
      <c r="H100" s="623">
        <v>2014</v>
      </c>
      <c r="I100" s="624">
        <v>-34588.955999999998</v>
      </c>
      <c r="J100" s="625">
        <v>61674.805</v>
      </c>
      <c r="K100" s="626">
        <v>-6.768713679111829</v>
      </c>
      <c r="L100" s="626">
        <v>295.98594836784798</v>
      </c>
      <c r="M100" s="625">
        <v>511012.24900000001</v>
      </c>
      <c r="N100" s="627">
        <v>96214</v>
      </c>
      <c r="O100" s="627">
        <v>1088898</v>
      </c>
      <c r="P100" s="628">
        <v>264.92648714571982</v>
      </c>
      <c r="Q100" s="625">
        <v>288819.25099999999</v>
      </c>
      <c r="R100" s="625">
        <v>288477.92200000002</v>
      </c>
      <c r="S100" s="625">
        <v>265315.54200000002</v>
      </c>
      <c r="T100" s="629">
        <v>91.970830960159233</v>
      </c>
      <c r="U100" s="625"/>
      <c r="V100" s="627">
        <v>110140</v>
      </c>
      <c r="W100" s="629">
        <v>1213.7775990037635</v>
      </c>
      <c r="X100" s="627">
        <v>72128</v>
      </c>
      <c r="Y100" s="627">
        <v>21239</v>
      </c>
      <c r="Z100" s="629">
        <v>794.87334901891643</v>
      </c>
      <c r="AA100" s="629">
        <v>3.3960167616177785</v>
      </c>
      <c r="AB100" s="630">
        <v>287285.76199999999</v>
      </c>
      <c r="AC100" s="630">
        <v>-314.072</v>
      </c>
      <c r="AD100" s="630">
        <v>0</v>
      </c>
      <c r="AE100" s="630">
        <v>0</v>
      </c>
      <c r="AF100" s="630">
        <v>0</v>
      </c>
      <c r="AG100" s="630" t="s">
        <v>434</v>
      </c>
      <c r="AH100" s="630">
        <v>286971.69</v>
      </c>
      <c r="AI100" s="630">
        <v>186344.69200000001</v>
      </c>
      <c r="AJ100" s="630">
        <v>0</v>
      </c>
      <c r="AK100" s="630">
        <v>18096.451000000001</v>
      </c>
      <c r="AL100" s="630">
        <v>9510.4169999999995</v>
      </c>
      <c r="AM100" s="630">
        <v>51395.625999999997</v>
      </c>
      <c r="AN100" s="630">
        <v>0</v>
      </c>
      <c r="AO100" s="630">
        <v>0</v>
      </c>
      <c r="AP100" s="630">
        <v>265347.18699999998</v>
      </c>
      <c r="AQ100" s="630">
        <v>1251.4349999999999</v>
      </c>
      <c r="AR100" s="630">
        <v>264095.75199999998</v>
      </c>
      <c r="AS100" s="630" t="s">
        <v>434</v>
      </c>
      <c r="AT100" s="630">
        <v>3651.3139999999999</v>
      </c>
      <c r="AU100" s="630">
        <v>31975.86</v>
      </c>
      <c r="AV100" s="630">
        <v>0</v>
      </c>
      <c r="AW100" s="630" t="s">
        <v>434</v>
      </c>
      <c r="AX100" s="630">
        <v>299722.92599999998</v>
      </c>
      <c r="AY100" s="630">
        <v>-12751.236000000001</v>
      </c>
      <c r="AZ100" s="612" t="s">
        <v>435</v>
      </c>
      <c r="BA100" s="612" t="s">
        <v>431</v>
      </c>
      <c r="BB100" s="613" t="s">
        <v>551</v>
      </c>
      <c r="BC100" s="614">
        <v>0.12069144158616832</v>
      </c>
      <c r="BD100" s="614">
        <v>-4.0399751187760652E-2</v>
      </c>
      <c r="BE100" s="613" t="s">
        <v>571</v>
      </c>
      <c r="BF100" s="613" t="s">
        <v>571</v>
      </c>
      <c r="BG100" s="643"/>
      <c r="BH100" s="655"/>
    </row>
    <row r="101" spans="1:60" customFormat="1">
      <c r="A101" s="612" t="s">
        <v>69</v>
      </c>
      <c r="B101" s="612" t="s">
        <v>395</v>
      </c>
      <c r="C101" s="612">
        <v>53</v>
      </c>
      <c r="D101" s="601">
        <v>95</v>
      </c>
      <c r="E101" s="623" t="s">
        <v>395</v>
      </c>
      <c r="F101" s="623" t="s">
        <v>69</v>
      </c>
      <c r="G101" s="601" t="s">
        <v>469</v>
      </c>
      <c r="H101" s="623">
        <v>2014</v>
      </c>
      <c r="I101" s="624">
        <v>203.386</v>
      </c>
      <c r="J101" s="625">
        <v>28176.444</v>
      </c>
      <c r="K101" s="626">
        <v>5.9635005768911113E-2</v>
      </c>
      <c r="L101" s="626">
        <v>316.80361310000001</v>
      </c>
      <c r="M101" s="625">
        <v>341051.36300000001</v>
      </c>
      <c r="N101" s="627">
        <v>94324</v>
      </c>
      <c r="O101" s="627">
        <v>1041557</v>
      </c>
      <c r="P101" s="628">
        <v>319.22372083332931</v>
      </c>
      <c r="Q101" s="625">
        <v>332711.33799999999</v>
      </c>
      <c r="R101" s="625">
        <v>332489.701</v>
      </c>
      <c r="S101" s="625">
        <v>299055.984</v>
      </c>
      <c r="T101" s="629">
        <v>89.944435301471188</v>
      </c>
      <c r="U101" s="625"/>
      <c r="V101" s="627">
        <v>993581</v>
      </c>
      <c r="W101" s="629">
        <v>11447.258287352492</v>
      </c>
      <c r="X101" s="627">
        <v>38651</v>
      </c>
      <c r="Y101" s="627">
        <v>8550</v>
      </c>
      <c r="Z101" s="629">
        <v>445.30640185798762</v>
      </c>
      <c r="AA101" s="629">
        <v>4.5205847953216374</v>
      </c>
      <c r="AB101" s="630">
        <v>332489.70199999999</v>
      </c>
      <c r="AC101" s="630">
        <v>0</v>
      </c>
      <c r="AD101" s="630">
        <v>0</v>
      </c>
      <c r="AE101" s="630">
        <v>0</v>
      </c>
      <c r="AF101" s="630">
        <v>0</v>
      </c>
      <c r="AG101" s="630" t="s">
        <v>434</v>
      </c>
      <c r="AH101" s="630">
        <v>332489.70199999999</v>
      </c>
      <c r="AI101" s="630">
        <v>234353.856</v>
      </c>
      <c r="AJ101" s="630">
        <v>3187.65</v>
      </c>
      <c r="AK101" s="630">
        <v>3766.357</v>
      </c>
      <c r="AL101" s="630">
        <v>13820.418</v>
      </c>
      <c r="AM101" s="630">
        <v>40992.163</v>
      </c>
      <c r="AN101" s="630">
        <v>0</v>
      </c>
      <c r="AO101" s="630">
        <v>2935.54</v>
      </c>
      <c r="AP101" s="630">
        <v>299055.984</v>
      </c>
      <c r="AQ101" s="630">
        <v>922.46799999999996</v>
      </c>
      <c r="AR101" s="630">
        <v>298133.516</v>
      </c>
      <c r="AS101" s="630" t="s">
        <v>434</v>
      </c>
      <c r="AT101" s="630">
        <v>7874.0510000000004</v>
      </c>
      <c r="AU101" s="630">
        <v>27769.526999999998</v>
      </c>
      <c r="AV101" s="630">
        <v>0</v>
      </c>
      <c r="AW101" s="630" t="s">
        <v>434</v>
      </c>
      <c r="AX101" s="630">
        <v>333777.09399999998</v>
      </c>
      <c r="AY101" s="630">
        <v>-1287.3920000000001</v>
      </c>
      <c r="AZ101" s="612" t="s">
        <v>435</v>
      </c>
      <c r="BA101" s="612" t="s">
        <v>431</v>
      </c>
      <c r="BB101" s="613" t="s">
        <v>551</v>
      </c>
      <c r="BC101" s="614">
        <v>8.2616423966615254E-2</v>
      </c>
      <c r="BD101" s="614">
        <v>5.9635005768911113E-4</v>
      </c>
      <c r="BE101" s="613" t="s">
        <v>573</v>
      </c>
      <c r="BF101" s="613" t="s">
        <v>573</v>
      </c>
      <c r="BG101" s="643"/>
      <c r="BH101" s="655"/>
    </row>
    <row r="102" spans="1:60" customFormat="1">
      <c r="A102" s="601" t="s">
        <v>71</v>
      </c>
      <c r="B102" s="601" t="s">
        <v>422</v>
      </c>
      <c r="C102" s="601">
        <v>6</v>
      </c>
      <c r="D102" s="601">
        <v>92</v>
      </c>
      <c r="E102" s="623" t="s">
        <v>249</v>
      </c>
      <c r="F102" s="623" t="s">
        <v>71</v>
      </c>
      <c r="G102" s="601" t="s">
        <v>469</v>
      </c>
      <c r="H102" s="623">
        <v>2014</v>
      </c>
      <c r="I102" s="631">
        <v>4015.0949999999998</v>
      </c>
      <c r="J102" s="625">
        <v>21765.718000000001</v>
      </c>
      <c r="K102" s="626">
        <v>1.4588404606655558</v>
      </c>
      <c r="L102" s="626">
        <v>545.66107920000002</v>
      </c>
      <c r="M102" s="625">
        <v>275225.092</v>
      </c>
      <c r="N102" s="627">
        <v>94322</v>
      </c>
      <c r="O102" s="627">
        <v>1082412</v>
      </c>
      <c r="P102" s="628">
        <v>243.17049700114188</v>
      </c>
      <c r="Q102" s="625">
        <v>263210.66399999999</v>
      </c>
      <c r="R102" s="625">
        <v>263210.66399999999</v>
      </c>
      <c r="S102" s="625">
        <v>226935.78200000001</v>
      </c>
      <c r="T102" s="629">
        <v>86.218308388903267</v>
      </c>
      <c r="U102" s="625"/>
      <c r="V102" s="632">
        <v>344869</v>
      </c>
      <c r="W102" s="633">
        <v>3823.3389873726455</v>
      </c>
      <c r="X102" s="632">
        <v>44564</v>
      </c>
      <c r="Y102" s="632">
        <v>4742</v>
      </c>
      <c r="Z102" s="633">
        <v>494.05217237059458</v>
      </c>
      <c r="AA102" s="633">
        <v>9.3977224799662586</v>
      </c>
      <c r="AB102" s="630">
        <v>263210.66399999999</v>
      </c>
      <c r="AC102" s="630">
        <v>0</v>
      </c>
      <c r="AD102" s="630">
        <v>0</v>
      </c>
      <c r="AE102" s="630">
        <v>0</v>
      </c>
      <c r="AF102" s="630">
        <v>0</v>
      </c>
      <c r="AG102" s="630" t="s">
        <v>434</v>
      </c>
      <c r="AH102" s="630">
        <v>263210.66399999999</v>
      </c>
      <c r="AI102" s="630">
        <v>187153.89600000001</v>
      </c>
      <c r="AJ102" s="630">
        <v>6373.616</v>
      </c>
      <c r="AK102" s="630">
        <v>0</v>
      </c>
      <c r="AL102" s="630">
        <v>33405.629999999997</v>
      </c>
      <c r="AM102" s="630">
        <v>2.6389999999999998</v>
      </c>
      <c r="AN102" s="630">
        <v>0</v>
      </c>
      <c r="AO102" s="630">
        <v>0</v>
      </c>
      <c r="AP102" s="630">
        <v>226935.78099999999</v>
      </c>
      <c r="AQ102" s="630">
        <v>771.02099999999996</v>
      </c>
      <c r="AR102" s="630">
        <v>226164.76</v>
      </c>
      <c r="AS102" s="630" t="s">
        <v>434</v>
      </c>
      <c r="AT102" s="630">
        <v>7685.7209999999995</v>
      </c>
      <c r="AU102" s="630">
        <v>21069.125</v>
      </c>
      <c r="AV102" s="630">
        <v>0</v>
      </c>
      <c r="AW102" s="630" t="s">
        <v>434</v>
      </c>
      <c r="AX102" s="630">
        <v>254919.606</v>
      </c>
      <c r="AY102" s="630">
        <v>8291.0580000000009</v>
      </c>
      <c r="AZ102" s="612" t="s">
        <v>430</v>
      </c>
      <c r="BA102" s="612" t="s">
        <v>433</v>
      </c>
      <c r="BB102" s="613" t="s">
        <v>551</v>
      </c>
      <c r="BC102" s="614">
        <v>7.9083334451206216E-2</v>
      </c>
      <c r="BD102" s="614">
        <v>1.4588404606655558E-2</v>
      </c>
      <c r="BE102" s="613" t="s">
        <v>573</v>
      </c>
      <c r="BF102" s="613" t="s">
        <v>573</v>
      </c>
      <c r="BG102" s="643"/>
      <c r="BH102" s="655"/>
    </row>
    <row r="103" spans="1:60" customFormat="1">
      <c r="A103" s="601" t="s">
        <v>61</v>
      </c>
      <c r="B103" s="601" t="s">
        <v>421</v>
      </c>
      <c r="C103" s="601">
        <v>4</v>
      </c>
      <c r="D103" s="601">
        <v>156</v>
      </c>
      <c r="E103" s="623" t="s">
        <v>251</v>
      </c>
      <c r="F103" s="623" t="s">
        <v>61</v>
      </c>
      <c r="G103" s="601" t="s">
        <v>567</v>
      </c>
      <c r="H103" s="623">
        <v>2014</v>
      </c>
      <c r="I103" s="631">
        <v>-3772.2280000000001</v>
      </c>
      <c r="J103" s="631">
        <v>17278.893</v>
      </c>
      <c r="K103" s="634">
        <v>-2.2094038727970089</v>
      </c>
      <c r="L103" s="634">
        <v>318.37943159999998</v>
      </c>
      <c r="M103" s="631">
        <v>170735.10399999999</v>
      </c>
      <c r="N103" s="632">
        <v>94080</v>
      </c>
      <c r="O103" s="632">
        <v>284954</v>
      </c>
      <c r="P103" s="635">
        <v>510.07870042182248</v>
      </c>
      <c r="Q103" s="631">
        <v>145348.96599999999</v>
      </c>
      <c r="R103" s="631">
        <v>145348.96599999999</v>
      </c>
      <c r="S103" s="631">
        <v>124663.54700000001</v>
      </c>
      <c r="T103" s="633">
        <v>85.76844433829686</v>
      </c>
      <c r="U103" s="625"/>
      <c r="V103" s="632">
        <v>123371</v>
      </c>
      <c r="W103" s="633">
        <v>5195.4069779683741</v>
      </c>
      <c r="X103" s="632">
        <v>109897</v>
      </c>
      <c r="Y103" s="632">
        <v>7530</v>
      </c>
      <c r="Z103" s="633">
        <v>4627.9890789390565</v>
      </c>
      <c r="AA103" s="633">
        <v>14.594555112881807</v>
      </c>
      <c r="AB103" s="630">
        <v>145225.71599999999</v>
      </c>
      <c r="AC103" s="630">
        <v>0</v>
      </c>
      <c r="AD103" s="630">
        <v>0</v>
      </c>
      <c r="AE103" s="630">
        <v>0</v>
      </c>
      <c r="AF103" s="630">
        <v>0</v>
      </c>
      <c r="AG103" s="630" t="s">
        <v>434</v>
      </c>
      <c r="AH103" s="630">
        <v>145225.71599999999</v>
      </c>
      <c r="AI103" s="630">
        <v>75684.854999999996</v>
      </c>
      <c r="AJ103" s="630">
        <v>2395.3919999999998</v>
      </c>
      <c r="AK103" s="630">
        <v>12086.227000000001</v>
      </c>
      <c r="AL103" s="630">
        <v>15750.295</v>
      </c>
      <c r="AM103" s="630">
        <v>18746.777999999998</v>
      </c>
      <c r="AN103" s="630">
        <v>0</v>
      </c>
      <c r="AO103" s="630">
        <v>0</v>
      </c>
      <c r="AP103" s="630">
        <v>124663.54700000001</v>
      </c>
      <c r="AQ103" s="630">
        <v>169.63399999999999</v>
      </c>
      <c r="AR103" s="630">
        <v>124493.913</v>
      </c>
      <c r="AS103" s="630" t="s">
        <v>434</v>
      </c>
      <c r="AT103" s="630">
        <v>11310.550999999999</v>
      </c>
      <c r="AU103" s="630">
        <v>14697.093000000001</v>
      </c>
      <c r="AV103" s="630">
        <v>0</v>
      </c>
      <c r="AW103" s="630" t="s">
        <v>434</v>
      </c>
      <c r="AX103" s="630">
        <v>150501.557</v>
      </c>
      <c r="AY103" s="630">
        <v>-5275.8410000000003</v>
      </c>
      <c r="AZ103" s="612" t="s">
        <v>430</v>
      </c>
      <c r="BA103" s="612" t="s">
        <v>433</v>
      </c>
      <c r="BB103" s="613" t="s">
        <v>551</v>
      </c>
      <c r="BC103" s="614">
        <v>0.10120293129642514</v>
      </c>
      <c r="BD103" s="614">
        <v>4.1112625320606291E-2</v>
      </c>
      <c r="BE103" s="613" t="s">
        <v>574</v>
      </c>
      <c r="BF103" s="613" t="s">
        <v>574</v>
      </c>
      <c r="BG103" s="643"/>
      <c r="BH103" s="655"/>
    </row>
    <row r="104" spans="1:60" customFormat="1">
      <c r="A104" s="612" t="s">
        <v>69</v>
      </c>
      <c r="B104" s="612" t="s">
        <v>318</v>
      </c>
      <c r="C104" s="612">
        <v>34</v>
      </c>
      <c r="D104" s="601">
        <v>96</v>
      </c>
      <c r="E104" s="623" t="s">
        <v>318</v>
      </c>
      <c r="F104" s="623" t="s">
        <v>69</v>
      </c>
      <c r="G104" s="601" t="s">
        <v>469</v>
      </c>
      <c r="H104" s="623">
        <v>2014</v>
      </c>
      <c r="I104" s="624">
        <v>19130.072</v>
      </c>
      <c r="J104" s="625">
        <v>37430.525999999998</v>
      </c>
      <c r="K104" s="626">
        <v>5.0118055871812341</v>
      </c>
      <c r="L104" s="626">
        <v>387.27479729999999</v>
      </c>
      <c r="M104" s="625">
        <v>381700.201</v>
      </c>
      <c r="N104" s="627">
        <v>90954</v>
      </c>
      <c r="O104" s="627">
        <v>1024642</v>
      </c>
      <c r="P104" s="628">
        <v>358.6710392507822</v>
      </c>
      <c r="Q104" s="625">
        <v>367509.41100000002</v>
      </c>
      <c r="R104" s="625">
        <v>367509.41100000002</v>
      </c>
      <c r="S104" s="625">
        <v>298495.36499999999</v>
      </c>
      <c r="T104" s="629">
        <v>81.221148646993413</v>
      </c>
      <c r="U104" s="625"/>
      <c r="V104" s="627">
        <v>509717</v>
      </c>
      <c r="W104" s="629">
        <v>5969.5034948791872</v>
      </c>
      <c r="X104" s="627">
        <v>35115</v>
      </c>
      <c r="Y104" s="627">
        <v>8200</v>
      </c>
      <c r="Z104" s="629">
        <v>411.2460742386121</v>
      </c>
      <c r="AA104" s="629">
        <v>4.2823170731707316</v>
      </c>
      <c r="AB104" s="630">
        <v>366237.82400000002</v>
      </c>
      <c r="AC104" s="630">
        <v>0</v>
      </c>
      <c r="AD104" s="630">
        <v>0</v>
      </c>
      <c r="AE104" s="630">
        <v>0</v>
      </c>
      <c r="AF104" s="630">
        <v>-434.26400000000001</v>
      </c>
      <c r="AG104" s="630" t="s">
        <v>434</v>
      </c>
      <c r="AH104" s="630">
        <v>365803.56099999999</v>
      </c>
      <c r="AI104" s="630">
        <v>211420.79699999999</v>
      </c>
      <c r="AJ104" s="630">
        <v>20785.921999999999</v>
      </c>
      <c r="AK104" s="630">
        <v>4026.4540000000002</v>
      </c>
      <c r="AL104" s="630">
        <v>20754.777999999998</v>
      </c>
      <c r="AM104" s="630">
        <v>39077.413999999997</v>
      </c>
      <c r="AN104" s="630">
        <v>0</v>
      </c>
      <c r="AO104" s="630">
        <v>2430</v>
      </c>
      <c r="AP104" s="630">
        <v>298495.36499999999</v>
      </c>
      <c r="AQ104" s="630">
        <v>1944.5260000000001</v>
      </c>
      <c r="AR104" s="630">
        <v>296550.83899999998</v>
      </c>
      <c r="AS104" s="630" t="s">
        <v>434</v>
      </c>
      <c r="AT104" s="630">
        <v>3763.223</v>
      </c>
      <c r="AU104" s="630">
        <v>35533.622000000003</v>
      </c>
      <c r="AV104" s="630">
        <v>0</v>
      </c>
      <c r="AW104" s="630" t="s">
        <v>434</v>
      </c>
      <c r="AX104" s="630">
        <v>335847.68300000002</v>
      </c>
      <c r="AY104" s="630">
        <v>29955.878000000001</v>
      </c>
      <c r="AZ104" s="612" t="s">
        <v>435</v>
      </c>
      <c r="BA104" s="612" t="s">
        <v>431</v>
      </c>
      <c r="BB104" s="613" t="s">
        <v>551</v>
      </c>
      <c r="BC104" s="614">
        <v>9.8062631096178007E-2</v>
      </c>
      <c r="BD104" s="614">
        <v>5.0118055871812339E-2</v>
      </c>
      <c r="BE104" s="613" t="s">
        <v>575</v>
      </c>
      <c r="BF104" s="613" t="s">
        <v>575</v>
      </c>
      <c r="BG104" s="643"/>
      <c r="BH104" s="655"/>
    </row>
    <row r="105" spans="1:60" customFormat="1">
      <c r="A105" s="612" t="s">
        <v>70</v>
      </c>
      <c r="B105" s="612" t="s">
        <v>394</v>
      </c>
      <c r="C105" s="612">
        <v>50</v>
      </c>
      <c r="D105" s="601">
        <v>102</v>
      </c>
      <c r="E105" s="623" t="s">
        <v>394</v>
      </c>
      <c r="F105" s="623" t="s">
        <v>70</v>
      </c>
      <c r="G105" s="601" t="s">
        <v>567</v>
      </c>
      <c r="H105" s="623">
        <v>2014</v>
      </c>
      <c r="I105" s="624">
        <v>85730.726999999999</v>
      </c>
      <c r="J105" s="625">
        <v>40420.945</v>
      </c>
      <c r="K105" s="626">
        <v>10.449903092079747</v>
      </c>
      <c r="L105" s="626">
        <v>1703.9953177</v>
      </c>
      <c r="M105" s="625">
        <v>820397.34</v>
      </c>
      <c r="N105" s="627">
        <v>89085</v>
      </c>
      <c r="O105" s="627">
        <v>978774</v>
      </c>
      <c r="P105" s="628">
        <v>429.53025315343478</v>
      </c>
      <c r="Q105" s="625">
        <v>420413.04399999999</v>
      </c>
      <c r="R105" s="625">
        <v>420413.04399999999</v>
      </c>
      <c r="S105" s="625">
        <v>352959.39399999997</v>
      </c>
      <c r="T105" s="629">
        <v>83.955386027461131</v>
      </c>
      <c r="U105" s="625"/>
      <c r="V105" s="627">
        <v>584818</v>
      </c>
      <c r="W105" s="629">
        <v>7170.0065592261335</v>
      </c>
      <c r="X105" s="627">
        <v>65741</v>
      </c>
      <c r="Y105" s="627">
        <v>13784</v>
      </c>
      <c r="Z105" s="629">
        <v>806.0001593830649</v>
      </c>
      <c r="AA105" s="629">
        <v>4.7693702843876959</v>
      </c>
      <c r="AB105" s="630">
        <v>420413.04399999999</v>
      </c>
      <c r="AC105" s="630">
        <v>0</v>
      </c>
      <c r="AD105" s="630">
        <v>0</v>
      </c>
      <c r="AE105" s="630">
        <v>0</v>
      </c>
      <c r="AF105" s="630">
        <v>0</v>
      </c>
      <c r="AG105" s="630" t="s">
        <v>434</v>
      </c>
      <c r="AH105" s="630">
        <v>420413.04399999999</v>
      </c>
      <c r="AI105" s="630">
        <v>265050.136</v>
      </c>
      <c r="AJ105" s="630">
        <v>13782.929</v>
      </c>
      <c r="AK105" s="630">
        <v>352.96</v>
      </c>
      <c r="AL105" s="630">
        <v>11490.183000000001</v>
      </c>
      <c r="AM105" s="630">
        <v>59367.343000000001</v>
      </c>
      <c r="AN105" s="630">
        <v>0</v>
      </c>
      <c r="AO105" s="630">
        <v>2915.8429999999998</v>
      </c>
      <c r="AP105" s="630">
        <v>352959.39399999997</v>
      </c>
      <c r="AQ105" s="630">
        <v>0</v>
      </c>
      <c r="AR105" s="630">
        <v>352959.39399999997</v>
      </c>
      <c r="AS105" s="630" t="s">
        <v>434</v>
      </c>
      <c r="AT105" s="630">
        <v>20321.187000000002</v>
      </c>
      <c r="AU105" s="630">
        <v>21692.822</v>
      </c>
      <c r="AV105" s="630">
        <v>0</v>
      </c>
      <c r="AW105" s="630" t="s">
        <v>434</v>
      </c>
      <c r="AX105" s="630">
        <v>394973.40299999999</v>
      </c>
      <c r="AY105" s="630">
        <v>25439.641</v>
      </c>
      <c r="AZ105" s="612" t="s">
        <v>430</v>
      </c>
      <c r="BA105" s="612" t="s">
        <v>431</v>
      </c>
      <c r="BB105" s="613" t="s">
        <v>551</v>
      </c>
      <c r="BC105" s="614">
        <v>4.9269961065451527E-2</v>
      </c>
      <c r="BD105" s="614">
        <v>0.11117617865993715</v>
      </c>
      <c r="BE105" s="613" t="s">
        <v>581</v>
      </c>
      <c r="BF105" s="613" t="s">
        <v>581</v>
      </c>
      <c r="BG105" s="643"/>
      <c r="BH105" s="655"/>
    </row>
    <row r="106" spans="1:60" customFormat="1">
      <c r="A106" s="601" t="s">
        <v>56</v>
      </c>
      <c r="B106" s="601" t="s">
        <v>420</v>
      </c>
      <c r="C106" s="601">
        <v>3</v>
      </c>
      <c r="D106" s="601">
        <v>116</v>
      </c>
      <c r="E106" s="623" t="s">
        <v>170</v>
      </c>
      <c r="F106" s="623" t="s">
        <v>56</v>
      </c>
      <c r="G106" s="601" t="s">
        <v>567</v>
      </c>
      <c r="H106" s="623">
        <v>2014</v>
      </c>
      <c r="I106" s="631">
        <v>11856.73</v>
      </c>
      <c r="J106" s="631">
        <v>65803.921000000002</v>
      </c>
      <c r="K106" s="634">
        <v>1.4206351862668156</v>
      </c>
      <c r="L106" s="634">
        <v>86.117638200000002</v>
      </c>
      <c r="M106" s="631">
        <v>834607.65399999998</v>
      </c>
      <c r="N106" s="632">
        <v>89022</v>
      </c>
      <c r="O106" s="632">
        <v>775261</v>
      </c>
      <c r="P106" s="635">
        <v>497.76915903160358</v>
      </c>
      <c r="Q106" s="631">
        <v>386444.16100000002</v>
      </c>
      <c r="R106" s="631">
        <v>385901.016</v>
      </c>
      <c r="S106" s="631">
        <v>346496.95400000003</v>
      </c>
      <c r="T106" s="633">
        <v>89.789075341537853</v>
      </c>
      <c r="U106" s="625"/>
      <c r="V106" s="632">
        <v>554454</v>
      </c>
      <c r="W106" s="633">
        <v>8582.2039287414173</v>
      </c>
      <c r="X106" s="632">
        <v>36166</v>
      </c>
      <c r="Y106" s="632">
        <v>6927</v>
      </c>
      <c r="Z106" s="633">
        <v>559.80115083823387</v>
      </c>
      <c r="AA106" s="633">
        <v>5.2210192002309803</v>
      </c>
      <c r="AB106" s="630">
        <v>385936.973</v>
      </c>
      <c r="AC106" s="630">
        <v>0</v>
      </c>
      <c r="AD106" s="630">
        <v>0</v>
      </c>
      <c r="AE106" s="630">
        <v>0</v>
      </c>
      <c r="AF106" s="630">
        <v>0</v>
      </c>
      <c r="AG106" s="630" t="s">
        <v>434</v>
      </c>
      <c r="AH106" s="630">
        <v>385936.973</v>
      </c>
      <c r="AI106" s="630">
        <v>111551.3</v>
      </c>
      <c r="AJ106" s="630">
        <v>74271.807000000001</v>
      </c>
      <c r="AK106" s="630">
        <v>0</v>
      </c>
      <c r="AL106" s="630">
        <v>0</v>
      </c>
      <c r="AM106" s="630">
        <v>141312.99299999999</v>
      </c>
      <c r="AN106" s="630">
        <v>0</v>
      </c>
      <c r="AO106" s="630">
        <v>15263.128000000001</v>
      </c>
      <c r="AP106" s="630">
        <v>342399.228</v>
      </c>
      <c r="AQ106" s="630">
        <v>48.753</v>
      </c>
      <c r="AR106" s="630">
        <v>342350.47499999998</v>
      </c>
      <c r="AS106" s="630" t="s">
        <v>434</v>
      </c>
      <c r="AT106" s="630">
        <v>3104.3919999999998</v>
      </c>
      <c r="AU106" s="630">
        <v>28040.742999999999</v>
      </c>
      <c r="AV106" s="630">
        <v>0</v>
      </c>
      <c r="AW106" s="630" t="s">
        <v>434</v>
      </c>
      <c r="AX106" s="630">
        <v>373495.61</v>
      </c>
      <c r="AY106" s="630">
        <v>12441.362999999999</v>
      </c>
      <c r="AZ106" s="612" t="s">
        <v>430</v>
      </c>
      <c r="BA106" s="612" t="s">
        <v>433</v>
      </c>
      <c r="BB106" s="613" t="s">
        <v>551</v>
      </c>
      <c r="BC106" s="614">
        <v>7.8844137942688935E-2</v>
      </c>
      <c r="BD106" s="614">
        <v>2.3265108641932569E-2</v>
      </c>
      <c r="BE106" s="613" t="s">
        <v>573</v>
      </c>
      <c r="BF106" s="613" t="s">
        <v>573</v>
      </c>
      <c r="BG106" s="643"/>
      <c r="BH106" s="655"/>
    </row>
    <row r="107" spans="1:60" customFormat="1">
      <c r="A107" s="601" t="s">
        <v>84</v>
      </c>
      <c r="B107" s="601" t="s">
        <v>419</v>
      </c>
      <c r="C107" s="601">
        <v>2</v>
      </c>
      <c r="D107" s="601">
        <v>99</v>
      </c>
      <c r="E107" s="623" t="s">
        <v>172</v>
      </c>
      <c r="F107" s="623" t="s">
        <v>84</v>
      </c>
      <c r="G107" s="601" t="s">
        <v>567</v>
      </c>
      <c r="H107" s="623">
        <v>2014</v>
      </c>
      <c r="I107" s="631">
        <v>22199.794999999998</v>
      </c>
      <c r="J107" s="631">
        <v>19380.032999999999</v>
      </c>
      <c r="K107" s="634">
        <v>5.4474158545607017</v>
      </c>
      <c r="L107" s="634">
        <v>332.03254129999999</v>
      </c>
      <c r="M107" s="631">
        <v>407528.92</v>
      </c>
      <c r="N107" s="632">
        <v>88812</v>
      </c>
      <c r="O107" s="632">
        <v>1006466</v>
      </c>
      <c r="P107" s="635">
        <v>349.94184900433794</v>
      </c>
      <c r="Q107" s="631">
        <v>352204.57299999997</v>
      </c>
      <c r="R107" s="631">
        <v>352204.57299999997</v>
      </c>
      <c r="S107" s="631">
        <v>280925.12699999998</v>
      </c>
      <c r="T107" s="633">
        <v>79.761919218465124</v>
      </c>
      <c r="U107" s="636"/>
      <c r="V107" s="632">
        <v>644982</v>
      </c>
      <c r="W107" s="633">
        <v>7690.0600715771816</v>
      </c>
      <c r="X107" s="632">
        <v>33579</v>
      </c>
      <c r="Y107" s="632">
        <v>7081</v>
      </c>
      <c r="Z107" s="633">
        <v>400.35927691546459</v>
      </c>
      <c r="AA107" s="633">
        <v>4.7421268182460103</v>
      </c>
      <c r="AB107" s="630">
        <v>350195.005</v>
      </c>
      <c r="AC107" s="630">
        <v>0</v>
      </c>
      <c r="AD107" s="630">
        <v>0</v>
      </c>
      <c r="AE107" s="630">
        <v>0</v>
      </c>
      <c r="AF107" s="630">
        <v>7071.1329999999998</v>
      </c>
      <c r="AG107" s="630" t="s">
        <v>434</v>
      </c>
      <c r="AH107" s="630">
        <v>357266.13799999998</v>
      </c>
      <c r="AI107" s="630">
        <v>187910.935</v>
      </c>
      <c r="AJ107" s="630">
        <v>25720.53</v>
      </c>
      <c r="AK107" s="630">
        <v>0</v>
      </c>
      <c r="AL107" s="630">
        <v>23526.317999999999</v>
      </c>
      <c r="AM107" s="630">
        <v>38709.777999999998</v>
      </c>
      <c r="AN107" s="630">
        <v>0</v>
      </c>
      <c r="AO107" s="630">
        <v>5057.567</v>
      </c>
      <c r="AP107" s="630">
        <v>280925.12699999998</v>
      </c>
      <c r="AQ107" s="630">
        <v>5720.6809999999996</v>
      </c>
      <c r="AR107" s="630">
        <v>275204.446</v>
      </c>
      <c r="AS107" s="630" t="s">
        <v>434</v>
      </c>
      <c r="AT107" s="630">
        <v>29859.024000000001</v>
      </c>
      <c r="AU107" s="630">
        <v>15804.146000000001</v>
      </c>
      <c r="AV107" s="630">
        <v>0</v>
      </c>
      <c r="AW107" s="630" t="s">
        <v>434</v>
      </c>
      <c r="AX107" s="630">
        <v>320867.61599999998</v>
      </c>
      <c r="AY107" s="630">
        <v>36398.521999999997</v>
      </c>
      <c r="AZ107" s="612" t="s">
        <v>430</v>
      </c>
      <c r="BA107" s="612" t="s">
        <v>433</v>
      </c>
      <c r="BB107" s="613" t="s">
        <v>551</v>
      </c>
      <c r="BC107" s="614">
        <v>4.7554988244760642E-2</v>
      </c>
      <c r="BD107" s="614">
        <v>0.15482581957058808</v>
      </c>
      <c r="BE107" s="613" t="s">
        <v>582</v>
      </c>
      <c r="BF107" s="613" t="s">
        <v>582</v>
      </c>
      <c r="BG107" s="643"/>
      <c r="BH107" s="655"/>
    </row>
    <row r="108" spans="1:60" customFormat="1">
      <c r="A108" s="601" t="s">
        <v>96</v>
      </c>
      <c r="B108" s="601" t="s">
        <v>420</v>
      </c>
      <c r="C108" s="601">
        <v>3</v>
      </c>
      <c r="D108" s="601">
        <v>90</v>
      </c>
      <c r="E108" s="623" t="s">
        <v>271</v>
      </c>
      <c r="F108" s="623" t="s">
        <v>96</v>
      </c>
      <c r="G108" s="601" t="s">
        <v>469</v>
      </c>
      <c r="H108" s="623">
        <v>2014</v>
      </c>
      <c r="I108" s="631">
        <v>24522.036</v>
      </c>
      <c r="J108" s="631">
        <v>12496.621999999999</v>
      </c>
      <c r="K108" s="634">
        <v>8.9019834793122286</v>
      </c>
      <c r="L108" s="634">
        <v>708.68655790000003</v>
      </c>
      <c r="M108" s="631">
        <v>275467.103</v>
      </c>
      <c r="N108" s="632">
        <v>88546</v>
      </c>
      <c r="O108" s="632">
        <v>1109394</v>
      </c>
      <c r="P108" s="635">
        <v>248.30412188996877</v>
      </c>
      <c r="Q108" s="631">
        <v>275467.103</v>
      </c>
      <c r="R108" s="631">
        <v>275467.103</v>
      </c>
      <c r="S108" s="631">
        <v>212948.34400000001</v>
      </c>
      <c r="T108" s="633">
        <v>77.304455479752889</v>
      </c>
      <c r="U108" s="625"/>
      <c r="V108" s="632">
        <v>578473</v>
      </c>
      <c r="W108" s="633">
        <v>6257.1782432571299</v>
      </c>
      <c r="X108" s="632">
        <v>37173</v>
      </c>
      <c r="Y108" s="632">
        <v>10749</v>
      </c>
      <c r="Z108" s="633">
        <v>402.08978956078727</v>
      </c>
      <c r="AA108" s="633">
        <v>3.4582751883896177</v>
      </c>
      <c r="AB108" s="630">
        <v>275467.103</v>
      </c>
      <c r="AC108" s="630">
        <v>0</v>
      </c>
      <c r="AD108" s="630">
        <v>0</v>
      </c>
      <c r="AE108" s="630">
        <v>0</v>
      </c>
      <c r="AF108" s="630">
        <v>0</v>
      </c>
      <c r="AG108" s="630" t="s">
        <v>434</v>
      </c>
      <c r="AH108" s="630">
        <v>275467.103</v>
      </c>
      <c r="AI108" s="630">
        <v>160117.37599999999</v>
      </c>
      <c r="AJ108" s="630">
        <v>4618.2120000000004</v>
      </c>
      <c r="AK108" s="630">
        <v>0</v>
      </c>
      <c r="AL108" s="630">
        <v>0</v>
      </c>
      <c r="AM108" s="630">
        <v>48212.756000000001</v>
      </c>
      <c r="AN108" s="630">
        <v>0</v>
      </c>
      <c r="AO108" s="630">
        <v>0</v>
      </c>
      <c r="AP108" s="630">
        <v>212948.34400000001</v>
      </c>
      <c r="AQ108" s="630">
        <v>0</v>
      </c>
      <c r="AR108" s="630">
        <v>212948.34400000001</v>
      </c>
      <c r="AS108" s="630" t="s">
        <v>434</v>
      </c>
      <c r="AT108" s="630">
        <v>12561.297</v>
      </c>
      <c r="AU108" s="630">
        <v>12496.621999999999</v>
      </c>
      <c r="AV108" s="630">
        <v>0</v>
      </c>
      <c r="AW108" s="630" t="s">
        <v>434</v>
      </c>
      <c r="AX108" s="630">
        <v>238006.26300000001</v>
      </c>
      <c r="AY108" s="630">
        <v>37460.839999999997</v>
      </c>
      <c r="AZ108" s="612" t="s">
        <v>430</v>
      </c>
      <c r="BA108" s="612" t="s">
        <v>433</v>
      </c>
      <c r="BB108" s="613" t="s">
        <v>551</v>
      </c>
      <c r="BC108" s="614">
        <v>4.5365206458064793E-2</v>
      </c>
      <c r="BD108" s="614">
        <v>8.9019834793122282E-2</v>
      </c>
      <c r="BE108" s="613" t="s">
        <v>576</v>
      </c>
      <c r="BF108" s="613" t="s">
        <v>576</v>
      </c>
      <c r="BG108" s="643"/>
      <c r="BH108" s="655"/>
    </row>
    <row r="109" spans="1:60" customFormat="1">
      <c r="A109" s="601" t="s">
        <v>61</v>
      </c>
      <c r="B109" s="601" t="s">
        <v>419</v>
      </c>
      <c r="C109" s="601">
        <v>2</v>
      </c>
      <c r="D109" s="601">
        <v>141</v>
      </c>
      <c r="E109" s="623" t="s">
        <v>320</v>
      </c>
      <c r="F109" s="623" t="s">
        <v>61</v>
      </c>
      <c r="G109" s="601" t="s">
        <v>469</v>
      </c>
      <c r="H109" s="623">
        <v>2014</v>
      </c>
      <c r="I109" s="631">
        <v>10875.782999999999</v>
      </c>
      <c r="J109" s="631">
        <v>20300.134999999998</v>
      </c>
      <c r="K109" s="634">
        <v>2.0597926245164939</v>
      </c>
      <c r="L109" s="634">
        <v>441.22683289999998</v>
      </c>
      <c r="M109" s="631">
        <v>528003.78399999999</v>
      </c>
      <c r="N109" s="632">
        <v>88274</v>
      </c>
      <c r="O109" s="632">
        <v>415146</v>
      </c>
      <c r="P109" s="635">
        <v>1271.6149210157391</v>
      </c>
      <c r="Q109" s="631">
        <v>527905.848</v>
      </c>
      <c r="R109" s="631">
        <v>527905.848</v>
      </c>
      <c r="S109" s="631">
        <v>472911.163</v>
      </c>
      <c r="T109" s="633">
        <v>89.582482329311105</v>
      </c>
      <c r="U109" s="636"/>
      <c r="V109" s="632">
        <v>296957</v>
      </c>
      <c r="W109" s="633">
        <v>8583.6886300241367</v>
      </c>
      <c r="X109" s="632">
        <v>768766</v>
      </c>
      <c r="Y109" s="632">
        <v>36668</v>
      </c>
      <c r="Z109" s="633">
        <v>22221.560607593474</v>
      </c>
      <c r="AA109" s="633">
        <v>20.965583069706557</v>
      </c>
      <c r="AB109" s="630">
        <v>523869.54399999999</v>
      </c>
      <c r="AC109" s="630">
        <v>-5151.8230000000003</v>
      </c>
      <c r="AD109" s="630">
        <v>0</v>
      </c>
      <c r="AE109" s="630">
        <v>0</v>
      </c>
      <c r="AF109" s="630">
        <v>0</v>
      </c>
      <c r="AG109" s="630" t="s">
        <v>434</v>
      </c>
      <c r="AH109" s="630">
        <v>518717.72100000002</v>
      </c>
      <c r="AI109" s="630">
        <v>320830.50799999997</v>
      </c>
      <c r="AJ109" s="630">
        <v>33779.629000000001</v>
      </c>
      <c r="AK109" s="630">
        <v>0</v>
      </c>
      <c r="AL109" s="630">
        <v>14811.501</v>
      </c>
      <c r="AM109" s="630">
        <v>101755.60799999999</v>
      </c>
      <c r="AN109" s="630">
        <v>0</v>
      </c>
      <c r="AO109" s="630">
        <v>1733.9179999999999</v>
      </c>
      <c r="AP109" s="630">
        <v>472911.16399999999</v>
      </c>
      <c r="AQ109" s="630">
        <v>2775.002</v>
      </c>
      <c r="AR109" s="630">
        <v>470136.16200000001</v>
      </c>
      <c r="AS109" s="630" t="s">
        <v>434</v>
      </c>
      <c r="AT109" s="630">
        <v>10054.691999999999</v>
      </c>
      <c r="AU109" s="630">
        <v>19435.161</v>
      </c>
      <c r="AV109" s="630">
        <v>0</v>
      </c>
      <c r="AW109" s="630" t="s">
        <v>434</v>
      </c>
      <c r="AX109" s="630">
        <v>499626.01500000001</v>
      </c>
      <c r="AY109" s="630">
        <v>19091.705999999998</v>
      </c>
      <c r="AZ109" s="612" t="s">
        <v>430</v>
      </c>
      <c r="BA109" s="612" t="s">
        <v>433</v>
      </c>
      <c r="BB109" s="613" t="s">
        <v>551</v>
      </c>
      <c r="BC109" s="614">
        <v>3.8446949842314004E-2</v>
      </c>
      <c r="BD109" s="614">
        <v>2.0597926245164939E-2</v>
      </c>
      <c r="BE109" s="613" t="s">
        <v>573</v>
      </c>
      <c r="BF109" s="613" t="s">
        <v>573</v>
      </c>
      <c r="BG109" s="643"/>
      <c r="BH109" s="655"/>
    </row>
    <row r="110" spans="1:60" customFormat="1">
      <c r="A110" s="601" t="s">
        <v>72</v>
      </c>
      <c r="B110" s="601" t="s">
        <v>418</v>
      </c>
      <c r="C110" s="601">
        <v>1</v>
      </c>
      <c r="D110" s="601">
        <v>110</v>
      </c>
      <c r="E110" s="623" t="s">
        <v>280</v>
      </c>
      <c r="F110" s="623" t="s">
        <v>72</v>
      </c>
      <c r="G110" s="601" t="s">
        <v>469</v>
      </c>
      <c r="H110" s="623">
        <v>2014</v>
      </c>
      <c r="I110" s="631">
        <v>13383.52</v>
      </c>
      <c r="J110" s="631">
        <v>31271.526999999998</v>
      </c>
      <c r="K110" s="634">
        <v>3.3432976703124275</v>
      </c>
      <c r="L110" s="634">
        <v>395.90659629999999</v>
      </c>
      <c r="M110" s="631">
        <v>400308.95600000001</v>
      </c>
      <c r="N110" s="632">
        <v>87516</v>
      </c>
      <c r="O110" s="632">
        <v>842465</v>
      </c>
      <c r="P110" s="635">
        <v>468.70618245268349</v>
      </c>
      <c r="Q110" s="631">
        <v>394868.554</v>
      </c>
      <c r="R110" s="631">
        <v>394868.554</v>
      </c>
      <c r="S110" s="631">
        <v>337975.02600000001</v>
      </c>
      <c r="T110" s="633">
        <v>85.591780499188602</v>
      </c>
      <c r="U110" s="625"/>
      <c r="V110" s="632">
        <v>1241661</v>
      </c>
      <c r="W110" s="633">
        <v>17686.11396319135</v>
      </c>
      <c r="X110" s="632">
        <v>6683</v>
      </c>
      <c r="Y110" s="632">
        <v>1278</v>
      </c>
      <c r="Z110" s="633">
        <v>95.192085131133041</v>
      </c>
      <c r="AA110" s="633">
        <v>5.2292644757433493</v>
      </c>
      <c r="AB110" s="630">
        <v>368277</v>
      </c>
      <c r="AC110" s="630">
        <v>0</v>
      </c>
      <c r="AD110" s="630">
        <v>0</v>
      </c>
      <c r="AE110" s="630">
        <v>0</v>
      </c>
      <c r="AF110" s="630">
        <v>0</v>
      </c>
      <c r="AG110" s="630" t="s">
        <v>434</v>
      </c>
      <c r="AH110" s="630">
        <v>368277</v>
      </c>
      <c r="AI110" s="630">
        <v>235275.78099999999</v>
      </c>
      <c r="AJ110" s="630">
        <v>7607.5450000000001</v>
      </c>
      <c r="AK110" s="630">
        <v>0</v>
      </c>
      <c r="AL110" s="630">
        <v>0</v>
      </c>
      <c r="AM110" s="630">
        <v>94903.745999999999</v>
      </c>
      <c r="AN110" s="630">
        <v>0</v>
      </c>
      <c r="AO110" s="630">
        <v>187.95400000000001</v>
      </c>
      <c r="AP110" s="630">
        <v>337975.02600000001</v>
      </c>
      <c r="AQ110" s="630">
        <v>23845.748</v>
      </c>
      <c r="AR110" s="630">
        <v>314129.27799999999</v>
      </c>
      <c r="AS110" s="630" t="s">
        <v>434</v>
      </c>
      <c r="AT110" s="630">
        <v>12228.118</v>
      </c>
      <c r="AU110" s="630">
        <v>25433.431</v>
      </c>
      <c r="AV110" s="630">
        <v>-4784</v>
      </c>
      <c r="AW110" s="630" t="s">
        <v>434</v>
      </c>
      <c r="AX110" s="630">
        <v>347006.82699999999</v>
      </c>
      <c r="AY110" s="630">
        <v>21270.172999999999</v>
      </c>
      <c r="AZ110" s="612" t="s">
        <v>430</v>
      </c>
      <c r="BA110" s="612" t="s">
        <v>433</v>
      </c>
      <c r="BB110" s="613" t="s">
        <v>551</v>
      </c>
      <c r="BC110" s="614">
        <v>7.8118479567566804E-2</v>
      </c>
      <c r="BD110" s="614">
        <v>3.3432976703124277E-2</v>
      </c>
      <c r="BE110" s="613" t="s">
        <v>574</v>
      </c>
      <c r="BF110" s="613" t="s">
        <v>574</v>
      </c>
      <c r="BG110" s="643"/>
      <c r="BH110" s="655"/>
    </row>
    <row r="111" spans="1:60" customFormat="1">
      <c r="A111" s="601" t="s">
        <v>87</v>
      </c>
      <c r="B111" s="612" t="s">
        <v>332</v>
      </c>
      <c r="C111" s="601">
        <v>56</v>
      </c>
      <c r="D111" s="601">
        <v>106</v>
      </c>
      <c r="E111" s="623" t="s">
        <v>332</v>
      </c>
      <c r="F111" s="623" t="s">
        <v>87</v>
      </c>
      <c r="G111" s="601" t="s">
        <v>567</v>
      </c>
      <c r="H111" s="623">
        <v>2014</v>
      </c>
      <c r="I111" s="624">
        <v>57325.813000000002</v>
      </c>
      <c r="J111" s="625">
        <v>325790.33299999998</v>
      </c>
      <c r="K111" s="626">
        <v>1.9977908632162522</v>
      </c>
      <c r="L111" s="626">
        <v>802.28771570141896</v>
      </c>
      <c r="M111" s="625">
        <v>2869460.165</v>
      </c>
      <c r="N111" s="627">
        <v>83831</v>
      </c>
      <c r="O111" s="627">
        <v>901347</v>
      </c>
      <c r="P111" s="628">
        <v>312.00136462427901</v>
      </c>
      <c r="Q111" s="625">
        <v>281221.49400000001</v>
      </c>
      <c r="R111" s="625">
        <v>281221.49400000001</v>
      </c>
      <c r="S111" s="625">
        <v>239093.19500000001</v>
      </c>
      <c r="T111" s="629">
        <v>85.019530903992703</v>
      </c>
      <c r="U111" s="625"/>
      <c r="V111" s="627">
        <v>677121</v>
      </c>
      <c r="W111" s="629">
        <v>9014.7878674916537</v>
      </c>
      <c r="X111" s="627">
        <v>54829</v>
      </c>
      <c r="Y111" s="627">
        <v>14759</v>
      </c>
      <c r="Z111" s="629">
        <v>729.96082529813714</v>
      </c>
      <c r="AA111" s="629">
        <v>3.714953587641439</v>
      </c>
      <c r="AB111" s="630" t="s">
        <v>20</v>
      </c>
      <c r="AC111" s="630" t="s">
        <v>20</v>
      </c>
      <c r="AD111" s="630" t="s">
        <v>20</v>
      </c>
      <c r="AE111" s="630" t="s">
        <v>20</v>
      </c>
      <c r="AF111" s="630" t="s">
        <v>20</v>
      </c>
      <c r="AG111" s="630" t="s">
        <v>20</v>
      </c>
      <c r="AH111" s="630" t="s">
        <v>20</v>
      </c>
      <c r="AI111" s="630" t="s">
        <v>20</v>
      </c>
      <c r="AJ111" s="630" t="s">
        <v>20</v>
      </c>
      <c r="AK111" s="630" t="s">
        <v>20</v>
      </c>
      <c r="AL111" s="630" t="s">
        <v>20</v>
      </c>
      <c r="AM111" s="630" t="s">
        <v>20</v>
      </c>
      <c r="AN111" s="630" t="s">
        <v>20</v>
      </c>
      <c r="AO111" s="630" t="s">
        <v>20</v>
      </c>
      <c r="AP111" s="630" t="s">
        <v>20</v>
      </c>
      <c r="AQ111" s="630" t="s">
        <v>20</v>
      </c>
      <c r="AR111" s="630" t="s">
        <v>20</v>
      </c>
      <c r="AS111" s="630" t="s">
        <v>20</v>
      </c>
      <c r="AT111" s="630" t="s">
        <v>20</v>
      </c>
      <c r="AU111" s="630" t="s">
        <v>20</v>
      </c>
      <c r="AV111" s="630" t="s">
        <v>20</v>
      </c>
      <c r="AW111" s="630" t="s">
        <v>20</v>
      </c>
      <c r="AX111" s="630" t="s">
        <v>20</v>
      </c>
      <c r="AY111" s="630" t="s">
        <v>20</v>
      </c>
      <c r="AZ111" s="612" t="s">
        <v>430</v>
      </c>
      <c r="BA111" s="612" t="s">
        <v>431</v>
      </c>
      <c r="BB111" s="613" t="s">
        <v>551</v>
      </c>
      <c r="BC111" s="614">
        <v>0.11353715133382937</v>
      </c>
      <c r="BD111" s="614">
        <v>3.6267539626243614E-2</v>
      </c>
      <c r="BE111" s="613" t="s">
        <v>574</v>
      </c>
      <c r="BF111" s="613" t="s">
        <v>574</v>
      </c>
      <c r="BG111" s="643"/>
      <c r="BH111" s="655"/>
    </row>
    <row r="112" spans="1:60" customFormat="1">
      <c r="A112" s="612" t="s">
        <v>69</v>
      </c>
      <c r="B112" s="612" t="s">
        <v>227</v>
      </c>
      <c r="C112" s="612">
        <v>35</v>
      </c>
      <c r="D112" s="601">
        <v>104</v>
      </c>
      <c r="E112" s="623" t="s">
        <v>227</v>
      </c>
      <c r="F112" s="623" t="s">
        <v>69</v>
      </c>
      <c r="G112" s="601" t="s">
        <v>469</v>
      </c>
      <c r="H112" s="623">
        <v>2014</v>
      </c>
      <c r="I112" s="624">
        <v>-8934.8510000000006</v>
      </c>
      <c r="J112" s="625">
        <v>33433.955000000002</v>
      </c>
      <c r="K112" s="626">
        <v>-3.0191322951532817</v>
      </c>
      <c r="L112" s="626">
        <v>248.0022323</v>
      </c>
      <c r="M112" s="625">
        <v>295941.02299999999</v>
      </c>
      <c r="N112" s="627">
        <v>83513</v>
      </c>
      <c r="O112" s="627">
        <v>933106</v>
      </c>
      <c r="P112" s="628">
        <v>317.33632513347897</v>
      </c>
      <c r="Q112" s="625">
        <v>296108.429</v>
      </c>
      <c r="R112" s="625">
        <v>296108.429</v>
      </c>
      <c r="S112" s="625">
        <v>268136.69799999997</v>
      </c>
      <c r="T112" s="629">
        <v>90.553551246594182</v>
      </c>
      <c r="U112" s="625"/>
      <c r="V112" s="627">
        <v>222517</v>
      </c>
      <c r="W112" s="629">
        <v>2861.6298684179505</v>
      </c>
      <c r="X112" s="627">
        <v>38681</v>
      </c>
      <c r="Y112" s="627">
        <v>9100</v>
      </c>
      <c r="Z112" s="629">
        <v>497.44830705193192</v>
      </c>
      <c r="AA112" s="629">
        <v>4.2506593406593405</v>
      </c>
      <c r="AB112" s="630">
        <v>295941.02299999999</v>
      </c>
      <c r="AC112" s="630">
        <v>0</v>
      </c>
      <c r="AD112" s="630">
        <v>0</v>
      </c>
      <c r="AE112" s="630">
        <v>0</v>
      </c>
      <c r="AF112" s="630">
        <v>0</v>
      </c>
      <c r="AG112" s="630" t="s">
        <v>434</v>
      </c>
      <c r="AH112" s="630">
        <v>295941.02299999999</v>
      </c>
      <c r="AI112" s="630">
        <v>197809.853</v>
      </c>
      <c r="AJ112" s="630">
        <v>0</v>
      </c>
      <c r="AK112" s="630">
        <v>0</v>
      </c>
      <c r="AL112" s="630">
        <v>17119.483</v>
      </c>
      <c r="AM112" s="630">
        <v>43627.372000000003</v>
      </c>
      <c r="AN112" s="630">
        <v>3110.2150000000001</v>
      </c>
      <c r="AO112" s="630">
        <v>6469.7749999999996</v>
      </c>
      <c r="AP112" s="630">
        <v>268136.69799999997</v>
      </c>
      <c r="AQ112" s="630">
        <v>0</v>
      </c>
      <c r="AR112" s="630">
        <v>268136.69799999997</v>
      </c>
      <c r="AS112" s="630" t="s">
        <v>434</v>
      </c>
      <c r="AT112" s="630">
        <v>6096.4279999999999</v>
      </c>
      <c r="AU112" s="630">
        <v>33433.955000000002</v>
      </c>
      <c r="AV112" s="630">
        <v>0</v>
      </c>
      <c r="AW112" s="630" t="s">
        <v>434</v>
      </c>
      <c r="AX112" s="630">
        <v>307667.08100000001</v>
      </c>
      <c r="AY112" s="630">
        <v>-11726.058000000001</v>
      </c>
      <c r="AZ112" s="612" t="s">
        <v>435</v>
      </c>
      <c r="BA112" s="612" t="s">
        <v>431</v>
      </c>
      <c r="BB112" s="613" t="s">
        <v>551</v>
      </c>
      <c r="BC112" s="614">
        <v>0.11297506057482272</v>
      </c>
      <c r="BD112" s="614">
        <v>-3.0191322951532817E-2</v>
      </c>
      <c r="BE112" s="613" t="s">
        <v>571</v>
      </c>
      <c r="BF112" s="613" t="s">
        <v>571</v>
      </c>
      <c r="BG112" s="643"/>
      <c r="BH112" s="655"/>
    </row>
    <row r="113" spans="1:60" customFormat="1">
      <c r="A113" s="601" t="s">
        <v>76</v>
      </c>
      <c r="B113" s="601" t="s">
        <v>424</v>
      </c>
      <c r="C113" s="601">
        <v>5</v>
      </c>
      <c r="D113" s="601">
        <v>101</v>
      </c>
      <c r="E113" s="623" t="s">
        <v>211</v>
      </c>
      <c r="F113" s="623" t="s">
        <v>76</v>
      </c>
      <c r="G113" s="601" t="s">
        <v>567</v>
      </c>
      <c r="H113" s="623">
        <v>2014</v>
      </c>
      <c r="I113" s="624">
        <v>11076.317999999999</v>
      </c>
      <c r="J113" s="625">
        <v>47395.815000000002</v>
      </c>
      <c r="K113" s="626">
        <v>2.6243343395046224</v>
      </c>
      <c r="L113" s="626">
        <v>430.7652827</v>
      </c>
      <c r="M113" s="625">
        <v>422062</v>
      </c>
      <c r="N113" s="627">
        <v>82405</v>
      </c>
      <c r="O113" s="627">
        <v>987344</v>
      </c>
      <c r="P113" s="628">
        <v>268.07581957250972</v>
      </c>
      <c r="Q113" s="625">
        <v>264683.05200000003</v>
      </c>
      <c r="R113" s="625">
        <v>264683.05200000003</v>
      </c>
      <c r="S113" s="625">
        <v>221548.016</v>
      </c>
      <c r="T113" s="629">
        <v>83.703136383662368</v>
      </c>
      <c r="U113" s="625"/>
      <c r="V113" s="627">
        <v>400774</v>
      </c>
      <c r="W113" s="629">
        <v>4870.9345476348672</v>
      </c>
      <c r="X113" s="627">
        <v>22766</v>
      </c>
      <c r="Y113" s="627">
        <v>5324</v>
      </c>
      <c r="Z113" s="629">
        <v>276.69383720364937</v>
      </c>
      <c r="AA113" s="629">
        <v>4.27610818933133</v>
      </c>
      <c r="AB113" s="630">
        <v>261479.38399999999</v>
      </c>
      <c r="AC113" s="630">
        <v>0</v>
      </c>
      <c r="AD113" s="630">
        <v>0</v>
      </c>
      <c r="AE113" s="630">
        <v>0</v>
      </c>
      <c r="AF113" s="630">
        <v>0</v>
      </c>
      <c r="AG113" s="630" t="s">
        <v>434</v>
      </c>
      <c r="AH113" s="630">
        <v>261479.38399999999</v>
      </c>
      <c r="AI113" s="630">
        <v>206870.56299999999</v>
      </c>
      <c r="AJ113" s="630">
        <v>3858.6089999999999</v>
      </c>
      <c r="AK113" s="630">
        <v>0</v>
      </c>
      <c r="AL113" s="630">
        <v>8310.5859999999993</v>
      </c>
      <c r="AM113" s="630">
        <v>2508.2579999999998</v>
      </c>
      <c r="AN113" s="630">
        <v>0</v>
      </c>
      <c r="AO113" s="630">
        <v>0</v>
      </c>
      <c r="AP113" s="630">
        <v>221548.016</v>
      </c>
      <c r="AQ113" s="630">
        <v>995.89</v>
      </c>
      <c r="AR113" s="630">
        <v>220552.12599999999</v>
      </c>
      <c r="AS113" s="630" t="s">
        <v>434</v>
      </c>
      <c r="AT113" s="630">
        <v>5033.8999999999996</v>
      </c>
      <c r="AU113" s="630">
        <v>26129.962</v>
      </c>
      <c r="AV113" s="630">
        <v>0</v>
      </c>
      <c r="AW113" s="630" t="s">
        <v>434</v>
      </c>
      <c r="AX113" s="630">
        <v>251715.98800000001</v>
      </c>
      <c r="AY113" s="630">
        <v>9763.3960000000006</v>
      </c>
      <c r="AZ113" s="612" t="s">
        <v>430</v>
      </c>
      <c r="BA113" s="612" t="s">
        <v>433</v>
      </c>
      <c r="BB113" s="613" t="s">
        <v>551</v>
      </c>
      <c r="BC113" s="614">
        <v>0.11229585937611063</v>
      </c>
      <c r="BD113" s="614">
        <v>5.0672776787265686E-2</v>
      </c>
      <c r="BE113" s="613" t="s">
        <v>575</v>
      </c>
      <c r="BF113" s="613" t="s">
        <v>575</v>
      </c>
      <c r="BG113" s="643"/>
      <c r="BH113" s="655"/>
    </row>
    <row r="114" spans="1:60" customFormat="1">
      <c r="A114" s="601" t="s">
        <v>95</v>
      </c>
      <c r="B114" s="601" t="s">
        <v>421</v>
      </c>
      <c r="C114" s="601">
        <v>4</v>
      </c>
      <c r="D114" s="601">
        <v>100</v>
      </c>
      <c r="E114" s="623" t="s">
        <v>257</v>
      </c>
      <c r="F114" s="623" t="s">
        <v>95</v>
      </c>
      <c r="G114" s="601" t="s">
        <v>567</v>
      </c>
      <c r="H114" s="623">
        <v>2014</v>
      </c>
      <c r="I114" s="631">
        <v>-933.43399999999997</v>
      </c>
      <c r="J114" s="631">
        <v>23466.633000000002</v>
      </c>
      <c r="K114" s="634">
        <v>-0.57990125760805344</v>
      </c>
      <c r="L114" s="634">
        <v>411.04357329999999</v>
      </c>
      <c r="M114" s="631">
        <v>160964.29999999999</v>
      </c>
      <c r="N114" s="632">
        <v>80788</v>
      </c>
      <c r="O114" s="632">
        <v>999867</v>
      </c>
      <c r="P114" s="635">
        <v>142.58417569536749</v>
      </c>
      <c r="Q114" s="631">
        <v>142565.212</v>
      </c>
      <c r="R114" s="631">
        <v>142565.212</v>
      </c>
      <c r="S114" s="631">
        <v>109733.935</v>
      </c>
      <c r="T114" s="633">
        <v>76.97104606416886</v>
      </c>
      <c r="U114" s="625"/>
      <c r="V114" s="632">
        <v>374621</v>
      </c>
      <c r="W114" s="633">
        <v>4496.0499746466276</v>
      </c>
      <c r="X114" s="632">
        <v>27602</v>
      </c>
      <c r="Y114" s="632">
        <v>7424</v>
      </c>
      <c r="Z114" s="633">
        <v>331.26805865180069</v>
      </c>
      <c r="AA114" s="633">
        <v>3.7179418103448274</v>
      </c>
      <c r="AB114" s="630">
        <v>142525.93700000001</v>
      </c>
      <c r="AC114" s="630">
        <v>0</v>
      </c>
      <c r="AD114" s="630">
        <v>0</v>
      </c>
      <c r="AE114" s="630">
        <v>0</v>
      </c>
      <c r="AF114" s="630">
        <v>0</v>
      </c>
      <c r="AG114" s="630" t="s">
        <v>434</v>
      </c>
      <c r="AH114" s="630">
        <v>142525.93700000001</v>
      </c>
      <c r="AI114" s="630">
        <v>87616.717999999993</v>
      </c>
      <c r="AJ114" s="630">
        <v>5690.2240000000002</v>
      </c>
      <c r="AK114" s="630">
        <v>6262.9059999999999</v>
      </c>
      <c r="AL114" s="630">
        <v>10023.023999999999</v>
      </c>
      <c r="AM114" s="630">
        <v>0</v>
      </c>
      <c r="AN114" s="630">
        <v>0</v>
      </c>
      <c r="AO114" s="630">
        <v>141.06200000000001</v>
      </c>
      <c r="AP114" s="630">
        <v>109733.93399999999</v>
      </c>
      <c r="AQ114" s="630">
        <v>0</v>
      </c>
      <c r="AR114" s="630">
        <v>109733.93399999999</v>
      </c>
      <c r="AS114" s="630" t="s">
        <v>434</v>
      </c>
      <c r="AT114" s="630">
        <v>6177.4650000000001</v>
      </c>
      <c r="AU114" s="630">
        <v>20740.197</v>
      </c>
      <c r="AV114" s="630">
        <v>0</v>
      </c>
      <c r="AW114" s="630" t="s">
        <v>434</v>
      </c>
      <c r="AX114" s="630">
        <v>136651.59599999999</v>
      </c>
      <c r="AY114" s="630">
        <v>5874.3410000000003</v>
      </c>
      <c r="AZ114" s="612" t="s">
        <v>430</v>
      </c>
      <c r="BA114" s="612" t="s">
        <v>433</v>
      </c>
      <c r="BB114" s="613" t="s">
        <v>551</v>
      </c>
      <c r="BC114" s="614">
        <v>0.14578781133456303</v>
      </c>
      <c r="BD114" s="614">
        <v>8.450172802374839E-2</v>
      </c>
      <c r="BE114" s="613" t="s">
        <v>576</v>
      </c>
      <c r="BF114" s="613" t="s">
        <v>576</v>
      </c>
      <c r="BG114" s="643"/>
      <c r="BH114" s="655"/>
    </row>
    <row r="115" spans="1:60" customFormat="1">
      <c r="A115" s="612" t="s">
        <v>91</v>
      </c>
      <c r="B115" s="612" t="s">
        <v>397</v>
      </c>
      <c r="C115" s="612">
        <v>58</v>
      </c>
      <c r="D115" s="601">
        <v>103</v>
      </c>
      <c r="E115" s="623" t="s">
        <v>397</v>
      </c>
      <c r="F115" s="623" t="s">
        <v>91</v>
      </c>
      <c r="G115" s="601" t="s">
        <v>567</v>
      </c>
      <c r="H115" s="623">
        <v>2014</v>
      </c>
      <c r="I115" s="624">
        <v>26908.484</v>
      </c>
      <c r="J115" s="625">
        <v>140560.09299999999</v>
      </c>
      <c r="K115" s="626">
        <v>1.4226740215081002</v>
      </c>
      <c r="L115" s="626">
        <v>630.81761689999996</v>
      </c>
      <c r="M115" s="625">
        <v>1891401.9369999999</v>
      </c>
      <c r="N115" s="627">
        <v>80672</v>
      </c>
      <c r="O115" s="627">
        <v>976107</v>
      </c>
      <c r="P115" s="628">
        <v>270.47913599636104</v>
      </c>
      <c r="Q115" s="625">
        <v>264016.57799999998</v>
      </c>
      <c r="R115" s="625">
        <v>264016.57799999998</v>
      </c>
      <c r="S115" s="625">
        <v>239672.527</v>
      </c>
      <c r="T115" s="629">
        <v>90.77934757566625</v>
      </c>
      <c r="U115" s="625"/>
      <c r="V115" s="627">
        <v>515209</v>
      </c>
      <c r="W115" s="629">
        <v>6333.8424988244115</v>
      </c>
      <c r="X115" s="627">
        <v>38111</v>
      </c>
      <c r="Y115" s="627">
        <v>9810</v>
      </c>
      <c r="Z115" s="629">
        <v>468.5265037541991</v>
      </c>
      <c r="AA115" s="629">
        <v>3.8849133537206932</v>
      </c>
      <c r="AB115" s="630">
        <v>263924.21799999999</v>
      </c>
      <c r="AC115" s="630">
        <v>0</v>
      </c>
      <c r="AD115" s="630">
        <v>0</v>
      </c>
      <c r="AE115" s="630">
        <v>0</v>
      </c>
      <c r="AF115" s="630">
        <v>2602.85</v>
      </c>
      <c r="AG115" s="630" t="s">
        <v>434</v>
      </c>
      <c r="AH115" s="630">
        <v>266527.06800000003</v>
      </c>
      <c r="AI115" s="630">
        <v>154582.19699999999</v>
      </c>
      <c r="AJ115" s="630">
        <v>13354.364</v>
      </c>
      <c r="AK115" s="630">
        <v>0</v>
      </c>
      <c r="AL115" s="630">
        <v>22310.103999999999</v>
      </c>
      <c r="AM115" s="630">
        <v>34407.686999999998</v>
      </c>
      <c r="AN115" s="630">
        <v>6335.4089999999997</v>
      </c>
      <c r="AO115" s="630">
        <v>8682.7659999999996</v>
      </c>
      <c r="AP115" s="630">
        <v>239672.527</v>
      </c>
      <c r="AQ115" s="630">
        <v>186.346</v>
      </c>
      <c r="AR115" s="630">
        <v>239486.18100000001</v>
      </c>
      <c r="AS115" s="630" t="s">
        <v>434</v>
      </c>
      <c r="AT115" s="630">
        <v>12660.067999999999</v>
      </c>
      <c r="AU115" s="630">
        <v>5894.66</v>
      </c>
      <c r="AV115" s="630">
        <v>0</v>
      </c>
      <c r="AW115" s="630" t="s">
        <v>434</v>
      </c>
      <c r="AX115" s="630">
        <v>258040.90900000001</v>
      </c>
      <c r="AY115" s="630">
        <v>8486.1589999999997</v>
      </c>
      <c r="AZ115" s="612" t="s">
        <v>435</v>
      </c>
      <c r="BA115" s="612" t="s">
        <v>431</v>
      </c>
      <c r="BB115" s="613" t="s">
        <v>551</v>
      </c>
      <c r="BC115" s="614">
        <v>7.4315295046670976E-2</v>
      </c>
      <c r="BD115" s="614">
        <v>1.7891229196666553E-2</v>
      </c>
      <c r="BE115" s="613" t="s">
        <v>573</v>
      </c>
      <c r="BF115" s="613" t="s">
        <v>573</v>
      </c>
      <c r="BG115" s="643"/>
      <c r="BH115" s="655"/>
    </row>
    <row r="116" spans="1:60" customFormat="1">
      <c r="A116" s="601" t="s">
        <v>95</v>
      </c>
      <c r="B116" s="601" t="s">
        <v>420</v>
      </c>
      <c r="C116" s="601">
        <v>3</v>
      </c>
      <c r="D116" s="601">
        <v>108</v>
      </c>
      <c r="E116" s="623" t="s">
        <v>206</v>
      </c>
      <c r="F116" s="623" t="s">
        <v>95</v>
      </c>
      <c r="G116" s="601" t="s">
        <v>567</v>
      </c>
      <c r="H116" s="623">
        <v>2014</v>
      </c>
      <c r="I116" s="631">
        <v>29097.842000000001</v>
      </c>
      <c r="J116" s="631">
        <v>76311.876000000004</v>
      </c>
      <c r="K116" s="634">
        <v>4.4036471682721148</v>
      </c>
      <c r="L116" s="634">
        <v>477.85509459999997</v>
      </c>
      <c r="M116" s="631">
        <v>660766.88</v>
      </c>
      <c r="N116" s="632">
        <v>79378</v>
      </c>
      <c r="O116" s="632">
        <v>860418</v>
      </c>
      <c r="P116" s="635">
        <v>155.65519084909891</v>
      </c>
      <c r="Q116" s="631">
        <v>133928.52799999999</v>
      </c>
      <c r="R116" s="631">
        <v>133928.52799999999</v>
      </c>
      <c r="S116" s="631">
        <v>106934.173</v>
      </c>
      <c r="T116" s="633">
        <v>79.844208397481978</v>
      </c>
      <c r="U116" s="625"/>
      <c r="V116" s="632">
        <v>409738</v>
      </c>
      <c r="W116" s="633">
        <v>5714.4969073171414</v>
      </c>
      <c r="X116" s="632">
        <v>29055</v>
      </c>
      <c r="Y116" s="632">
        <v>8261</v>
      </c>
      <c r="Z116" s="633">
        <v>405.2216480826761</v>
      </c>
      <c r="AA116" s="633">
        <v>3.5171286769156276</v>
      </c>
      <c r="AB116" s="630">
        <v>133928.52799999999</v>
      </c>
      <c r="AC116" s="630">
        <v>0</v>
      </c>
      <c r="AD116" s="630">
        <v>0</v>
      </c>
      <c r="AE116" s="630">
        <v>0</v>
      </c>
      <c r="AF116" s="630">
        <v>0</v>
      </c>
      <c r="AG116" s="630" t="s">
        <v>434</v>
      </c>
      <c r="AH116" s="630">
        <v>133928.52799999999</v>
      </c>
      <c r="AI116" s="630">
        <v>96453.510999999999</v>
      </c>
      <c r="AJ116" s="630">
        <v>3088.9920000000002</v>
      </c>
      <c r="AK116" s="630">
        <v>0</v>
      </c>
      <c r="AL116" s="630">
        <v>7385.402</v>
      </c>
      <c r="AM116" s="630">
        <v>-12.582000000000001</v>
      </c>
      <c r="AN116" s="630">
        <v>0</v>
      </c>
      <c r="AO116" s="630">
        <v>18.850000000000001</v>
      </c>
      <c r="AP116" s="630">
        <v>106934.173</v>
      </c>
      <c r="AQ116" s="630">
        <v>0</v>
      </c>
      <c r="AR116" s="630">
        <v>106934.173</v>
      </c>
      <c r="AS116" s="630" t="s">
        <v>434</v>
      </c>
      <c r="AT116" s="630">
        <v>4541.8100000000004</v>
      </c>
      <c r="AU116" s="630">
        <v>18347.024000000001</v>
      </c>
      <c r="AV116" s="630">
        <v>-3219.89</v>
      </c>
      <c r="AW116" s="630" t="s">
        <v>434</v>
      </c>
      <c r="AX116" s="630">
        <v>126603.117</v>
      </c>
      <c r="AY116" s="630">
        <v>7325.4110000000001</v>
      </c>
      <c r="AZ116" s="612" t="s">
        <v>430</v>
      </c>
      <c r="BA116" s="612" t="s">
        <v>433</v>
      </c>
      <c r="BB116" s="613" t="s">
        <v>551</v>
      </c>
      <c r="BC116" s="614">
        <v>0.11548986232481871</v>
      </c>
      <c r="BD116" s="614">
        <v>8.6068053700361538E-2</v>
      </c>
      <c r="BE116" s="613" t="s">
        <v>576</v>
      </c>
      <c r="BF116" s="613" t="s">
        <v>576</v>
      </c>
      <c r="BG116" s="643"/>
      <c r="BH116" s="655"/>
    </row>
    <row r="117" spans="1:60" customFormat="1">
      <c r="A117" s="601" t="s">
        <v>90</v>
      </c>
      <c r="B117" s="601" t="s">
        <v>424</v>
      </c>
      <c r="C117" s="601">
        <v>5</v>
      </c>
      <c r="D117" s="601">
        <v>115</v>
      </c>
      <c r="E117" s="623" t="s">
        <v>182</v>
      </c>
      <c r="F117" s="623" t="s">
        <v>90</v>
      </c>
      <c r="G117" s="601" t="s">
        <v>567</v>
      </c>
      <c r="H117" s="623">
        <v>2014</v>
      </c>
      <c r="I117" s="624">
        <v>23564.401000000002</v>
      </c>
      <c r="J117" s="625">
        <v>74864.97</v>
      </c>
      <c r="K117" s="626">
        <v>3.4819831678590765</v>
      </c>
      <c r="L117" s="626">
        <v>494.0122106</v>
      </c>
      <c r="M117" s="625">
        <v>676752.29500000004</v>
      </c>
      <c r="N117" s="627">
        <v>76819</v>
      </c>
      <c r="O117" s="627">
        <v>800977</v>
      </c>
      <c r="P117" s="628">
        <v>261.42900357937867</v>
      </c>
      <c r="Q117" s="625">
        <v>203536.84400000001</v>
      </c>
      <c r="R117" s="625">
        <v>209398.61900000001</v>
      </c>
      <c r="S117" s="625">
        <v>177299.35200000001</v>
      </c>
      <c r="T117" s="629">
        <v>84.670736056764554</v>
      </c>
      <c r="U117" s="625"/>
      <c r="V117" s="627">
        <v>759214</v>
      </c>
      <c r="W117" s="629">
        <v>11374.319112783513</v>
      </c>
      <c r="X117" s="627">
        <v>53034</v>
      </c>
      <c r="Y117" s="627">
        <v>15678</v>
      </c>
      <c r="Z117" s="629">
        <v>794.53966842992997</v>
      </c>
      <c r="AA117" s="629">
        <v>3.3827018752391886</v>
      </c>
      <c r="AB117" s="630">
        <v>202536.549</v>
      </c>
      <c r="AC117" s="630">
        <v>5861.7749999999996</v>
      </c>
      <c r="AD117" s="630">
        <v>0</v>
      </c>
      <c r="AE117" s="630">
        <v>0</v>
      </c>
      <c r="AF117" s="630">
        <v>0</v>
      </c>
      <c r="AG117" s="630" t="s">
        <v>434</v>
      </c>
      <c r="AH117" s="630">
        <v>208398.32399999999</v>
      </c>
      <c r="AI117" s="630">
        <v>131863.83799999999</v>
      </c>
      <c r="AJ117" s="630">
        <v>1.5589999999999999</v>
      </c>
      <c r="AK117" s="630">
        <v>7801.183</v>
      </c>
      <c r="AL117" s="630">
        <v>13156.091</v>
      </c>
      <c r="AM117" s="630">
        <v>24096.931</v>
      </c>
      <c r="AN117" s="630">
        <v>0</v>
      </c>
      <c r="AO117" s="630">
        <v>379.75</v>
      </c>
      <c r="AP117" s="630">
        <v>177299.35200000001</v>
      </c>
      <c r="AQ117" s="630">
        <v>659.61199999999997</v>
      </c>
      <c r="AR117" s="630">
        <v>176639.74</v>
      </c>
      <c r="AS117" s="630" t="s">
        <v>434</v>
      </c>
      <c r="AT117" s="630">
        <v>2543.114</v>
      </c>
      <c r="AU117" s="630">
        <v>18976.137999999999</v>
      </c>
      <c r="AV117" s="630">
        <v>0</v>
      </c>
      <c r="AW117" s="630" t="s">
        <v>434</v>
      </c>
      <c r="AX117" s="630">
        <v>198158.992</v>
      </c>
      <c r="AY117" s="630">
        <v>10239.332</v>
      </c>
      <c r="AZ117" s="612" t="s">
        <v>430</v>
      </c>
      <c r="BA117" s="612" t="s">
        <v>433</v>
      </c>
      <c r="BB117" s="613" t="s">
        <v>551</v>
      </c>
      <c r="BC117" s="614">
        <v>0.11062388787318408</v>
      </c>
      <c r="BD117" s="614">
        <v>4.2668751559170409E-2</v>
      </c>
      <c r="BE117" s="613" t="s">
        <v>574</v>
      </c>
      <c r="BF117" s="613" t="s">
        <v>574</v>
      </c>
      <c r="BG117" s="643"/>
      <c r="BH117" s="655"/>
    </row>
    <row r="118" spans="1:60" customFormat="1">
      <c r="A118" s="601" t="s">
        <v>86</v>
      </c>
      <c r="B118" s="601" t="s">
        <v>418</v>
      </c>
      <c r="C118" s="601">
        <v>1</v>
      </c>
      <c r="D118" s="601">
        <v>109</v>
      </c>
      <c r="E118" s="623" t="s">
        <v>274</v>
      </c>
      <c r="F118" s="623" t="s">
        <v>86</v>
      </c>
      <c r="G118" s="601" t="s">
        <v>567</v>
      </c>
      <c r="H118" s="623">
        <v>2014</v>
      </c>
      <c r="I118" s="631">
        <v>36672.417000000001</v>
      </c>
      <c r="J118" s="631">
        <v>45849.999000000003</v>
      </c>
      <c r="K118" s="634">
        <v>5.3035128952339043</v>
      </c>
      <c r="L118" s="634">
        <v>722.41852340000003</v>
      </c>
      <c r="M118" s="631">
        <v>691474.08</v>
      </c>
      <c r="N118" s="632">
        <v>76557</v>
      </c>
      <c r="O118" s="632">
        <v>845808</v>
      </c>
      <c r="P118" s="635">
        <v>542.49003201672247</v>
      </c>
      <c r="Q118" s="631">
        <v>458842.40899999999</v>
      </c>
      <c r="R118" s="631">
        <v>458842.40899999999</v>
      </c>
      <c r="S118" s="631">
        <v>394194.36099999998</v>
      </c>
      <c r="T118" s="633">
        <v>85.910620567768831</v>
      </c>
      <c r="U118" s="625"/>
      <c r="V118" s="632">
        <v>730404</v>
      </c>
      <c r="W118" s="633">
        <v>10362.692242210998</v>
      </c>
      <c r="X118" s="632">
        <v>54517</v>
      </c>
      <c r="Y118" s="632">
        <v>10276</v>
      </c>
      <c r="Z118" s="633">
        <v>773.46631859712841</v>
      </c>
      <c r="AA118" s="633">
        <v>5.3052744258466333</v>
      </c>
      <c r="AB118" s="630">
        <v>458077.929</v>
      </c>
      <c r="AC118" s="630">
        <v>-229.33600000000001</v>
      </c>
      <c r="AD118" s="630">
        <v>0</v>
      </c>
      <c r="AE118" s="630">
        <v>0</v>
      </c>
      <c r="AF118" s="630">
        <v>0</v>
      </c>
      <c r="AG118" s="630" t="s">
        <v>434</v>
      </c>
      <c r="AH118" s="630">
        <v>457848.59299999999</v>
      </c>
      <c r="AI118" s="630">
        <v>326659.05099999998</v>
      </c>
      <c r="AJ118" s="630">
        <v>0</v>
      </c>
      <c r="AK118" s="630">
        <v>0</v>
      </c>
      <c r="AL118" s="630">
        <v>0</v>
      </c>
      <c r="AM118" s="630">
        <v>67459.180999999997</v>
      </c>
      <c r="AN118" s="630">
        <v>0</v>
      </c>
      <c r="AO118" s="630">
        <v>75.078999999999994</v>
      </c>
      <c r="AP118" s="630">
        <v>394193.31099999999</v>
      </c>
      <c r="AQ118" s="630">
        <v>745.58399999999995</v>
      </c>
      <c r="AR118" s="630">
        <v>393447.72700000001</v>
      </c>
      <c r="AS118" s="630" t="s">
        <v>434</v>
      </c>
      <c r="AT118" s="630">
        <v>14744.54</v>
      </c>
      <c r="AU118" s="630">
        <v>24194.183000000001</v>
      </c>
      <c r="AV118" s="630">
        <v>0</v>
      </c>
      <c r="AW118" s="630" t="s">
        <v>434</v>
      </c>
      <c r="AX118" s="630">
        <v>432386.45</v>
      </c>
      <c r="AY118" s="630">
        <v>25462.143</v>
      </c>
      <c r="AZ118" s="612" t="s">
        <v>430</v>
      </c>
      <c r="BA118" s="612" t="s">
        <v>433</v>
      </c>
      <c r="BB118" s="613" t="s">
        <v>551</v>
      </c>
      <c r="BC118" s="614">
        <v>6.6307617777950564E-2</v>
      </c>
      <c r="BD118" s="614">
        <v>7.4586176544361074E-2</v>
      </c>
      <c r="BE118" s="613" t="s">
        <v>575</v>
      </c>
      <c r="BF118" s="613" t="s">
        <v>575</v>
      </c>
      <c r="BG118" s="643"/>
      <c r="BH118" s="655"/>
    </row>
    <row r="119" spans="1:60" customFormat="1">
      <c r="A119" s="612" t="s">
        <v>69</v>
      </c>
      <c r="B119" s="612" t="s">
        <v>398</v>
      </c>
      <c r="C119" s="612">
        <v>59</v>
      </c>
      <c r="D119" s="601">
        <v>119</v>
      </c>
      <c r="E119" s="623" t="s">
        <v>398</v>
      </c>
      <c r="F119" s="623" t="s">
        <v>69</v>
      </c>
      <c r="G119" s="601" t="s">
        <v>469</v>
      </c>
      <c r="H119" s="623">
        <v>2014</v>
      </c>
      <c r="I119" s="624">
        <v>-13702.587</v>
      </c>
      <c r="J119" s="625">
        <v>35220.277999999998</v>
      </c>
      <c r="K119" s="626">
        <v>-5.2854407846600049</v>
      </c>
      <c r="L119" s="626">
        <v>448.26900879999999</v>
      </c>
      <c r="M119" s="625">
        <v>259251.54699999999</v>
      </c>
      <c r="N119" s="627">
        <v>74823</v>
      </c>
      <c r="O119" s="627">
        <v>736371</v>
      </c>
      <c r="P119" s="628">
        <v>353.64289875619761</v>
      </c>
      <c r="Q119" s="625">
        <v>260412.375</v>
      </c>
      <c r="R119" s="625">
        <v>260412.375</v>
      </c>
      <c r="S119" s="625">
        <v>232186.924</v>
      </c>
      <c r="T119" s="629">
        <v>89.161248193370227</v>
      </c>
      <c r="U119" s="625"/>
      <c r="V119" s="627">
        <v>400738</v>
      </c>
      <c r="W119" s="629">
        <v>6530.4798803863814</v>
      </c>
      <c r="X119" s="627">
        <v>33546</v>
      </c>
      <c r="Y119" s="627">
        <v>8349</v>
      </c>
      <c r="Z119" s="629">
        <v>546.67008885466703</v>
      </c>
      <c r="AA119" s="629">
        <v>4.0179662234998199</v>
      </c>
      <c r="AB119" s="630">
        <v>257216.52499999999</v>
      </c>
      <c r="AC119" s="630">
        <v>0</v>
      </c>
      <c r="AD119" s="630">
        <v>0</v>
      </c>
      <c r="AE119" s="630">
        <v>0</v>
      </c>
      <c r="AF119" s="630">
        <v>2035.0219999999999</v>
      </c>
      <c r="AG119" s="630" t="s">
        <v>434</v>
      </c>
      <c r="AH119" s="630">
        <v>259251.54699999999</v>
      </c>
      <c r="AI119" s="630">
        <v>178180.587</v>
      </c>
      <c r="AJ119" s="630">
        <v>8165.3379999999997</v>
      </c>
      <c r="AK119" s="630">
        <v>0</v>
      </c>
      <c r="AL119" s="630">
        <v>15328.304</v>
      </c>
      <c r="AM119" s="630">
        <v>29131.022000000001</v>
      </c>
      <c r="AN119" s="630">
        <v>0</v>
      </c>
      <c r="AO119" s="630">
        <v>1381.673</v>
      </c>
      <c r="AP119" s="630">
        <v>232186.924</v>
      </c>
      <c r="AQ119" s="630">
        <v>3592.3040000000001</v>
      </c>
      <c r="AR119" s="630">
        <v>228594.62</v>
      </c>
      <c r="AS119" s="630" t="s">
        <v>434</v>
      </c>
      <c r="AT119" s="630">
        <v>8692.098</v>
      </c>
      <c r="AU119" s="630">
        <v>35220.277999999998</v>
      </c>
      <c r="AV119" s="630">
        <v>638.15499999999997</v>
      </c>
      <c r="AW119" s="630" t="s">
        <v>434</v>
      </c>
      <c r="AX119" s="630">
        <v>273145.15100000001</v>
      </c>
      <c r="AY119" s="630">
        <v>-13893.603999999999</v>
      </c>
      <c r="AZ119" s="612" t="s">
        <v>430</v>
      </c>
      <c r="BA119" s="612" t="s">
        <v>431</v>
      </c>
      <c r="BB119" s="613" t="s">
        <v>551</v>
      </c>
      <c r="BC119" s="614">
        <v>0.13585368499266853</v>
      </c>
      <c r="BD119" s="614">
        <v>-5.2854407846600046E-2</v>
      </c>
      <c r="BE119" s="613" t="s">
        <v>570</v>
      </c>
      <c r="BF119" s="613" t="s">
        <v>570</v>
      </c>
      <c r="BG119" s="643"/>
      <c r="BH119" s="655"/>
    </row>
    <row r="120" spans="1:60" customFormat="1">
      <c r="A120" s="601" t="s">
        <v>79</v>
      </c>
      <c r="B120" s="601" t="s">
        <v>418</v>
      </c>
      <c r="C120" s="601">
        <v>1</v>
      </c>
      <c r="D120" s="601">
        <v>112</v>
      </c>
      <c r="E120" s="623" t="s">
        <v>281</v>
      </c>
      <c r="F120" s="623" t="s">
        <v>79</v>
      </c>
      <c r="G120" s="601" t="s">
        <v>469</v>
      </c>
      <c r="H120" s="623">
        <v>2014</v>
      </c>
      <c r="I120" s="631">
        <v>34242.222000000002</v>
      </c>
      <c r="J120" s="631">
        <v>80151.341</v>
      </c>
      <c r="K120" s="634">
        <v>4.2148703954404247</v>
      </c>
      <c r="L120" s="634">
        <v>1484.2790053000001</v>
      </c>
      <c r="M120" s="631">
        <v>812414.58900000004</v>
      </c>
      <c r="N120" s="632">
        <v>73799</v>
      </c>
      <c r="O120" s="632">
        <v>828979</v>
      </c>
      <c r="P120" s="635">
        <v>980.26849654816351</v>
      </c>
      <c r="Q120" s="631">
        <v>877486.37399999995</v>
      </c>
      <c r="R120" s="631">
        <v>812621.99800000002</v>
      </c>
      <c r="S120" s="631">
        <v>620711.01599999995</v>
      </c>
      <c r="T120" s="633">
        <v>76.383732845981839</v>
      </c>
      <c r="U120" s="625"/>
      <c r="V120" s="632">
        <v>802793</v>
      </c>
      <c r="W120" s="633">
        <v>11620.940940602837</v>
      </c>
      <c r="X120" s="632">
        <v>789624</v>
      </c>
      <c r="Y120" s="632">
        <v>49161</v>
      </c>
      <c r="Z120" s="633">
        <v>11430.311262408337</v>
      </c>
      <c r="AA120" s="633">
        <v>16.062000366143895</v>
      </c>
      <c r="AB120" s="630">
        <v>877278.96400000004</v>
      </c>
      <c r="AC120" s="630">
        <v>-64864.375</v>
      </c>
      <c r="AD120" s="630">
        <v>0</v>
      </c>
      <c r="AE120" s="630">
        <v>0</v>
      </c>
      <c r="AF120" s="630">
        <v>0</v>
      </c>
      <c r="AG120" s="630" t="s">
        <v>434</v>
      </c>
      <c r="AH120" s="630">
        <v>812414.58900000004</v>
      </c>
      <c r="AI120" s="630">
        <v>553664.01300000004</v>
      </c>
      <c r="AJ120" s="630">
        <v>31045.815999999999</v>
      </c>
      <c r="AK120" s="630">
        <v>0</v>
      </c>
      <c r="AL120" s="630">
        <v>0</v>
      </c>
      <c r="AM120" s="630">
        <v>36001.186999999998</v>
      </c>
      <c r="AN120" s="630">
        <v>0</v>
      </c>
      <c r="AO120" s="630">
        <v>0</v>
      </c>
      <c r="AP120" s="630">
        <v>620711.01599999995</v>
      </c>
      <c r="AQ120" s="630">
        <v>355.108</v>
      </c>
      <c r="AR120" s="630">
        <v>620355.90800000005</v>
      </c>
      <c r="AS120" s="630" t="s">
        <v>434</v>
      </c>
      <c r="AT120" s="630">
        <v>46414.411</v>
      </c>
      <c r="AU120" s="630">
        <v>80151.341</v>
      </c>
      <c r="AV120" s="630">
        <v>0</v>
      </c>
      <c r="AW120" s="630" t="s">
        <v>434</v>
      </c>
      <c r="AX120" s="630">
        <v>746921.66</v>
      </c>
      <c r="AY120" s="630">
        <v>65492.928999999996</v>
      </c>
      <c r="AZ120" s="612" t="s">
        <v>430</v>
      </c>
      <c r="BA120" s="612" t="s">
        <v>433</v>
      </c>
      <c r="BB120" s="613" t="s">
        <v>551</v>
      </c>
      <c r="BC120" s="614">
        <v>9.8658175376513335E-2</v>
      </c>
      <c r="BD120" s="614">
        <v>4.2148703954404246E-2</v>
      </c>
      <c r="BE120" s="613" t="s">
        <v>574</v>
      </c>
      <c r="BF120" s="613" t="s">
        <v>574</v>
      </c>
      <c r="BG120" s="643"/>
      <c r="BH120" s="655"/>
    </row>
    <row r="121" spans="1:60" customFormat="1">
      <c r="A121" s="601" t="s">
        <v>96</v>
      </c>
      <c r="B121" s="601" t="s">
        <v>424</v>
      </c>
      <c r="C121" s="601">
        <v>5</v>
      </c>
      <c r="D121" s="601">
        <v>105</v>
      </c>
      <c r="E121" s="623" t="s">
        <v>212</v>
      </c>
      <c r="F121" s="623" t="s">
        <v>96</v>
      </c>
      <c r="G121" s="601" t="s">
        <v>567</v>
      </c>
      <c r="H121" s="623">
        <v>2014</v>
      </c>
      <c r="I121" s="624">
        <v>30963.892</v>
      </c>
      <c r="J121" s="625">
        <v>19870.894</v>
      </c>
      <c r="K121" s="626">
        <v>10.392586144037203</v>
      </c>
      <c r="L121" s="626">
        <v>630.81969179999999</v>
      </c>
      <c r="M121" s="625">
        <v>297942.125</v>
      </c>
      <c r="N121" s="627">
        <v>72819</v>
      </c>
      <c r="O121" s="627">
        <v>910669</v>
      </c>
      <c r="P121" s="628">
        <v>261.24549863891269</v>
      </c>
      <c r="Q121" s="625">
        <v>237908.177</v>
      </c>
      <c r="R121" s="625">
        <v>237908.177</v>
      </c>
      <c r="S121" s="625">
        <v>182619.30499999999</v>
      </c>
      <c r="T121" s="629">
        <v>76.760415426998961</v>
      </c>
      <c r="U121" s="625"/>
      <c r="V121" s="627">
        <v>337765</v>
      </c>
      <c r="W121" s="629">
        <v>4450.7719050500236</v>
      </c>
      <c r="X121" s="627">
        <v>36854</v>
      </c>
      <c r="Y121" s="627">
        <v>9973</v>
      </c>
      <c r="Z121" s="629">
        <v>485.62979523844558</v>
      </c>
      <c r="AA121" s="629">
        <v>3.6953775193021157</v>
      </c>
      <c r="AB121" s="630">
        <v>237908.177</v>
      </c>
      <c r="AC121" s="630">
        <v>0</v>
      </c>
      <c r="AD121" s="630">
        <v>0</v>
      </c>
      <c r="AE121" s="630">
        <v>0</v>
      </c>
      <c r="AF121" s="630">
        <v>258.44799999999998</v>
      </c>
      <c r="AG121" s="630" t="s">
        <v>434</v>
      </c>
      <c r="AH121" s="630">
        <v>238166.625</v>
      </c>
      <c r="AI121" s="630">
        <v>113180.827</v>
      </c>
      <c r="AJ121" s="630">
        <v>0</v>
      </c>
      <c r="AK121" s="630">
        <v>9760.8109999999997</v>
      </c>
      <c r="AL121" s="630">
        <v>17236.745999999999</v>
      </c>
      <c r="AM121" s="630">
        <v>34364.226999999999</v>
      </c>
      <c r="AN121" s="630">
        <v>4057.2910000000002</v>
      </c>
      <c r="AO121" s="630">
        <v>4019.4029999999998</v>
      </c>
      <c r="AP121" s="630">
        <v>182619.30499999999</v>
      </c>
      <c r="AQ121" s="630">
        <v>833.37400000000002</v>
      </c>
      <c r="AR121" s="630">
        <v>181785.93100000001</v>
      </c>
      <c r="AS121" s="630" t="s">
        <v>434</v>
      </c>
      <c r="AT121" s="630">
        <v>4452.8059999999996</v>
      </c>
      <c r="AU121" s="630">
        <v>14447.255999999999</v>
      </c>
      <c r="AV121" s="630">
        <v>0</v>
      </c>
      <c r="AW121" s="630" t="s">
        <v>434</v>
      </c>
      <c r="AX121" s="630">
        <v>200685.99299999999</v>
      </c>
      <c r="AY121" s="630">
        <v>37480.631999999998</v>
      </c>
      <c r="AZ121" s="612" t="s">
        <v>430</v>
      </c>
      <c r="BA121" s="612" t="s">
        <v>433</v>
      </c>
      <c r="BB121" s="613" t="s">
        <v>551</v>
      </c>
      <c r="BC121" s="614">
        <v>6.669380504686942E-2</v>
      </c>
      <c r="BD121" s="614">
        <v>0.16570204068314096</v>
      </c>
      <c r="BE121" s="613" t="s">
        <v>582</v>
      </c>
      <c r="BF121" s="613" t="s">
        <v>582</v>
      </c>
      <c r="BG121" s="643"/>
      <c r="BH121" s="655"/>
    </row>
    <row r="122" spans="1:60" customFormat="1">
      <c r="A122" s="601" t="s">
        <v>61</v>
      </c>
      <c r="B122" s="601" t="s">
        <v>424</v>
      </c>
      <c r="C122" s="601">
        <v>5</v>
      </c>
      <c r="D122" s="601">
        <v>147</v>
      </c>
      <c r="E122" s="623" t="s">
        <v>181</v>
      </c>
      <c r="F122" s="623" t="s">
        <v>61</v>
      </c>
      <c r="G122" s="601" t="s">
        <v>567</v>
      </c>
      <c r="H122" s="623">
        <v>2014</v>
      </c>
      <c r="I122" s="624">
        <v>10277.02</v>
      </c>
      <c r="J122" s="625">
        <v>42352.656000000003</v>
      </c>
      <c r="K122" s="626">
        <v>1.5921334008318917</v>
      </c>
      <c r="L122" s="626">
        <v>381.86142269999999</v>
      </c>
      <c r="M122" s="625">
        <v>645487.36899999995</v>
      </c>
      <c r="N122" s="627">
        <v>71511</v>
      </c>
      <c r="O122" s="627">
        <v>369084</v>
      </c>
      <c r="P122" s="628">
        <v>1583.3639442511733</v>
      </c>
      <c r="Q122" s="625">
        <v>565095.34400000004</v>
      </c>
      <c r="R122" s="625">
        <v>584394.29799999995</v>
      </c>
      <c r="S122" s="625">
        <v>521186.36700000003</v>
      </c>
      <c r="T122" s="629">
        <v>89.184026740794806</v>
      </c>
      <c r="U122" s="625"/>
      <c r="V122" s="627">
        <v>503524</v>
      </c>
      <c r="W122" s="629">
        <v>16371.037487401241</v>
      </c>
      <c r="X122" s="627">
        <v>74843</v>
      </c>
      <c r="Y122" s="627">
        <v>9930</v>
      </c>
      <c r="Z122" s="629">
        <v>2433.3647624930909</v>
      </c>
      <c r="AA122" s="629">
        <v>7.5370594159113793</v>
      </c>
      <c r="AB122" s="630">
        <v>563813.174</v>
      </c>
      <c r="AC122" s="630">
        <v>19298.954000000002</v>
      </c>
      <c r="AD122" s="630">
        <v>0</v>
      </c>
      <c r="AE122" s="630">
        <v>0</v>
      </c>
      <c r="AF122" s="630">
        <v>2384.7600000000002</v>
      </c>
      <c r="AG122" s="630" t="s">
        <v>434</v>
      </c>
      <c r="AH122" s="630">
        <v>585496.88800000004</v>
      </c>
      <c r="AI122" s="630">
        <v>380528.12699999998</v>
      </c>
      <c r="AJ122" s="630">
        <v>2659.7330000000002</v>
      </c>
      <c r="AK122" s="630">
        <v>22955.464</v>
      </c>
      <c r="AL122" s="630">
        <v>9577.8790000000008</v>
      </c>
      <c r="AM122" s="630">
        <v>104649.226</v>
      </c>
      <c r="AN122" s="630">
        <v>0</v>
      </c>
      <c r="AO122" s="630">
        <v>815.93799999999999</v>
      </c>
      <c r="AP122" s="630">
        <v>521186.36700000003</v>
      </c>
      <c r="AQ122" s="630">
        <v>369.27300000000002</v>
      </c>
      <c r="AR122" s="630">
        <v>520817.09399999998</v>
      </c>
      <c r="AS122" s="630" t="s">
        <v>434</v>
      </c>
      <c r="AT122" s="630">
        <v>11895.852999999999</v>
      </c>
      <c r="AU122" s="630">
        <v>38279.65</v>
      </c>
      <c r="AV122" s="630">
        <v>0</v>
      </c>
      <c r="AW122" s="630" t="s">
        <v>434</v>
      </c>
      <c r="AX122" s="630">
        <v>570992.59699999995</v>
      </c>
      <c r="AY122" s="630">
        <v>14504.290999999999</v>
      </c>
      <c r="AZ122" s="612" t="s">
        <v>430</v>
      </c>
      <c r="BA122" s="612" t="s">
        <v>433</v>
      </c>
      <c r="BB122" s="613" t="s">
        <v>551</v>
      </c>
      <c r="BC122" s="614">
        <v>6.561345431997137E-2</v>
      </c>
      <c r="BD122" s="614">
        <v>4.2546278272080545E-2</v>
      </c>
      <c r="BE122" s="613" t="s">
        <v>574</v>
      </c>
      <c r="BF122" s="613" t="s">
        <v>574</v>
      </c>
      <c r="BG122" s="643"/>
      <c r="BH122" s="655"/>
    </row>
    <row r="123" spans="1:60" customFormat="1">
      <c r="A123" s="612" t="s">
        <v>61</v>
      </c>
      <c r="B123" s="612" t="s">
        <v>401</v>
      </c>
      <c r="C123" s="612">
        <v>68</v>
      </c>
      <c r="D123" s="601">
        <v>172</v>
      </c>
      <c r="E123" s="623" t="s">
        <v>401</v>
      </c>
      <c r="F123" s="623" t="s">
        <v>61</v>
      </c>
      <c r="G123" s="601" t="s">
        <v>469</v>
      </c>
      <c r="H123" s="623">
        <v>2014</v>
      </c>
      <c r="I123" s="624">
        <v>-6510.3720000000003</v>
      </c>
      <c r="J123" s="625">
        <v>939.976</v>
      </c>
      <c r="K123" s="626">
        <v>-20.695393516316145</v>
      </c>
      <c r="L123" s="626">
        <v>474.96409979999999</v>
      </c>
      <c r="M123" s="625">
        <v>31458.073</v>
      </c>
      <c r="N123" s="627">
        <v>70907</v>
      </c>
      <c r="O123" s="627">
        <v>155898</v>
      </c>
      <c r="P123" s="628">
        <v>208.98428459633863</v>
      </c>
      <c r="Q123" s="625">
        <v>32580.232</v>
      </c>
      <c r="R123" s="625">
        <v>32580.232</v>
      </c>
      <c r="S123" s="625">
        <v>35863.360000000001</v>
      </c>
      <c r="T123" s="629">
        <v>110.07705531378659</v>
      </c>
      <c r="U123" s="625"/>
      <c r="V123" s="627">
        <v>37096</v>
      </c>
      <c r="W123" s="629">
        <v>2855.4054574144634</v>
      </c>
      <c r="X123" s="627">
        <v>2576</v>
      </c>
      <c r="Y123" s="627">
        <v>767</v>
      </c>
      <c r="Z123" s="629">
        <v>198.28349305315012</v>
      </c>
      <c r="AA123" s="629">
        <v>3.3585397653194264</v>
      </c>
      <c r="AB123" s="630">
        <v>31458.073</v>
      </c>
      <c r="AC123" s="630">
        <v>0</v>
      </c>
      <c r="AD123" s="630">
        <v>0</v>
      </c>
      <c r="AE123" s="630">
        <v>0</v>
      </c>
      <c r="AF123" s="630">
        <v>0</v>
      </c>
      <c r="AG123" s="630" t="s">
        <v>434</v>
      </c>
      <c r="AH123" s="630">
        <v>31458.073</v>
      </c>
      <c r="AI123" s="630">
        <v>17932.919999999998</v>
      </c>
      <c r="AJ123" s="630">
        <v>547.84100000000001</v>
      </c>
      <c r="AK123" s="630">
        <v>741.30700000000002</v>
      </c>
      <c r="AL123" s="630">
        <v>2011.0170000000001</v>
      </c>
      <c r="AM123" s="630">
        <v>14630.275</v>
      </c>
      <c r="AN123" s="630">
        <v>0</v>
      </c>
      <c r="AO123" s="630">
        <v>0</v>
      </c>
      <c r="AP123" s="630">
        <v>35863.360000000001</v>
      </c>
      <c r="AQ123" s="630">
        <v>0</v>
      </c>
      <c r="AR123" s="630">
        <v>35863.360000000001</v>
      </c>
      <c r="AS123" s="630" t="s">
        <v>434</v>
      </c>
      <c r="AT123" s="630">
        <v>778.673</v>
      </c>
      <c r="AU123" s="630">
        <v>939.97500000000002</v>
      </c>
      <c r="AV123" s="630">
        <v>2435.1570000000002</v>
      </c>
      <c r="AW123" s="630" t="s">
        <v>434</v>
      </c>
      <c r="AX123" s="630">
        <v>40017.165000000001</v>
      </c>
      <c r="AY123" s="630">
        <v>-8559.0920000000006</v>
      </c>
      <c r="AZ123" s="612">
        <v>0</v>
      </c>
      <c r="BA123" s="612">
        <v>0</v>
      </c>
      <c r="BB123" s="613" t="s">
        <v>551</v>
      </c>
      <c r="BC123" s="614">
        <v>2.9880279062229908E-2</v>
      </c>
      <c r="BD123" s="614">
        <v>-0.20695393516316143</v>
      </c>
      <c r="BE123" s="613" t="s">
        <v>580</v>
      </c>
      <c r="BF123" s="613" t="s">
        <v>580</v>
      </c>
      <c r="BG123" s="643"/>
      <c r="BH123" s="655"/>
    </row>
    <row r="124" spans="1:60" customFormat="1">
      <c r="A124" s="601" t="s">
        <v>87</v>
      </c>
      <c r="B124" s="601" t="s">
        <v>422</v>
      </c>
      <c r="C124" s="601">
        <v>6</v>
      </c>
      <c r="D124" s="601">
        <v>111</v>
      </c>
      <c r="E124" s="623" t="s">
        <v>295</v>
      </c>
      <c r="F124" s="623" t="s">
        <v>87</v>
      </c>
      <c r="G124" s="601" t="s">
        <v>469</v>
      </c>
      <c r="H124" s="623">
        <v>2014</v>
      </c>
      <c r="I124" s="631">
        <v>10357.74</v>
      </c>
      <c r="J124" s="625">
        <v>15980.123</v>
      </c>
      <c r="K124" s="626">
        <v>4.7663059451610721</v>
      </c>
      <c r="L124" s="626">
        <v>597.92026320000002</v>
      </c>
      <c r="M124" s="625">
        <v>217311.69</v>
      </c>
      <c r="N124" s="627">
        <v>70462</v>
      </c>
      <c r="O124" s="627">
        <v>829938</v>
      </c>
      <c r="P124" s="628">
        <v>262.14773633693119</v>
      </c>
      <c r="Q124" s="625">
        <v>217566.36799999999</v>
      </c>
      <c r="R124" s="625">
        <v>217566.36799999999</v>
      </c>
      <c r="S124" s="625">
        <v>177843.405</v>
      </c>
      <c r="T124" s="629">
        <v>81.742139943247111</v>
      </c>
      <c r="U124" s="625"/>
      <c r="V124" s="632">
        <v>311051</v>
      </c>
      <c r="W124" s="633">
        <v>4497.4588463234604</v>
      </c>
      <c r="X124" s="632">
        <v>35865</v>
      </c>
      <c r="Y124" s="632">
        <v>6786</v>
      </c>
      <c r="Z124" s="633">
        <v>518.56885695076016</v>
      </c>
      <c r="AA124" s="633">
        <v>5.2851458885941645</v>
      </c>
      <c r="AB124" s="630">
        <v>217311.69</v>
      </c>
      <c r="AC124" s="630">
        <v>0</v>
      </c>
      <c r="AD124" s="630">
        <v>0</v>
      </c>
      <c r="AE124" s="630">
        <v>0</v>
      </c>
      <c r="AF124" s="630">
        <v>0</v>
      </c>
      <c r="AG124" s="630" t="s">
        <v>434</v>
      </c>
      <c r="AH124" s="630">
        <v>217311.69</v>
      </c>
      <c r="AI124" s="630">
        <v>118503.492</v>
      </c>
      <c r="AJ124" s="630">
        <v>1966.7670000000001</v>
      </c>
      <c r="AK124" s="630">
        <v>0</v>
      </c>
      <c r="AL124" s="630">
        <v>19781.382000000001</v>
      </c>
      <c r="AM124" s="630">
        <v>37591.764000000003</v>
      </c>
      <c r="AN124" s="630">
        <v>0</v>
      </c>
      <c r="AO124" s="630">
        <v>0</v>
      </c>
      <c r="AP124" s="630">
        <v>177843.405</v>
      </c>
      <c r="AQ124" s="630">
        <v>0</v>
      </c>
      <c r="AR124" s="630">
        <v>177843.405</v>
      </c>
      <c r="AS124" s="630" t="s">
        <v>434</v>
      </c>
      <c r="AT124" s="630">
        <v>6256.9539999999997</v>
      </c>
      <c r="AU124" s="630">
        <v>15980.123</v>
      </c>
      <c r="AV124" s="630">
        <v>0</v>
      </c>
      <c r="AW124" s="630" t="s">
        <v>434</v>
      </c>
      <c r="AX124" s="630">
        <v>200080.48199999999</v>
      </c>
      <c r="AY124" s="630">
        <v>17231.207999999999</v>
      </c>
      <c r="AZ124" s="612" t="s">
        <v>430</v>
      </c>
      <c r="BA124" s="612" t="s">
        <v>433</v>
      </c>
      <c r="BB124" s="613" t="s">
        <v>551</v>
      </c>
      <c r="BC124" s="614">
        <v>7.3535496410708501E-2</v>
      </c>
      <c r="BD124" s="614">
        <v>4.7663059451610722E-2</v>
      </c>
      <c r="BE124" s="613" t="s">
        <v>574</v>
      </c>
      <c r="BF124" s="613" t="s">
        <v>574</v>
      </c>
      <c r="BG124" s="643"/>
      <c r="BH124" s="655"/>
    </row>
    <row r="125" spans="1:60" customFormat="1">
      <c r="A125" s="601" t="s">
        <v>71</v>
      </c>
      <c r="B125" s="601" t="s">
        <v>419</v>
      </c>
      <c r="C125" s="601">
        <v>2</v>
      </c>
      <c r="D125" s="601">
        <v>120</v>
      </c>
      <c r="E125" s="623" t="s">
        <v>231</v>
      </c>
      <c r="F125" s="623" t="s">
        <v>71</v>
      </c>
      <c r="G125" s="601" t="s">
        <v>469</v>
      </c>
      <c r="H125" s="623">
        <v>2014</v>
      </c>
      <c r="I125" s="631">
        <v>-19792.059000000001</v>
      </c>
      <c r="J125" s="631">
        <v>17745.695</v>
      </c>
      <c r="K125" s="634">
        <v>-11.042349370211369</v>
      </c>
      <c r="L125" s="634">
        <v>330.37872659999999</v>
      </c>
      <c r="M125" s="631">
        <v>179237.75399999999</v>
      </c>
      <c r="N125" s="632">
        <v>69137</v>
      </c>
      <c r="O125" s="632">
        <v>719776</v>
      </c>
      <c r="P125" s="635">
        <v>255.26880029342462</v>
      </c>
      <c r="Q125" s="631">
        <v>183736.356</v>
      </c>
      <c r="R125" s="631">
        <v>183736.356</v>
      </c>
      <c r="S125" s="631">
        <v>177794.12599999999</v>
      </c>
      <c r="T125" s="633">
        <v>96.765893191002419</v>
      </c>
      <c r="U125" s="636"/>
      <c r="V125" s="632">
        <v>274098</v>
      </c>
      <c r="W125" s="633">
        <v>4569.7216911928153</v>
      </c>
      <c r="X125" s="632">
        <v>34949</v>
      </c>
      <c r="Y125" s="632">
        <v>7879</v>
      </c>
      <c r="Z125" s="633">
        <v>582.66460676654958</v>
      </c>
      <c r="AA125" s="633">
        <v>4.4357151922832845</v>
      </c>
      <c r="AB125" s="630">
        <v>179237.75399999999</v>
      </c>
      <c r="AC125" s="630">
        <v>0</v>
      </c>
      <c r="AD125" s="630">
        <v>0</v>
      </c>
      <c r="AE125" s="630">
        <v>0</v>
      </c>
      <c r="AF125" s="630">
        <v>0</v>
      </c>
      <c r="AG125" s="630" t="s">
        <v>434</v>
      </c>
      <c r="AH125" s="630">
        <v>179237.75399999999</v>
      </c>
      <c r="AI125" s="630">
        <v>124903.605</v>
      </c>
      <c r="AJ125" s="630">
        <v>19887.601999999999</v>
      </c>
      <c r="AK125" s="630">
        <v>0</v>
      </c>
      <c r="AL125" s="630">
        <v>32620.803</v>
      </c>
      <c r="AM125" s="630">
        <v>0</v>
      </c>
      <c r="AN125" s="630">
        <v>0</v>
      </c>
      <c r="AO125" s="630">
        <v>382.11599999999999</v>
      </c>
      <c r="AP125" s="630">
        <v>177794.12599999999</v>
      </c>
      <c r="AQ125" s="630">
        <v>4770.0690000000004</v>
      </c>
      <c r="AR125" s="630">
        <v>173024.057</v>
      </c>
      <c r="AS125" s="630" t="s">
        <v>434</v>
      </c>
      <c r="AT125" s="630">
        <v>5256.3670000000002</v>
      </c>
      <c r="AU125" s="630">
        <v>17745.695</v>
      </c>
      <c r="AV125" s="630">
        <v>8000.9979999999996</v>
      </c>
      <c r="AW125" s="630" t="s">
        <v>434</v>
      </c>
      <c r="AX125" s="630">
        <v>204027.117</v>
      </c>
      <c r="AY125" s="630">
        <v>-24789.363000000001</v>
      </c>
      <c r="AZ125" s="612" t="s">
        <v>430</v>
      </c>
      <c r="BA125" s="612" t="s">
        <v>433</v>
      </c>
      <c r="BB125" s="613" t="s">
        <v>551</v>
      </c>
      <c r="BC125" s="614">
        <v>9.900645708827617E-2</v>
      </c>
      <c r="BD125" s="614">
        <v>-0.11042349370211368</v>
      </c>
      <c r="BE125" s="613" t="s">
        <v>579</v>
      </c>
      <c r="BF125" s="613" t="s">
        <v>579</v>
      </c>
      <c r="BG125" s="643"/>
      <c r="BH125" s="655"/>
    </row>
    <row r="126" spans="1:60" customFormat="1">
      <c r="A126" s="601" t="s">
        <v>91</v>
      </c>
      <c r="B126" s="601" t="s">
        <v>421</v>
      </c>
      <c r="C126" s="601">
        <v>4</v>
      </c>
      <c r="D126" s="601">
        <v>113</v>
      </c>
      <c r="E126" s="623" t="s">
        <v>255</v>
      </c>
      <c r="F126" s="623" t="s">
        <v>91</v>
      </c>
      <c r="G126" s="601" t="s">
        <v>567</v>
      </c>
      <c r="H126" s="623">
        <v>2014</v>
      </c>
      <c r="I126" s="631">
        <v>-4298.8069999999998</v>
      </c>
      <c r="J126" s="631">
        <v>33205.955000000002</v>
      </c>
      <c r="K126" s="634">
        <v>-1.3415363020402338</v>
      </c>
      <c r="L126" s="634">
        <v>447.17269920000001</v>
      </c>
      <c r="M126" s="631">
        <v>320439.11099999998</v>
      </c>
      <c r="N126" s="632">
        <v>68422</v>
      </c>
      <c r="O126" s="632">
        <v>806780</v>
      </c>
      <c r="P126" s="635">
        <v>228.6249138550782</v>
      </c>
      <c r="Q126" s="631">
        <v>184450.008</v>
      </c>
      <c r="R126" s="631">
        <v>184450.008</v>
      </c>
      <c r="S126" s="631">
        <v>151900.277</v>
      </c>
      <c r="T126" s="633">
        <v>82.353087780836518</v>
      </c>
      <c r="U126" s="625"/>
      <c r="V126" s="632">
        <v>384607</v>
      </c>
      <c r="W126" s="633">
        <v>5720.6227224274271</v>
      </c>
      <c r="X126" s="632">
        <v>25831</v>
      </c>
      <c r="Y126" s="632">
        <v>6776</v>
      </c>
      <c r="Z126" s="633">
        <v>384.2088301643571</v>
      </c>
      <c r="AA126" s="633">
        <v>3.8121310507674142</v>
      </c>
      <c r="AB126" s="630">
        <v>184337.02</v>
      </c>
      <c r="AC126" s="630">
        <v>0</v>
      </c>
      <c r="AD126" s="630">
        <v>0</v>
      </c>
      <c r="AE126" s="630">
        <v>0</v>
      </c>
      <c r="AF126" s="630">
        <v>0</v>
      </c>
      <c r="AG126" s="630" t="s">
        <v>434</v>
      </c>
      <c r="AH126" s="630">
        <v>184337.02</v>
      </c>
      <c r="AI126" s="630">
        <v>110706.11</v>
      </c>
      <c r="AJ126" s="630">
        <v>750.56399999999996</v>
      </c>
      <c r="AK126" s="630">
        <v>6015.93</v>
      </c>
      <c r="AL126" s="630">
        <v>18981.97</v>
      </c>
      <c r="AM126" s="630">
        <v>15531.203</v>
      </c>
      <c r="AN126" s="630">
        <v>0</v>
      </c>
      <c r="AO126" s="630">
        <v>-85.5</v>
      </c>
      <c r="AP126" s="630">
        <v>151900.277</v>
      </c>
      <c r="AQ126" s="630">
        <v>0</v>
      </c>
      <c r="AR126" s="630">
        <v>151900.277</v>
      </c>
      <c r="AS126" s="630" t="s">
        <v>434</v>
      </c>
      <c r="AT126" s="630">
        <v>7581.5550000000003</v>
      </c>
      <c r="AU126" s="630">
        <v>19072.197</v>
      </c>
      <c r="AV126" s="630">
        <v>0</v>
      </c>
      <c r="AW126" s="630" t="s">
        <v>434</v>
      </c>
      <c r="AX126" s="630">
        <v>178554.02900000001</v>
      </c>
      <c r="AY126" s="630">
        <v>5782.9920000000002</v>
      </c>
      <c r="AZ126" s="612" t="s">
        <v>430</v>
      </c>
      <c r="BA126" s="612" t="s">
        <v>433</v>
      </c>
      <c r="BB126" s="613" t="s">
        <v>551</v>
      </c>
      <c r="BC126" s="614">
        <v>0.1036264109470707</v>
      </c>
      <c r="BD126" s="614">
        <v>7.2842711244564096E-2</v>
      </c>
      <c r="BE126" s="613" t="s">
        <v>575</v>
      </c>
      <c r="BF126" s="613" t="s">
        <v>575</v>
      </c>
      <c r="BG126" s="643"/>
      <c r="BH126" s="655"/>
    </row>
    <row r="127" spans="1:60" customFormat="1">
      <c r="A127" s="601" t="s">
        <v>59</v>
      </c>
      <c r="B127" s="601" t="s">
        <v>425</v>
      </c>
      <c r="C127" s="601">
        <v>8</v>
      </c>
      <c r="D127" s="601">
        <v>123</v>
      </c>
      <c r="E127" s="623" t="s">
        <v>245</v>
      </c>
      <c r="F127" s="623" t="s">
        <v>59</v>
      </c>
      <c r="G127" s="601" t="s">
        <v>469</v>
      </c>
      <c r="H127" s="623">
        <v>2014</v>
      </c>
      <c r="I127" s="624">
        <v>-6840.7430000000004</v>
      </c>
      <c r="J127" s="625">
        <v>13332.439</v>
      </c>
      <c r="K127" s="626">
        <v>-4.7168645828043383</v>
      </c>
      <c r="L127" s="626">
        <v>222.9356746</v>
      </c>
      <c r="M127" s="625">
        <v>145027.33499999999</v>
      </c>
      <c r="N127" s="627">
        <v>67899</v>
      </c>
      <c r="O127" s="627">
        <v>691900</v>
      </c>
      <c r="P127" s="628">
        <v>205.14020956785663</v>
      </c>
      <c r="Q127" s="625">
        <v>142565.253</v>
      </c>
      <c r="R127" s="625">
        <v>141936.511</v>
      </c>
      <c r="S127" s="625">
        <v>136711.65900000001</v>
      </c>
      <c r="T127" s="629">
        <v>96.318880911480221</v>
      </c>
      <c r="U127" s="625"/>
      <c r="V127" s="627">
        <v>398436</v>
      </c>
      <c r="W127" s="629">
        <v>6910.2933949992776</v>
      </c>
      <c r="X127" s="627">
        <v>23763</v>
      </c>
      <c r="Y127" s="627">
        <v>6809</v>
      </c>
      <c r="Z127" s="629">
        <v>412.13470154646626</v>
      </c>
      <c r="AA127" s="629">
        <v>3.4899397855779117</v>
      </c>
      <c r="AB127" s="630">
        <v>141936.511</v>
      </c>
      <c r="AC127" s="630">
        <v>0</v>
      </c>
      <c r="AD127" s="630">
        <v>0</v>
      </c>
      <c r="AE127" s="630">
        <v>0</v>
      </c>
      <c r="AF127" s="630">
        <v>817.30600000000004</v>
      </c>
      <c r="AG127" s="630" t="s">
        <v>434</v>
      </c>
      <c r="AH127" s="630">
        <v>142753.81700000001</v>
      </c>
      <c r="AI127" s="630">
        <v>127943.308</v>
      </c>
      <c r="AJ127" s="630">
        <v>1146.7629999999999</v>
      </c>
      <c r="AK127" s="630">
        <v>3117.3969999999999</v>
      </c>
      <c r="AL127" s="630">
        <v>2833.0259999999998</v>
      </c>
      <c r="AM127" s="630">
        <v>6.5860000000000003</v>
      </c>
      <c r="AN127" s="630">
        <v>18.434999999999999</v>
      </c>
      <c r="AO127" s="630">
        <v>1646.144</v>
      </c>
      <c r="AP127" s="630">
        <v>136711.65900000001</v>
      </c>
      <c r="AQ127" s="630">
        <v>893.27800000000002</v>
      </c>
      <c r="AR127" s="630">
        <v>135818.38099999999</v>
      </c>
      <c r="AS127" s="630" t="s">
        <v>434</v>
      </c>
      <c r="AT127" s="630">
        <v>769.66</v>
      </c>
      <c r="AU127" s="630">
        <v>13096.646000000001</v>
      </c>
      <c r="AV127" s="630">
        <v>0</v>
      </c>
      <c r="AW127" s="630" t="s">
        <v>434</v>
      </c>
      <c r="AX127" s="630">
        <v>149684.68700000001</v>
      </c>
      <c r="AY127" s="630">
        <v>-6930.87</v>
      </c>
      <c r="AZ127" s="612" t="s">
        <v>430</v>
      </c>
      <c r="BA127" s="612" t="s">
        <v>433</v>
      </c>
      <c r="BB127" s="613" t="s">
        <v>551</v>
      </c>
      <c r="BC127" s="614">
        <v>9.1930524683501907E-2</v>
      </c>
      <c r="BD127" s="614">
        <v>-4.7168645828043386E-2</v>
      </c>
      <c r="BE127" s="613" t="s">
        <v>571</v>
      </c>
      <c r="BF127" s="613" t="s">
        <v>571</v>
      </c>
      <c r="BG127" s="643"/>
      <c r="BH127" s="655"/>
    </row>
    <row r="128" spans="1:60" customFormat="1">
      <c r="A128" s="612" t="s">
        <v>81</v>
      </c>
      <c r="B128" s="612" t="s">
        <v>236</v>
      </c>
      <c r="C128" s="612">
        <v>54</v>
      </c>
      <c r="D128" s="601">
        <v>121</v>
      </c>
      <c r="E128" s="623" t="s">
        <v>236</v>
      </c>
      <c r="F128" s="623" t="s">
        <v>81</v>
      </c>
      <c r="G128" s="601" t="s">
        <v>567</v>
      </c>
      <c r="H128" s="623">
        <v>2014</v>
      </c>
      <c r="I128" s="624">
        <v>-72784.612999999998</v>
      </c>
      <c r="J128" s="625">
        <v>132147.924</v>
      </c>
      <c r="K128" s="626">
        <v>-5.4340431138981868</v>
      </c>
      <c r="L128" s="626">
        <v>871.8496566</v>
      </c>
      <c r="M128" s="625">
        <v>1339419.1299999999</v>
      </c>
      <c r="N128" s="627">
        <v>65066</v>
      </c>
      <c r="O128" s="627">
        <v>706630</v>
      </c>
      <c r="P128" s="628">
        <v>431.2021100151423</v>
      </c>
      <c r="Q128" s="625">
        <v>304700.34700000001</v>
      </c>
      <c r="R128" s="625">
        <v>304700.34700000001</v>
      </c>
      <c r="S128" s="625">
        <v>281150.39299999998</v>
      </c>
      <c r="T128" s="629">
        <v>92.27111021307762</v>
      </c>
      <c r="U128" s="625"/>
      <c r="V128" s="627">
        <v>557046</v>
      </c>
      <c r="W128" s="629">
        <v>9459.7625348485071</v>
      </c>
      <c r="X128" s="627">
        <v>33024</v>
      </c>
      <c r="Y128" s="627">
        <v>6326</v>
      </c>
      <c r="Z128" s="629">
        <v>560.81400450023352</v>
      </c>
      <c r="AA128" s="629">
        <v>5.220360417325324</v>
      </c>
      <c r="AB128" s="630">
        <v>302601.74699999997</v>
      </c>
      <c r="AC128" s="630">
        <v>0</v>
      </c>
      <c r="AD128" s="630">
        <v>0</v>
      </c>
      <c r="AE128" s="630">
        <v>0</v>
      </c>
      <c r="AF128" s="630">
        <v>0</v>
      </c>
      <c r="AG128" s="630" t="s">
        <v>434</v>
      </c>
      <c r="AH128" s="630">
        <v>302601.74699999997</v>
      </c>
      <c r="AI128" s="630">
        <v>167483.34899999999</v>
      </c>
      <c r="AJ128" s="630">
        <v>17593.862000000001</v>
      </c>
      <c r="AK128" s="630">
        <v>0</v>
      </c>
      <c r="AL128" s="630">
        <v>18361.346000000001</v>
      </c>
      <c r="AM128" s="630">
        <v>69360.213000000003</v>
      </c>
      <c r="AN128" s="630">
        <v>7660.2330000000002</v>
      </c>
      <c r="AO128" s="630">
        <v>691.39</v>
      </c>
      <c r="AP128" s="630">
        <v>281150.39299999998</v>
      </c>
      <c r="AQ128" s="630">
        <v>2759.288</v>
      </c>
      <c r="AR128" s="630">
        <v>278391.10499999998</v>
      </c>
      <c r="AS128" s="630" t="s">
        <v>434</v>
      </c>
      <c r="AT128" s="630">
        <v>7559.2</v>
      </c>
      <c r="AU128" s="630">
        <v>22712.688999999998</v>
      </c>
      <c r="AV128" s="630">
        <v>100</v>
      </c>
      <c r="AW128" s="630" t="s">
        <v>434</v>
      </c>
      <c r="AX128" s="630">
        <v>308762.99400000001</v>
      </c>
      <c r="AY128" s="630">
        <v>-6161.2470000000003</v>
      </c>
      <c r="AZ128" s="612" t="s">
        <v>430</v>
      </c>
      <c r="BA128" s="612" t="s">
        <v>431</v>
      </c>
      <c r="BB128" s="613" t="s">
        <v>551</v>
      </c>
      <c r="BC128" s="614">
        <v>9.8660621638276894E-2</v>
      </c>
      <c r="BD128" s="614">
        <v>-2.1371723769053122E-2</v>
      </c>
      <c r="BE128" s="613" t="s">
        <v>572</v>
      </c>
      <c r="BF128" s="613" t="s">
        <v>572</v>
      </c>
      <c r="BG128" s="643"/>
      <c r="BH128" s="655"/>
    </row>
    <row r="129" spans="1:60" customFormat="1">
      <c r="A129" s="612" t="s">
        <v>90</v>
      </c>
      <c r="B129" s="612" t="s">
        <v>150</v>
      </c>
      <c r="C129" s="612">
        <v>72</v>
      </c>
      <c r="D129" s="601">
        <v>124</v>
      </c>
      <c r="E129" s="623" t="s">
        <v>150</v>
      </c>
      <c r="F129" s="623" t="s">
        <v>90</v>
      </c>
      <c r="G129" s="601" t="s">
        <v>567</v>
      </c>
      <c r="H129" s="623">
        <v>2014</v>
      </c>
      <c r="I129" s="624">
        <v>2669.33</v>
      </c>
      <c r="J129" s="625">
        <v>10397.945</v>
      </c>
      <c r="K129" s="626">
        <v>1.7719305707082398</v>
      </c>
      <c r="L129" s="626">
        <v>553.11787560000005</v>
      </c>
      <c r="M129" s="625">
        <v>150645.29300000001</v>
      </c>
      <c r="N129" s="627">
        <v>65000</v>
      </c>
      <c r="O129" s="627">
        <v>691841</v>
      </c>
      <c r="P129" s="628">
        <v>193.4474337311608</v>
      </c>
      <c r="Q129" s="625">
        <v>133834.86600000001</v>
      </c>
      <c r="R129" s="625">
        <v>133834.86600000001</v>
      </c>
      <c r="S129" s="625">
        <v>117980.55</v>
      </c>
      <c r="T129" s="629">
        <v>88.153822338044549</v>
      </c>
      <c r="U129" s="625"/>
      <c r="V129" s="627">
        <v>433591</v>
      </c>
      <c r="W129" s="629">
        <v>7520.6470850961423</v>
      </c>
      <c r="X129" s="627">
        <v>22038</v>
      </c>
      <c r="Y129" s="627">
        <v>6042</v>
      </c>
      <c r="Z129" s="629">
        <v>382.24967875566784</v>
      </c>
      <c r="AA129" s="629">
        <v>3.6474677259185699</v>
      </c>
      <c r="AB129" s="630">
        <v>133331.61600000001</v>
      </c>
      <c r="AC129" s="630">
        <v>-75.790000000000006</v>
      </c>
      <c r="AD129" s="630">
        <v>0</v>
      </c>
      <c r="AE129" s="630">
        <v>0</v>
      </c>
      <c r="AF129" s="630">
        <v>0</v>
      </c>
      <c r="AG129" s="630" t="s">
        <v>434</v>
      </c>
      <c r="AH129" s="630">
        <v>133255.826</v>
      </c>
      <c r="AI129" s="630">
        <v>61223.336000000003</v>
      </c>
      <c r="AJ129" s="630">
        <v>14078.745000000001</v>
      </c>
      <c r="AK129" s="630">
        <v>4379.6369999999997</v>
      </c>
      <c r="AL129" s="630">
        <v>9071.5660000000007</v>
      </c>
      <c r="AM129" s="630">
        <v>24155.378000000001</v>
      </c>
      <c r="AN129" s="630">
        <v>2571.8879999999999</v>
      </c>
      <c r="AO129" s="630">
        <v>0</v>
      </c>
      <c r="AP129" s="630">
        <v>115480.55</v>
      </c>
      <c r="AQ129" s="630">
        <v>1449.702</v>
      </c>
      <c r="AR129" s="630">
        <v>114030.848</v>
      </c>
      <c r="AS129" s="630" t="s">
        <v>434</v>
      </c>
      <c r="AT129" s="630">
        <v>6385.1610000000001</v>
      </c>
      <c r="AU129" s="630">
        <v>8743.1859999999997</v>
      </c>
      <c r="AV129" s="630">
        <v>0</v>
      </c>
      <c r="AW129" s="630" t="s">
        <v>434</v>
      </c>
      <c r="AX129" s="630">
        <v>129159.19500000001</v>
      </c>
      <c r="AY129" s="630">
        <v>4096.6310000000003</v>
      </c>
      <c r="AZ129" s="612" t="s">
        <v>435</v>
      </c>
      <c r="BA129" s="612" t="s">
        <v>431</v>
      </c>
      <c r="BB129" s="613" t="s">
        <v>551</v>
      </c>
      <c r="BC129" s="614">
        <v>6.90227008951418E-2</v>
      </c>
      <c r="BD129" s="614">
        <v>4.9439075724412682E-2</v>
      </c>
      <c r="BE129" s="613" t="s">
        <v>574</v>
      </c>
      <c r="BF129" s="613" t="s">
        <v>574</v>
      </c>
      <c r="BG129" s="643"/>
      <c r="BH129" s="655"/>
    </row>
    <row r="130" spans="1:60" customFormat="1">
      <c r="A130" s="601" t="s">
        <v>77</v>
      </c>
      <c r="B130" s="601" t="s">
        <v>419</v>
      </c>
      <c r="C130" s="601">
        <v>2</v>
      </c>
      <c r="D130" s="601">
        <v>129</v>
      </c>
      <c r="E130" s="623" t="s">
        <v>219</v>
      </c>
      <c r="F130" s="623" t="s">
        <v>77</v>
      </c>
      <c r="G130" s="601" t="s">
        <v>469</v>
      </c>
      <c r="H130" s="623">
        <v>2014</v>
      </c>
      <c r="I130" s="631">
        <v>-6950.6120000000001</v>
      </c>
      <c r="J130" s="631">
        <v>20517.753000000001</v>
      </c>
      <c r="K130" s="634">
        <v>-3.4039283123924964</v>
      </c>
      <c r="L130" s="634">
        <v>342.41223880000001</v>
      </c>
      <c r="M130" s="631">
        <v>204193.842</v>
      </c>
      <c r="N130" s="632">
        <v>63216</v>
      </c>
      <c r="O130" s="632">
        <v>565313</v>
      </c>
      <c r="P130" s="635">
        <v>366.44876024432483</v>
      </c>
      <c r="Q130" s="631">
        <v>207158.24799999999</v>
      </c>
      <c r="R130" s="631">
        <v>207158.24799999999</v>
      </c>
      <c r="S130" s="631">
        <v>183324.23199999999</v>
      </c>
      <c r="T130" s="633">
        <v>88.494778156262456</v>
      </c>
      <c r="U130" s="636"/>
      <c r="V130" s="632">
        <v>260002</v>
      </c>
      <c r="W130" s="633">
        <v>5519.1088830435529</v>
      </c>
      <c r="X130" s="632">
        <v>17519</v>
      </c>
      <c r="Y130" s="632">
        <v>4092</v>
      </c>
      <c r="Z130" s="633">
        <v>371.87894140060462</v>
      </c>
      <c r="AA130" s="633">
        <v>4.2812805474095796</v>
      </c>
      <c r="AB130" s="630">
        <v>204193.842</v>
      </c>
      <c r="AC130" s="630">
        <v>0</v>
      </c>
      <c r="AD130" s="630">
        <v>0</v>
      </c>
      <c r="AE130" s="630">
        <v>0</v>
      </c>
      <c r="AF130" s="630">
        <v>0</v>
      </c>
      <c r="AG130" s="630" t="s">
        <v>434</v>
      </c>
      <c r="AH130" s="630">
        <v>204193.842</v>
      </c>
      <c r="AI130" s="630">
        <v>76615.277000000002</v>
      </c>
      <c r="AJ130" s="630">
        <v>50194.815000000002</v>
      </c>
      <c r="AK130" s="630">
        <v>0</v>
      </c>
      <c r="AL130" s="630">
        <v>13819.645</v>
      </c>
      <c r="AM130" s="630">
        <v>42694.493999999999</v>
      </c>
      <c r="AN130" s="630">
        <v>0</v>
      </c>
      <c r="AO130" s="630">
        <v>0</v>
      </c>
      <c r="AP130" s="630">
        <v>183324.231</v>
      </c>
      <c r="AQ130" s="630">
        <v>1934.7</v>
      </c>
      <c r="AR130" s="630">
        <v>181389.53099999999</v>
      </c>
      <c r="AS130" s="630" t="s">
        <v>434</v>
      </c>
      <c r="AT130" s="630">
        <v>6315.0150000000003</v>
      </c>
      <c r="AU130" s="630">
        <v>20517.751</v>
      </c>
      <c r="AV130" s="630">
        <v>4207.3050000000003</v>
      </c>
      <c r="AW130" s="630" t="s">
        <v>434</v>
      </c>
      <c r="AX130" s="630">
        <v>212429.60200000001</v>
      </c>
      <c r="AY130" s="630">
        <v>-8235.76</v>
      </c>
      <c r="AZ130" s="612" t="s">
        <v>430</v>
      </c>
      <c r="BA130" s="612" t="s">
        <v>433</v>
      </c>
      <c r="BB130" s="613" t="s">
        <v>551</v>
      </c>
      <c r="BC130" s="614">
        <v>0.10048174224568437</v>
      </c>
      <c r="BD130" s="614">
        <v>-3.4039283123924964E-2</v>
      </c>
      <c r="BE130" s="613" t="s">
        <v>571</v>
      </c>
      <c r="BF130" s="613" t="s">
        <v>571</v>
      </c>
      <c r="BG130" s="643"/>
      <c r="BH130" s="655"/>
    </row>
    <row r="131" spans="1:60" customFormat="1">
      <c r="A131" s="612" t="s">
        <v>58</v>
      </c>
      <c r="B131" s="612" t="s">
        <v>141</v>
      </c>
      <c r="C131" s="612">
        <v>63</v>
      </c>
      <c r="D131" s="601">
        <v>114</v>
      </c>
      <c r="E131" s="623" t="s">
        <v>141</v>
      </c>
      <c r="F131" s="623" t="s">
        <v>58</v>
      </c>
      <c r="G131" s="601" t="s">
        <v>469</v>
      </c>
      <c r="H131" s="623">
        <v>2014</v>
      </c>
      <c r="I131" s="624">
        <v>-5254.3249999999998</v>
      </c>
      <c r="J131" s="625">
        <v>15996.946</v>
      </c>
      <c r="K131" s="626">
        <v>-2.2115637392214298</v>
      </c>
      <c r="L131" s="626">
        <v>747.71357309999996</v>
      </c>
      <c r="M131" s="625">
        <v>237584.15400000001</v>
      </c>
      <c r="N131" s="627">
        <v>62648</v>
      </c>
      <c r="O131" s="627">
        <v>803045</v>
      </c>
      <c r="P131" s="628">
        <v>275.41519342004494</v>
      </c>
      <c r="Q131" s="625">
        <v>239396.764</v>
      </c>
      <c r="R131" s="625">
        <v>221170.79399999999</v>
      </c>
      <c r="S131" s="625">
        <v>206846.12299999999</v>
      </c>
      <c r="T131" s="629">
        <v>93.523253798148417</v>
      </c>
      <c r="U131" s="625"/>
      <c r="V131" s="627">
        <v>355853</v>
      </c>
      <c r="W131" s="629">
        <v>5317.5550560678421</v>
      </c>
      <c r="X131" s="627">
        <v>33501</v>
      </c>
      <c r="Y131" s="627">
        <v>6460</v>
      </c>
      <c r="Z131" s="629">
        <v>500.60955488173141</v>
      </c>
      <c r="AA131" s="629">
        <v>5.1859133126934989</v>
      </c>
      <c r="AB131" s="630">
        <v>221170.79399999999</v>
      </c>
      <c r="AC131" s="630">
        <v>0</v>
      </c>
      <c r="AD131" s="630">
        <v>0</v>
      </c>
      <c r="AE131" s="630">
        <v>0</v>
      </c>
      <c r="AF131" s="630">
        <v>4.0000000000000001E-3</v>
      </c>
      <c r="AG131" s="630" t="s">
        <v>434</v>
      </c>
      <c r="AH131" s="630">
        <v>221170.79800000001</v>
      </c>
      <c r="AI131" s="630">
        <v>150319.27799999999</v>
      </c>
      <c r="AJ131" s="630">
        <v>11670.56</v>
      </c>
      <c r="AK131" s="630">
        <v>0</v>
      </c>
      <c r="AL131" s="630">
        <v>20911.653999999999</v>
      </c>
      <c r="AM131" s="630">
        <v>30819.489000000001</v>
      </c>
      <c r="AN131" s="630">
        <v>-11630.084999999999</v>
      </c>
      <c r="AO131" s="630">
        <v>4755.2269999999999</v>
      </c>
      <c r="AP131" s="630">
        <v>206846.12299999999</v>
      </c>
      <c r="AQ131" s="630">
        <v>2304.9499999999998</v>
      </c>
      <c r="AR131" s="630">
        <v>204541.17300000001</v>
      </c>
      <c r="AS131" s="630" t="s">
        <v>434</v>
      </c>
      <c r="AT131" s="630">
        <v>5747.393</v>
      </c>
      <c r="AU131" s="630">
        <v>12256.624</v>
      </c>
      <c r="AV131" s="630">
        <v>0</v>
      </c>
      <c r="AW131" s="630" t="s">
        <v>434</v>
      </c>
      <c r="AX131" s="630">
        <v>222545.19</v>
      </c>
      <c r="AY131" s="630">
        <v>-1374.3920000000001</v>
      </c>
      <c r="AZ131" s="612" t="s">
        <v>435</v>
      </c>
      <c r="BA131" s="612" t="s">
        <v>431</v>
      </c>
      <c r="BB131" s="613" t="s">
        <v>551</v>
      </c>
      <c r="BC131" s="614">
        <v>6.7331704285295058E-2</v>
      </c>
      <c r="BD131" s="614">
        <v>-2.2115637392214296E-2</v>
      </c>
      <c r="BE131" s="613" t="s">
        <v>572</v>
      </c>
      <c r="BF131" s="613" t="s">
        <v>572</v>
      </c>
      <c r="BG131" s="643"/>
      <c r="BH131" s="655"/>
    </row>
    <row r="132" spans="1:60" customFormat="1">
      <c r="A132" s="601" t="s">
        <v>56</v>
      </c>
      <c r="B132" s="601" t="s">
        <v>424</v>
      </c>
      <c r="C132" s="601">
        <v>5</v>
      </c>
      <c r="D132" s="601">
        <v>126</v>
      </c>
      <c r="E132" s="623" t="s">
        <v>382</v>
      </c>
      <c r="F132" s="623" t="s">
        <v>56</v>
      </c>
      <c r="G132" s="601" t="s">
        <v>567</v>
      </c>
      <c r="H132" s="623">
        <v>2014</v>
      </c>
      <c r="I132" s="624">
        <v>-44576.559000000001</v>
      </c>
      <c r="J132" s="625">
        <v>164127.34</v>
      </c>
      <c r="K132" s="626">
        <v>-4.014903322302545</v>
      </c>
      <c r="L132" s="626">
        <v>146.6212611</v>
      </c>
      <c r="M132" s="625">
        <v>1110277.27</v>
      </c>
      <c r="N132" s="627">
        <v>62555</v>
      </c>
      <c r="O132" s="627">
        <v>683374</v>
      </c>
      <c r="P132" s="628">
        <v>406.82140087272853</v>
      </c>
      <c r="Q132" s="625">
        <v>278011.16800000001</v>
      </c>
      <c r="R132" s="625">
        <v>278011.16800000001</v>
      </c>
      <c r="S132" s="625">
        <v>272523.75199999998</v>
      </c>
      <c r="T132" s="629">
        <v>98.026188645774113</v>
      </c>
      <c r="U132" s="625"/>
      <c r="V132" s="627">
        <v>213483</v>
      </c>
      <c r="W132" s="629">
        <v>3748.7466599548711</v>
      </c>
      <c r="X132" s="627">
        <v>19830</v>
      </c>
      <c r="Y132" s="627">
        <v>4444</v>
      </c>
      <c r="Z132" s="629">
        <v>348.21342339626619</v>
      </c>
      <c r="AA132" s="629">
        <v>4.462196219621962</v>
      </c>
      <c r="AB132" s="630">
        <v>278750.47700000001</v>
      </c>
      <c r="AC132" s="630">
        <v>0</v>
      </c>
      <c r="AD132" s="630">
        <v>0</v>
      </c>
      <c r="AE132" s="630">
        <v>0</v>
      </c>
      <c r="AF132" s="630">
        <v>0</v>
      </c>
      <c r="AG132" s="630" t="s">
        <v>434</v>
      </c>
      <c r="AH132" s="630">
        <v>278750.47700000001</v>
      </c>
      <c r="AI132" s="630">
        <v>249740.95300000001</v>
      </c>
      <c r="AJ132" s="630">
        <v>0.40899999999999997</v>
      </c>
      <c r="AK132" s="630">
        <v>4970.32</v>
      </c>
      <c r="AL132" s="630">
        <v>0</v>
      </c>
      <c r="AM132" s="630">
        <v>15248.819</v>
      </c>
      <c r="AN132" s="630">
        <v>0</v>
      </c>
      <c r="AO132" s="630">
        <v>2563.25</v>
      </c>
      <c r="AP132" s="630">
        <v>272523.75099999999</v>
      </c>
      <c r="AQ132" s="630">
        <v>0</v>
      </c>
      <c r="AR132" s="630">
        <v>272523.75099999999</v>
      </c>
      <c r="AS132" s="630" t="s">
        <v>434</v>
      </c>
      <c r="AT132" s="630">
        <v>4920.4560000000001</v>
      </c>
      <c r="AU132" s="630">
        <v>41206.440999999999</v>
      </c>
      <c r="AV132" s="630">
        <v>0</v>
      </c>
      <c r="AW132" s="630" t="s">
        <v>434</v>
      </c>
      <c r="AX132" s="630">
        <v>318650.64799999999</v>
      </c>
      <c r="AY132" s="630">
        <v>-39900.171000000002</v>
      </c>
      <c r="AZ132" s="612">
        <v>0</v>
      </c>
      <c r="BA132" s="612">
        <v>0</v>
      </c>
      <c r="BB132" s="613" t="s">
        <v>551</v>
      </c>
      <c r="BC132" s="614">
        <v>0.147825542713308</v>
      </c>
      <c r="BD132" s="614">
        <v>-0.12808742917104915</v>
      </c>
      <c r="BE132" s="613" t="s">
        <v>579</v>
      </c>
      <c r="BF132" s="613" t="s">
        <v>579</v>
      </c>
      <c r="BG132" s="643"/>
      <c r="BH132" s="655"/>
    </row>
    <row r="133" spans="1:60" customFormat="1">
      <c r="A133" s="612" t="s">
        <v>69</v>
      </c>
      <c r="B133" s="612" t="s">
        <v>269</v>
      </c>
      <c r="C133" s="612">
        <v>57</v>
      </c>
      <c r="D133" s="601">
        <v>118</v>
      </c>
      <c r="E133" s="623" t="s">
        <v>269</v>
      </c>
      <c r="F133" s="623" t="s">
        <v>69</v>
      </c>
      <c r="G133" s="601" t="s">
        <v>469</v>
      </c>
      <c r="H133" s="623">
        <v>2014</v>
      </c>
      <c r="I133" s="624">
        <v>5028.82</v>
      </c>
      <c r="J133" s="625">
        <v>36151.072</v>
      </c>
      <c r="K133" s="626">
        <v>1.8469717084086499</v>
      </c>
      <c r="L133" s="626">
        <v>230.04380370000001</v>
      </c>
      <c r="M133" s="625">
        <v>272273.79700000002</v>
      </c>
      <c r="N133" s="627">
        <v>62425</v>
      </c>
      <c r="O133" s="627">
        <v>749286</v>
      </c>
      <c r="P133" s="628">
        <v>360.34163723865117</v>
      </c>
      <c r="Q133" s="625">
        <v>269998.94400000002</v>
      </c>
      <c r="R133" s="625">
        <v>269998.94400000002</v>
      </c>
      <c r="S133" s="625">
        <v>227411.935</v>
      </c>
      <c r="T133" s="629">
        <v>84.226972013638687</v>
      </c>
      <c r="U133" s="625"/>
      <c r="V133" s="627">
        <v>409977</v>
      </c>
      <c r="W133" s="629">
        <v>6565.8827203497731</v>
      </c>
      <c r="X133" s="627">
        <v>47348</v>
      </c>
      <c r="Y133" s="627">
        <v>10293</v>
      </c>
      <c r="Z133" s="629">
        <v>758.28989197716226</v>
      </c>
      <c r="AA133" s="629">
        <v>4.6000194306810451</v>
      </c>
      <c r="AB133" s="630">
        <v>269116.01400000002</v>
      </c>
      <c r="AC133" s="630">
        <v>0</v>
      </c>
      <c r="AD133" s="630">
        <v>0</v>
      </c>
      <c r="AE133" s="630">
        <v>0</v>
      </c>
      <c r="AF133" s="630">
        <v>0</v>
      </c>
      <c r="AG133" s="630" t="s">
        <v>434</v>
      </c>
      <c r="AH133" s="630">
        <v>269116.01400000002</v>
      </c>
      <c r="AI133" s="630">
        <v>167015.25</v>
      </c>
      <c r="AJ133" s="630">
        <v>9463.8919999999998</v>
      </c>
      <c r="AK133" s="630">
        <v>0</v>
      </c>
      <c r="AL133" s="630">
        <v>24040.138999999999</v>
      </c>
      <c r="AM133" s="630">
        <v>25994.525000000001</v>
      </c>
      <c r="AN133" s="630">
        <v>890.26199999999994</v>
      </c>
      <c r="AO133" s="630">
        <v>7.867</v>
      </c>
      <c r="AP133" s="630">
        <v>227411.935</v>
      </c>
      <c r="AQ133" s="630">
        <v>191.595</v>
      </c>
      <c r="AR133" s="630">
        <v>227220.34</v>
      </c>
      <c r="AS133" s="630" t="s">
        <v>434</v>
      </c>
      <c r="AT133" s="630">
        <v>433.00299999999999</v>
      </c>
      <c r="AU133" s="630">
        <v>35829.108</v>
      </c>
      <c r="AV133" s="630">
        <v>0</v>
      </c>
      <c r="AW133" s="630" t="s">
        <v>434</v>
      </c>
      <c r="AX133" s="630">
        <v>263482.451</v>
      </c>
      <c r="AY133" s="630">
        <v>5633.5630000000001</v>
      </c>
      <c r="AZ133" s="612" t="s">
        <v>430</v>
      </c>
      <c r="BA133" s="612" t="s">
        <v>433</v>
      </c>
      <c r="BB133" s="613" t="s">
        <v>551</v>
      </c>
      <c r="BC133" s="614">
        <v>0.13277470104844499</v>
      </c>
      <c r="BD133" s="614">
        <v>1.8469717084086498E-2</v>
      </c>
      <c r="BE133" s="613" t="s">
        <v>573</v>
      </c>
      <c r="BF133" s="613" t="s">
        <v>573</v>
      </c>
      <c r="BG133" s="643"/>
      <c r="BH133" s="655"/>
    </row>
    <row r="134" spans="1:60" customFormat="1">
      <c r="A134" s="612" t="s">
        <v>66</v>
      </c>
      <c r="B134" s="612" t="s">
        <v>223</v>
      </c>
      <c r="C134" s="612">
        <v>76</v>
      </c>
      <c r="D134" s="601">
        <v>158</v>
      </c>
      <c r="E134" s="623" t="s">
        <v>223</v>
      </c>
      <c r="F134" s="623" t="s">
        <v>66</v>
      </c>
      <c r="G134" s="601" t="s">
        <v>567</v>
      </c>
      <c r="H134" s="623">
        <v>2014</v>
      </c>
      <c r="I134" s="624">
        <v>-6677.9880000000003</v>
      </c>
      <c r="J134" s="625">
        <v>38470.855000000003</v>
      </c>
      <c r="K134" s="626">
        <v>-1.1415099213723376</v>
      </c>
      <c r="L134" s="626">
        <v>217.39602049999999</v>
      </c>
      <c r="M134" s="625">
        <v>585013.57499999995</v>
      </c>
      <c r="N134" s="627">
        <v>58874</v>
      </c>
      <c r="O134" s="627">
        <v>261281</v>
      </c>
      <c r="P134" s="628">
        <v>437.51790218194202</v>
      </c>
      <c r="Q134" s="625">
        <v>114315.11500000001</v>
      </c>
      <c r="R134" s="625">
        <v>114315.11500000001</v>
      </c>
      <c r="S134" s="625">
        <v>106230.55</v>
      </c>
      <c r="T134" s="629">
        <v>92.927824986223385</v>
      </c>
      <c r="U134" s="625"/>
      <c r="V134" s="627">
        <v>217378</v>
      </c>
      <c r="W134" s="629">
        <v>9983.6421324168241</v>
      </c>
      <c r="X134" s="627">
        <v>9491</v>
      </c>
      <c r="Y134" s="627">
        <v>2067</v>
      </c>
      <c r="Z134" s="629">
        <v>435.89851539147509</v>
      </c>
      <c r="AA134" s="629">
        <v>4.5916787614900825</v>
      </c>
      <c r="AB134" s="630">
        <v>114315.11500000001</v>
      </c>
      <c r="AC134" s="630">
        <v>0</v>
      </c>
      <c r="AD134" s="630">
        <v>0</v>
      </c>
      <c r="AE134" s="630">
        <v>0</v>
      </c>
      <c r="AF134" s="630">
        <v>0</v>
      </c>
      <c r="AG134" s="630" t="s">
        <v>434</v>
      </c>
      <c r="AH134" s="630">
        <v>114315.11500000001</v>
      </c>
      <c r="AI134" s="630">
        <v>79584.254000000001</v>
      </c>
      <c r="AJ134" s="630">
        <v>25.475999999999999</v>
      </c>
      <c r="AK134" s="630">
        <v>0</v>
      </c>
      <c r="AL134" s="630">
        <v>5235.3980000000001</v>
      </c>
      <c r="AM134" s="630">
        <v>18678.284</v>
      </c>
      <c r="AN134" s="630">
        <v>1721.393</v>
      </c>
      <c r="AO134" s="630">
        <v>985.745</v>
      </c>
      <c r="AP134" s="630">
        <v>106230.55</v>
      </c>
      <c r="AQ134" s="630">
        <v>0</v>
      </c>
      <c r="AR134" s="630">
        <v>106230.55</v>
      </c>
      <c r="AS134" s="630" t="s">
        <v>434</v>
      </c>
      <c r="AT134" s="630">
        <v>2568.8359999999998</v>
      </c>
      <c r="AU134" s="630">
        <v>5725.7759999999998</v>
      </c>
      <c r="AV134" s="630">
        <v>0</v>
      </c>
      <c r="AW134" s="630" t="s">
        <v>434</v>
      </c>
      <c r="AX134" s="630">
        <v>114525.162</v>
      </c>
      <c r="AY134" s="630">
        <v>-210.047</v>
      </c>
      <c r="AZ134" s="612" t="s">
        <v>435</v>
      </c>
      <c r="BA134" s="612" t="s">
        <v>431</v>
      </c>
      <c r="BB134" s="613" t="s">
        <v>551</v>
      </c>
      <c r="BC134" s="614">
        <v>6.5760619315543251E-2</v>
      </c>
      <c r="BD134" s="614">
        <v>4.9611308222229089E-3</v>
      </c>
      <c r="BE134" s="613" t="s">
        <v>573</v>
      </c>
      <c r="BF134" s="613" t="s">
        <v>573</v>
      </c>
      <c r="BG134" s="643"/>
      <c r="BH134" s="655"/>
    </row>
    <row r="135" spans="1:60" customFormat="1">
      <c r="A135" s="601" t="s">
        <v>76</v>
      </c>
      <c r="B135" s="601" t="s">
        <v>418</v>
      </c>
      <c r="C135" s="601">
        <v>1</v>
      </c>
      <c r="D135" s="601">
        <v>125</v>
      </c>
      <c r="E135" s="623" t="s">
        <v>273</v>
      </c>
      <c r="F135" s="623" t="s">
        <v>76</v>
      </c>
      <c r="G135" s="601" t="s">
        <v>567</v>
      </c>
      <c r="H135" s="623">
        <v>2014</v>
      </c>
      <c r="I135" s="631">
        <v>12124.254000000001</v>
      </c>
      <c r="J135" s="631">
        <v>23660.045999999998</v>
      </c>
      <c r="K135" s="634">
        <v>4.6312610939374865</v>
      </c>
      <c r="L135" s="634">
        <v>393.84092129999999</v>
      </c>
      <c r="M135" s="631">
        <v>261791.63200000001</v>
      </c>
      <c r="N135" s="632">
        <v>58708</v>
      </c>
      <c r="O135" s="632">
        <v>689939</v>
      </c>
      <c r="P135" s="635">
        <v>246.04614610856902</v>
      </c>
      <c r="Q135" s="631">
        <v>169756.83199999999</v>
      </c>
      <c r="R135" s="631">
        <v>169756.83199999999</v>
      </c>
      <c r="S135" s="631">
        <v>134596.61799999999</v>
      </c>
      <c r="T135" s="633">
        <v>79.287894580879069</v>
      </c>
      <c r="U135" s="625"/>
      <c r="V135" s="632">
        <v>494633</v>
      </c>
      <c r="W135" s="633">
        <v>8603.073605057838</v>
      </c>
      <c r="X135" s="632">
        <v>25879</v>
      </c>
      <c r="Y135" s="632">
        <v>5659</v>
      </c>
      <c r="Z135" s="633">
        <v>450.10935749392337</v>
      </c>
      <c r="AA135" s="633">
        <v>4.5730694468987449</v>
      </c>
      <c r="AB135" s="630">
        <v>169096.73300000001</v>
      </c>
      <c r="AC135" s="630">
        <v>0</v>
      </c>
      <c r="AD135" s="630">
        <v>0</v>
      </c>
      <c r="AE135" s="630">
        <v>0</v>
      </c>
      <c r="AF135" s="630">
        <v>0</v>
      </c>
      <c r="AG135" s="630" t="s">
        <v>434</v>
      </c>
      <c r="AH135" s="630">
        <v>169096.73300000001</v>
      </c>
      <c r="AI135" s="630">
        <v>123063.72900000001</v>
      </c>
      <c r="AJ135" s="630">
        <v>1725.183</v>
      </c>
      <c r="AK135" s="630">
        <v>0</v>
      </c>
      <c r="AL135" s="630">
        <v>0</v>
      </c>
      <c r="AM135" s="630">
        <v>1875.8810000000001</v>
      </c>
      <c r="AN135" s="630">
        <v>4732.1580000000004</v>
      </c>
      <c r="AO135" s="630">
        <v>3199.6669999999999</v>
      </c>
      <c r="AP135" s="630">
        <v>134596.61799999999</v>
      </c>
      <c r="AQ135" s="630">
        <v>0</v>
      </c>
      <c r="AR135" s="630">
        <v>134596.61799999999</v>
      </c>
      <c r="AS135" s="630" t="s">
        <v>434</v>
      </c>
      <c r="AT135" s="630">
        <v>9114.7729999999992</v>
      </c>
      <c r="AU135" s="630">
        <v>14804.906000000001</v>
      </c>
      <c r="AV135" s="630">
        <v>0</v>
      </c>
      <c r="AW135" s="630" t="s">
        <v>434</v>
      </c>
      <c r="AX135" s="630">
        <v>158516.29699999999</v>
      </c>
      <c r="AY135" s="630">
        <v>10580.436</v>
      </c>
      <c r="AZ135" s="612" t="s">
        <v>430</v>
      </c>
      <c r="BA135" s="612" t="s">
        <v>433</v>
      </c>
      <c r="BB135" s="613" t="s">
        <v>551</v>
      </c>
      <c r="BC135" s="614">
        <v>9.0377396020053069E-2</v>
      </c>
      <c r="BD135" s="614">
        <v>0.11674365817115623</v>
      </c>
      <c r="BE135" s="613" t="s">
        <v>581</v>
      </c>
      <c r="BF135" s="613" t="s">
        <v>581</v>
      </c>
      <c r="BG135" s="643"/>
      <c r="BH135" s="655"/>
    </row>
    <row r="136" spans="1:60" customFormat="1">
      <c r="A136" s="601" t="s">
        <v>64</v>
      </c>
      <c r="B136" s="601" t="s">
        <v>420</v>
      </c>
      <c r="C136" s="601">
        <v>3</v>
      </c>
      <c r="D136" s="601">
        <v>171</v>
      </c>
      <c r="E136" s="623" t="s">
        <v>316</v>
      </c>
      <c r="F136" s="623" t="s">
        <v>64</v>
      </c>
      <c r="G136" s="601" t="s">
        <v>469</v>
      </c>
      <c r="H136" s="623">
        <v>2014</v>
      </c>
      <c r="I136" s="631">
        <v>8939.3739999999998</v>
      </c>
      <c r="J136" s="631">
        <v>3590.0479999999998</v>
      </c>
      <c r="K136" s="634">
        <v>10.21867390184201</v>
      </c>
      <c r="L136" s="634">
        <v>768.45392140000001</v>
      </c>
      <c r="M136" s="631">
        <v>87480.763999999996</v>
      </c>
      <c r="N136" s="632">
        <v>57951</v>
      </c>
      <c r="O136" s="632">
        <v>163150</v>
      </c>
      <c r="P136" s="635">
        <v>534.23034630707934</v>
      </c>
      <c r="Q136" s="631">
        <v>91126.881999999998</v>
      </c>
      <c r="R136" s="631">
        <v>87159.680999999997</v>
      </c>
      <c r="S136" s="631">
        <v>66399.528999999995</v>
      </c>
      <c r="T136" s="633">
        <v>76.181473174505996</v>
      </c>
      <c r="U136" s="625"/>
      <c r="V136" s="632">
        <v>31257</v>
      </c>
      <c r="W136" s="633">
        <v>2299.0131780570027</v>
      </c>
      <c r="X136" s="632">
        <v>10790</v>
      </c>
      <c r="Y136" s="632">
        <v>1796</v>
      </c>
      <c r="Z136" s="633">
        <v>793.62549800796808</v>
      </c>
      <c r="AA136" s="633">
        <v>6.007795100222717</v>
      </c>
      <c r="AB136" s="630">
        <v>91126.881999999998</v>
      </c>
      <c r="AC136" s="630">
        <v>-3967.201</v>
      </c>
      <c r="AD136" s="630">
        <v>0</v>
      </c>
      <c r="AE136" s="630">
        <v>0</v>
      </c>
      <c r="AF136" s="630">
        <v>0</v>
      </c>
      <c r="AG136" s="630" t="s">
        <v>434</v>
      </c>
      <c r="AH136" s="630">
        <v>87159.680999999997</v>
      </c>
      <c r="AI136" s="630">
        <v>38990.387999999999</v>
      </c>
      <c r="AJ136" s="630">
        <v>3318.0819999999999</v>
      </c>
      <c r="AK136" s="630">
        <v>0</v>
      </c>
      <c r="AL136" s="630">
        <v>12115.934999999999</v>
      </c>
      <c r="AM136" s="630">
        <v>11450.553</v>
      </c>
      <c r="AN136" s="630">
        <v>524.57100000000003</v>
      </c>
      <c r="AO136" s="630">
        <v>0</v>
      </c>
      <c r="AP136" s="630">
        <v>66399.528999999995</v>
      </c>
      <c r="AQ136" s="630">
        <v>0</v>
      </c>
      <c r="AR136" s="630">
        <v>66399.528999999995</v>
      </c>
      <c r="AS136" s="630" t="s">
        <v>434</v>
      </c>
      <c r="AT136" s="630">
        <v>3389.9639999999999</v>
      </c>
      <c r="AU136" s="630">
        <v>3568.8760000000002</v>
      </c>
      <c r="AV136" s="630">
        <v>0</v>
      </c>
      <c r="AW136" s="630" t="s">
        <v>434</v>
      </c>
      <c r="AX136" s="630">
        <v>73358.369000000006</v>
      </c>
      <c r="AY136" s="630">
        <v>13801.312</v>
      </c>
      <c r="AZ136" s="612" t="s">
        <v>430</v>
      </c>
      <c r="BA136" s="612" t="s">
        <v>433</v>
      </c>
      <c r="BB136" s="613" t="s">
        <v>551</v>
      </c>
      <c r="BC136" s="614">
        <v>4.103814182509883E-2</v>
      </c>
      <c r="BD136" s="614">
        <v>0.1021867390184201</v>
      </c>
      <c r="BE136" s="613" t="s">
        <v>581</v>
      </c>
      <c r="BF136" s="613" t="s">
        <v>581</v>
      </c>
      <c r="BG136" s="643"/>
      <c r="BH136" s="655"/>
    </row>
    <row r="137" spans="1:60" customFormat="1">
      <c r="A137" s="612" t="s">
        <v>92</v>
      </c>
      <c r="B137" s="612" t="s">
        <v>159</v>
      </c>
      <c r="C137" s="612">
        <v>66</v>
      </c>
      <c r="D137" s="601">
        <v>127</v>
      </c>
      <c r="E137" s="623" t="s">
        <v>159</v>
      </c>
      <c r="F137" s="623" t="s">
        <v>92</v>
      </c>
      <c r="G137" s="601" t="s">
        <v>469</v>
      </c>
      <c r="H137" s="623">
        <v>2014</v>
      </c>
      <c r="I137" s="604">
        <v>-4059.3209999999999</v>
      </c>
      <c r="J137" s="609">
        <v>9469.8690000000006</v>
      </c>
      <c r="K137" s="605">
        <v>-2.2976947753363901</v>
      </c>
      <c r="L137" s="605">
        <v>812.42116590000001</v>
      </c>
      <c r="M137" s="609">
        <v>176669.288</v>
      </c>
      <c r="N137" s="607">
        <v>57911</v>
      </c>
      <c r="O137" s="607">
        <v>672977</v>
      </c>
      <c r="P137" s="608">
        <v>264.16841140187557</v>
      </c>
      <c r="Q137" s="609">
        <v>177779.26500000001</v>
      </c>
      <c r="R137" s="609">
        <v>177779.26500000001</v>
      </c>
      <c r="S137" s="609">
        <v>157770.63200000001</v>
      </c>
      <c r="T137" s="611">
        <v>88.74523809061759</v>
      </c>
      <c r="U137" s="625"/>
      <c r="V137" s="627">
        <v>422182</v>
      </c>
      <c r="W137" s="629">
        <v>7528.0195311281068</v>
      </c>
      <c r="X137" s="627">
        <v>20794</v>
      </c>
      <c r="Y137" s="627">
        <v>5680</v>
      </c>
      <c r="Z137" s="629">
        <v>370.7823595754387</v>
      </c>
      <c r="AA137" s="629">
        <v>3.6609154929577463</v>
      </c>
      <c r="AB137" s="630">
        <v>176669.288</v>
      </c>
      <c r="AC137" s="630">
        <v>0</v>
      </c>
      <c r="AD137" s="630">
        <v>0</v>
      </c>
      <c r="AE137" s="630">
        <v>0</v>
      </c>
      <c r="AF137" s="630">
        <v>0</v>
      </c>
      <c r="AG137" s="630" t="s">
        <v>434</v>
      </c>
      <c r="AH137" s="630">
        <v>176669.288</v>
      </c>
      <c r="AI137" s="630">
        <v>107157.288</v>
      </c>
      <c r="AJ137" s="630">
        <v>3640.6350000000002</v>
      </c>
      <c r="AK137" s="630">
        <v>0</v>
      </c>
      <c r="AL137" s="630">
        <v>11122.246999999999</v>
      </c>
      <c r="AM137" s="630">
        <v>35914.587</v>
      </c>
      <c r="AN137" s="630">
        <v>0</v>
      </c>
      <c r="AO137" s="630">
        <v>-64.125</v>
      </c>
      <c r="AP137" s="630">
        <v>157770.63200000001</v>
      </c>
      <c r="AQ137" s="630">
        <v>0</v>
      </c>
      <c r="AR137" s="630">
        <v>157770.63200000001</v>
      </c>
      <c r="AS137" s="630" t="s">
        <v>434</v>
      </c>
      <c r="AT137" s="630">
        <v>13559.126</v>
      </c>
      <c r="AU137" s="630">
        <v>9469.8690000000006</v>
      </c>
      <c r="AV137" s="630">
        <v>0</v>
      </c>
      <c r="AW137" s="630" t="s">
        <v>434</v>
      </c>
      <c r="AX137" s="630">
        <v>180799.62700000001</v>
      </c>
      <c r="AY137" s="630">
        <v>-4130.3389999999999</v>
      </c>
      <c r="AZ137" s="612" t="s">
        <v>435</v>
      </c>
      <c r="BA137" s="612" t="s">
        <v>431</v>
      </c>
      <c r="BB137" s="613" t="s">
        <v>551</v>
      </c>
      <c r="BC137" s="614">
        <v>5.360223673964204E-2</v>
      </c>
      <c r="BD137" s="614">
        <v>-2.29769477533639E-2</v>
      </c>
      <c r="BE137" s="613" t="s">
        <v>572</v>
      </c>
      <c r="BF137" s="613" t="s">
        <v>572</v>
      </c>
      <c r="BG137" s="643"/>
      <c r="BH137" s="655"/>
    </row>
    <row r="138" spans="1:60" customFormat="1">
      <c r="A138" s="601" t="s">
        <v>78</v>
      </c>
      <c r="B138" s="601" t="s">
        <v>422</v>
      </c>
      <c r="C138" s="601">
        <v>6</v>
      </c>
      <c r="D138" s="601">
        <v>148</v>
      </c>
      <c r="E138" s="623" t="s">
        <v>291</v>
      </c>
      <c r="F138" s="623" t="s">
        <v>78</v>
      </c>
      <c r="G138" s="601" t="s">
        <v>469</v>
      </c>
      <c r="H138" s="623">
        <v>2014</v>
      </c>
      <c r="I138" s="631">
        <v>-6479.0829999999996</v>
      </c>
      <c r="J138" s="625">
        <v>19806.829000000002</v>
      </c>
      <c r="K138" s="626">
        <v>-3.6149477508093266</v>
      </c>
      <c r="L138" s="626">
        <v>249.240725</v>
      </c>
      <c r="M138" s="625">
        <v>179230.33600000001</v>
      </c>
      <c r="N138" s="627">
        <v>56986</v>
      </c>
      <c r="O138" s="627">
        <v>367304</v>
      </c>
      <c r="P138" s="628">
        <v>454.20740585455098</v>
      </c>
      <c r="Q138" s="625">
        <v>166832.19699999999</v>
      </c>
      <c r="R138" s="625">
        <v>166832.19699999999</v>
      </c>
      <c r="S138" s="625">
        <v>150523.51999999999</v>
      </c>
      <c r="T138" s="629">
        <v>90.22450264801104</v>
      </c>
      <c r="U138" s="625"/>
      <c r="V138" s="632">
        <v>140533</v>
      </c>
      <c r="W138" s="633">
        <v>4591.2813364406593</v>
      </c>
      <c r="X138" s="632">
        <v>43966</v>
      </c>
      <c r="Y138" s="632">
        <v>4135</v>
      </c>
      <c r="Z138" s="633">
        <v>1436.3905647637923</v>
      </c>
      <c r="AA138" s="633">
        <v>10.632648125755743</v>
      </c>
      <c r="AB138" s="630">
        <v>166781.27499999999</v>
      </c>
      <c r="AC138" s="630">
        <v>0</v>
      </c>
      <c r="AD138" s="630">
        <v>0</v>
      </c>
      <c r="AE138" s="630">
        <v>0</v>
      </c>
      <c r="AF138" s="630">
        <v>0</v>
      </c>
      <c r="AG138" s="630" t="s">
        <v>434</v>
      </c>
      <c r="AH138" s="630">
        <v>166781.27499999999</v>
      </c>
      <c r="AI138" s="630">
        <v>116502.005</v>
      </c>
      <c r="AJ138" s="630">
        <v>4912.9210000000003</v>
      </c>
      <c r="AK138" s="630">
        <v>0</v>
      </c>
      <c r="AL138" s="630">
        <v>7223.5649999999996</v>
      </c>
      <c r="AM138" s="630">
        <v>21885.026999999998</v>
      </c>
      <c r="AN138" s="630">
        <v>0</v>
      </c>
      <c r="AO138" s="630">
        <v>0</v>
      </c>
      <c r="AP138" s="630">
        <v>150523.51800000001</v>
      </c>
      <c r="AQ138" s="630">
        <v>0</v>
      </c>
      <c r="AR138" s="630">
        <v>150523.51800000001</v>
      </c>
      <c r="AS138" s="630" t="s">
        <v>434</v>
      </c>
      <c r="AT138" s="630">
        <v>5485.375</v>
      </c>
      <c r="AU138" s="630">
        <v>18265.069</v>
      </c>
      <c r="AV138" s="630">
        <v>0</v>
      </c>
      <c r="AW138" s="630" t="s">
        <v>434</v>
      </c>
      <c r="AX138" s="630">
        <v>174273.962</v>
      </c>
      <c r="AY138" s="630">
        <v>-7492.6869999999999</v>
      </c>
      <c r="AZ138" s="612" t="s">
        <v>430</v>
      </c>
      <c r="BA138" s="612" t="s">
        <v>433</v>
      </c>
      <c r="BB138" s="613" t="s">
        <v>551</v>
      </c>
      <c r="BC138" s="614">
        <v>0.11051047184333795</v>
      </c>
      <c r="BD138" s="614">
        <v>-3.6149477508093268E-2</v>
      </c>
      <c r="BE138" s="613" t="s">
        <v>571</v>
      </c>
      <c r="BF138" s="613" t="s">
        <v>571</v>
      </c>
      <c r="BG138" s="643"/>
      <c r="BH138" s="655"/>
    </row>
    <row r="139" spans="1:60" customFormat="1">
      <c r="A139" s="612" t="s">
        <v>61</v>
      </c>
      <c r="B139" s="612" t="s">
        <v>230</v>
      </c>
      <c r="C139" s="612">
        <v>29</v>
      </c>
      <c r="D139" s="601">
        <v>186</v>
      </c>
      <c r="E139" s="623" t="s">
        <v>230</v>
      </c>
      <c r="F139" s="623" t="s">
        <v>61</v>
      </c>
      <c r="G139" s="601" t="s">
        <v>567</v>
      </c>
      <c r="H139" s="623">
        <v>2014</v>
      </c>
      <c r="I139" s="624">
        <v>-281884.09899999999</v>
      </c>
      <c r="J139" s="625">
        <v>2772043.8289999999</v>
      </c>
      <c r="K139" s="626">
        <v>-1.0174308510204224</v>
      </c>
      <c r="L139" s="626">
        <v>955.82954380000001</v>
      </c>
      <c r="M139" s="625">
        <v>27705479.809</v>
      </c>
      <c r="N139" s="627">
        <v>49168</v>
      </c>
      <c r="O139" s="627">
        <v>88084</v>
      </c>
      <c r="P139" s="628">
        <v>804.05099677580495</v>
      </c>
      <c r="Q139" s="625">
        <v>70824.028000000006</v>
      </c>
      <c r="R139" s="625">
        <v>70824.028000000006</v>
      </c>
      <c r="S139" s="625">
        <v>67294.638999999996</v>
      </c>
      <c r="T139" s="629">
        <v>95.016678520459166</v>
      </c>
      <c r="U139" s="625"/>
      <c r="V139" s="627">
        <v>39144</v>
      </c>
      <c r="W139" s="629">
        <v>5332.7278506879793</v>
      </c>
      <c r="X139" s="627">
        <v>7845</v>
      </c>
      <c r="Y139" s="627">
        <v>1640</v>
      </c>
      <c r="Z139" s="629">
        <v>1068.7525543799102</v>
      </c>
      <c r="AA139" s="629">
        <v>4.7835365853658534</v>
      </c>
      <c r="AB139" s="630">
        <v>142337.20000000001</v>
      </c>
      <c r="AC139" s="630">
        <v>0</v>
      </c>
      <c r="AD139" s="630">
        <v>0</v>
      </c>
      <c r="AE139" s="630">
        <v>0</v>
      </c>
      <c r="AF139" s="630">
        <v>0</v>
      </c>
      <c r="AG139" s="630" t="s">
        <v>434</v>
      </c>
      <c r="AH139" s="630">
        <v>142337.20000000001</v>
      </c>
      <c r="AI139" s="630">
        <v>107665.821</v>
      </c>
      <c r="AJ139" s="630">
        <v>0</v>
      </c>
      <c r="AK139" s="630">
        <v>0</v>
      </c>
      <c r="AL139" s="630">
        <v>0</v>
      </c>
      <c r="AM139" s="630">
        <v>16475.606</v>
      </c>
      <c r="AN139" s="630">
        <v>0</v>
      </c>
      <c r="AO139" s="630">
        <v>0</v>
      </c>
      <c r="AP139" s="630">
        <v>124141.427</v>
      </c>
      <c r="AQ139" s="630">
        <v>-1441.5340000000001</v>
      </c>
      <c r="AR139" s="630">
        <v>125582.962</v>
      </c>
      <c r="AS139" s="630" t="s">
        <v>434</v>
      </c>
      <c r="AT139" s="630">
        <v>12793.77</v>
      </c>
      <c r="AU139" s="630">
        <v>13189.806</v>
      </c>
      <c r="AV139" s="630">
        <v>14908</v>
      </c>
      <c r="AW139" s="630" t="s">
        <v>434</v>
      </c>
      <c r="AX139" s="630">
        <v>166474.53700000001</v>
      </c>
      <c r="AY139" s="630">
        <v>-24137.337</v>
      </c>
      <c r="AZ139" s="637" t="s">
        <v>430</v>
      </c>
      <c r="BA139" s="637" t="s">
        <v>431</v>
      </c>
      <c r="BB139" s="613" t="s">
        <v>554</v>
      </c>
      <c r="BC139" s="614">
        <v>0.10005399105557139</v>
      </c>
      <c r="BD139" s="614">
        <v>-5.0220776260163025E-2</v>
      </c>
      <c r="BE139" s="613" t="s">
        <v>570</v>
      </c>
      <c r="BF139" s="613" t="s">
        <v>570</v>
      </c>
      <c r="BG139" s="643"/>
      <c r="BH139" s="655"/>
    </row>
    <row r="140" spans="1:60" customFormat="1">
      <c r="A140" s="612" t="s">
        <v>95</v>
      </c>
      <c r="B140" s="612" t="s">
        <v>167</v>
      </c>
      <c r="C140" s="612">
        <v>82</v>
      </c>
      <c r="D140" s="601">
        <v>128</v>
      </c>
      <c r="E140" s="623" t="s">
        <v>167</v>
      </c>
      <c r="F140" s="623" t="s">
        <v>95</v>
      </c>
      <c r="G140" s="601" t="s">
        <v>567</v>
      </c>
      <c r="H140" s="623">
        <v>2014</v>
      </c>
      <c r="I140" s="624">
        <v>28271.776000000002</v>
      </c>
      <c r="J140" s="625">
        <v>68594.554000000004</v>
      </c>
      <c r="K140" s="626">
        <v>2.5748162682544988</v>
      </c>
      <c r="L140" s="626">
        <v>464.79883519999998</v>
      </c>
      <c r="M140" s="625">
        <v>1098011.3940000001</v>
      </c>
      <c r="N140" s="627">
        <v>48946</v>
      </c>
      <c r="O140" s="627">
        <v>590125</v>
      </c>
      <c r="P140" s="628">
        <v>161.38141241262446</v>
      </c>
      <c r="Q140" s="625">
        <v>95222.487999999998</v>
      </c>
      <c r="R140" s="625">
        <v>95235.206000000006</v>
      </c>
      <c r="S140" s="625">
        <v>72250.847999999998</v>
      </c>
      <c r="T140" s="629">
        <v>75.865691937496308</v>
      </c>
      <c r="U140" s="625"/>
      <c r="V140" s="627">
        <v>0</v>
      </c>
      <c r="W140" s="629">
        <v>0</v>
      </c>
      <c r="X140" s="627">
        <v>10967</v>
      </c>
      <c r="Y140" s="627">
        <v>3344</v>
      </c>
      <c r="Z140" s="629">
        <v>223.01037915695827</v>
      </c>
      <c r="AA140" s="629">
        <v>3.2796052631578947</v>
      </c>
      <c r="AB140" s="630">
        <v>95235.206000000006</v>
      </c>
      <c r="AC140" s="630">
        <v>0</v>
      </c>
      <c r="AD140" s="630">
        <v>0</v>
      </c>
      <c r="AE140" s="630">
        <v>0</v>
      </c>
      <c r="AF140" s="630">
        <v>0</v>
      </c>
      <c r="AG140" s="630" t="s">
        <v>434</v>
      </c>
      <c r="AH140" s="630">
        <v>95235.206000000006</v>
      </c>
      <c r="AI140" s="630">
        <v>60946.659</v>
      </c>
      <c r="AJ140" s="630">
        <v>477.392</v>
      </c>
      <c r="AK140" s="630">
        <v>7194.2910000000002</v>
      </c>
      <c r="AL140" s="630">
        <v>3632.5070000000001</v>
      </c>
      <c r="AM140" s="630">
        <v>0</v>
      </c>
      <c r="AN140" s="630">
        <v>0</v>
      </c>
      <c r="AO140" s="630">
        <v>0</v>
      </c>
      <c r="AP140" s="630">
        <v>72250.847999999998</v>
      </c>
      <c r="AQ140" s="630">
        <v>120.639</v>
      </c>
      <c r="AR140" s="630">
        <v>72130.209000000003</v>
      </c>
      <c r="AS140" s="630" t="s">
        <v>434</v>
      </c>
      <c r="AT140" s="630">
        <v>2537.7860000000001</v>
      </c>
      <c r="AU140" s="630">
        <v>9129.6810000000005</v>
      </c>
      <c r="AV140" s="630">
        <v>0</v>
      </c>
      <c r="AW140" s="630" t="s">
        <v>434</v>
      </c>
      <c r="AX140" s="630">
        <v>83797.676000000007</v>
      </c>
      <c r="AY140" s="630">
        <v>11437.53</v>
      </c>
      <c r="AZ140" s="612" t="s">
        <v>435</v>
      </c>
      <c r="BA140" s="612" t="s">
        <v>431</v>
      </c>
      <c r="BB140" s="613" t="s">
        <v>554</v>
      </c>
      <c r="BC140" s="614">
        <v>6.2471623131444477E-2</v>
      </c>
      <c r="BD140" s="614">
        <v>0.17887145749359248</v>
      </c>
      <c r="BE140" s="613" t="s">
        <v>582</v>
      </c>
      <c r="BF140" s="613" t="s">
        <v>582</v>
      </c>
      <c r="BG140" s="643"/>
      <c r="BH140" s="655"/>
    </row>
    <row r="141" spans="1:60" customFormat="1">
      <c r="A141" s="601" t="s">
        <v>58</v>
      </c>
      <c r="B141" s="601" t="s">
        <v>422</v>
      </c>
      <c r="C141" s="601">
        <v>6</v>
      </c>
      <c r="D141" s="601">
        <v>130</v>
      </c>
      <c r="E141" s="623" t="s">
        <v>289</v>
      </c>
      <c r="F141" s="623" t="s">
        <v>58</v>
      </c>
      <c r="G141" s="601" t="s">
        <v>567</v>
      </c>
      <c r="H141" s="623">
        <v>2014</v>
      </c>
      <c r="I141" s="631">
        <v>-2412.6170000000002</v>
      </c>
      <c r="J141" s="625">
        <v>51547.046000000002</v>
      </c>
      <c r="K141" s="626">
        <v>-0.39443495019030078</v>
      </c>
      <c r="L141" s="626">
        <v>324.06871569999998</v>
      </c>
      <c r="M141" s="625">
        <v>611664.103</v>
      </c>
      <c r="N141" s="627">
        <v>46702</v>
      </c>
      <c r="O141" s="627">
        <v>549399</v>
      </c>
      <c r="P141" s="628">
        <v>933.17721728652577</v>
      </c>
      <c r="Q141" s="625">
        <v>512686.63</v>
      </c>
      <c r="R141" s="625">
        <v>512686.63</v>
      </c>
      <c r="S141" s="625">
        <v>452856.65899999999</v>
      </c>
      <c r="T141" s="629">
        <v>88.330108979046315</v>
      </c>
      <c r="U141" s="625"/>
      <c r="V141" s="632">
        <v>204246</v>
      </c>
      <c r="W141" s="633">
        <v>4461.1511852041958</v>
      </c>
      <c r="X141" s="632">
        <v>83802</v>
      </c>
      <c r="Y141" s="632">
        <v>14419</v>
      </c>
      <c r="Z141" s="633">
        <v>1830.4074088230957</v>
      </c>
      <c r="AA141" s="633">
        <v>5.811914834593245</v>
      </c>
      <c r="AB141" s="630">
        <v>511604.34</v>
      </c>
      <c r="AC141" s="630">
        <v>0</v>
      </c>
      <c r="AD141" s="630">
        <v>0</v>
      </c>
      <c r="AE141" s="630">
        <v>0</v>
      </c>
      <c r="AF141" s="630">
        <v>0</v>
      </c>
      <c r="AG141" s="630" t="s">
        <v>434</v>
      </c>
      <c r="AH141" s="630">
        <v>511604.34</v>
      </c>
      <c r="AI141" s="630">
        <v>358965.89500000002</v>
      </c>
      <c r="AJ141" s="630">
        <v>10517.525</v>
      </c>
      <c r="AK141" s="630">
        <v>0</v>
      </c>
      <c r="AL141" s="630">
        <v>17179.21</v>
      </c>
      <c r="AM141" s="630">
        <v>66194.03</v>
      </c>
      <c r="AN141" s="630">
        <v>0</v>
      </c>
      <c r="AO141" s="630">
        <v>0</v>
      </c>
      <c r="AP141" s="630">
        <v>452856.66</v>
      </c>
      <c r="AQ141" s="630">
        <v>1337.125</v>
      </c>
      <c r="AR141" s="630">
        <v>451519.53499999997</v>
      </c>
      <c r="AS141" s="630" t="s">
        <v>434</v>
      </c>
      <c r="AT141" s="630">
        <v>15693.293</v>
      </c>
      <c r="AU141" s="630">
        <v>38476.724999999999</v>
      </c>
      <c r="AV141" s="630">
        <v>0</v>
      </c>
      <c r="AW141" s="630" t="s">
        <v>434</v>
      </c>
      <c r="AX141" s="630">
        <v>505689.55300000001</v>
      </c>
      <c r="AY141" s="630">
        <v>5914.7870000000003</v>
      </c>
      <c r="AZ141" s="612" t="s">
        <v>430</v>
      </c>
      <c r="BA141" s="612" t="s">
        <v>433</v>
      </c>
      <c r="BB141" s="613" t="s">
        <v>554</v>
      </c>
      <c r="BC141" s="614">
        <v>8.4273452941213398E-2</v>
      </c>
      <c r="BD141" s="614">
        <v>3.2425457268323424E-2</v>
      </c>
      <c r="BE141" s="613" t="s">
        <v>574</v>
      </c>
      <c r="BF141" s="613" t="s">
        <v>574</v>
      </c>
      <c r="BG141" s="643"/>
      <c r="BH141" s="655"/>
    </row>
    <row r="142" spans="1:60" customFormat="1">
      <c r="A142" s="612" t="s">
        <v>56</v>
      </c>
      <c r="B142" s="612" t="s">
        <v>228</v>
      </c>
      <c r="C142" s="612">
        <v>46</v>
      </c>
      <c r="D142" s="601">
        <v>145</v>
      </c>
      <c r="E142" s="623" t="s">
        <v>228</v>
      </c>
      <c r="F142" s="623" t="s">
        <v>56</v>
      </c>
      <c r="G142" s="601" t="s">
        <v>567</v>
      </c>
      <c r="H142" s="623">
        <v>2014</v>
      </c>
      <c r="I142" s="624">
        <v>-6586.0590000000002</v>
      </c>
      <c r="J142" s="625">
        <v>192290.94899999999</v>
      </c>
      <c r="K142" s="626">
        <v>-0.29863037199990972</v>
      </c>
      <c r="L142" s="626">
        <v>514.97941849999995</v>
      </c>
      <c r="M142" s="625">
        <v>2205421.6910000001</v>
      </c>
      <c r="N142" s="627">
        <v>46425</v>
      </c>
      <c r="O142" s="627">
        <v>385766</v>
      </c>
      <c r="P142" s="628">
        <v>1059.2936184111611</v>
      </c>
      <c r="Q142" s="625">
        <v>408639.462</v>
      </c>
      <c r="R142" s="625">
        <v>408639.462</v>
      </c>
      <c r="S142" s="625">
        <v>358894.03600000002</v>
      </c>
      <c r="T142" s="629">
        <v>87.826573146770642</v>
      </c>
      <c r="U142" s="625"/>
      <c r="V142" s="627">
        <v>713058</v>
      </c>
      <c r="W142" s="629">
        <v>22181.052762555541</v>
      </c>
      <c r="X142" s="627">
        <v>18743</v>
      </c>
      <c r="Y142" s="627">
        <v>3703</v>
      </c>
      <c r="Z142" s="629">
        <v>583.0373853579631</v>
      </c>
      <c r="AA142" s="629">
        <v>5.0615716986227381</v>
      </c>
      <c r="AB142" s="630">
        <v>408639.462</v>
      </c>
      <c r="AC142" s="630">
        <v>0</v>
      </c>
      <c r="AD142" s="630">
        <v>0</v>
      </c>
      <c r="AE142" s="630">
        <v>0</v>
      </c>
      <c r="AF142" s="630">
        <v>2193.39</v>
      </c>
      <c r="AG142" s="630" t="s">
        <v>434</v>
      </c>
      <c r="AH142" s="630">
        <v>410832.85200000001</v>
      </c>
      <c r="AI142" s="630">
        <v>203999.935</v>
      </c>
      <c r="AJ142" s="630">
        <v>3091.0250000000001</v>
      </c>
      <c r="AK142" s="630">
        <v>87952.275999999998</v>
      </c>
      <c r="AL142" s="630">
        <v>8653.3379999999997</v>
      </c>
      <c r="AM142" s="630">
        <v>55195.462</v>
      </c>
      <c r="AN142" s="630">
        <v>0</v>
      </c>
      <c r="AO142" s="630">
        <v>2</v>
      </c>
      <c r="AP142" s="630">
        <v>358894.03600000002</v>
      </c>
      <c r="AQ142" s="630">
        <v>0</v>
      </c>
      <c r="AR142" s="630">
        <v>358894.03600000002</v>
      </c>
      <c r="AS142" s="630" t="s">
        <v>434</v>
      </c>
      <c r="AT142" s="630">
        <v>26465.202000000001</v>
      </c>
      <c r="AU142" s="630">
        <v>52692.671999999999</v>
      </c>
      <c r="AV142" s="630">
        <v>36019.851999999999</v>
      </c>
      <c r="AW142" s="630" t="s">
        <v>434</v>
      </c>
      <c r="AX142" s="630">
        <v>474071.76199999999</v>
      </c>
      <c r="AY142" s="630">
        <v>-63238.91</v>
      </c>
      <c r="AZ142" s="612" t="s">
        <v>430</v>
      </c>
      <c r="BA142" s="612" t="s">
        <v>433</v>
      </c>
      <c r="BB142" s="613" t="s">
        <v>554</v>
      </c>
      <c r="BC142" s="614">
        <v>8.7190105087254249E-2</v>
      </c>
      <c r="BD142" s="614">
        <v>3.4544163445039383E-2</v>
      </c>
      <c r="BE142" s="613" t="s">
        <v>574</v>
      </c>
      <c r="BF142" s="613" t="s">
        <v>574</v>
      </c>
      <c r="BG142" s="643"/>
      <c r="BH142" s="655"/>
    </row>
    <row r="143" spans="1:60" customFormat="1">
      <c r="A143" s="612" t="s">
        <v>54</v>
      </c>
      <c r="B143" s="612" t="s">
        <v>392</v>
      </c>
      <c r="C143" s="612">
        <v>43</v>
      </c>
      <c r="D143" s="601">
        <v>134</v>
      </c>
      <c r="E143" s="623" t="s">
        <v>392</v>
      </c>
      <c r="F143" s="623" t="s">
        <v>54</v>
      </c>
      <c r="G143" s="601" t="s">
        <v>567</v>
      </c>
      <c r="H143" s="623">
        <v>2014</v>
      </c>
      <c r="I143" s="624">
        <v>4597.9480000000003</v>
      </c>
      <c r="J143" s="625">
        <v>35332.362999999998</v>
      </c>
      <c r="K143" s="626">
        <v>0.96148796491401667</v>
      </c>
      <c r="L143" s="626">
        <v>138.6849417</v>
      </c>
      <c r="M143" s="625">
        <v>478211.70600000001</v>
      </c>
      <c r="N143" s="627">
        <v>45180</v>
      </c>
      <c r="O143" s="627">
        <v>485399</v>
      </c>
      <c r="P143" s="628">
        <v>378.18842436840617</v>
      </c>
      <c r="Q143" s="625">
        <v>183572.283</v>
      </c>
      <c r="R143" s="625">
        <v>183572.283</v>
      </c>
      <c r="S143" s="625">
        <v>169965.22399999999</v>
      </c>
      <c r="T143" s="629">
        <v>92.587628819760326</v>
      </c>
      <c r="U143" s="625"/>
      <c r="V143" s="627">
        <v>0</v>
      </c>
      <c r="W143" s="629">
        <v>0</v>
      </c>
      <c r="X143" s="627">
        <v>0</v>
      </c>
      <c r="Y143" s="627">
        <v>0</v>
      </c>
      <c r="Z143" s="629">
        <v>0</v>
      </c>
      <c r="AA143" s="629" t="s">
        <v>434</v>
      </c>
      <c r="AB143" s="630">
        <v>476391.94099999999</v>
      </c>
      <c r="AC143" s="630">
        <v>0</v>
      </c>
      <c r="AD143" s="630">
        <v>0</v>
      </c>
      <c r="AE143" s="630">
        <v>0</v>
      </c>
      <c r="AF143" s="630">
        <v>0</v>
      </c>
      <c r="AG143" s="630" t="s">
        <v>434</v>
      </c>
      <c r="AH143" s="630">
        <v>476391.94099999999</v>
      </c>
      <c r="AI143" s="630">
        <v>210146.29800000001</v>
      </c>
      <c r="AJ143" s="630">
        <v>63485.966</v>
      </c>
      <c r="AK143" s="630">
        <v>59345.36</v>
      </c>
      <c r="AL143" s="630">
        <v>40160.875999999997</v>
      </c>
      <c r="AM143" s="630">
        <v>45986.934000000001</v>
      </c>
      <c r="AN143" s="630">
        <v>2888.4560000000001</v>
      </c>
      <c r="AO143" s="630">
        <v>0</v>
      </c>
      <c r="AP143" s="630">
        <v>422013.89</v>
      </c>
      <c r="AQ143" s="630">
        <v>3853.5720000000001</v>
      </c>
      <c r="AR143" s="630">
        <v>418160.31800000003</v>
      </c>
      <c r="AS143" s="630" t="s">
        <v>434</v>
      </c>
      <c r="AT143" s="630">
        <v>8815.9580000000005</v>
      </c>
      <c r="AU143" s="630">
        <v>32215.813999999998</v>
      </c>
      <c r="AV143" s="630">
        <v>0</v>
      </c>
      <c r="AW143" s="630" t="s">
        <v>434</v>
      </c>
      <c r="AX143" s="630">
        <v>459192.09</v>
      </c>
      <c r="AY143" s="630">
        <v>17199.850999999999</v>
      </c>
      <c r="AZ143" s="637" t="s">
        <v>435</v>
      </c>
      <c r="BA143" s="637" t="s">
        <v>431</v>
      </c>
      <c r="BB143" s="613" t="s">
        <v>554</v>
      </c>
      <c r="BC143" s="614">
        <v>7.3884354056360124E-2</v>
      </c>
      <c r="BD143" s="614">
        <v>2.3935774603661697E-4</v>
      </c>
      <c r="BE143" s="613" t="s">
        <v>573</v>
      </c>
      <c r="BF143" s="613" t="s">
        <v>573</v>
      </c>
      <c r="BG143" s="643"/>
      <c r="BH143" s="655"/>
    </row>
    <row r="144" spans="1:60" customFormat="1">
      <c r="A144" s="612" t="s">
        <v>67</v>
      </c>
      <c r="B144" s="612" t="s">
        <v>392</v>
      </c>
      <c r="C144" s="612">
        <v>43</v>
      </c>
      <c r="D144" s="601">
        <v>134</v>
      </c>
      <c r="E144" s="623" t="s">
        <v>392</v>
      </c>
      <c r="F144" s="623" t="s">
        <v>67</v>
      </c>
      <c r="G144" s="601" t="s">
        <v>567</v>
      </c>
      <c r="H144" s="623">
        <v>2014</v>
      </c>
      <c r="I144" s="624">
        <v>4597.9480000000003</v>
      </c>
      <c r="J144" s="625">
        <v>35332.362999999998</v>
      </c>
      <c r="K144" s="626">
        <v>0.96148796491401667</v>
      </c>
      <c r="L144" s="626">
        <v>138.6849417</v>
      </c>
      <c r="M144" s="625">
        <v>478211.70600000001</v>
      </c>
      <c r="N144" s="627">
        <v>45180</v>
      </c>
      <c r="O144" s="627">
        <v>485399</v>
      </c>
      <c r="P144" s="628">
        <v>378.18842436840617</v>
      </c>
      <c r="Q144" s="625">
        <v>183572.283</v>
      </c>
      <c r="R144" s="625">
        <v>183572.283</v>
      </c>
      <c r="S144" s="625">
        <v>169965.22399999999</v>
      </c>
      <c r="T144" s="629">
        <v>92.587628819760326</v>
      </c>
      <c r="U144" s="625"/>
      <c r="V144" s="627">
        <v>0</v>
      </c>
      <c r="W144" s="629">
        <v>0</v>
      </c>
      <c r="X144" s="627">
        <v>0</v>
      </c>
      <c r="Y144" s="627">
        <v>0</v>
      </c>
      <c r="Z144" s="629">
        <v>0</v>
      </c>
      <c r="AA144" s="629" t="s">
        <v>434</v>
      </c>
      <c r="AB144" s="630">
        <v>476391.94099999999</v>
      </c>
      <c r="AC144" s="630">
        <v>0</v>
      </c>
      <c r="AD144" s="630">
        <v>0</v>
      </c>
      <c r="AE144" s="630">
        <v>0</v>
      </c>
      <c r="AF144" s="630">
        <v>0</v>
      </c>
      <c r="AG144" s="630" t="s">
        <v>434</v>
      </c>
      <c r="AH144" s="630">
        <v>476391.94099999999</v>
      </c>
      <c r="AI144" s="630">
        <v>210146.29800000001</v>
      </c>
      <c r="AJ144" s="630">
        <v>63485.966</v>
      </c>
      <c r="AK144" s="630">
        <v>59345.36</v>
      </c>
      <c r="AL144" s="630">
        <v>40160.875999999997</v>
      </c>
      <c r="AM144" s="630">
        <v>45986.934000000001</v>
      </c>
      <c r="AN144" s="630">
        <v>2888.4560000000001</v>
      </c>
      <c r="AO144" s="630">
        <v>0</v>
      </c>
      <c r="AP144" s="630">
        <v>422013.89</v>
      </c>
      <c r="AQ144" s="630">
        <v>3853.5720000000001</v>
      </c>
      <c r="AR144" s="630">
        <v>418160.31800000003</v>
      </c>
      <c r="AS144" s="630" t="s">
        <v>434</v>
      </c>
      <c r="AT144" s="630">
        <v>8815.9580000000005</v>
      </c>
      <c r="AU144" s="630">
        <v>32215.813999999998</v>
      </c>
      <c r="AV144" s="630">
        <v>0</v>
      </c>
      <c r="AW144" s="630" t="s">
        <v>434</v>
      </c>
      <c r="AX144" s="630">
        <v>459192.09</v>
      </c>
      <c r="AY144" s="630">
        <v>17199.850999999999</v>
      </c>
      <c r="AZ144" s="637" t="s">
        <v>435</v>
      </c>
      <c r="BA144" s="637" t="s">
        <v>431</v>
      </c>
      <c r="BB144" s="613" t="s">
        <v>554</v>
      </c>
      <c r="BC144" s="614">
        <v>7.3884354056360124E-2</v>
      </c>
      <c r="BD144" s="614">
        <v>2.3935774603661697E-4</v>
      </c>
      <c r="BE144" s="613" t="s">
        <v>573</v>
      </c>
      <c r="BF144" s="613" t="s">
        <v>573</v>
      </c>
      <c r="BG144" s="643"/>
      <c r="BH144" s="655"/>
    </row>
    <row r="145" spans="1:60" customFormat="1">
      <c r="A145" s="612" t="s">
        <v>95</v>
      </c>
      <c r="B145" s="612" t="s">
        <v>405</v>
      </c>
      <c r="C145" s="612">
        <v>87</v>
      </c>
      <c r="D145" s="601">
        <v>133</v>
      </c>
      <c r="E145" s="623" t="s">
        <v>405</v>
      </c>
      <c r="F145" s="623" t="s">
        <v>95</v>
      </c>
      <c r="G145" s="601" t="s">
        <v>567</v>
      </c>
      <c r="H145" s="623">
        <v>2014</v>
      </c>
      <c r="I145" s="624">
        <v>183.33699999999999</v>
      </c>
      <c r="J145" s="625">
        <v>121252.923</v>
      </c>
      <c r="K145" s="626">
        <v>1.5796192102660256E-2</v>
      </c>
      <c r="L145" s="626">
        <v>431.91356860000002</v>
      </c>
      <c r="M145" s="625">
        <v>1160640.4809999999</v>
      </c>
      <c r="N145" s="627">
        <v>42825</v>
      </c>
      <c r="O145" s="627">
        <v>486337</v>
      </c>
      <c r="P145" s="628">
        <v>134.36641259044654</v>
      </c>
      <c r="Q145" s="625">
        <v>65347.358</v>
      </c>
      <c r="R145" s="625">
        <v>65347.358</v>
      </c>
      <c r="S145" s="625">
        <v>55764.12</v>
      </c>
      <c r="T145" s="629">
        <v>85.33492662396543</v>
      </c>
      <c r="U145" s="625"/>
      <c r="V145" s="627">
        <v>150224</v>
      </c>
      <c r="W145" s="629">
        <v>3706.6643089051418</v>
      </c>
      <c r="X145" s="627">
        <v>9735</v>
      </c>
      <c r="Y145" s="627">
        <v>2896</v>
      </c>
      <c r="Z145" s="629">
        <v>240.20380929273324</v>
      </c>
      <c r="AA145" s="629">
        <v>3.3615331491712706</v>
      </c>
      <c r="AB145" s="630">
        <v>65347.358</v>
      </c>
      <c r="AC145" s="630">
        <v>0</v>
      </c>
      <c r="AD145" s="630">
        <v>0</v>
      </c>
      <c r="AE145" s="630">
        <v>0</v>
      </c>
      <c r="AF145" s="630">
        <v>0</v>
      </c>
      <c r="AG145" s="630" t="s">
        <v>434</v>
      </c>
      <c r="AH145" s="630">
        <v>65347.358</v>
      </c>
      <c r="AI145" s="630">
        <v>39408.021999999997</v>
      </c>
      <c r="AJ145" s="630">
        <v>4988.0309999999999</v>
      </c>
      <c r="AK145" s="630">
        <v>0</v>
      </c>
      <c r="AL145" s="630">
        <v>11368.066999999999</v>
      </c>
      <c r="AM145" s="630">
        <v>0</v>
      </c>
      <c r="AN145" s="630">
        <v>0</v>
      </c>
      <c r="AO145" s="630">
        <v>0</v>
      </c>
      <c r="AP145" s="630">
        <v>55764.12</v>
      </c>
      <c r="AQ145" s="630">
        <v>0</v>
      </c>
      <c r="AR145" s="630">
        <v>55764.12</v>
      </c>
      <c r="AS145" s="630" t="s">
        <v>434</v>
      </c>
      <c r="AT145" s="630">
        <v>898.33100000000002</v>
      </c>
      <c r="AU145" s="630">
        <v>6943.4849999999997</v>
      </c>
      <c r="AV145" s="630">
        <v>0</v>
      </c>
      <c r="AW145" s="630" t="s">
        <v>434</v>
      </c>
      <c r="AX145" s="630">
        <v>63605.936000000002</v>
      </c>
      <c r="AY145" s="630">
        <v>1741.422</v>
      </c>
      <c r="AZ145" s="612" t="s">
        <v>435</v>
      </c>
      <c r="BA145" s="612" t="s">
        <v>433</v>
      </c>
      <c r="BB145" s="613" t="s">
        <v>554</v>
      </c>
      <c r="BC145" s="614">
        <v>0.10447069957057616</v>
      </c>
      <c r="BD145" s="614">
        <v>4.2180034189769497E-2</v>
      </c>
      <c r="BE145" s="613" t="s">
        <v>574</v>
      </c>
      <c r="BF145" s="613" t="s">
        <v>574</v>
      </c>
      <c r="BG145" s="643"/>
      <c r="BH145" s="655"/>
    </row>
    <row r="146" spans="1:60" customFormat="1">
      <c r="A146" s="601" t="s">
        <v>95</v>
      </c>
      <c r="B146" s="601" t="s">
        <v>419</v>
      </c>
      <c r="C146" s="601">
        <v>2</v>
      </c>
      <c r="D146" s="601">
        <v>138</v>
      </c>
      <c r="E146" s="623" t="s">
        <v>242</v>
      </c>
      <c r="F146" s="623" t="s">
        <v>95</v>
      </c>
      <c r="G146" s="601" t="s">
        <v>567</v>
      </c>
      <c r="H146" s="623">
        <v>2014</v>
      </c>
      <c r="I146" s="631">
        <v>6717.7749999999996</v>
      </c>
      <c r="J146" s="631">
        <v>15262.302</v>
      </c>
      <c r="K146" s="634">
        <v>3.8471023943345029</v>
      </c>
      <c r="L146" s="634">
        <v>555.30014310000001</v>
      </c>
      <c r="M146" s="631">
        <v>174619.08499999999</v>
      </c>
      <c r="N146" s="632">
        <v>42792</v>
      </c>
      <c r="O146" s="632">
        <v>452489</v>
      </c>
      <c r="P146" s="635">
        <v>201.30425270006563</v>
      </c>
      <c r="Q146" s="631">
        <v>91087.96</v>
      </c>
      <c r="R146" s="631">
        <v>91087.96</v>
      </c>
      <c r="S146" s="631">
        <v>127694.65399999999</v>
      </c>
      <c r="T146" s="633">
        <v>140.18829052709052</v>
      </c>
      <c r="U146" s="636"/>
      <c r="V146" s="632">
        <v>192001</v>
      </c>
      <c r="W146" s="633">
        <v>5091.8630066145251</v>
      </c>
      <c r="X146" s="632">
        <v>24462</v>
      </c>
      <c r="Y146" s="632">
        <v>6261</v>
      </c>
      <c r="Z146" s="633">
        <v>648.73179237506326</v>
      </c>
      <c r="AA146" s="633">
        <v>3.9070436032582654</v>
      </c>
      <c r="AB146" s="630">
        <v>90905.182000000001</v>
      </c>
      <c r="AC146" s="630">
        <v>0</v>
      </c>
      <c r="AD146" s="630">
        <v>0</v>
      </c>
      <c r="AE146" s="630">
        <v>70131.862999999998</v>
      </c>
      <c r="AF146" s="630">
        <v>0</v>
      </c>
      <c r="AG146" s="630" t="s">
        <v>434</v>
      </c>
      <c r="AH146" s="630">
        <v>161037.04500000001</v>
      </c>
      <c r="AI146" s="630">
        <v>100691.314</v>
      </c>
      <c r="AJ146" s="630">
        <v>14564.346</v>
      </c>
      <c r="AK146" s="630">
        <v>0</v>
      </c>
      <c r="AL146" s="630">
        <v>11956.394</v>
      </c>
      <c r="AM146" s="630">
        <v>-2.5000000000000001E-2</v>
      </c>
      <c r="AN146" s="630">
        <v>0</v>
      </c>
      <c r="AO146" s="630">
        <v>482.62400000000002</v>
      </c>
      <c r="AP146" s="630">
        <v>127694.65300000001</v>
      </c>
      <c r="AQ146" s="630">
        <v>-1067.337</v>
      </c>
      <c r="AR146" s="630">
        <v>128761.99</v>
      </c>
      <c r="AS146" s="630" t="s">
        <v>434</v>
      </c>
      <c r="AT146" s="630">
        <v>4954.607</v>
      </c>
      <c r="AU146" s="630">
        <v>13625.691000000001</v>
      </c>
      <c r="AV146" s="630">
        <v>0</v>
      </c>
      <c r="AW146" s="630" t="s">
        <v>434</v>
      </c>
      <c r="AX146" s="630">
        <v>147342.288</v>
      </c>
      <c r="AY146" s="630">
        <v>13694.757</v>
      </c>
      <c r="AZ146" s="612" t="s">
        <v>430</v>
      </c>
      <c r="BA146" s="612" t="s">
        <v>433</v>
      </c>
      <c r="BB146" s="613" t="s">
        <v>554</v>
      </c>
      <c r="BC146" s="614">
        <v>8.7403401523951402E-2</v>
      </c>
      <c r="BD146" s="614">
        <v>-0.48928630679485663</v>
      </c>
      <c r="BE146" s="613" t="s">
        <v>580</v>
      </c>
      <c r="BF146" s="613" t="s">
        <v>580</v>
      </c>
      <c r="BG146" s="643"/>
      <c r="BH146" s="655"/>
    </row>
    <row r="147" spans="1:60" customFormat="1">
      <c r="A147" s="612" t="s">
        <v>90</v>
      </c>
      <c r="B147" s="612" t="s">
        <v>265</v>
      </c>
      <c r="C147" s="612">
        <v>71</v>
      </c>
      <c r="D147" s="601">
        <v>137</v>
      </c>
      <c r="E147" s="623" t="s">
        <v>265</v>
      </c>
      <c r="F147" s="623" t="s">
        <v>90</v>
      </c>
      <c r="G147" s="601" t="s">
        <v>567</v>
      </c>
      <c r="H147" s="623">
        <v>2014</v>
      </c>
      <c r="I147" s="624">
        <v>24206.927</v>
      </c>
      <c r="J147" s="625">
        <v>65668.619000000006</v>
      </c>
      <c r="K147" s="626">
        <v>3.6541758627803631</v>
      </c>
      <c r="L147" s="626">
        <v>434.0131394</v>
      </c>
      <c r="M147" s="625">
        <v>662445.59400000004</v>
      </c>
      <c r="N147" s="627">
        <v>41959</v>
      </c>
      <c r="O147" s="627">
        <v>459123</v>
      </c>
      <c r="P147" s="628">
        <v>294.00061639255711</v>
      </c>
      <c r="Q147" s="625">
        <v>134982.44500000001</v>
      </c>
      <c r="R147" s="625">
        <v>134982.44500000001</v>
      </c>
      <c r="S147" s="625">
        <v>113761.981</v>
      </c>
      <c r="T147" s="629">
        <v>84.279093477674067</v>
      </c>
      <c r="U147" s="625"/>
      <c r="V147" s="627">
        <v>214176</v>
      </c>
      <c r="W147" s="629">
        <v>5597.8724655484475</v>
      </c>
      <c r="X147" s="627">
        <v>25995</v>
      </c>
      <c r="Y147" s="627">
        <v>5725</v>
      </c>
      <c r="Z147" s="629">
        <v>679.42577479237593</v>
      </c>
      <c r="AA147" s="629">
        <v>4.5406113537117907</v>
      </c>
      <c r="AB147" s="630">
        <v>134418.72200000001</v>
      </c>
      <c r="AC147" s="630">
        <v>0</v>
      </c>
      <c r="AD147" s="630">
        <v>0</v>
      </c>
      <c r="AE147" s="630">
        <v>0</v>
      </c>
      <c r="AF147" s="630">
        <v>0</v>
      </c>
      <c r="AG147" s="630" t="s">
        <v>434</v>
      </c>
      <c r="AH147" s="630">
        <v>134418.72200000001</v>
      </c>
      <c r="AI147" s="630">
        <v>69329.945999999996</v>
      </c>
      <c r="AJ147" s="630">
        <v>5341.2479999999996</v>
      </c>
      <c r="AK147" s="630">
        <v>6145.2179999999998</v>
      </c>
      <c r="AL147" s="630">
        <v>7086.51</v>
      </c>
      <c r="AM147" s="630">
        <v>25859.059000000001</v>
      </c>
      <c r="AN147" s="630">
        <v>0</v>
      </c>
      <c r="AO147" s="630">
        <v>0</v>
      </c>
      <c r="AP147" s="630">
        <v>113761.981</v>
      </c>
      <c r="AQ147" s="630">
        <v>786.99800000000005</v>
      </c>
      <c r="AR147" s="630">
        <v>112974.98299999999</v>
      </c>
      <c r="AS147" s="630" t="s">
        <v>434</v>
      </c>
      <c r="AT147" s="630">
        <v>-1999.9369999999999</v>
      </c>
      <c r="AU147" s="630">
        <v>12693.601000000001</v>
      </c>
      <c r="AV147" s="630">
        <v>-3515.038</v>
      </c>
      <c r="AW147" s="630" t="s">
        <v>434</v>
      </c>
      <c r="AX147" s="630">
        <v>120153.609</v>
      </c>
      <c r="AY147" s="630">
        <v>14265.112999999999</v>
      </c>
      <c r="AZ147" s="612" t="s">
        <v>435</v>
      </c>
      <c r="BA147" s="612" t="s">
        <v>431</v>
      </c>
      <c r="BB147" s="613" t="s">
        <v>554</v>
      </c>
      <c r="BC147" s="614">
        <v>9.9130584601638996E-2</v>
      </c>
      <c r="BD147" s="614">
        <v>5.8078480621620285E-2</v>
      </c>
      <c r="BE147" s="613" t="s">
        <v>575</v>
      </c>
      <c r="BF147" s="613" t="s">
        <v>575</v>
      </c>
      <c r="BG147" s="643"/>
      <c r="BH147" s="655"/>
    </row>
    <row r="148" spans="1:60" customFormat="1">
      <c r="A148" s="601" t="s">
        <v>92</v>
      </c>
      <c r="B148" s="601" t="s">
        <v>424</v>
      </c>
      <c r="C148" s="601">
        <v>5</v>
      </c>
      <c r="D148" s="601">
        <v>136</v>
      </c>
      <c r="E148" s="623" t="s">
        <v>213</v>
      </c>
      <c r="F148" s="623" t="s">
        <v>92</v>
      </c>
      <c r="G148" s="601" t="s">
        <v>567</v>
      </c>
      <c r="H148" s="623">
        <v>2014</v>
      </c>
      <c r="I148" s="624">
        <v>2590.8409999999999</v>
      </c>
      <c r="J148" s="625">
        <v>43647.481</v>
      </c>
      <c r="K148" s="626">
        <v>0.62548093738795163</v>
      </c>
      <c r="L148" s="626">
        <v>400.67541790000001</v>
      </c>
      <c r="M148" s="625">
        <v>414215.821</v>
      </c>
      <c r="N148" s="627">
        <v>41534</v>
      </c>
      <c r="O148" s="627">
        <v>464853</v>
      </c>
      <c r="P148" s="628">
        <v>341.53750325371675</v>
      </c>
      <c r="Q148" s="625">
        <v>158764.73300000001</v>
      </c>
      <c r="R148" s="625">
        <v>158764.73300000001</v>
      </c>
      <c r="S148" s="625">
        <v>138234.18299999999</v>
      </c>
      <c r="T148" s="629">
        <v>87.068570196883698</v>
      </c>
      <c r="U148" s="625"/>
      <c r="V148" s="627">
        <v>235410</v>
      </c>
      <c r="W148" s="629">
        <v>6077.0178959800196</v>
      </c>
      <c r="X148" s="627">
        <v>20342</v>
      </c>
      <c r="Y148" s="627">
        <v>5189</v>
      </c>
      <c r="Z148" s="629">
        <v>525.12084465411647</v>
      </c>
      <c r="AA148" s="629">
        <v>3.9202158412025438</v>
      </c>
      <c r="AB148" s="630">
        <v>157482.83799999999</v>
      </c>
      <c r="AC148" s="630">
        <v>0</v>
      </c>
      <c r="AD148" s="630">
        <v>0</v>
      </c>
      <c r="AE148" s="630">
        <v>0</v>
      </c>
      <c r="AF148" s="630">
        <v>0</v>
      </c>
      <c r="AG148" s="630" t="s">
        <v>434</v>
      </c>
      <c r="AH148" s="630">
        <v>157482.83799999999</v>
      </c>
      <c r="AI148" s="630">
        <v>94410.285999999993</v>
      </c>
      <c r="AJ148" s="630">
        <v>6113.2169999999996</v>
      </c>
      <c r="AK148" s="630">
        <v>0</v>
      </c>
      <c r="AL148" s="630">
        <v>10246.003000000001</v>
      </c>
      <c r="AM148" s="630">
        <v>27464.677</v>
      </c>
      <c r="AN148" s="630">
        <v>0</v>
      </c>
      <c r="AO148" s="630">
        <v>0</v>
      </c>
      <c r="AP148" s="630">
        <v>138234.18299999999</v>
      </c>
      <c r="AQ148" s="630">
        <v>313.02</v>
      </c>
      <c r="AR148" s="630">
        <v>137921.163</v>
      </c>
      <c r="AS148" s="630" t="s">
        <v>434</v>
      </c>
      <c r="AT148" s="630">
        <v>2032.0219999999999</v>
      </c>
      <c r="AU148" s="630">
        <v>16594.560000000001</v>
      </c>
      <c r="AV148" s="630">
        <v>0</v>
      </c>
      <c r="AW148" s="630" t="s">
        <v>434</v>
      </c>
      <c r="AX148" s="630">
        <v>156547.745</v>
      </c>
      <c r="AY148" s="630">
        <v>935.09299999999996</v>
      </c>
      <c r="AZ148" s="612" t="s">
        <v>430</v>
      </c>
      <c r="BA148" s="612" t="s">
        <v>433</v>
      </c>
      <c r="BB148" s="613" t="s">
        <v>554</v>
      </c>
      <c r="BC148" s="614">
        <v>0.10537376601073864</v>
      </c>
      <c r="BD148" s="614">
        <v>2.3940532020424371E-2</v>
      </c>
      <c r="BE148" s="613" t="s">
        <v>573</v>
      </c>
      <c r="BF148" s="613" t="s">
        <v>573</v>
      </c>
      <c r="BG148" s="643"/>
      <c r="BH148" s="655"/>
    </row>
    <row r="149" spans="1:60" customFormat="1">
      <c r="A149" s="601" t="s">
        <v>69</v>
      </c>
      <c r="B149" s="601" t="s">
        <v>424</v>
      </c>
      <c r="C149" s="601">
        <v>5</v>
      </c>
      <c r="D149" s="601">
        <v>132</v>
      </c>
      <c r="E149" s="623" t="s">
        <v>312</v>
      </c>
      <c r="F149" s="623" t="s">
        <v>69</v>
      </c>
      <c r="G149" s="601" t="s">
        <v>469</v>
      </c>
      <c r="H149" s="623">
        <v>2014</v>
      </c>
      <c r="I149" s="624">
        <v>6158.9830000000002</v>
      </c>
      <c r="J149" s="625">
        <v>23198.28</v>
      </c>
      <c r="K149" s="626">
        <v>3.2844571449018876</v>
      </c>
      <c r="L149" s="626">
        <v>441.06924950000001</v>
      </c>
      <c r="M149" s="625">
        <v>187519.05499999999</v>
      </c>
      <c r="N149" s="627">
        <v>40908</v>
      </c>
      <c r="O149" s="627">
        <v>492195</v>
      </c>
      <c r="P149" s="628">
        <v>376.7528154491614</v>
      </c>
      <c r="Q149" s="625">
        <v>185435.85200000001</v>
      </c>
      <c r="R149" s="625">
        <v>185435.85200000001</v>
      </c>
      <c r="S149" s="625">
        <v>149454.86300000001</v>
      </c>
      <c r="T149" s="629">
        <v>80.596530491849009</v>
      </c>
      <c r="U149" s="625"/>
      <c r="V149" s="627">
        <v>193564</v>
      </c>
      <c r="W149" s="629">
        <v>4719.2027550056382</v>
      </c>
      <c r="X149" s="627">
        <v>28821</v>
      </c>
      <c r="Y149" s="627">
        <v>6279</v>
      </c>
      <c r="Z149" s="629">
        <v>702.67272117758205</v>
      </c>
      <c r="AA149" s="629">
        <v>4.5900621118012426</v>
      </c>
      <c r="AB149" s="630">
        <v>184970.658</v>
      </c>
      <c r="AC149" s="630">
        <v>0</v>
      </c>
      <c r="AD149" s="630">
        <v>0</v>
      </c>
      <c r="AE149" s="630">
        <v>0</v>
      </c>
      <c r="AF149" s="630">
        <v>78.777000000000001</v>
      </c>
      <c r="AG149" s="630" t="s">
        <v>434</v>
      </c>
      <c r="AH149" s="630">
        <v>185049.435</v>
      </c>
      <c r="AI149" s="630">
        <v>107598.341</v>
      </c>
      <c r="AJ149" s="630">
        <v>7805.3890000000001</v>
      </c>
      <c r="AK149" s="630">
        <v>0</v>
      </c>
      <c r="AL149" s="630">
        <v>11300.386</v>
      </c>
      <c r="AM149" s="630">
        <v>21095.414000000001</v>
      </c>
      <c r="AN149" s="630">
        <v>0</v>
      </c>
      <c r="AO149" s="630">
        <v>1655.3330000000001</v>
      </c>
      <c r="AP149" s="630">
        <v>149454.86300000001</v>
      </c>
      <c r="AQ149" s="630">
        <v>42.807000000000002</v>
      </c>
      <c r="AR149" s="630">
        <v>149412.05600000001</v>
      </c>
      <c r="AS149" s="630" t="s">
        <v>434</v>
      </c>
      <c r="AT149" s="630">
        <v>4706.7299999999996</v>
      </c>
      <c r="AU149" s="630">
        <v>22892.631000000001</v>
      </c>
      <c r="AV149" s="630">
        <v>0</v>
      </c>
      <c r="AW149" s="630" t="s">
        <v>434</v>
      </c>
      <c r="AX149" s="630">
        <v>177011.41699999999</v>
      </c>
      <c r="AY149" s="630">
        <v>8038.018</v>
      </c>
      <c r="AZ149" s="612" t="s">
        <v>430</v>
      </c>
      <c r="BA149" s="612" t="s">
        <v>433</v>
      </c>
      <c r="BB149" s="613" t="s">
        <v>554</v>
      </c>
      <c r="BC149" s="614">
        <v>0.12371158760372379</v>
      </c>
      <c r="BD149" s="614">
        <v>3.2844571449018874E-2</v>
      </c>
      <c r="BE149" s="613" t="s">
        <v>574</v>
      </c>
      <c r="BF149" s="613" t="s">
        <v>574</v>
      </c>
      <c r="BG149" s="643"/>
      <c r="BH149" s="655"/>
    </row>
    <row r="150" spans="1:60" customFormat="1">
      <c r="A150" s="612" t="s">
        <v>81</v>
      </c>
      <c r="B150" s="612" t="s">
        <v>158</v>
      </c>
      <c r="C150" s="612">
        <v>64</v>
      </c>
      <c r="D150" s="601">
        <v>131</v>
      </c>
      <c r="E150" s="623" t="s">
        <v>158</v>
      </c>
      <c r="F150" s="623" t="s">
        <v>81</v>
      </c>
      <c r="G150" s="601" t="s">
        <v>567</v>
      </c>
      <c r="H150" s="623">
        <v>2014</v>
      </c>
      <c r="I150" s="624">
        <v>-53204.296999999999</v>
      </c>
      <c r="J150" s="625">
        <v>245704.22099999999</v>
      </c>
      <c r="K150" s="626">
        <v>-2.1771240857389711</v>
      </c>
      <c r="L150" s="626">
        <v>556.2250305</v>
      </c>
      <c r="M150" s="625">
        <v>2443787.9929999998</v>
      </c>
      <c r="N150" s="627">
        <v>40150</v>
      </c>
      <c r="O150" s="627">
        <v>510262</v>
      </c>
      <c r="P150" s="628">
        <v>429.79206564470803</v>
      </c>
      <c r="Q150" s="625">
        <v>219306.55900000001</v>
      </c>
      <c r="R150" s="625">
        <v>219306.55900000001</v>
      </c>
      <c r="S150" s="625">
        <v>213289.46299999999</v>
      </c>
      <c r="T150" s="629">
        <v>97.256308234720862</v>
      </c>
      <c r="U150" s="625"/>
      <c r="V150" s="627">
        <v>583243</v>
      </c>
      <c r="W150" s="629">
        <v>13716.318283548451</v>
      </c>
      <c r="X150" s="627">
        <v>28962</v>
      </c>
      <c r="Y150" s="627">
        <v>6408</v>
      </c>
      <c r="Z150" s="629">
        <v>681.10892051534313</v>
      </c>
      <c r="AA150" s="629">
        <v>4.5196629213483144</v>
      </c>
      <c r="AB150" s="630">
        <v>219306.55900000001</v>
      </c>
      <c r="AC150" s="630">
        <v>0</v>
      </c>
      <c r="AD150" s="630">
        <v>0</v>
      </c>
      <c r="AE150" s="630">
        <v>0</v>
      </c>
      <c r="AF150" s="630">
        <v>0</v>
      </c>
      <c r="AG150" s="630" t="s">
        <v>434</v>
      </c>
      <c r="AH150" s="630">
        <v>219306.55900000001</v>
      </c>
      <c r="AI150" s="630">
        <v>124914.708</v>
      </c>
      <c r="AJ150" s="630">
        <v>11285.870999999999</v>
      </c>
      <c r="AK150" s="630">
        <v>0</v>
      </c>
      <c r="AL150" s="630">
        <v>17191.812000000002</v>
      </c>
      <c r="AM150" s="630">
        <v>56933.235999999997</v>
      </c>
      <c r="AN150" s="630">
        <v>-1299.5340000000001</v>
      </c>
      <c r="AO150" s="630">
        <v>4263.37</v>
      </c>
      <c r="AP150" s="630">
        <v>213289.46299999999</v>
      </c>
      <c r="AQ150" s="630">
        <v>0</v>
      </c>
      <c r="AR150" s="630">
        <v>213289.46299999999</v>
      </c>
      <c r="AS150" s="630" t="s">
        <v>434</v>
      </c>
      <c r="AT150" s="630">
        <v>3443.4540000000002</v>
      </c>
      <c r="AU150" s="630">
        <v>13947.727000000001</v>
      </c>
      <c r="AV150" s="630">
        <v>12942.447</v>
      </c>
      <c r="AW150" s="630" t="s">
        <v>434</v>
      </c>
      <c r="AX150" s="630">
        <v>243623.09099999999</v>
      </c>
      <c r="AY150" s="630">
        <v>-24316.531999999999</v>
      </c>
      <c r="AZ150" s="612" t="s">
        <v>430</v>
      </c>
      <c r="BA150" s="612" t="s">
        <v>431</v>
      </c>
      <c r="BB150" s="613" t="s">
        <v>554</v>
      </c>
      <c r="BC150" s="614">
        <v>0.10054236361901955</v>
      </c>
      <c r="BD150" s="614">
        <v>-7.3105445966228227E-2</v>
      </c>
      <c r="BE150" s="613" t="s">
        <v>570</v>
      </c>
      <c r="BF150" s="613" t="s">
        <v>570</v>
      </c>
      <c r="BG150" s="643"/>
      <c r="BH150" s="655"/>
    </row>
    <row r="151" spans="1:60" customFormat="1">
      <c r="A151" s="612" t="s">
        <v>69</v>
      </c>
      <c r="B151" s="612" t="s">
        <v>177</v>
      </c>
      <c r="C151" s="612">
        <v>69</v>
      </c>
      <c r="D151" s="601">
        <v>139</v>
      </c>
      <c r="E151" s="623" t="s">
        <v>177</v>
      </c>
      <c r="F151" s="623" t="s">
        <v>69</v>
      </c>
      <c r="G151" s="601" t="s">
        <v>469</v>
      </c>
      <c r="H151" s="623">
        <v>2014</v>
      </c>
      <c r="I151" s="624">
        <v>4563.933</v>
      </c>
      <c r="J151" s="625">
        <v>16445.925999999999</v>
      </c>
      <c r="K151" s="626">
        <v>3.0344540386859076</v>
      </c>
      <c r="L151" s="626">
        <v>495.35563230000002</v>
      </c>
      <c r="M151" s="625">
        <v>150403.761</v>
      </c>
      <c r="N151" s="627">
        <v>38162</v>
      </c>
      <c r="O151" s="627">
        <v>426941</v>
      </c>
      <c r="P151" s="628">
        <v>333.10641282987581</v>
      </c>
      <c r="Q151" s="625">
        <v>142216.785</v>
      </c>
      <c r="R151" s="625">
        <v>142216.785</v>
      </c>
      <c r="S151" s="625">
        <v>120829.542</v>
      </c>
      <c r="T151" s="629">
        <v>84.961519837479088</v>
      </c>
      <c r="U151" s="625"/>
      <c r="V151" s="627">
        <v>148529</v>
      </c>
      <c r="W151" s="629">
        <v>4174.6939272639547</v>
      </c>
      <c r="X151" s="627">
        <v>8852</v>
      </c>
      <c r="Y151" s="627">
        <v>2763</v>
      </c>
      <c r="Z151" s="629">
        <v>248.8025277497359</v>
      </c>
      <c r="AA151" s="629">
        <v>3.2037640246109302</v>
      </c>
      <c r="AB151" s="630">
        <v>141852.66099999999</v>
      </c>
      <c r="AC151" s="630">
        <v>0</v>
      </c>
      <c r="AD151" s="630">
        <v>0</v>
      </c>
      <c r="AE151" s="630">
        <v>0</v>
      </c>
      <c r="AF151" s="630">
        <v>112.172</v>
      </c>
      <c r="AG151" s="630" t="s">
        <v>434</v>
      </c>
      <c r="AH151" s="630">
        <v>141964.83300000001</v>
      </c>
      <c r="AI151" s="630">
        <v>90692.065000000002</v>
      </c>
      <c r="AJ151" s="630">
        <v>6951.8159999999998</v>
      </c>
      <c r="AK151" s="630">
        <v>0</v>
      </c>
      <c r="AL151" s="630">
        <v>3920.5929999999998</v>
      </c>
      <c r="AM151" s="630">
        <v>19265.067999999999</v>
      </c>
      <c r="AN151" s="630">
        <v>0</v>
      </c>
      <c r="AO151" s="630">
        <v>0</v>
      </c>
      <c r="AP151" s="630">
        <v>120829.542</v>
      </c>
      <c r="AQ151" s="630">
        <v>320.298</v>
      </c>
      <c r="AR151" s="630">
        <v>120509.24400000001</v>
      </c>
      <c r="AS151" s="630" t="s">
        <v>434</v>
      </c>
      <c r="AT151" s="630">
        <v>1076.3050000000001</v>
      </c>
      <c r="AU151" s="630">
        <v>15542.022999999999</v>
      </c>
      <c r="AV151" s="630">
        <v>0</v>
      </c>
      <c r="AW151" s="630" t="s">
        <v>434</v>
      </c>
      <c r="AX151" s="630">
        <v>137127.57199999999</v>
      </c>
      <c r="AY151" s="630">
        <v>4837.2610000000004</v>
      </c>
      <c r="AZ151" s="612" t="s">
        <v>435</v>
      </c>
      <c r="BA151" s="612" t="s">
        <v>433</v>
      </c>
      <c r="BB151" s="613" t="s">
        <v>554</v>
      </c>
      <c r="BC151" s="614">
        <v>0.10934517787756651</v>
      </c>
      <c r="BD151" s="614">
        <v>3.0344540386859076E-2</v>
      </c>
      <c r="BE151" s="613" t="s">
        <v>574</v>
      </c>
      <c r="BF151" s="613" t="s">
        <v>574</v>
      </c>
      <c r="BG151" s="643"/>
      <c r="BH151" s="655"/>
    </row>
    <row r="152" spans="1:60" customFormat="1">
      <c r="A152" s="612" t="s">
        <v>84</v>
      </c>
      <c r="B152" s="612" t="s">
        <v>262</v>
      </c>
      <c r="C152" s="612">
        <v>74</v>
      </c>
      <c r="D152" s="601">
        <v>140</v>
      </c>
      <c r="E152" s="623" t="s">
        <v>262</v>
      </c>
      <c r="F152" s="623" t="s">
        <v>84</v>
      </c>
      <c r="G152" s="601" t="s">
        <v>567</v>
      </c>
      <c r="H152" s="623">
        <v>2014</v>
      </c>
      <c r="I152" s="624">
        <v>7628.5469999999996</v>
      </c>
      <c r="J152" s="625">
        <v>2832.4380000000001</v>
      </c>
      <c r="K152" s="626">
        <v>6.4855642355111209</v>
      </c>
      <c r="L152" s="626">
        <v>372.51698399999998</v>
      </c>
      <c r="M152" s="625">
        <v>117623.49</v>
      </c>
      <c r="N152" s="627">
        <v>37224</v>
      </c>
      <c r="O152" s="627">
        <v>422504</v>
      </c>
      <c r="P152" s="628">
        <v>278.39615719614488</v>
      </c>
      <c r="Q152" s="625">
        <v>17623.490000000002</v>
      </c>
      <c r="R152" s="625">
        <v>117623.49</v>
      </c>
      <c r="S152" s="625">
        <v>101819.997</v>
      </c>
      <c r="T152" s="629">
        <v>86.564339316917057</v>
      </c>
      <c r="U152" s="625"/>
      <c r="V152" s="627">
        <v>152520</v>
      </c>
      <c r="W152" s="629">
        <v>4331.8879821256132</v>
      </c>
      <c r="X152" s="627">
        <v>12703</v>
      </c>
      <c r="Y152" s="627">
        <v>3128</v>
      </c>
      <c r="Z152" s="629">
        <v>360.79185049135629</v>
      </c>
      <c r="AA152" s="629">
        <v>4.0610613810741691</v>
      </c>
      <c r="AB152" s="630">
        <v>117623.49</v>
      </c>
      <c r="AC152" s="630">
        <v>0</v>
      </c>
      <c r="AD152" s="630">
        <v>0</v>
      </c>
      <c r="AE152" s="630">
        <v>0</v>
      </c>
      <c r="AF152" s="630">
        <v>0</v>
      </c>
      <c r="AG152" s="630" t="s">
        <v>434</v>
      </c>
      <c r="AH152" s="630">
        <v>117623.49</v>
      </c>
      <c r="AI152" s="630">
        <v>44312.275000000001</v>
      </c>
      <c r="AJ152" s="630">
        <v>17830.621999999999</v>
      </c>
      <c r="AK152" s="630">
        <v>5113.4520000000002</v>
      </c>
      <c r="AL152" s="630">
        <v>5747.0950000000003</v>
      </c>
      <c r="AM152" s="630">
        <v>21963.828000000001</v>
      </c>
      <c r="AN152" s="630">
        <v>10670.752</v>
      </c>
      <c r="AO152" s="630">
        <v>-3818.027</v>
      </c>
      <c r="AP152" s="630">
        <v>101819.997</v>
      </c>
      <c r="AQ152" s="630">
        <v>41.965000000000003</v>
      </c>
      <c r="AR152" s="630">
        <v>101778.03200000001</v>
      </c>
      <c r="AS152" s="630" t="s">
        <v>434</v>
      </c>
      <c r="AT152" s="630">
        <v>5584.2790000000005</v>
      </c>
      <c r="AU152" s="630">
        <v>2832.4380000000001</v>
      </c>
      <c r="AV152" s="630">
        <v>-190.71799999999999</v>
      </c>
      <c r="AW152" s="630" t="s">
        <v>434</v>
      </c>
      <c r="AX152" s="630">
        <v>110004.031</v>
      </c>
      <c r="AY152" s="630">
        <v>7619.4589999999998</v>
      </c>
      <c r="AZ152" s="612" t="s">
        <v>435</v>
      </c>
      <c r="BA152" s="612" t="s">
        <v>431</v>
      </c>
      <c r="BB152" s="613" t="s">
        <v>554</v>
      </c>
      <c r="BC152" s="614">
        <v>2.4080547176418589E-2</v>
      </c>
      <c r="BD152" s="614">
        <v>0.11027605965441081</v>
      </c>
      <c r="BE152" s="613" t="s">
        <v>581</v>
      </c>
      <c r="BF152" s="613" t="s">
        <v>581</v>
      </c>
      <c r="BG152" s="643"/>
      <c r="BH152" s="655"/>
    </row>
    <row r="153" spans="1:60" customFormat="1">
      <c r="A153" s="612" t="s">
        <v>56</v>
      </c>
      <c r="B153" s="612" t="s">
        <v>215</v>
      </c>
      <c r="C153" s="612">
        <v>39</v>
      </c>
      <c r="D153" s="601">
        <v>164</v>
      </c>
      <c r="E153" s="623" t="s">
        <v>215</v>
      </c>
      <c r="F153" s="623" t="s">
        <v>56</v>
      </c>
      <c r="G153" s="601" t="s">
        <v>469</v>
      </c>
      <c r="H153" s="623">
        <v>2014</v>
      </c>
      <c r="I153" s="624">
        <v>-14814.906000000001</v>
      </c>
      <c r="J153" s="625">
        <v>18712.696</v>
      </c>
      <c r="K153" s="626">
        <v>-7.7922437359877454</v>
      </c>
      <c r="L153" s="626">
        <v>327.38959649999998</v>
      </c>
      <c r="M153" s="625">
        <v>190123.75</v>
      </c>
      <c r="N153" s="627">
        <v>35885</v>
      </c>
      <c r="O153" s="627">
        <v>197523</v>
      </c>
      <c r="P153" s="628">
        <v>956.29645155247738</v>
      </c>
      <c r="Q153" s="625">
        <v>188890.54399999999</v>
      </c>
      <c r="R153" s="625">
        <v>188890.54399999999</v>
      </c>
      <c r="S153" s="625">
        <v>186154.495</v>
      </c>
      <c r="T153" s="629">
        <v>98.551516162714847</v>
      </c>
      <c r="U153" s="625"/>
      <c r="V153" s="627">
        <v>62213</v>
      </c>
      <c r="W153" s="629">
        <v>3779.5902249358301</v>
      </c>
      <c r="X153" s="627">
        <v>22475</v>
      </c>
      <c r="Y153" s="627">
        <v>17040</v>
      </c>
      <c r="Z153" s="629">
        <v>1365.4106104099269</v>
      </c>
      <c r="AA153" s="629">
        <v>1.3189553990610328</v>
      </c>
      <c r="AB153" s="630">
        <v>188890.54399999999</v>
      </c>
      <c r="AC153" s="630">
        <v>0</v>
      </c>
      <c r="AD153" s="630">
        <v>0</v>
      </c>
      <c r="AE153" s="630">
        <v>0</v>
      </c>
      <c r="AF153" s="630">
        <v>1233.2059999999999</v>
      </c>
      <c r="AG153" s="630" t="s">
        <v>434</v>
      </c>
      <c r="AH153" s="630">
        <v>190123.75</v>
      </c>
      <c r="AI153" s="630">
        <v>79702.892999999996</v>
      </c>
      <c r="AJ153" s="630">
        <v>68282.476999999999</v>
      </c>
      <c r="AK153" s="630">
        <v>0</v>
      </c>
      <c r="AL153" s="630">
        <v>0</v>
      </c>
      <c r="AM153" s="630">
        <v>38169.125</v>
      </c>
      <c r="AN153" s="630">
        <v>0</v>
      </c>
      <c r="AO153" s="630">
        <v>0</v>
      </c>
      <c r="AP153" s="630">
        <v>186154.495</v>
      </c>
      <c r="AQ153" s="630">
        <v>0</v>
      </c>
      <c r="AR153" s="630">
        <v>186154.495</v>
      </c>
      <c r="AS153" s="630" t="s">
        <v>434</v>
      </c>
      <c r="AT153" s="630">
        <v>8062.0609999999997</v>
      </c>
      <c r="AU153" s="630">
        <v>18712.696</v>
      </c>
      <c r="AV153" s="630">
        <v>0</v>
      </c>
      <c r="AW153" s="630" t="s">
        <v>434</v>
      </c>
      <c r="AX153" s="630">
        <v>212929.25099999999</v>
      </c>
      <c r="AY153" s="630">
        <v>-22805.501</v>
      </c>
      <c r="AZ153" s="612">
        <v>0</v>
      </c>
      <c r="BA153" s="612">
        <v>0</v>
      </c>
      <c r="BB153" s="613" t="s">
        <v>554</v>
      </c>
      <c r="BC153" s="614">
        <v>9.8423768729577449E-2</v>
      </c>
      <c r="BD153" s="614">
        <v>-7.7922437359877458E-2</v>
      </c>
      <c r="BE153" s="613" t="s">
        <v>569</v>
      </c>
      <c r="BF153" s="613" t="s">
        <v>569</v>
      </c>
      <c r="BG153" s="643"/>
      <c r="BH153" s="655"/>
    </row>
    <row r="154" spans="1:60" customFormat="1">
      <c r="A154" s="612" t="s">
        <v>95</v>
      </c>
      <c r="B154" s="612" t="s">
        <v>404</v>
      </c>
      <c r="C154" s="612">
        <v>85</v>
      </c>
      <c r="D154" s="601">
        <v>142</v>
      </c>
      <c r="E154" s="623" t="s">
        <v>404</v>
      </c>
      <c r="F154" s="623" t="s">
        <v>95</v>
      </c>
      <c r="G154" s="601" t="s">
        <v>567</v>
      </c>
      <c r="H154" s="623">
        <v>2014</v>
      </c>
      <c r="I154" s="624">
        <v>2489.4290000000001</v>
      </c>
      <c r="J154" s="625">
        <v>35444.131000000001</v>
      </c>
      <c r="K154" s="626">
        <v>0.61837662670293847</v>
      </c>
      <c r="L154" s="626">
        <v>310.69595429999998</v>
      </c>
      <c r="M154" s="625">
        <v>402574.886</v>
      </c>
      <c r="N154" s="627">
        <v>34902</v>
      </c>
      <c r="O154" s="627">
        <v>406194</v>
      </c>
      <c r="P154" s="628">
        <v>172.65607566827674</v>
      </c>
      <c r="Q154" s="625">
        <v>70131.861999999994</v>
      </c>
      <c r="R154" s="625">
        <v>70131.861999999994</v>
      </c>
      <c r="S154" s="625">
        <v>62147.991000000002</v>
      </c>
      <c r="T154" s="629">
        <v>88.615914689388987</v>
      </c>
      <c r="U154" s="625"/>
      <c r="V154" s="627">
        <v>165600</v>
      </c>
      <c r="W154" s="629">
        <v>4892.2436077342354</v>
      </c>
      <c r="X154" s="627">
        <v>9284</v>
      </c>
      <c r="Y154" s="627">
        <v>2715</v>
      </c>
      <c r="Z154" s="629">
        <v>274.27288438529371</v>
      </c>
      <c r="AA154" s="629">
        <v>3.4195211786372006</v>
      </c>
      <c r="AB154" s="630">
        <v>70131.861999999994</v>
      </c>
      <c r="AC154" s="630">
        <v>0</v>
      </c>
      <c r="AD154" s="630">
        <v>0</v>
      </c>
      <c r="AE154" s="630">
        <v>0</v>
      </c>
      <c r="AF154" s="630">
        <v>0</v>
      </c>
      <c r="AG154" s="630" t="s">
        <v>434</v>
      </c>
      <c r="AH154" s="630">
        <v>70131.861999999994</v>
      </c>
      <c r="AI154" s="630">
        <v>48273.214</v>
      </c>
      <c r="AJ154" s="630">
        <v>8091.09</v>
      </c>
      <c r="AK154" s="630">
        <v>0</v>
      </c>
      <c r="AL154" s="630">
        <v>5783.6869999999999</v>
      </c>
      <c r="AM154" s="630">
        <v>0</v>
      </c>
      <c r="AN154" s="630">
        <v>0</v>
      </c>
      <c r="AO154" s="630">
        <v>0</v>
      </c>
      <c r="AP154" s="630">
        <v>62147.991000000002</v>
      </c>
      <c r="AQ154" s="630">
        <v>0</v>
      </c>
      <c r="AR154" s="630">
        <v>62147.991000000002</v>
      </c>
      <c r="AS154" s="630" t="s">
        <v>434</v>
      </c>
      <c r="AT154" s="630">
        <v>7983.8710000000001</v>
      </c>
      <c r="AU154" s="630">
        <v>0</v>
      </c>
      <c r="AV154" s="630">
        <v>0</v>
      </c>
      <c r="AW154" s="630" t="s">
        <v>434</v>
      </c>
      <c r="AX154" s="630">
        <v>70131.861999999994</v>
      </c>
      <c r="AY154" s="630">
        <v>0</v>
      </c>
      <c r="AZ154" s="612" t="s">
        <v>435</v>
      </c>
      <c r="BA154" s="612" t="s">
        <v>433</v>
      </c>
      <c r="BB154" s="613" t="s">
        <v>554</v>
      </c>
      <c r="BC154" s="614">
        <v>8.8043572097043332E-2</v>
      </c>
      <c r="BD154" s="614">
        <v>2.5797281009066808E-2</v>
      </c>
      <c r="BE154" s="613" t="s">
        <v>574</v>
      </c>
      <c r="BF154" s="613" t="s">
        <v>574</v>
      </c>
      <c r="BG154" s="643"/>
      <c r="BH154" s="655"/>
    </row>
    <row r="155" spans="1:60" customFormat="1">
      <c r="A155" s="612" t="s">
        <v>96</v>
      </c>
      <c r="B155" s="612" t="s">
        <v>225</v>
      </c>
      <c r="C155" s="612">
        <v>78</v>
      </c>
      <c r="D155" s="601">
        <v>143</v>
      </c>
      <c r="E155" s="623" t="s">
        <v>225</v>
      </c>
      <c r="F155" s="623" t="s">
        <v>96</v>
      </c>
      <c r="G155" s="601" t="s">
        <v>567</v>
      </c>
      <c r="H155" s="623">
        <v>2014</v>
      </c>
      <c r="I155" s="624">
        <v>10886.28</v>
      </c>
      <c r="J155" s="625">
        <v>29191.762999999999</v>
      </c>
      <c r="K155" s="626">
        <v>2.8535755712554214</v>
      </c>
      <c r="L155" s="626">
        <v>865.03303630000005</v>
      </c>
      <c r="M155" s="625">
        <v>381496.11700000003</v>
      </c>
      <c r="N155" s="627">
        <v>33386</v>
      </c>
      <c r="O155" s="627">
        <v>403315</v>
      </c>
      <c r="P155" s="628">
        <v>263.5640008430135</v>
      </c>
      <c r="Q155" s="625">
        <v>106299.315</v>
      </c>
      <c r="R155" s="625">
        <v>106299.315</v>
      </c>
      <c r="S155" s="625">
        <v>83310.224000000002</v>
      </c>
      <c r="T155" s="629">
        <v>78.373246337476402</v>
      </c>
      <c r="U155" s="625"/>
      <c r="V155" s="627">
        <v>224914</v>
      </c>
      <c r="W155" s="629">
        <v>6691.9603783643061</v>
      </c>
      <c r="X155" s="627">
        <v>14823</v>
      </c>
      <c r="Y155" s="627">
        <v>2298</v>
      </c>
      <c r="Z155" s="629">
        <v>441.0349230750158</v>
      </c>
      <c r="AA155" s="629">
        <v>6.4503916449086161</v>
      </c>
      <c r="AB155" s="630">
        <v>106032.59699999999</v>
      </c>
      <c r="AC155" s="630">
        <v>0</v>
      </c>
      <c r="AD155" s="630">
        <v>0</v>
      </c>
      <c r="AE155" s="630">
        <v>0</v>
      </c>
      <c r="AF155" s="630">
        <v>0</v>
      </c>
      <c r="AG155" s="630" t="s">
        <v>434</v>
      </c>
      <c r="AH155" s="630">
        <v>106032.59699999999</v>
      </c>
      <c r="AI155" s="630">
        <v>46228.646000000001</v>
      </c>
      <c r="AJ155" s="630">
        <v>12778.715</v>
      </c>
      <c r="AK155" s="630">
        <v>0</v>
      </c>
      <c r="AL155" s="630">
        <v>6902.6859999999997</v>
      </c>
      <c r="AM155" s="630">
        <v>17210.321</v>
      </c>
      <c r="AN155" s="630">
        <v>0</v>
      </c>
      <c r="AO155" s="630">
        <v>189.85599999999999</v>
      </c>
      <c r="AP155" s="630">
        <v>83310.224000000002</v>
      </c>
      <c r="AQ155" s="630">
        <v>0</v>
      </c>
      <c r="AR155" s="630">
        <v>83310.224000000002</v>
      </c>
      <c r="AS155" s="630" t="s">
        <v>434</v>
      </c>
      <c r="AT155" s="630">
        <v>2559.8710000000001</v>
      </c>
      <c r="AU155" s="630">
        <v>7639.1530000000002</v>
      </c>
      <c r="AV155" s="630">
        <v>0</v>
      </c>
      <c r="AW155" s="630" t="s">
        <v>434</v>
      </c>
      <c r="AX155" s="630">
        <v>93509.248000000007</v>
      </c>
      <c r="AY155" s="630">
        <v>12523.349</v>
      </c>
      <c r="AZ155" s="612" t="s">
        <v>430</v>
      </c>
      <c r="BA155" s="612" t="s">
        <v>431</v>
      </c>
      <c r="BB155" s="613" t="s">
        <v>554</v>
      </c>
      <c r="BC155" s="614">
        <v>7.6519161530548413E-2</v>
      </c>
      <c r="BD155" s="614">
        <v>0.1397483750946876</v>
      </c>
      <c r="BE155" s="613" t="s">
        <v>581</v>
      </c>
      <c r="BF155" s="613" t="s">
        <v>581</v>
      </c>
      <c r="BG155" s="643"/>
      <c r="BH155" s="655"/>
    </row>
    <row r="156" spans="1:60" customFormat="1">
      <c r="A156" s="612" t="s">
        <v>95</v>
      </c>
      <c r="B156" s="612" t="s">
        <v>153</v>
      </c>
      <c r="C156" s="612">
        <v>89</v>
      </c>
      <c r="D156" s="601">
        <v>146</v>
      </c>
      <c r="E156" s="623" t="s">
        <v>153</v>
      </c>
      <c r="F156" s="623" t="s">
        <v>95</v>
      </c>
      <c r="G156" s="601" t="s">
        <v>567</v>
      </c>
      <c r="H156" s="623">
        <v>2014</v>
      </c>
      <c r="I156" s="624">
        <v>12537.514999999999</v>
      </c>
      <c r="J156" s="625">
        <v>15144.921</v>
      </c>
      <c r="K156" s="626">
        <v>9.041842488674396</v>
      </c>
      <c r="L156" s="626">
        <v>494.43685570000002</v>
      </c>
      <c r="M156" s="625">
        <v>138661.06400000001</v>
      </c>
      <c r="N156" s="627">
        <v>33175</v>
      </c>
      <c r="O156" s="627">
        <v>380725</v>
      </c>
      <c r="P156" s="628">
        <v>162.28218530435353</v>
      </c>
      <c r="Q156" s="625">
        <v>61784.885000000002</v>
      </c>
      <c r="R156" s="625">
        <v>61784.885000000002</v>
      </c>
      <c r="S156" s="625">
        <v>44243.34</v>
      </c>
      <c r="T156" s="629">
        <v>71.608679048281786</v>
      </c>
      <c r="U156" s="625"/>
      <c r="V156" s="627">
        <v>177038</v>
      </c>
      <c r="W156" s="629">
        <v>5580.0275789611924</v>
      </c>
      <c r="X156" s="627">
        <v>11871</v>
      </c>
      <c r="Y156" s="627">
        <v>2967</v>
      </c>
      <c r="Z156" s="629">
        <v>374.15982664652967</v>
      </c>
      <c r="AA156" s="629">
        <v>4.0010111223458038</v>
      </c>
      <c r="AB156" s="630">
        <v>61655.487999999998</v>
      </c>
      <c r="AC156" s="630">
        <v>0</v>
      </c>
      <c r="AD156" s="630">
        <v>0</v>
      </c>
      <c r="AE156" s="630">
        <v>34507.809000000001</v>
      </c>
      <c r="AF156" s="630">
        <v>0</v>
      </c>
      <c r="AG156" s="630" t="s">
        <v>434</v>
      </c>
      <c r="AH156" s="630">
        <v>96163.297000000006</v>
      </c>
      <c r="AI156" s="630">
        <v>62833.892</v>
      </c>
      <c r="AJ156" s="630">
        <v>0</v>
      </c>
      <c r="AK156" s="630">
        <v>0</v>
      </c>
      <c r="AL156" s="630">
        <v>8379.5159999999996</v>
      </c>
      <c r="AM156" s="630">
        <v>-3.3839999999999999</v>
      </c>
      <c r="AN156" s="630">
        <v>0</v>
      </c>
      <c r="AO156" s="630">
        <v>56.533000000000001</v>
      </c>
      <c r="AP156" s="630">
        <v>71266.557000000001</v>
      </c>
      <c r="AQ156" s="630">
        <v>-32.819000000000003</v>
      </c>
      <c r="AR156" s="630">
        <v>71299.376000000004</v>
      </c>
      <c r="AS156" s="630" t="s">
        <v>434</v>
      </c>
      <c r="AT156" s="630">
        <v>2893.5520000000001</v>
      </c>
      <c r="AU156" s="630">
        <v>9977.7849999999999</v>
      </c>
      <c r="AV156" s="630">
        <v>0</v>
      </c>
      <c r="AW156" s="630" t="s">
        <v>434</v>
      </c>
      <c r="AX156" s="630">
        <v>84170.713000000003</v>
      </c>
      <c r="AY156" s="630">
        <v>11992.584000000001</v>
      </c>
      <c r="AZ156" s="612" t="s">
        <v>430</v>
      </c>
      <c r="BA156" s="612" t="s">
        <v>431</v>
      </c>
      <c r="BB156" s="613" t="s">
        <v>554</v>
      </c>
      <c r="BC156" s="614">
        <v>0.1092225933013178</v>
      </c>
      <c r="BD156" s="614">
        <v>0.17469061621586435</v>
      </c>
      <c r="BE156" s="613" t="s">
        <v>582</v>
      </c>
      <c r="BF156" s="613" t="s">
        <v>582</v>
      </c>
      <c r="BG156" s="643"/>
      <c r="BH156" s="655"/>
    </row>
    <row r="157" spans="1:60" customFormat="1">
      <c r="A157" s="612" t="s">
        <v>87</v>
      </c>
      <c r="B157" s="612" t="s">
        <v>140</v>
      </c>
      <c r="C157" s="612">
        <v>79</v>
      </c>
      <c r="D157" s="601">
        <v>149</v>
      </c>
      <c r="E157" s="623" t="s">
        <v>140</v>
      </c>
      <c r="F157" s="623" t="s">
        <v>87</v>
      </c>
      <c r="G157" s="601" t="s">
        <v>469</v>
      </c>
      <c r="H157" s="623">
        <v>2014</v>
      </c>
      <c r="I157" s="624">
        <v>1452.886</v>
      </c>
      <c r="J157" s="625">
        <v>7491.8029999999999</v>
      </c>
      <c r="K157" s="626">
        <v>1.3945975272642412</v>
      </c>
      <c r="L157" s="626">
        <v>238.45331179999999</v>
      </c>
      <c r="M157" s="625">
        <v>104179.591</v>
      </c>
      <c r="N157" s="627">
        <v>32997</v>
      </c>
      <c r="O157" s="627">
        <v>339931</v>
      </c>
      <c r="P157" s="628">
        <v>306.29032068272681</v>
      </c>
      <c r="Q157" s="625">
        <v>104117.575</v>
      </c>
      <c r="R157" s="625">
        <v>104117.575</v>
      </c>
      <c r="S157" s="625">
        <v>90480.350999999995</v>
      </c>
      <c r="T157" s="629">
        <v>86.902092178001652</v>
      </c>
      <c r="U157" s="625"/>
      <c r="V157" s="627">
        <v>214747</v>
      </c>
      <c r="W157" s="629">
        <v>7580.8443478235286</v>
      </c>
      <c r="X157" s="627">
        <v>18368</v>
      </c>
      <c r="Y157" s="627">
        <v>4470</v>
      </c>
      <c r="Z157" s="629">
        <v>648.41394282957424</v>
      </c>
      <c r="AA157" s="629">
        <v>4.1091722595078304</v>
      </c>
      <c r="AB157" s="630">
        <v>104117.575</v>
      </c>
      <c r="AC157" s="630">
        <v>0</v>
      </c>
      <c r="AD157" s="630">
        <v>0</v>
      </c>
      <c r="AE157" s="630">
        <v>0</v>
      </c>
      <c r="AF157" s="630">
        <v>62.015999999999998</v>
      </c>
      <c r="AG157" s="630" t="s">
        <v>434</v>
      </c>
      <c r="AH157" s="630">
        <v>104179.591</v>
      </c>
      <c r="AI157" s="630">
        <v>40624.057999999997</v>
      </c>
      <c r="AJ157" s="630">
        <v>22001.043000000001</v>
      </c>
      <c r="AK157" s="630">
        <v>0</v>
      </c>
      <c r="AL157" s="630">
        <v>8709.3880000000008</v>
      </c>
      <c r="AM157" s="630">
        <v>18293.047999999999</v>
      </c>
      <c r="AN157" s="630">
        <v>852.81399999999996</v>
      </c>
      <c r="AO157" s="630">
        <v>0</v>
      </c>
      <c r="AP157" s="630">
        <v>90480.350999999995</v>
      </c>
      <c r="AQ157" s="630">
        <v>0</v>
      </c>
      <c r="AR157" s="630">
        <v>90480.350999999995</v>
      </c>
      <c r="AS157" s="630" t="s">
        <v>434</v>
      </c>
      <c r="AT157" s="630">
        <v>4737.143</v>
      </c>
      <c r="AU157" s="630">
        <v>7491.8029999999999</v>
      </c>
      <c r="AV157" s="630">
        <v>0</v>
      </c>
      <c r="AW157" s="630" t="s">
        <v>434</v>
      </c>
      <c r="AX157" s="630">
        <v>102709.29700000001</v>
      </c>
      <c r="AY157" s="630">
        <v>1470.2940000000001</v>
      </c>
      <c r="AZ157" s="612" t="s">
        <v>435</v>
      </c>
      <c r="BA157" s="612" t="s">
        <v>433</v>
      </c>
      <c r="BB157" s="613" t="s">
        <v>554</v>
      </c>
      <c r="BC157" s="614">
        <v>7.1912386371338316E-2</v>
      </c>
      <c r="BD157" s="614">
        <v>1.3945975272642413E-2</v>
      </c>
      <c r="BE157" s="613" t="s">
        <v>573</v>
      </c>
      <c r="BF157" s="613" t="s">
        <v>573</v>
      </c>
      <c r="BG157" s="643"/>
      <c r="BH157" s="655"/>
    </row>
    <row r="158" spans="1:60" customFormat="1">
      <c r="A158" s="601" t="s">
        <v>66</v>
      </c>
      <c r="B158" s="601" t="s">
        <v>419</v>
      </c>
      <c r="C158" s="601">
        <v>2</v>
      </c>
      <c r="D158" s="601">
        <v>144</v>
      </c>
      <c r="E158" s="623" t="s">
        <v>204</v>
      </c>
      <c r="F158" s="623" t="s">
        <v>66</v>
      </c>
      <c r="G158" s="601" t="s">
        <v>469</v>
      </c>
      <c r="H158" s="623">
        <v>2014</v>
      </c>
      <c r="I158" s="631">
        <v>14595.504000000001</v>
      </c>
      <c r="J158" s="631">
        <v>15360.143</v>
      </c>
      <c r="K158" s="634">
        <v>8.1327648889498576</v>
      </c>
      <c r="L158" s="634">
        <v>603.76411270000006</v>
      </c>
      <c r="M158" s="631">
        <v>179465.46100000001</v>
      </c>
      <c r="N158" s="632">
        <v>31037</v>
      </c>
      <c r="O158" s="632">
        <v>398020</v>
      </c>
      <c r="P158" s="635">
        <v>406.07640570825589</v>
      </c>
      <c r="Q158" s="631">
        <v>161626.53099999999</v>
      </c>
      <c r="R158" s="631">
        <v>161626.53099999999</v>
      </c>
      <c r="S158" s="631">
        <v>121351.988</v>
      </c>
      <c r="T158" s="633">
        <v>75.081725289271972</v>
      </c>
      <c r="U158" s="636"/>
      <c r="V158" s="632">
        <v>125813</v>
      </c>
      <c r="W158" s="633">
        <v>3793.166172554143</v>
      </c>
      <c r="X158" s="632">
        <v>13319</v>
      </c>
      <c r="Y158" s="632">
        <v>2795</v>
      </c>
      <c r="Z158" s="633">
        <v>401.55771066780562</v>
      </c>
      <c r="AA158" s="633">
        <v>4.7652951699463326</v>
      </c>
      <c r="AB158" s="630">
        <v>159776.97399999999</v>
      </c>
      <c r="AC158" s="630">
        <v>0</v>
      </c>
      <c r="AD158" s="630">
        <v>0</v>
      </c>
      <c r="AE158" s="630">
        <v>0</v>
      </c>
      <c r="AF158" s="630">
        <v>0</v>
      </c>
      <c r="AG158" s="630" t="s">
        <v>434</v>
      </c>
      <c r="AH158" s="630">
        <v>159776.97399999999</v>
      </c>
      <c r="AI158" s="630">
        <v>57740.025000000001</v>
      </c>
      <c r="AJ158" s="630">
        <v>31775.594000000001</v>
      </c>
      <c r="AK158" s="630">
        <v>0</v>
      </c>
      <c r="AL158" s="630">
        <v>13562.962</v>
      </c>
      <c r="AM158" s="630">
        <v>18153.608</v>
      </c>
      <c r="AN158" s="630">
        <v>0</v>
      </c>
      <c r="AO158" s="630">
        <v>119.8</v>
      </c>
      <c r="AP158" s="630">
        <v>121351.989</v>
      </c>
      <c r="AQ158" s="630">
        <v>247</v>
      </c>
      <c r="AR158" s="630">
        <v>121104.989</v>
      </c>
      <c r="AS158" s="630" t="s">
        <v>434</v>
      </c>
      <c r="AT158" s="630">
        <v>4971.9160000000002</v>
      </c>
      <c r="AU158" s="630">
        <v>13533.004000000001</v>
      </c>
      <c r="AV158" s="630">
        <v>0</v>
      </c>
      <c r="AW158" s="630" t="s">
        <v>434</v>
      </c>
      <c r="AX158" s="630">
        <v>139609.90900000001</v>
      </c>
      <c r="AY158" s="630">
        <v>20167.064999999999</v>
      </c>
      <c r="AZ158" s="612" t="s">
        <v>430</v>
      </c>
      <c r="BA158" s="612" t="s">
        <v>433</v>
      </c>
      <c r="BB158" s="613" t="s">
        <v>554</v>
      </c>
      <c r="BC158" s="614">
        <v>8.5588296012010914E-2</v>
      </c>
      <c r="BD158" s="614">
        <v>8.1327648889498574E-2</v>
      </c>
      <c r="BE158" s="613" t="s">
        <v>576</v>
      </c>
      <c r="BF158" s="613" t="s">
        <v>576</v>
      </c>
      <c r="BG158" s="643"/>
      <c r="BH158" s="655"/>
    </row>
    <row r="159" spans="1:60" customFormat="1">
      <c r="A159" s="612" t="s">
        <v>54</v>
      </c>
      <c r="B159" s="612" t="s">
        <v>174</v>
      </c>
      <c r="C159" s="612">
        <v>77</v>
      </c>
      <c r="D159" s="601">
        <v>151</v>
      </c>
      <c r="E159" s="623" t="s">
        <v>174</v>
      </c>
      <c r="F159" s="623" t="s">
        <v>54</v>
      </c>
      <c r="G159" s="601" t="s">
        <v>469</v>
      </c>
      <c r="H159" s="623">
        <v>2014</v>
      </c>
      <c r="I159" s="624">
        <v>3000.6109999999999</v>
      </c>
      <c r="J159" s="625">
        <v>12110.183000000001</v>
      </c>
      <c r="K159" s="626">
        <v>2.5195631107352909</v>
      </c>
      <c r="L159" s="626">
        <v>207.7049007</v>
      </c>
      <c r="M159" s="625">
        <v>119092.512</v>
      </c>
      <c r="N159" s="627">
        <v>28397</v>
      </c>
      <c r="O159" s="627">
        <v>320080</v>
      </c>
      <c r="P159" s="628">
        <v>349.89342039490128</v>
      </c>
      <c r="Q159" s="625">
        <v>111993.886</v>
      </c>
      <c r="R159" s="625">
        <v>111993.886</v>
      </c>
      <c r="S159" s="625">
        <v>91290.822</v>
      </c>
      <c r="T159" s="629">
        <v>81.514112297165937</v>
      </c>
      <c r="U159" s="625"/>
      <c r="V159" s="627">
        <v>166799</v>
      </c>
      <c r="W159" s="629">
        <v>6253.3991502124472</v>
      </c>
      <c r="X159" s="627">
        <v>7650</v>
      </c>
      <c r="Y159" s="627">
        <v>2106</v>
      </c>
      <c r="Z159" s="629">
        <v>286.80329917520618</v>
      </c>
      <c r="AA159" s="629">
        <v>3.6324786324786325</v>
      </c>
      <c r="AB159" s="630">
        <v>111400.137</v>
      </c>
      <c r="AC159" s="630">
        <v>0</v>
      </c>
      <c r="AD159" s="630">
        <v>0</v>
      </c>
      <c r="AE159" s="630">
        <v>0</v>
      </c>
      <c r="AF159" s="630">
        <v>0</v>
      </c>
      <c r="AG159" s="630" t="s">
        <v>434</v>
      </c>
      <c r="AH159" s="630">
        <v>111400.137</v>
      </c>
      <c r="AI159" s="630">
        <v>76454.990999999995</v>
      </c>
      <c r="AJ159" s="630">
        <v>8122.2110000000002</v>
      </c>
      <c r="AK159" s="630">
        <v>0</v>
      </c>
      <c r="AL159" s="630">
        <v>0</v>
      </c>
      <c r="AM159" s="630">
        <v>6713.6189999999997</v>
      </c>
      <c r="AN159" s="630">
        <v>0</v>
      </c>
      <c r="AO159" s="630">
        <v>0</v>
      </c>
      <c r="AP159" s="630">
        <v>91290.820999999996</v>
      </c>
      <c r="AQ159" s="630">
        <v>647.51800000000003</v>
      </c>
      <c r="AR159" s="630">
        <v>90643.303</v>
      </c>
      <c r="AS159" s="630" t="s">
        <v>434</v>
      </c>
      <c r="AT159" s="630">
        <v>4386.1390000000001</v>
      </c>
      <c r="AU159" s="630">
        <v>11326.522000000001</v>
      </c>
      <c r="AV159" s="630">
        <v>0</v>
      </c>
      <c r="AW159" s="630" t="s">
        <v>434</v>
      </c>
      <c r="AX159" s="630">
        <v>106355.96400000001</v>
      </c>
      <c r="AY159" s="630">
        <v>5044.1729999999998</v>
      </c>
      <c r="AZ159" s="612" t="s">
        <v>430</v>
      </c>
      <c r="BA159" s="612" t="s">
        <v>433</v>
      </c>
      <c r="BB159" s="613" t="s">
        <v>554</v>
      </c>
      <c r="BC159" s="614">
        <v>0.1016871908789698</v>
      </c>
      <c r="BD159" s="614">
        <v>2.5195631107352911E-2</v>
      </c>
      <c r="BE159" s="613" t="s">
        <v>574</v>
      </c>
      <c r="BF159" s="613" t="s">
        <v>574</v>
      </c>
      <c r="BG159" s="643"/>
      <c r="BH159" s="655"/>
    </row>
    <row r="160" spans="1:60" customFormat="1">
      <c r="A160" s="612" t="s">
        <v>66</v>
      </c>
      <c r="B160" s="612" t="s">
        <v>214</v>
      </c>
      <c r="C160" s="612">
        <v>70</v>
      </c>
      <c r="D160" s="601">
        <v>150</v>
      </c>
      <c r="E160" s="623" t="s">
        <v>214</v>
      </c>
      <c r="F160" s="623" t="s">
        <v>66</v>
      </c>
      <c r="G160" s="601" t="s">
        <v>567</v>
      </c>
      <c r="H160" s="623">
        <v>2014</v>
      </c>
      <c r="I160" s="624">
        <v>26658.133000000002</v>
      </c>
      <c r="J160" s="625">
        <v>124454.202</v>
      </c>
      <c r="K160" s="626">
        <v>2.4154479989821143</v>
      </c>
      <c r="L160" s="626">
        <v>441.92183549999999</v>
      </c>
      <c r="M160" s="625">
        <v>1103651.7039999999</v>
      </c>
      <c r="N160" s="627">
        <v>27643</v>
      </c>
      <c r="O160" s="627">
        <v>326160</v>
      </c>
      <c r="P160" s="628">
        <v>430.64503311258278</v>
      </c>
      <c r="Q160" s="625">
        <v>140459.18400000001</v>
      </c>
      <c r="R160" s="625">
        <v>140459.18400000001</v>
      </c>
      <c r="S160" s="625">
        <v>122184.105</v>
      </c>
      <c r="T160" s="629">
        <v>86.989046583098471</v>
      </c>
      <c r="U160" s="625"/>
      <c r="V160" s="627">
        <v>84932</v>
      </c>
      <c r="W160" s="629">
        <v>3124.7976453274468</v>
      </c>
      <c r="X160" s="627">
        <v>29934</v>
      </c>
      <c r="Y160" s="627">
        <v>3529</v>
      </c>
      <c r="Z160" s="629">
        <v>1101.3245033112582</v>
      </c>
      <c r="AA160" s="629">
        <v>8.4822896004533863</v>
      </c>
      <c r="AB160" s="630">
        <v>138299.97099999999</v>
      </c>
      <c r="AC160" s="630">
        <v>0</v>
      </c>
      <c r="AD160" s="630">
        <v>0</v>
      </c>
      <c r="AE160" s="630">
        <v>0</v>
      </c>
      <c r="AF160" s="630">
        <v>0</v>
      </c>
      <c r="AG160" s="630" t="s">
        <v>434</v>
      </c>
      <c r="AH160" s="630">
        <v>138299.97099999999</v>
      </c>
      <c r="AI160" s="630">
        <v>92063.358999999997</v>
      </c>
      <c r="AJ160" s="630">
        <v>7532.4690000000001</v>
      </c>
      <c r="AK160" s="630">
        <v>395.75400000000002</v>
      </c>
      <c r="AL160" s="630">
        <v>287.82100000000003</v>
      </c>
      <c r="AM160" s="630">
        <v>18090.757000000001</v>
      </c>
      <c r="AN160" s="630">
        <v>986.31799999999998</v>
      </c>
      <c r="AO160" s="630">
        <v>2827.627</v>
      </c>
      <c r="AP160" s="630">
        <v>122184.105</v>
      </c>
      <c r="AQ160" s="630">
        <v>7.6580000000000004</v>
      </c>
      <c r="AR160" s="630">
        <v>122176.447</v>
      </c>
      <c r="AS160" s="630" t="s">
        <v>434</v>
      </c>
      <c r="AT160" s="630">
        <v>1795.828</v>
      </c>
      <c r="AU160" s="630">
        <v>13999.779</v>
      </c>
      <c r="AV160" s="630">
        <v>-3800</v>
      </c>
      <c r="AW160" s="630" t="s">
        <v>434</v>
      </c>
      <c r="AX160" s="630">
        <v>134172.054</v>
      </c>
      <c r="AY160" s="630">
        <v>4127.9170000000004</v>
      </c>
      <c r="AZ160" s="612" t="s">
        <v>430</v>
      </c>
      <c r="BA160" s="612" t="s">
        <v>431</v>
      </c>
      <c r="BB160" s="613" t="s">
        <v>554</v>
      </c>
      <c r="BC160" s="614">
        <v>0.11276583142030831</v>
      </c>
      <c r="BD160" s="614">
        <v>1.734370274870696E-2</v>
      </c>
      <c r="BE160" s="613" t="s">
        <v>573</v>
      </c>
      <c r="BF160" s="613" t="s">
        <v>573</v>
      </c>
      <c r="BG160" s="643"/>
      <c r="BH160" s="655"/>
    </row>
    <row r="161" spans="1:60" customFormat="1">
      <c r="A161" s="612" t="s">
        <v>56</v>
      </c>
      <c r="B161" s="612" t="s">
        <v>166</v>
      </c>
      <c r="C161" s="612">
        <v>84</v>
      </c>
      <c r="D161" s="601">
        <v>159</v>
      </c>
      <c r="E161" s="623" t="s">
        <v>166</v>
      </c>
      <c r="F161" s="623" t="s">
        <v>56</v>
      </c>
      <c r="G161" s="601" t="s">
        <v>567</v>
      </c>
      <c r="H161" s="623">
        <v>2014</v>
      </c>
      <c r="I161" s="624">
        <v>9257.518</v>
      </c>
      <c r="J161" s="625">
        <v>57043.904999999999</v>
      </c>
      <c r="K161" s="626">
        <v>2.5281751843419822</v>
      </c>
      <c r="L161" s="626">
        <v>159.9528119</v>
      </c>
      <c r="M161" s="625">
        <v>366173.913</v>
      </c>
      <c r="N161" s="627">
        <v>27308</v>
      </c>
      <c r="O161" s="627">
        <v>260610</v>
      </c>
      <c r="P161" s="628">
        <v>271.14994819845748</v>
      </c>
      <c r="Q161" s="625">
        <v>70664.388000000006</v>
      </c>
      <c r="R161" s="625">
        <v>70664.388000000006</v>
      </c>
      <c r="S161" s="625">
        <v>104399.819</v>
      </c>
      <c r="T161" s="629">
        <v>147.74035685414836</v>
      </c>
      <c r="U161" s="625"/>
      <c r="V161" s="627">
        <v>35927</v>
      </c>
      <c r="W161" s="629">
        <v>1654.2880165764936</v>
      </c>
      <c r="X161" s="627">
        <v>8378</v>
      </c>
      <c r="Y161" s="627">
        <v>2291</v>
      </c>
      <c r="Z161" s="629">
        <v>385.77184298376886</v>
      </c>
      <c r="AA161" s="629">
        <v>3.6569183762549105</v>
      </c>
      <c r="AB161" s="630">
        <v>70551.561000000002</v>
      </c>
      <c r="AC161" s="630">
        <v>0</v>
      </c>
      <c r="AD161" s="630">
        <v>0</v>
      </c>
      <c r="AE161" s="630">
        <v>0</v>
      </c>
      <c r="AF161" s="630">
        <v>0</v>
      </c>
      <c r="AG161" s="630" t="s">
        <v>434</v>
      </c>
      <c r="AH161" s="630">
        <v>70551.561000000002</v>
      </c>
      <c r="AI161" s="630">
        <v>66999.197</v>
      </c>
      <c r="AJ161" s="630">
        <v>3212.3969999999999</v>
      </c>
      <c r="AK161" s="630">
        <v>0</v>
      </c>
      <c r="AL161" s="630">
        <v>23873.802</v>
      </c>
      <c r="AM161" s="630">
        <v>10314.423000000001</v>
      </c>
      <c r="AN161" s="630">
        <v>0</v>
      </c>
      <c r="AO161" s="630">
        <v>0</v>
      </c>
      <c r="AP161" s="630">
        <v>104399.819</v>
      </c>
      <c r="AQ161" s="630">
        <v>0</v>
      </c>
      <c r="AR161" s="630">
        <v>104399.819</v>
      </c>
      <c r="AS161" s="630" t="s">
        <v>434</v>
      </c>
      <c r="AT161" s="630">
        <v>158.15100000000001</v>
      </c>
      <c r="AU161" s="630">
        <v>11447.375</v>
      </c>
      <c r="AV161" s="630">
        <v>0</v>
      </c>
      <c r="AW161" s="630" t="s">
        <v>434</v>
      </c>
      <c r="AX161" s="630">
        <v>116005.345</v>
      </c>
      <c r="AY161" s="630">
        <v>-45453.784</v>
      </c>
      <c r="AZ161" s="612">
        <v>0</v>
      </c>
      <c r="BA161" s="612">
        <v>0</v>
      </c>
      <c r="BB161" s="613" t="s">
        <v>554</v>
      </c>
      <c r="BC161" s="614">
        <v>0.15578363989026164</v>
      </c>
      <c r="BD161" s="614">
        <v>-0.63318720843174536</v>
      </c>
      <c r="BE161" s="613" t="s">
        <v>580</v>
      </c>
      <c r="BF161" s="613" t="s">
        <v>614</v>
      </c>
      <c r="BG161" s="643"/>
      <c r="BH161" s="655"/>
    </row>
    <row r="162" spans="1:60" customFormat="1">
      <c r="A162" s="612" t="s">
        <v>67</v>
      </c>
      <c r="B162" s="612" t="s">
        <v>399</v>
      </c>
      <c r="C162" s="612">
        <v>65</v>
      </c>
      <c r="D162" s="601">
        <v>153</v>
      </c>
      <c r="E162" s="623" t="s">
        <v>399</v>
      </c>
      <c r="F162" s="623" t="s">
        <v>67</v>
      </c>
      <c r="G162" s="601" t="s">
        <v>567</v>
      </c>
      <c r="H162" s="623">
        <v>2014</v>
      </c>
      <c r="I162" s="604" t="s">
        <v>434</v>
      </c>
      <c r="J162" s="609" t="s">
        <v>434</v>
      </c>
      <c r="K162" s="605" t="s">
        <v>434</v>
      </c>
      <c r="L162" s="605" t="s">
        <v>434</v>
      </c>
      <c r="M162" s="609" t="s">
        <v>434</v>
      </c>
      <c r="N162" s="607">
        <v>24837</v>
      </c>
      <c r="O162" s="607">
        <v>309170</v>
      </c>
      <c r="P162" s="608">
        <v>599.3846427531779</v>
      </c>
      <c r="Q162" s="609">
        <v>185311.75</v>
      </c>
      <c r="R162" s="609">
        <v>185311.75</v>
      </c>
      <c r="S162" s="609">
        <v>163912.21900000001</v>
      </c>
      <c r="T162" s="611">
        <v>88.45214564106162</v>
      </c>
      <c r="U162" s="625"/>
      <c r="V162" s="627">
        <v>66940</v>
      </c>
      <c r="W162" s="629">
        <v>2598.1822298411876</v>
      </c>
      <c r="X162" s="627">
        <v>4347</v>
      </c>
      <c r="Y162" s="627">
        <v>23499</v>
      </c>
      <c r="Z162" s="629">
        <v>168.72270918911926</v>
      </c>
      <c r="AA162" s="629">
        <v>0.18498659517426275</v>
      </c>
      <c r="AB162" s="630" t="s">
        <v>20</v>
      </c>
      <c r="AC162" s="630" t="s">
        <v>20</v>
      </c>
      <c r="AD162" s="630" t="s">
        <v>20</v>
      </c>
      <c r="AE162" s="630" t="s">
        <v>20</v>
      </c>
      <c r="AF162" s="630" t="s">
        <v>20</v>
      </c>
      <c r="AG162" s="630" t="s">
        <v>20</v>
      </c>
      <c r="AH162" s="630" t="s">
        <v>20</v>
      </c>
      <c r="AI162" s="630" t="s">
        <v>20</v>
      </c>
      <c r="AJ162" s="630" t="s">
        <v>20</v>
      </c>
      <c r="AK162" s="630" t="s">
        <v>20</v>
      </c>
      <c r="AL162" s="630" t="s">
        <v>20</v>
      </c>
      <c r="AM162" s="630" t="s">
        <v>20</v>
      </c>
      <c r="AN162" s="630" t="s">
        <v>20</v>
      </c>
      <c r="AO162" s="630" t="s">
        <v>20</v>
      </c>
      <c r="AP162" s="630" t="s">
        <v>20</v>
      </c>
      <c r="AQ162" s="630" t="s">
        <v>20</v>
      </c>
      <c r="AR162" s="630" t="s">
        <v>20</v>
      </c>
      <c r="AS162" s="630" t="s">
        <v>20</v>
      </c>
      <c r="AT162" s="630" t="s">
        <v>20</v>
      </c>
      <c r="AU162" s="630" t="s">
        <v>20</v>
      </c>
      <c r="AV162" s="630" t="s">
        <v>20</v>
      </c>
      <c r="AW162" s="630" t="s">
        <v>20</v>
      </c>
      <c r="AX162" s="630" t="s">
        <v>20</v>
      </c>
      <c r="AY162" s="630" t="s">
        <v>20</v>
      </c>
      <c r="AZ162" s="612" t="s">
        <v>435</v>
      </c>
      <c r="BA162" s="612" t="s">
        <v>433</v>
      </c>
      <c r="BB162" s="613" t="s">
        <v>553</v>
      </c>
      <c r="BC162" s="614">
        <v>0</v>
      </c>
      <c r="BD162" s="614">
        <v>-100</v>
      </c>
      <c r="BE162" s="613" t="s">
        <v>455</v>
      </c>
      <c r="BF162" s="613" t="s">
        <v>455</v>
      </c>
      <c r="BG162" s="643"/>
      <c r="BH162" s="655"/>
    </row>
    <row r="163" spans="1:60" customFormat="1">
      <c r="A163" s="612" t="s">
        <v>52</v>
      </c>
      <c r="B163" s="612" t="s">
        <v>263</v>
      </c>
      <c r="C163" s="612">
        <v>95</v>
      </c>
      <c r="D163" s="601">
        <v>152</v>
      </c>
      <c r="E163" s="623" t="s">
        <v>263</v>
      </c>
      <c r="F163" s="623" t="s">
        <v>52</v>
      </c>
      <c r="G163" s="601" t="s">
        <v>567</v>
      </c>
      <c r="H163" s="623">
        <v>2014</v>
      </c>
      <c r="I163" s="624">
        <v>-13565.286</v>
      </c>
      <c r="J163" s="625">
        <v>23047.686000000002</v>
      </c>
      <c r="K163" s="626">
        <v>-4.0805267531621841</v>
      </c>
      <c r="L163" s="626">
        <v>478.10339329999999</v>
      </c>
      <c r="M163" s="625">
        <v>332439.58</v>
      </c>
      <c r="N163" s="627">
        <v>24111</v>
      </c>
      <c r="O163" s="627">
        <v>319025</v>
      </c>
      <c r="P163" s="628">
        <v>99.072702766240894</v>
      </c>
      <c r="Q163" s="625">
        <v>31606.669000000002</v>
      </c>
      <c r="R163" s="625">
        <v>31606.669000000002</v>
      </c>
      <c r="S163" s="625">
        <v>29183.664000000001</v>
      </c>
      <c r="T163" s="629">
        <v>92.333880549070187</v>
      </c>
      <c r="U163" s="625"/>
      <c r="V163" s="627">
        <v>27476</v>
      </c>
      <c r="W163" s="629">
        <v>1033.4989420891779</v>
      </c>
      <c r="X163" s="627">
        <v>2236</v>
      </c>
      <c r="Y163" s="627">
        <v>619</v>
      </c>
      <c r="Z163" s="629">
        <v>84.106261264791158</v>
      </c>
      <c r="AA163" s="629">
        <v>3.6122778675282716</v>
      </c>
      <c r="AB163" s="630">
        <v>31584.455999999998</v>
      </c>
      <c r="AC163" s="630">
        <v>0</v>
      </c>
      <c r="AD163" s="630">
        <v>0</v>
      </c>
      <c r="AE163" s="630">
        <v>0</v>
      </c>
      <c r="AF163" s="630">
        <v>0</v>
      </c>
      <c r="AG163" s="630" t="s">
        <v>434</v>
      </c>
      <c r="AH163" s="630">
        <v>31584.455999999998</v>
      </c>
      <c r="AI163" s="630">
        <v>20252.846000000001</v>
      </c>
      <c r="AJ163" s="630">
        <v>0</v>
      </c>
      <c r="AK163" s="630">
        <v>0</v>
      </c>
      <c r="AL163" s="630">
        <v>2186.2930000000001</v>
      </c>
      <c r="AM163" s="630">
        <v>6720.6549999999997</v>
      </c>
      <c r="AN163" s="630">
        <v>23.353000000000002</v>
      </c>
      <c r="AO163" s="630">
        <v>0.51600000000000001</v>
      </c>
      <c r="AP163" s="630">
        <v>29183.663</v>
      </c>
      <c r="AQ163" s="630">
        <v>0</v>
      </c>
      <c r="AR163" s="630">
        <v>29183.663</v>
      </c>
      <c r="AS163" s="630" t="s">
        <v>434</v>
      </c>
      <c r="AT163" s="630">
        <v>848.16200000000003</v>
      </c>
      <c r="AU163" s="630">
        <v>843.21500000000003</v>
      </c>
      <c r="AV163" s="630">
        <v>0</v>
      </c>
      <c r="AW163" s="630" t="s">
        <v>434</v>
      </c>
      <c r="AX163" s="630">
        <v>30875.040000000001</v>
      </c>
      <c r="AY163" s="630">
        <v>709.41600000000005</v>
      </c>
      <c r="AZ163" s="612" t="s">
        <v>430</v>
      </c>
      <c r="BA163" s="612" t="s">
        <v>431</v>
      </c>
      <c r="BB163" s="613" t="s">
        <v>553</v>
      </c>
      <c r="BC163" s="614">
        <v>6.932894693225157E-2</v>
      </c>
      <c r="BD163" s="614">
        <v>7.3322475770465217E-3</v>
      </c>
      <c r="BE163" s="613" t="s">
        <v>573</v>
      </c>
      <c r="BF163" s="613" t="s">
        <v>573</v>
      </c>
      <c r="BG163" s="643"/>
      <c r="BH163" s="655"/>
    </row>
    <row r="164" spans="1:60" customFormat="1">
      <c r="A164" s="601" t="s">
        <v>76</v>
      </c>
      <c r="B164" s="601" t="s">
        <v>423</v>
      </c>
      <c r="C164" s="601">
        <v>7</v>
      </c>
      <c r="D164" s="601">
        <v>157</v>
      </c>
      <c r="E164" s="623" t="s">
        <v>197</v>
      </c>
      <c r="F164" s="623" t="s">
        <v>76</v>
      </c>
      <c r="G164" s="601" t="s">
        <v>469</v>
      </c>
      <c r="H164" s="623">
        <v>2014</v>
      </c>
      <c r="I164" s="631">
        <v>-94.43</v>
      </c>
      <c r="J164" s="625">
        <v>7732.9679999999998</v>
      </c>
      <c r="K164" s="626">
        <v>-0.1438102531913297</v>
      </c>
      <c r="L164" s="626">
        <v>415.08835549999998</v>
      </c>
      <c r="M164" s="625">
        <v>65662.911999999997</v>
      </c>
      <c r="N164" s="627">
        <v>23905</v>
      </c>
      <c r="O164" s="627">
        <v>272101</v>
      </c>
      <c r="P164" s="628">
        <v>242.80908559689232</v>
      </c>
      <c r="Q164" s="625">
        <v>66068.595000000001</v>
      </c>
      <c r="R164" s="625">
        <v>66068.595000000001</v>
      </c>
      <c r="S164" s="625">
        <v>55847.65</v>
      </c>
      <c r="T164" s="629">
        <v>84.529798159019421</v>
      </c>
      <c r="U164" s="625"/>
      <c r="V164" s="632">
        <v>152305</v>
      </c>
      <c r="W164" s="633">
        <v>6716.8441130315578</v>
      </c>
      <c r="X164" s="632">
        <v>9118</v>
      </c>
      <c r="Y164" s="632">
        <v>2284</v>
      </c>
      <c r="Z164" s="633">
        <v>402.11539097614491</v>
      </c>
      <c r="AA164" s="633">
        <v>3.9921190893169878</v>
      </c>
      <c r="AB164" s="630">
        <v>65662.911999999997</v>
      </c>
      <c r="AC164" s="630">
        <v>0</v>
      </c>
      <c r="AD164" s="630">
        <v>0</v>
      </c>
      <c r="AE164" s="630">
        <v>0</v>
      </c>
      <c r="AF164" s="630">
        <v>0</v>
      </c>
      <c r="AG164" s="630" t="s">
        <v>434</v>
      </c>
      <c r="AH164" s="630">
        <v>65662.911999999997</v>
      </c>
      <c r="AI164" s="630">
        <v>36894.641000000003</v>
      </c>
      <c r="AJ164" s="630">
        <v>12996.348</v>
      </c>
      <c r="AK164" s="630">
        <v>0</v>
      </c>
      <c r="AL164" s="630">
        <v>2198.9450000000002</v>
      </c>
      <c r="AM164" s="630">
        <v>724.78</v>
      </c>
      <c r="AN164" s="630">
        <v>2712.884</v>
      </c>
      <c r="AO164" s="630">
        <v>320.05200000000002</v>
      </c>
      <c r="AP164" s="630">
        <v>55847.65</v>
      </c>
      <c r="AQ164" s="630">
        <v>584.46299999999997</v>
      </c>
      <c r="AR164" s="630">
        <v>55263.186999999998</v>
      </c>
      <c r="AS164" s="630" t="s">
        <v>434</v>
      </c>
      <c r="AT164" s="630">
        <v>2754.7139999999999</v>
      </c>
      <c r="AU164" s="630">
        <v>7732.9679999999998</v>
      </c>
      <c r="AV164" s="630">
        <v>0</v>
      </c>
      <c r="AW164" s="630" t="s">
        <v>434</v>
      </c>
      <c r="AX164" s="630">
        <v>65750.869000000006</v>
      </c>
      <c r="AY164" s="630">
        <v>-87.956999999999994</v>
      </c>
      <c r="AZ164" s="612" t="s">
        <v>430</v>
      </c>
      <c r="BA164" s="612" t="s">
        <v>431</v>
      </c>
      <c r="BB164" s="613" t="s">
        <v>553</v>
      </c>
      <c r="BC164" s="614">
        <v>0.11776766769040033</v>
      </c>
      <c r="BD164" s="614">
        <v>-1.438102531913297E-3</v>
      </c>
      <c r="BE164" s="613" t="s">
        <v>572</v>
      </c>
      <c r="BF164" s="613" t="s">
        <v>572</v>
      </c>
      <c r="BG164" s="643"/>
      <c r="BH164" s="655"/>
    </row>
    <row r="165" spans="1:60" customFormat="1">
      <c r="A165" s="612" t="s">
        <v>81</v>
      </c>
      <c r="B165" s="612" t="s">
        <v>259</v>
      </c>
      <c r="C165" s="612">
        <v>81</v>
      </c>
      <c r="D165" s="601">
        <v>162</v>
      </c>
      <c r="E165" s="623" t="s">
        <v>259</v>
      </c>
      <c r="F165" s="623" t="s">
        <v>81</v>
      </c>
      <c r="G165" s="601" t="s">
        <v>567</v>
      </c>
      <c r="H165" s="623">
        <v>2014</v>
      </c>
      <c r="I165" s="624">
        <v>-23723.924999999999</v>
      </c>
      <c r="J165" s="625">
        <v>136297.69</v>
      </c>
      <c r="K165" s="626">
        <v>-1.4320047576655397</v>
      </c>
      <c r="L165" s="626">
        <v>694.76038960000005</v>
      </c>
      <c r="M165" s="625">
        <v>1656693.169</v>
      </c>
      <c r="N165" s="627">
        <v>22840</v>
      </c>
      <c r="O165" s="627">
        <v>253922</v>
      </c>
      <c r="P165" s="628">
        <v>391.79182977449767</v>
      </c>
      <c r="Q165" s="625">
        <v>99484.565000000002</v>
      </c>
      <c r="R165" s="625">
        <v>99484.565000000002</v>
      </c>
      <c r="S165" s="625">
        <v>95304.933999999994</v>
      </c>
      <c r="T165" s="629">
        <v>95.798714102031795</v>
      </c>
      <c r="U165" s="625"/>
      <c r="V165" s="627">
        <v>170706</v>
      </c>
      <c r="W165" s="629">
        <v>8067.3277620686667</v>
      </c>
      <c r="X165" s="627">
        <v>16960</v>
      </c>
      <c r="Y165" s="627">
        <v>3525</v>
      </c>
      <c r="Z165" s="629">
        <v>801.50597427556488</v>
      </c>
      <c r="AA165" s="629">
        <v>4.8113475177304963</v>
      </c>
      <c r="AB165" s="630">
        <v>98679.631999999998</v>
      </c>
      <c r="AC165" s="630">
        <v>0</v>
      </c>
      <c r="AD165" s="630">
        <v>0</v>
      </c>
      <c r="AE165" s="630">
        <v>0</v>
      </c>
      <c r="AF165" s="630">
        <v>0</v>
      </c>
      <c r="AG165" s="630" t="s">
        <v>434</v>
      </c>
      <c r="AH165" s="630">
        <v>98679.631999999998</v>
      </c>
      <c r="AI165" s="630">
        <v>59319.279000000002</v>
      </c>
      <c r="AJ165" s="630">
        <v>5384.8580000000002</v>
      </c>
      <c r="AK165" s="630">
        <v>0</v>
      </c>
      <c r="AL165" s="630">
        <v>7149.01</v>
      </c>
      <c r="AM165" s="630">
        <v>20190.084999999999</v>
      </c>
      <c r="AN165" s="630">
        <v>1495.47</v>
      </c>
      <c r="AO165" s="630">
        <v>1766.231</v>
      </c>
      <c r="AP165" s="630">
        <v>95304.933000000005</v>
      </c>
      <c r="AQ165" s="630">
        <v>285.47800000000001</v>
      </c>
      <c r="AR165" s="630">
        <v>95019.455000000002</v>
      </c>
      <c r="AS165" s="630" t="s">
        <v>434</v>
      </c>
      <c r="AT165" s="630">
        <v>3715.7820000000002</v>
      </c>
      <c r="AU165" s="630">
        <v>11443.366</v>
      </c>
      <c r="AV165" s="630">
        <v>-375.1</v>
      </c>
      <c r="AW165" s="630" t="s">
        <v>434</v>
      </c>
      <c r="AX165" s="630">
        <v>109803.503</v>
      </c>
      <c r="AY165" s="630">
        <v>-11123.870999999999</v>
      </c>
      <c r="AZ165" s="612" t="s">
        <v>430</v>
      </c>
      <c r="BA165" s="612" t="s">
        <v>431</v>
      </c>
      <c r="BB165" s="613" t="s">
        <v>553</v>
      </c>
      <c r="BC165" s="614">
        <v>8.2270931365203206E-2</v>
      </c>
      <c r="BD165" s="614">
        <v>-4.0258072385521107E-2</v>
      </c>
      <c r="BE165" s="613" t="s">
        <v>571</v>
      </c>
      <c r="BF165" s="613" t="s">
        <v>571</v>
      </c>
      <c r="BG165" s="643"/>
      <c r="BH165" s="655"/>
    </row>
    <row r="166" spans="1:60" customFormat="1">
      <c r="A166" s="612" t="s">
        <v>58</v>
      </c>
      <c r="B166" s="612" t="s">
        <v>427</v>
      </c>
      <c r="C166" s="612">
        <v>51</v>
      </c>
      <c r="D166" s="601">
        <v>160</v>
      </c>
      <c r="E166" s="623" t="s">
        <v>237</v>
      </c>
      <c r="F166" s="623" t="s">
        <v>58</v>
      </c>
      <c r="G166" s="601" t="s">
        <v>567</v>
      </c>
      <c r="H166" s="623">
        <v>2014</v>
      </c>
      <c r="I166" s="624">
        <v>-2086.2570000000001</v>
      </c>
      <c r="J166" s="625">
        <v>78996.342000000004</v>
      </c>
      <c r="K166" s="626">
        <v>-0.1733536305926687</v>
      </c>
      <c r="L166" s="626">
        <v>407.45818789999998</v>
      </c>
      <c r="M166" s="625">
        <v>1203468.882</v>
      </c>
      <c r="N166" s="627">
        <v>20972</v>
      </c>
      <c r="O166" s="627">
        <v>258400</v>
      </c>
      <c r="P166" s="628">
        <v>245.55131578947368</v>
      </c>
      <c r="Q166" s="625">
        <v>63450.46</v>
      </c>
      <c r="R166" s="625">
        <v>63450.46</v>
      </c>
      <c r="S166" s="625">
        <v>81937.864000000001</v>
      </c>
      <c r="T166" s="629">
        <v>129.13675330328576</v>
      </c>
      <c r="U166" s="625"/>
      <c r="V166" s="627">
        <v>88641</v>
      </c>
      <c r="W166" s="629">
        <v>4116.4551083591332</v>
      </c>
      <c r="X166" s="627">
        <v>5811</v>
      </c>
      <c r="Y166" s="627">
        <v>1373</v>
      </c>
      <c r="Z166" s="629">
        <v>269.86068111455108</v>
      </c>
      <c r="AA166" s="629">
        <v>4.2323379461034234</v>
      </c>
      <c r="AB166" s="630">
        <v>63450.46</v>
      </c>
      <c r="AC166" s="630">
        <v>0</v>
      </c>
      <c r="AD166" s="630">
        <v>1739.1489999999999</v>
      </c>
      <c r="AE166" s="630">
        <v>0</v>
      </c>
      <c r="AF166" s="630">
        <v>3567.4740000000002</v>
      </c>
      <c r="AG166" s="630" t="s">
        <v>434</v>
      </c>
      <c r="AH166" s="630">
        <v>68757.082999999999</v>
      </c>
      <c r="AI166" s="630">
        <v>49378.080999999998</v>
      </c>
      <c r="AJ166" s="630">
        <v>663.45</v>
      </c>
      <c r="AK166" s="630">
        <v>3345.1480000000001</v>
      </c>
      <c r="AL166" s="630">
        <v>3338.7130000000002</v>
      </c>
      <c r="AM166" s="630">
        <v>9579.3379999999997</v>
      </c>
      <c r="AN166" s="630">
        <v>15633.134</v>
      </c>
      <c r="AO166" s="630">
        <v>0</v>
      </c>
      <c r="AP166" s="630">
        <v>81937.864000000001</v>
      </c>
      <c r="AQ166" s="630">
        <v>0</v>
      </c>
      <c r="AR166" s="630">
        <v>81937.864000000001</v>
      </c>
      <c r="AS166" s="630" t="s">
        <v>434</v>
      </c>
      <c r="AT166" s="630">
        <v>717.45699999999999</v>
      </c>
      <c r="AU166" s="630">
        <v>3035.6860000000001</v>
      </c>
      <c r="AV166" s="630">
        <v>0</v>
      </c>
      <c r="AW166" s="630" t="s">
        <v>434</v>
      </c>
      <c r="AX166" s="630">
        <v>85691.006999999998</v>
      </c>
      <c r="AY166" s="630">
        <v>-16933.923999999999</v>
      </c>
      <c r="AZ166" s="612" t="s">
        <v>435</v>
      </c>
      <c r="BA166" s="612" t="s">
        <v>431</v>
      </c>
      <c r="BB166" s="613" t="s">
        <v>553</v>
      </c>
      <c r="BC166" s="614">
        <v>6.5640535606304118E-2</v>
      </c>
      <c r="BD166" s="614">
        <v>-0.35700806863916168</v>
      </c>
      <c r="BE166" s="613" t="s">
        <v>580</v>
      </c>
      <c r="BF166" s="613" t="s">
        <v>580</v>
      </c>
      <c r="BG166" s="643"/>
      <c r="BH166" s="655"/>
    </row>
    <row r="167" spans="1:60" customFormat="1">
      <c r="A167" s="612" t="s">
        <v>95</v>
      </c>
      <c r="B167" s="612" t="s">
        <v>426</v>
      </c>
      <c r="C167" s="612">
        <v>9</v>
      </c>
      <c r="D167" s="601">
        <v>173</v>
      </c>
      <c r="E167" s="623" t="s">
        <v>235</v>
      </c>
      <c r="F167" s="623" t="s">
        <v>95</v>
      </c>
      <c r="G167" s="601" t="s">
        <v>567</v>
      </c>
      <c r="H167" s="623">
        <v>2014</v>
      </c>
      <c r="I167" s="624">
        <v>1796.0219999999999</v>
      </c>
      <c r="J167" s="625">
        <v>14716.377</v>
      </c>
      <c r="K167" s="626">
        <v>1.0235624378432795</v>
      </c>
      <c r="L167" s="626">
        <v>367.30820770000003</v>
      </c>
      <c r="M167" s="625">
        <v>175467.75200000001</v>
      </c>
      <c r="N167" s="627">
        <v>18270</v>
      </c>
      <c r="O167" s="627">
        <v>144257</v>
      </c>
      <c r="P167" s="628">
        <v>662.81171104348493</v>
      </c>
      <c r="Q167" s="625">
        <v>95615.229000000007</v>
      </c>
      <c r="R167" s="625">
        <v>95615.229000000007</v>
      </c>
      <c r="S167" s="625">
        <v>69535.813999999998</v>
      </c>
      <c r="T167" s="629">
        <v>72.724622141520982</v>
      </c>
      <c r="U167" s="625"/>
      <c r="V167" s="627">
        <v>148827</v>
      </c>
      <c r="W167" s="629">
        <v>12380.154862502339</v>
      </c>
      <c r="X167" s="627">
        <v>23836</v>
      </c>
      <c r="Y167" s="627">
        <v>3956</v>
      </c>
      <c r="Z167" s="629">
        <v>1982.7945957561851</v>
      </c>
      <c r="AA167" s="629">
        <v>6.025278058645096</v>
      </c>
      <c r="AB167" s="630">
        <v>95505.328999999998</v>
      </c>
      <c r="AC167" s="630">
        <v>0</v>
      </c>
      <c r="AD167" s="630">
        <v>0</v>
      </c>
      <c r="AE167" s="630">
        <v>0</v>
      </c>
      <c r="AF167" s="630">
        <v>0</v>
      </c>
      <c r="AG167" s="630" t="s">
        <v>434</v>
      </c>
      <c r="AH167" s="630">
        <v>95505.328999999998</v>
      </c>
      <c r="AI167" s="630">
        <v>62851.669000000002</v>
      </c>
      <c r="AJ167" s="630">
        <v>3183.4949999999999</v>
      </c>
      <c r="AK167" s="630">
        <v>0</v>
      </c>
      <c r="AL167" s="630">
        <v>0</v>
      </c>
      <c r="AM167" s="630">
        <v>3500.6509999999998</v>
      </c>
      <c r="AN167" s="630">
        <v>0</v>
      </c>
      <c r="AO167" s="630">
        <v>0</v>
      </c>
      <c r="AP167" s="630">
        <v>69535.815000000002</v>
      </c>
      <c r="AQ167" s="630">
        <v>98.090999999999994</v>
      </c>
      <c r="AR167" s="630">
        <v>69437.724000000002</v>
      </c>
      <c r="AS167" s="630" t="s">
        <v>434</v>
      </c>
      <c r="AT167" s="630">
        <v>6782.5190000000002</v>
      </c>
      <c r="AU167" s="630">
        <v>7767.2629999999999</v>
      </c>
      <c r="AV167" s="630">
        <v>0</v>
      </c>
      <c r="AW167" s="630" t="s">
        <v>434</v>
      </c>
      <c r="AX167" s="630">
        <v>83987.505999999994</v>
      </c>
      <c r="AY167" s="630">
        <v>11517.823</v>
      </c>
      <c r="AZ167" s="612" t="s">
        <v>435</v>
      </c>
      <c r="BA167" s="612" t="s">
        <v>433</v>
      </c>
      <c r="BB167" s="613" t="s">
        <v>553</v>
      </c>
      <c r="BC167" s="614">
        <v>8.3869410944525005E-2</v>
      </c>
      <c r="BD167" s="614">
        <v>0.18888436764026523</v>
      </c>
      <c r="BE167" s="613" t="s">
        <v>582</v>
      </c>
      <c r="BF167" s="613" t="s">
        <v>582</v>
      </c>
      <c r="BG167" s="643"/>
      <c r="BH167" s="655"/>
    </row>
    <row r="168" spans="1:60" customFormat="1">
      <c r="A168" s="612" t="s">
        <v>69</v>
      </c>
      <c r="B168" s="612" t="s">
        <v>322</v>
      </c>
      <c r="C168" s="612">
        <v>86</v>
      </c>
      <c r="D168" s="601">
        <v>163</v>
      </c>
      <c r="E168" s="623" t="s">
        <v>322</v>
      </c>
      <c r="F168" s="623" t="s">
        <v>69</v>
      </c>
      <c r="G168" s="601" t="s">
        <v>469</v>
      </c>
      <c r="H168" s="623">
        <v>2014</v>
      </c>
      <c r="I168" s="624">
        <v>853.30399999999997</v>
      </c>
      <c r="J168" s="625">
        <v>7118.8810000000003</v>
      </c>
      <c r="K168" s="626">
        <v>1.2640289445717388</v>
      </c>
      <c r="L168" s="626">
        <v>291.67679629999998</v>
      </c>
      <c r="M168" s="625">
        <v>67506.682000000001</v>
      </c>
      <c r="N168" s="627">
        <v>18178</v>
      </c>
      <c r="O168" s="627">
        <v>211343</v>
      </c>
      <c r="P168" s="628">
        <v>319.95292486621275</v>
      </c>
      <c r="Q168" s="625">
        <v>67619.811000000002</v>
      </c>
      <c r="R168" s="625">
        <v>67619.811000000002</v>
      </c>
      <c r="S168" s="625">
        <v>57402.868000000002</v>
      </c>
      <c r="T168" s="629">
        <v>84.89060698498551</v>
      </c>
      <c r="U168" s="625"/>
      <c r="V168" s="627">
        <v>98227</v>
      </c>
      <c r="W168" s="629">
        <v>5577.3032463814743</v>
      </c>
      <c r="X168" s="627">
        <v>9984</v>
      </c>
      <c r="Y168" s="627">
        <v>2446</v>
      </c>
      <c r="Z168" s="629">
        <v>566.88889624922524</v>
      </c>
      <c r="AA168" s="629">
        <v>4.081766148814391</v>
      </c>
      <c r="AB168" s="630">
        <v>65757.392000000007</v>
      </c>
      <c r="AC168" s="630">
        <v>0</v>
      </c>
      <c r="AD168" s="630">
        <v>0</v>
      </c>
      <c r="AE168" s="630">
        <v>0</v>
      </c>
      <c r="AF168" s="630">
        <v>0</v>
      </c>
      <c r="AG168" s="630" t="s">
        <v>434</v>
      </c>
      <c r="AH168" s="630">
        <v>65757.392000000007</v>
      </c>
      <c r="AI168" s="630">
        <v>37408.165999999997</v>
      </c>
      <c r="AJ168" s="630">
        <v>2936.3359999999998</v>
      </c>
      <c r="AK168" s="630">
        <v>0</v>
      </c>
      <c r="AL168" s="630">
        <v>6433.1030000000001</v>
      </c>
      <c r="AM168" s="630">
        <v>9686.8979999999992</v>
      </c>
      <c r="AN168" s="630">
        <v>0</v>
      </c>
      <c r="AO168" s="630">
        <v>788.24099999999999</v>
      </c>
      <c r="AP168" s="630">
        <v>57252.743999999999</v>
      </c>
      <c r="AQ168" s="630">
        <v>128.69300000000001</v>
      </c>
      <c r="AR168" s="630">
        <v>57124.052000000003</v>
      </c>
      <c r="AS168" s="630" t="s">
        <v>434</v>
      </c>
      <c r="AT168" s="630">
        <v>1979.9549999999999</v>
      </c>
      <c r="AU168" s="630">
        <v>7016.8580000000002</v>
      </c>
      <c r="AV168" s="630">
        <v>0</v>
      </c>
      <c r="AW168" s="630" t="s">
        <v>434</v>
      </c>
      <c r="AX168" s="630">
        <v>66120.865000000005</v>
      </c>
      <c r="AY168" s="630">
        <v>-363.47199999999998</v>
      </c>
      <c r="AZ168" s="612" t="s">
        <v>435</v>
      </c>
      <c r="BA168" s="612" t="s">
        <v>431</v>
      </c>
      <c r="BB168" s="613" t="s">
        <v>553</v>
      </c>
      <c r="BC168" s="614">
        <v>0.1054544644928631</v>
      </c>
      <c r="BD168" s="614">
        <v>1.2640289445717387E-2</v>
      </c>
      <c r="BE168" s="613" t="s">
        <v>573</v>
      </c>
      <c r="BF168" s="613" t="s">
        <v>573</v>
      </c>
      <c r="BG168" s="643"/>
      <c r="BH168" s="655"/>
    </row>
    <row r="169" spans="1:60" customFormat="1">
      <c r="A169" s="601" t="s">
        <v>82</v>
      </c>
      <c r="B169" s="601" t="s">
        <v>424</v>
      </c>
      <c r="C169" s="601">
        <v>5</v>
      </c>
      <c r="D169" s="601">
        <v>177</v>
      </c>
      <c r="E169" s="623" t="s">
        <v>179</v>
      </c>
      <c r="F169" s="623" t="s">
        <v>82</v>
      </c>
      <c r="G169" s="601" t="s">
        <v>469</v>
      </c>
      <c r="H169" s="623">
        <v>2014</v>
      </c>
      <c r="I169" s="624">
        <v>-19588.188999999998</v>
      </c>
      <c r="J169" s="625">
        <v>43204.667000000001</v>
      </c>
      <c r="K169" s="626">
        <v>-5.8413332654296326</v>
      </c>
      <c r="L169" s="626">
        <v>295.41147790000002</v>
      </c>
      <c r="M169" s="625">
        <v>335337.63799999998</v>
      </c>
      <c r="N169" s="627">
        <v>17996</v>
      </c>
      <c r="O169" s="627">
        <v>122580</v>
      </c>
      <c r="P169" s="628">
        <v>2536.2305025289606</v>
      </c>
      <c r="Q169" s="625">
        <v>310891.13500000001</v>
      </c>
      <c r="R169" s="625">
        <v>310891.13500000001</v>
      </c>
      <c r="S169" s="625">
        <v>282963.58</v>
      </c>
      <c r="T169" s="629">
        <v>91.016934271863363</v>
      </c>
      <c r="U169" s="625"/>
      <c r="V169" s="627">
        <v>47823</v>
      </c>
      <c r="W169" s="629">
        <v>4681.6446402349484</v>
      </c>
      <c r="X169" s="627">
        <v>20832</v>
      </c>
      <c r="Y169" s="627">
        <v>1641</v>
      </c>
      <c r="Z169" s="629">
        <v>2039.3538913362702</v>
      </c>
      <c r="AA169" s="629">
        <v>12.694698354661792</v>
      </c>
      <c r="AB169" s="630">
        <v>310741.11</v>
      </c>
      <c r="AC169" s="630">
        <v>0</v>
      </c>
      <c r="AD169" s="630">
        <v>0</v>
      </c>
      <c r="AE169" s="630">
        <v>0</v>
      </c>
      <c r="AF169" s="630">
        <v>0</v>
      </c>
      <c r="AG169" s="630" t="s">
        <v>434</v>
      </c>
      <c r="AH169" s="630">
        <v>310741.11</v>
      </c>
      <c r="AI169" s="630">
        <v>258934.22399999999</v>
      </c>
      <c r="AJ169" s="630">
        <v>1074.3979999999999</v>
      </c>
      <c r="AK169" s="630">
        <v>21463.351999999999</v>
      </c>
      <c r="AL169" s="630">
        <v>785.67100000000005</v>
      </c>
      <c r="AM169" s="630">
        <v>705.93499999999995</v>
      </c>
      <c r="AN169" s="630">
        <v>0</v>
      </c>
      <c r="AO169" s="630">
        <v>0</v>
      </c>
      <c r="AP169" s="630">
        <v>282963.58</v>
      </c>
      <c r="AQ169" s="630">
        <v>0</v>
      </c>
      <c r="AR169" s="630">
        <v>282963.58</v>
      </c>
      <c r="AS169" s="630" t="s">
        <v>434</v>
      </c>
      <c r="AT169" s="630">
        <v>11417.92</v>
      </c>
      <c r="AU169" s="630">
        <v>41956.25</v>
      </c>
      <c r="AV169" s="630">
        <v>0</v>
      </c>
      <c r="AW169" s="630" t="s">
        <v>434</v>
      </c>
      <c r="AX169" s="630">
        <v>336337.75</v>
      </c>
      <c r="AY169" s="630">
        <v>-25596.639999999999</v>
      </c>
      <c r="AZ169" s="612" t="s">
        <v>430</v>
      </c>
      <c r="BA169" s="612" t="s">
        <v>433</v>
      </c>
      <c r="BB169" s="613" t="s">
        <v>553</v>
      </c>
      <c r="BC169" s="614">
        <v>0.12883930136109567</v>
      </c>
      <c r="BD169" s="614">
        <v>-5.8413332654296324E-2</v>
      </c>
      <c r="BE169" s="613" t="s">
        <v>570</v>
      </c>
      <c r="BF169" s="613" t="s">
        <v>570</v>
      </c>
      <c r="BG169" s="643"/>
      <c r="BH169" s="655"/>
    </row>
    <row r="170" spans="1:60" customFormat="1">
      <c r="A170" s="612" t="s">
        <v>90</v>
      </c>
      <c r="B170" s="612" t="s">
        <v>169</v>
      </c>
      <c r="C170" s="612">
        <v>94</v>
      </c>
      <c r="D170" s="601">
        <v>167</v>
      </c>
      <c r="E170" s="623" t="s">
        <v>169</v>
      </c>
      <c r="F170" s="623" t="s">
        <v>90</v>
      </c>
      <c r="G170" s="601" t="s">
        <v>567</v>
      </c>
      <c r="H170" s="623">
        <v>2014</v>
      </c>
      <c r="I170" s="624">
        <v>-333.89400000000001</v>
      </c>
      <c r="J170" s="625">
        <v>3095.375</v>
      </c>
      <c r="K170" s="626">
        <v>-0.66810976166121616</v>
      </c>
      <c r="L170" s="626">
        <v>582.2529912</v>
      </c>
      <c r="M170" s="625">
        <v>49975.92</v>
      </c>
      <c r="N170" s="627">
        <v>17077</v>
      </c>
      <c r="O170" s="627">
        <v>168042</v>
      </c>
      <c r="P170" s="628">
        <v>202.91281346330084</v>
      </c>
      <c r="Q170" s="625">
        <v>34097.875</v>
      </c>
      <c r="R170" s="625">
        <v>34097.875</v>
      </c>
      <c r="S170" s="625">
        <v>27781.061000000002</v>
      </c>
      <c r="T170" s="629">
        <v>81.47446431779106</v>
      </c>
      <c r="U170" s="625"/>
      <c r="V170" s="627">
        <v>103732</v>
      </c>
      <c r="W170" s="629">
        <v>7407.5766772592569</v>
      </c>
      <c r="X170" s="627">
        <v>5590</v>
      </c>
      <c r="Y170" s="627">
        <v>1204</v>
      </c>
      <c r="Z170" s="629">
        <v>399.18591780626269</v>
      </c>
      <c r="AA170" s="629">
        <v>4.6428571428571432</v>
      </c>
      <c r="AB170" s="630">
        <v>33669.097999999998</v>
      </c>
      <c r="AC170" s="630">
        <v>-1100.0150000000001</v>
      </c>
      <c r="AD170" s="630">
        <v>0</v>
      </c>
      <c r="AE170" s="630">
        <v>0</v>
      </c>
      <c r="AF170" s="630">
        <v>74.510000000000005</v>
      </c>
      <c r="AG170" s="630" t="s">
        <v>434</v>
      </c>
      <c r="AH170" s="630">
        <v>32643.593000000001</v>
      </c>
      <c r="AI170" s="630">
        <v>14092.599</v>
      </c>
      <c r="AJ170" s="630">
        <v>7198.6530000000002</v>
      </c>
      <c r="AK170" s="630">
        <v>1509.5840000000001</v>
      </c>
      <c r="AL170" s="630">
        <v>545.745</v>
      </c>
      <c r="AM170" s="630">
        <v>4434.4799999999996</v>
      </c>
      <c r="AN170" s="630">
        <v>0</v>
      </c>
      <c r="AO170" s="630">
        <v>0</v>
      </c>
      <c r="AP170" s="630">
        <v>27781.061000000002</v>
      </c>
      <c r="AQ170" s="630">
        <v>170.84100000000001</v>
      </c>
      <c r="AR170" s="630">
        <v>27610.22</v>
      </c>
      <c r="AS170" s="630" t="s">
        <v>434</v>
      </c>
      <c r="AT170" s="630">
        <v>2678.2979999999998</v>
      </c>
      <c r="AU170" s="630">
        <v>1990.1590000000001</v>
      </c>
      <c r="AV170" s="630">
        <v>1806.175</v>
      </c>
      <c r="AW170" s="630" t="s">
        <v>434</v>
      </c>
      <c r="AX170" s="630">
        <v>34084.851999999999</v>
      </c>
      <c r="AY170" s="630">
        <v>-1441.259</v>
      </c>
      <c r="AZ170" s="612" t="s">
        <v>435</v>
      </c>
      <c r="BA170" s="612" t="s">
        <v>431</v>
      </c>
      <c r="BB170" s="613" t="s">
        <v>553</v>
      </c>
      <c r="BC170" s="614">
        <v>6.1937329017654905E-2</v>
      </c>
      <c r="BD170" s="614">
        <v>0.12331802780443447</v>
      </c>
      <c r="BE170" s="613" t="s">
        <v>581</v>
      </c>
      <c r="BF170" s="613" t="s">
        <v>581</v>
      </c>
      <c r="BG170" s="643"/>
      <c r="BH170" s="655"/>
    </row>
    <row r="171" spans="1:60" customFormat="1">
      <c r="A171" s="612" t="s">
        <v>88</v>
      </c>
      <c r="B171" s="612" t="s">
        <v>264</v>
      </c>
      <c r="C171" s="612">
        <v>73</v>
      </c>
      <c r="D171" s="601">
        <v>179</v>
      </c>
      <c r="E171" s="623" t="s">
        <v>264</v>
      </c>
      <c r="F171" s="623" t="s">
        <v>88</v>
      </c>
      <c r="G171" s="601" t="s">
        <v>567</v>
      </c>
      <c r="H171" s="623">
        <v>2014</v>
      </c>
      <c r="I171" s="624">
        <v>-1646.0619999999999</v>
      </c>
      <c r="J171" s="625">
        <v>9929.0550000000003</v>
      </c>
      <c r="K171" s="626">
        <v>-0.55678273530343603</v>
      </c>
      <c r="L171" s="626">
        <v>209.7269216</v>
      </c>
      <c r="M171" s="625">
        <v>295638.11800000002</v>
      </c>
      <c r="N171" s="627">
        <v>16580</v>
      </c>
      <c r="O171" s="627">
        <v>108785</v>
      </c>
      <c r="P171" s="628">
        <v>1097.396589603346</v>
      </c>
      <c r="Q171" s="625">
        <v>119380.288</v>
      </c>
      <c r="R171" s="625">
        <v>119380.288</v>
      </c>
      <c r="S171" s="625">
        <v>117690.924</v>
      </c>
      <c r="T171" s="629">
        <v>98.584888654314526</v>
      </c>
      <c r="U171" s="625"/>
      <c r="V171" s="627">
        <v>59391</v>
      </c>
      <c r="W171" s="629">
        <v>6551.3811646826307</v>
      </c>
      <c r="X171" s="627">
        <v>10822</v>
      </c>
      <c r="Y171" s="627">
        <v>2615</v>
      </c>
      <c r="Z171" s="629">
        <v>1193.7675230960151</v>
      </c>
      <c r="AA171" s="629">
        <v>4.1384321223709373</v>
      </c>
      <c r="AB171" s="630">
        <v>118987.709</v>
      </c>
      <c r="AC171" s="630">
        <v>0</v>
      </c>
      <c r="AD171" s="630">
        <v>0</v>
      </c>
      <c r="AE171" s="630">
        <v>0</v>
      </c>
      <c r="AF171" s="630">
        <v>0</v>
      </c>
      <c r="AG171" s="630" t="s">
        <v>434</v>
      </c>
      <c r="AH171" s="630">
        <v>118987.709</v>
      </c>
      <c r="AI171" s="630">
        <v>65124.680999999997</v>
      </c>
      <c r="AJ171" s="630">
        <v>25119.111000000001</v>
      </c>
      <c r="AK171" s="630">
        <v>3467.7869999999998</v>
      </c>
      <c r="AL171" s="630">
        <v>10128.564</v>
      </c>
      <c r="AM171" s="630">
        <v>13850.781000000001</v>
      </c>
      <c r="AN171" s="630">
        <v>0</v>
      </c>
      <c r="AO171" s="630">
        <v>0</v>
      </c>
      <c r="AP171" s="630">
        <v>117690.924</v>
      </c>
      <c r="AQ171" s="630">
        <v>112.524</v>
      </c>
      <c r="AR171" s="630">
        <v>117578.399</v>
      </c>
      <c r="AS171" s="630" t="s">
        <v>434</v>
      </c>
      <c r="AT171" s="630">
        <v>1001.244</v>
      </c>
      <c r="AU171" s="630">
        <v>629.66200000000003</v>
      </c>
      <c r="AV171" s="630">
        <v>0</v>
      </c>
      <c r="AW171" s="630" t="s">
        <v>434</v>
      </c>
      <c r="AX171" s="630">
        <v>119209.306</v>
      </c>
      <c r="AY171" s="630">
        <v>-221.59700000000001</v>
      </c>
      <c r="AZ171" s="612" t="s">
        <v>435</v>
      </c>
      <c r="BA171" s="601" t="s">
        <v>431</v>
      </c>
      <c r="BB171" s="613" t="s">
        <v>553</v>
      </c>
      <c r="BC171" s="614">
        <v>3.3585165090247261E-2</v>
      </c>
      <c r="BD171" s="614">
        <v>-1.9434051633392548E-2</v>
      </c>
      <c r="BE171" s="613" t="s">
        <v>572</v>
      </c>
      <c r="BF171" s="613" t="s">
        <v>572</v>
      </c>
      <c r="BG171" s="643"/>
      <c r="BH171" s="655"/>
    </row>
    <row r="172" spans="1:60" customFormat="1">
      <c r="A172" s="612" t="s">
        <v>85</v>
      </c>
      <c r="B172" s="612" t="s">
        <v>220</v>
      </c>
      <c r="C172" s="612">
        <v>97</v>
      </c>
      <c r="D172" s="601">
        <v>165</v>
      </c>
      <c r="E172" s="623" t="s">
        <v>220</v>
      </c>
      <c r="F172" s="623" t="s">
        <v>85</v>
      </c>
      <c r="G172" s="601" t="s">
        <v>567</v>
      </c>
      <c r="H172" s="623">
        <v>2014</v>
      </c>
      <c r="I172" s="624">
        <v>2311.7179999999998</v>
      </c>
      <c r="J172" s="625">
        <v>13748.933000000001</v>
      </c>
      <c r="K172" s="626">
        <v>0.78223862940054956</v>
      </c>
      <c r="L172" s="626">
        <v>339.57473420000002</v>
      </c>
      <c r="M172" s="625">
        <v>295525.93199999997</v>
      </c>
      <c r="N172" s="627">
        <v>16234</v>
      </c>
      <c r="O172" s="627">
        <v>194544</v>
      </c>
      <c r="P172" s="628">
        <v>127.73411156345094</v>
      </c>
      <c r="Q172" s="625">
        <v>24896.596000000001</v>
      </c>
      <c r="R172" s="625">
        <v>24849.904999999999</v>
      </c>
      <c r="S172" s="625">
        <v>22528.526999999998</v>
      </c>
      <c r="T172" s="629">
        <v>90.658402919447767</v>
      </c>
      <c r="U172" s="625"/>
      <c r="V172" s="627">
        <v>70853</v>
      </c>
      <c r="W172" s="629">
        <v>4370.404638539354</v>
      </c>
      <c r="X172" s="627">
        <v>4869</v>
      </c>
      <c r="Y172" s="627">
        <v>1490</v>
      </c>
      <c r="Z172" s="629">
        <v>300.33308660251663</v>
      </c>
      <c r="AA172" s="629">
        <v>3.2677852348993288</v>
      </c>
      <c r="AB172" s="630">
        <v>24849.904999999999</v>
      </c>
      <c r="AC172" s="630">
        <v>0</v>
      </c>
      <c r="AD172" s="630">
        <v>0</v>
      </c>
      <c r="AE172" s="630">
        <v>0</v>
      </c>
      <c r="AF172" s="630">
        <v>0</v>
      </c>
      <c r="AG172" s="630" t="s">
        <v>434</v>
      </c>
      <c r="AH172" s="630">
        <v>24849.904999999999</v>
      </c>
      <c r="AI172" s="630">
        <v>17354.275000000001</v>
      </c>
      <c r="AJ172" s="630">
        <v>0</v>
      </c>
      <c r="AK172" s="630">
        <v>1336.2940000000001</v>
      </c>
      <c r="AL172" s="630">
        <v>2260.8850000000002</v>
      </c>
      <c r="AM172" s="630">
        <v>0</v>
      </c>
      <c r="AN172" s="630">
        <v>1577.0719999999999</v>
      </c>
      <c r="AO172" s="630">
        <v>0</v>
      </c>
      <c r="AP172" s="630">
        <v>22528.526000000002</v>
      </c>
      <c r="AQ172" s="630">
        <v>0</v>
      </c>
      <c r="AR172" s="630">
        <v>22528.526000000002</v>
      </c>
      <c r="AS172" s="630" t="s">
        <v>434</v>
      </c>
      <c r="AT172" s="630">
        <v>851.375</v>
      </c>
      <c r="AU172" s="630">
        <v>1134.617</v>
      </c>
      <c r="AV172" s="630">
        <v>0</v>
      </c>
      <c r="AW172" s="630" t="s">
        <v>434</v>
      </c>
      <c r="AX172" s="630">
        <v>24514.518</v>
      </c>
      <c r="AY172" s="630">
        <v>335.387</v>
      </c>
      <c r="AZ172" s="612" t="s">
        <v>435</v>
      </c>
      <c r="BA172" s="612" t="s">
        <v>431</v>
      </c>
      <c r="BB172" s="613" t="s">
        <v>553</v>
      </c>
      <c r="BC172" s="614">
        <v>4.6523609305460213E-2</v>
      </c>
      <c r="BD172" s="614">
        <v>4.6892361500062117E-2</v>
      </c>
      <c r="BE172" s="613" t="s">
        <v>574</v>
      </c>
      <c r="BF172" s="613" t="s">
        <v>574</v>
      </c>
      <c r="BG172" s="643"/>
      <c r="BH172" s="655"/>
    </row>
    <row r="173" spans="1:60" customFormat="1">
      <c r="A173" s="612" t="s">
        <v>95</v>
      </c>
      <c r="B173" s="612" t="s">
        <v>175</v>
      </c>
      <c r="C173" s="612">
        <v>96</v>
      </c>
      <c r="D173" s="601">
        <v>170</v>
      </c>
      <c r="E173" s="623" t="s">
        <v>175</v>
      </c>
      <c r="F173" s="623" t="s">
        <v>95</v>
      </c>
      <c r="G173" s="601" t="s">
        <v>567</v>
      </c>
      <c r="H173" s="623">
        <v>2014</v>
      </c>
      <c r="I173" s="624">
        <v>4649.5069999999996</v>
      </c>
      <c r="J173" s="625">
        <v>57675.607000000004</v>
      </c>
      <c r="K173" s="626">
        <v>0.61576252482199956</v>
      </c>
      <c r="L173" s="626">
        <v>388.89115450000003</v>
      </c>
      <c r="M173" s="625">
        <v>755081.19</v>
      </c>
      <c r="N173" s="627">
        <v>15112</v>
      </c>
      <c r="O173" s="627">
        <v>166638</v>
      </c>
      <c r="P173" s="628">
        <v>151.76159699468309</v>
      </c>
      <c r="Q173" s="625">
        <v>25289.249</v>
      </c>
      <c r="R173" s="625">
        <v>25289.249</v>
      </c>
      <c r="S173" s="625">
        <v>20274.414000000001</v>
      </c>
      <c r="T173" s="629">
        <v>80.170091251029248</v>
      </c>
      <c r="U173" s="625"/>
      <c r="V173" s="627">
        <v>62719</v>
      </c>
      <c r="W173" s="629">
        <v>4516.5448457134626</v>
      </c>
      <c r="X173" s="627">
        <v>4338</v>
      </c>
      <c r="Y173" s="627">
        <v>1119</v>
      </c>
      <c r="Z173" s="629">
        <v>312.3897310337378</v>
      </c>
      <c r="AA173" s="629">
        <v>3.8766756032171581</v>
      </c>
      <c r="AB173" s="630">
        <v>25289.249</v>
      </c>
      <c r="AC173" s="630">
        <v>0</v>
      </c>
      <c r="AD173" s="630">
        <v>0</v>
      </c>
      <c r="AE173" s="630">
        <v>0</v>
      </c>
      <c r="AF173" s="630">
        <v>0</v>
      </c>
      <c r="AG173" s="630" t="s">
        <v>434</v>
      </c>
      <c r="AH173" s="630">
        <v>25289.249</v>
      </c>
      <c r="AI173" s="630">
        <v>17599.847000000002</v>
      </c>
      <c r="AJ173" s="630">
        <v>1559.0840000000001</v>
      </c>
      <c r="AK173" s="630">
        <v>0</v>
      </c>
      <c r="AL173" s="630">
        <v>1113.6310000000001</v>
      </c>
      <c r="AM173" s="630">
        <v>1.8520000000000001</v>
      </c>
      <c r="AN173" s="630">
        <v>0</v>
      </c>
      <c r="AO173" s="630">
        <v>0</v>
      </c>
      <c r="AP173" s="630">
        <v>20274.414000000001</v>
      </c>
      <c r="AQ173" s="630">
        <v>0</v>
      </c>
      <c r="AR173" s="630">
        <v>20274.414000000001</v>
      </c>
      <c r="AS173" s="630" t="s">
        <v>434</v>
      </c>
      <c r="AT173" s="630">
        <v>1719.77</v>
      </c>
      <c r="AU173" s="630">
        <v>1820.7249999999999</v>
      </c>
      <c r="AV173" s="630">
        <v>0</v>
      </c>
      <c r="AW173" s="630" t="s">
        <v>434</v>
      </c>
      <c r="AX173" s="630">
        <v>23814.909</v>
      </c>
      <c r="AY173" s="630">
        <v>1474.34</v>
      </c>
      <c r="AZ173" s="612" t="s">
        <v>435</v>
      </c>
      <c r="BA173" s="612" t="s">
        <v>433</v>
      </c>
      <c r="BB173" s="613" t="s">
        <v>553</v>
      </c>
      <c r="BC173" s="614">
        <v>7.6383318461422683E-2</v>
      </c>
      <c r="BD173" s="614">
        <v>0.1219157690282848</v>
      </c>
      <c r="BE173" s="613" t="s">
        <v>581</v>
      </c>
      <c r="BF173" s="613" t="s">
        <v>581</v>
      </c>
      <c r="BG173" s="643"/>
      <c r="BH173" s="655"/>
    </row>
    <row r="174" spans="1:60" customFormat="1">
      <c r="A174" s="612" t="s">
        <v>95</v>
      </c>
      <c r="B174" s="612" t="s">
        <v>409</v>
      </c>
      <c r="C174" s="612">
        <v>99</v>
      </c>
      <c r="D174" s="601">
        <v>169</v>
      </c>
      <c r="E174" s="623" t="s">
        <v>409</v>
      </c>
      <c r="F174" s="623" t="s">
        <v>95</v>
      </c>
      <c r="G174" s="601" t="s">
        <v>567</v>
      </c>
      <c r="H174" s="623">
        <v>2014</v>
      </c>
      <c r="I174" s="624">
        <v>-1927.04</v>
      </c>
      <c r="J174" s="625">
        <v>8199.7610000000004</v>
      </c>
      <c r="K174" s="626">
        <v>-1.9548040427227096</v>
      </c>
      <c r="L174" s="626">
        <v>376.95845379999997</v>
      </c>
      <c r="M174" s="625">
        <v>98579.702000000005</v>
      </c>
      <c r="N174" s="627">
        <v>14064</v>
      </c>
      <c r="O174" s="627">
        <v>166794</v>
      </c>
      <c r="P174" s="628">
        <v>130.17315371056512</v>
      </c>
      <c r="Q174" s="625">
        <v>22002.923999999999</v>
      </c>
      <c r="R174" s="625">
        <v>21712.100999999999</v>
      </c>
      <c r="S174" s="625">
        <v>20508.795999999998</v>
      </c>
      <c r="T174" s="629">
        <v>94.457906215524702</v>
      </c>
      <c r="U174" s="625"/>
      <c r="V174" s="627">
        <v>86369</v>
      </c>
      <c r="W174" s="629">
        <v>6213.8206410302528</v>
      </c>
      <c r="X174" s="627">
        <v>3384</v>
      </c>
      <c r="Y174" s="627">
        <v>823</v>
      </c>
      <c r="Z174" s="629">
        <v>243.46199503579265</v>
      </c>
      <c r="AA174" s="629">
        <v>4.1117861482381528</v>
      </c>
      <c r="AB174" s="630">
        <v>21962.392</v>
      </c>
      <c r="AC174" s="630">
        <v>0</v>
      </c>
      <c r="AD174" s="630">
        <v>0</v>
      </c>
      <c r="AE174" s="630">
        <v>0</v>
      </c>
      <c r="AF174" s="630">
        <v>0</v>
      </c>
      <c r="AG174" s="630" t="s">
        <v>434</v>
      </c>
      <c r="AH174" s="630">
        <v>21962.392</v>
      </c>
      <c r="AI174" s="630">
        <v>20508.795999999998</v>
      </c>
      <c r="AJ174" s="630">
        <v>0</v>
      </c>
      <c r="AK174" s="630">
        <v>0</v>
      </c>
      <c r="AL174" s="630">
        <v>0</v>
      </c>
      <c r="AM174" s="630">
        <v>0</v>
      </c>
      <c r="AN174" s="630">
        <v>0</v>
      </c>
      <c r="AO174" s="630">
        <v>0</v>
      </c>
      <c r="AP174" s="630">
        <v>20508.795999999998</v>
      </c>
      <c r="AQ174" s="630">
        <v>144</v>
      </c>
      <c r="AR174" s="630">
        <v>20364.795999999998</v>
      </c>
      <c r="AS174" s="630" t="s">
        <v>434</v>
      </c>
      <c r="AT174" s="630">
        <v>400.69400000000002</v>
      </c>
      <c r="AU174" s="630">
        <v>3176.8939999999998</v>
      </c>
      <c r="AV174" s="630">
        <v>0</v>
      </c>
      <c r="AW174" s="630" t="s">
        <v>434</v>
      </c>
      <c r="AX174" s="630">
        <v>23942.383999999998</v>
      </c>
      <c r="AY174" s="630">
        <v>-1979.992</v>
      </c>
      <c r="AZ174" s="612" t="s">
        <v>435</v>
      </c>
      <c r="BA174" s="612" t="s">
        <v>433</v>
      </c>
      <c r="BB174" s="613" t="s">
        <v>553</v>
      </c>
      <c r="BC174" s="614">
        <v>8.3178999668714768E-2</v>
      </c>
      <c r="BD174" s="614">
        <v>-2.7758061823961774E-2</v>
      </c>
      <c r="BE174" s="613" t="s">
        <v>571</v>
      </c>
      <c r="BF174" s="613" t="s">
        <v>571</v>
      </c>
      <c r="BG174" s="643"/>
      <c r="BH174" s="655"/>
    </row>
    <row r="175" spans="1:60" customFormat="1">
      <c r="A175" s="612" t="s">
        <v>89</v>
      </c>
      <c r="B175" s="612" t="s">
        <v>229</v>
      </c>
      <c r="C175" s="612">
        <v>47</v>
      </c>
      <c r="D175" s="601">
        <v>187</v>
      </c>
      <c r="E175" s="623" t="s">
        <v>229</v>
      </c>
      <c r="F175" s="623" t="s">
        <v>89</v>
      </c>
      <c r="G175" s="601" t="s">
        <v>567</v>
      </c>
      <c r="H175" s="623">
        <v>2014</v>
      </c>
      <c r="I175" s="624">
        <v>5050.3599999999997</v>
      </c>
      <c r="J175" s="625">
        <v>188142.91800000001</v>
      </c>
      <c r="K175" s="626">
        <v>0.36966791422426676</v>
      </c>
      <c r="L175" s="626">
        <v>259.2407963</v>
      </c>
      <c r="M175" s="625">
        <v>1366188.3559999999</v>
      </c>
      <c r="N175" s="627">
        <v>12925</v>
      </c>
      <c r="O175" s="627">
        <v>73596</v>
      </c>
      <c r="P175" s="628">
        <v>687.51770476656338</v>
      </c>
      <c r="Q175" s="625">
        <v>50598.553</v>
      </c>
      <c r="R175" s="625">
        <v>50598.553</v>
      </c>
      <c r="S175" s="625">
        <v>34386.663</v>
      </c>
      <c r="T175" s="629">
        <v>67.959775450495584</v>
      </c>
      <c r="U175" s="625"/>
      <c r="V175" s="627">
        <v>82103</v>
      </c>
      <c r="W175" s="629">
        <v>13387.086254687754</v>
      </c>
      <c r="X175" s="627">
        <v>6974</v>
      </c>
      <c r="Y175" s="627">
        <v>17759</v>
      </c>
      <c r="Z175" s="629">
        <v>1137.1270177727051</v>
      </c>
      <c r="AA175" s="629">
        <v>0.3927022917957092</v>
      </c>
      <c r="AB175" s="630">
        <v>50598.553</v>
      </c>
      <c r="AC175" s="630">
        <v>0</v>
      </c>
      <c r="AD175" s="630">
        <v>0</v>
      </c>
      <c r="AE175" s="630">
        <v>0</v>
      </c>
      <c r="AF175" s="630">
        <v>0</v>
      </c>
      <c r="AG175" s="630" t="s">
        <v>434</v>
      </c>
      <c r="AH175" s="630">
        <v>50598.553</v>
      </c>
      <c r="AI175" s="630">
        <v>28771.523000000001</v>
      </c>
      <c r="AJ175" s="630">
        <v>552.13699999999994</v>
      </c>
      <c r="AK175" s="630">
        <v>0</v>
      </c>
      <c r="AL175" s="630">
        <v>0</v>
      </c>
      <c r="AM175" s="630">
        <v>5063.0029999999997</v>
      </c>
      <c r="AN175" s="630">
        <v>0</v>
      </c>
      <c r="AO175" s="630">
        <v>0</v>
      </c>
      <c r="AP175" s="630">
        <v>34386.663</v>
      </c>
      <c r="AQ175" s="630">
        <v>0</v>
      </c>
      <c r="AR175" s="630">
        <v>34386.663</v>
      </c>
      <c r="AS175" s="630" t="s">
        <v>434</v>
      </c>
      <c r="AT175" s="630">
        <v>478.45400000000001</v>
      </c>
      <c r="AU175" s="630">
        <v>5533.3760000000002</v>
      </c>
      <c r="AV175" s="630">
        <v>0</v>
      </c>
      <c r="AW175" s="630" t="s">
        <v>434</v>
      </c>
      <c r="AX175" s="630">
        <v>40398.493000000002</v>
      </c>
      <c r="AY175" s="630">
        <v>10200.06</v>
      </c>
      <c r="AZ175" s="612" t="s">
        <v>430</v>
      </c>
      <c r="BA175" s="612" t="s">
        <v>433</v>
      </c>
      <c r="BB175" s="613" t="s">
        <v>553</v>
      </c>
      <c r="BC175" s="614">
        <v>0.13771374728361396</v>
      </c>
      <c r="BD175" s="614">
        <v>0.18268849821143018</v>
      </c>
      <c r="BE175" s="613" t="s">
        <v>582</v>
      </c>
      <c r="BF175" s="613" t="s">
        <v>582</v>
      </c>
      <c r="BG175" s="643"/>
      <c r="BH175" s="655"/>
    </row>
    <row r="176" spans="1:60" customFormat="1">
      <c r="A176" s="612" t="s">
        <v>90</v>
      </c>
      <c r="B176" s="612" t="s">
        <v>168</v>
      </c>
      <c r="C176" s="612" t="s">
        <v>20</v>
      </c>
      <c r="D176" s="601">
        <v>176</v>
      </c>
      <c r="E176" s="623" t="s">
        <v>168</v>
      </c>
      <c r="F176" s="623" t="s">
        <v>90</v>
      </c>
      <c r="G176" s="601" t="s">
        <v>567</v>
      </c>
      <c r="H176" s="623">
        <v>2014</v>
      </c>
      <c r="I176" s="624">
        <v>-17690.476999999999</v>
      </c>
      <c r="J176" s="625">
        <v>8031.3770000000004</v>
      </c>
      <c r="K176" s="626">
        <v>-36.087641686838175</v>
      </c>
      <c r="L176" s="626">
        <v>318.12072000000001</v>
      </c>
      <c r="M176" s="625">
        <v>49020.873</v>
      </c>
      <c r="N176" s="627">
        <v>12835</v>
      </c>
      <c r="O176" s="627">
        <v>129821</v>
      </c>
      <c r="P176" s="628">
        <v>71.743693239152378</v>
      </c>
      <c r="Q176" s="625">
        <v>34350.245000000003</v>
      </c>
      <c r="R176" s="625">
        <v>9313.8379999999997</v>
      </c>
      <c r="S176" s="625">
        <v>38748.911</v>
      </c>
      <c r="T176" s="629">
        <v>416.03591344406033</v>
      </c>
      <c r="U176" s="625"/>
      <c r="V176" s="627">
        <v>70589</v>
      </c>
      <c r="W176" s="629">
        <v>6524.8919666309766</v>
      </c>
      <c r="X176" s="627">
        <v>4639</v>
      </c>
      <c r="Y176" s="627">
        <v>1027</v>
      </c>
      <c r="Z176" s="629">
        <v>428.80581724066212</v>
      </c>
      <c r="AA176" s="629">
        <v>4.5170399221032129</v>
      </c>
      <c r="AB176" s="630">
        <v>33803.303</v>
      </c>
      <c r="AC176" s="630">
        <v>0</v>
      </c>
      <c r="AD176" s="630">
        <v>0</v>
      </c>
      <c r="AE176" s="630">
        <v>0</v>
      </c>
      <c r="AF176" s="630">
        <v>0</v>
      </c>
      <c r="AG176" s="630" t="s">
        <v>434</v>
      </c>
      <c r="AH176" s="630">
        <v>33803.303</v>
      </c>
      <c r="AI176" s="630">
        <v>26810.277999999998</v>
      </c>
      <c r="AJ176" s="630">
        <v>2554.1790000000001</v>
      </c>
      <c r="AK176" s="630">
        <v>0</v>
      </c>
      <c r="AL176" s="630">
        <v>6117.0259999999998</v>
      </c>
      <c r="AM176" s="630">
        <v>3267.4290000000001</v>
      </c>
      <c r="AN176" s="630">
        <v>0</v>
      </c>
      <c r="AO176" s="630">
        <v>0</v>
      </c>
      <c r="AP176" s="630">
        <v>38748.911999999997</v>
      </c>
      <c r="AQ176" s="630">
        <v>960.54899999999998</v>
      </c>
      <c r="AR176" s="630">
        <v>37788.362999999998</v>
      </c>
      <c r="AS176" s="630" t="s">
        <v>434</v>
      </c>
      <c r="AT176" s="630">
        <v>2068.9299999999998</v>
      </c>
      <c r="AU176" s="630">
        <v>4683.4589999999998</v>
      </c>
      <c r="AV176" s="630">
        <v>3726.317</v>
      </c>
      <c r="AW176" s="630" t="s">
        <v>434</v>
      </c>
      <c r="AX176" s="630">
        <v>48267.069000000003</v>
      </c>
      <c r="AY176" s="630">
        <v>-14463.766</v>
      </c>
      <c r="AZ176" s="612" t="s">
        <v>430</v>
      </c>
      <c r="BA176" s="612" t="s">
        <v>431</v>
      </c>
      <c r="BB176" s="613" t="s">
        <v>553</v>
      </c>
      <c r="BC176" s="614">
        <v>0.16383586232746203</v>
      </c>
      <c r="BD176" s="614">
        <v>-3.3241949967680653</v>
      </c>
      <c r="BE176" s="613" t="s">
        <v>580</v>
      </c>
      <c r="BF176" s="613" t="s">
        <v>614</v>
      </c>
      <c r="BG176" s="643"/>
      <c r="BH176" s="655"/>
    </row>
    <row r="177" spans="1:60" customFormat="1">
      <c r="A177" s="612" t="s">
        <v>81</v>
      </c>
      <c r="B177" s="612" t="s">
        <v>151</v>
      </c>
      <c r="C177" s="612">
        <v>38</v>
      </c>
      <c r="D177" s="601">
        <v>174</v>
      </c>
      <c r="E177" s="623" t="s">
        <v>151</v>
      </c>
      <c r="F177" s="623" t="s">
        <v>81</v>
      </c>
      <c r="G177" s="601" t="s">
        <v>567</v>
      </c>
      <c r="H177" s="623">
        <v>2014</v>
      </c>
      <c r="I177" s="624">
        <v>4369.3919999999998</v>
      </c>
      <c r="J177" s="625">
        <v>79978.035000000003</v>
      </c>
      <c r="K177" s="626">
        <v>0.56154274403362314</v>
      </c>
      <c r="L177" s="626">
        <v>301.79787490000001</v>
      </c>
      <c r="M177" s="625">
        <v>778104.97</v>
      </c>
      <c r="N177" s="627">
        <v>12037</v>
      </c>
      <c r="O177" s="627">
        <v>140918</v>
      </c>
      <c r="P177" s="628">
        <v>4205.54426687861</v>
      </c>
      <c r="Q177" s="625">
        <v>592636.88699999999</v>
      </c>
      <c r="R177" s="625">
        <v>592636.88699999999</v>
      </c>
      <c r="S177" s="625">
        <v>464980.38</v>
      </c>
      <c r="T177" s="629">
        <v>78.459574521894382</v>
      </c>
      <c r="U177" s="625"/>
      <c r="V177" s="627">
        <v>28581</v>
      </c>
      <c r="W177" s="629">
        <v>2433.8409571523866</v>
      </c>
      <c r="X177" s="627">
        <v>0</v>
      </c>
      <c r="Y177" s="627">
        <v>0</v>
      </c>
      <c r="Z177" s="629">
        <v>0</v>
      </c>
      <c r="AA177" s="629" t="s">
        <v>434</v>
      </c>
      <c r="AB177" s="630">
        <v>592636.88699999999</v>
      </c>
      <c r="AC177" s="630">
        <v>0</v>
      </c>
      <c r="AD177" s="630">
        <v>0</v>
      </c>
      <c r="AE177" s="630">
        <v>0</v>
      </c>
      <c r="AF177" s="630">
        <v>3252.6819999999998</v>
      </c>
      <c r="AG177" s="630" t="s">
        <v>434</v>
      </c>
      <c r="AH177" s="630">
        <v>595889.56900000002</v>
      </c>
      <c r="AI177" s="630">
        <v>51366.144</v>
      </c>
      <c r="AJ177" s="630">
        <v>413614.23599999998</v>
      </c>
      <c r="AK177" s="630">
        <v>0</v>
      </c>
      <c r="AL177" s="630">
        <v>0</v>
      </c>
      <c r="AM177" s="630">
        <v>0</v>
      </c>
      <c r="AN177" s="630">
        <v>0</v>
      </c>
      <c r="AO177" s="630">
        <v>0</v>
      </c>
      <c r="AP177" s="630">
        <v>464980.38</v>
      </c>
      <c r="AQ177" s="630">
        <v>0</v>
      </c>
      <c r="AR177" s="630">
        <v>464980.38</v>
      </c>
      <c r="AS177" s="630" t="s">
        <v>434</v>
      </c>
      <c r="AT177" s="630">
        <v>40611.707000000002</v>
      </c>
      <c r="AU177" s="630">
        <v>58953.642</v>
      </c>
      <c r="AV177" s="630">
        <v>0</v>
      </c>
      <c r="AW177" s="630" t="s">
        <v>434</v>
      </c>
      <c r="AX177" s="630">
        <v>564545.72900000005</v>
      </c>
      <c r="AY177" s="630">
        <v>31343.84</v>
      </c>
      <c r="AZ177" s="612" t="s">
        <v>435</v>
      </c>
      <c r="BA177" s="612" t="s">
        <v>431</v>
      </c>
      <c r="BB177" s="613" t="s">
        <v>553</v>
      </c>
      <c r="BC177" s="614">
        <v>0.10278566271077796</v>
      </c>
      <c r="BD177" s="614">
        <v>0.11261859207027822</v>
      </c>
      <c r="BE177" s="613" t="s">
        <v>581</v>
      </c>
      <c r="BF177" s="613" t="s">
        <v>581</v>
      </c>
      <c r="BG177" s="643"/>
      <c r="BH177" s="655"/>
    </row>
    <row r="178" spans="1:60" customFormat="1">
      <c r="A178" s="612" t="s">
        <v>61</v>
      </c>
      <c r="B178" s="612" t="s">
        <v>400</v>
      </c>
      <c r="C178" s="612">
        <v>67</v>
      </c>
      <c r="D178" s="601">
        <v>184</v>
      </c>
      <c r="E178" s="623" t="s">
        <v>400</v>
      </c>
      <c r="F178" s="623" t="s">
        <v>61</v>
      </c>
      <c r="G178" s="601" t="s">
        <v>567</v>
      </c>
      <c r="H178" s="623">
        <v>2014</v>
      </c>
      <c r="I178" s="624">
        <v>-14008.945</v>
      </c>
      <c r="J178" s="625">
        <v>111504.51700000001</v>
      </c>
      <c r="K178" s="626">
        <v>-1.1345721321732045</v>
      </c>
      <c r="L178" s="626">
        <v>484.12734390000003</v>
      </c>
      <c r="M178" s="625">
        <v>1234733.747</v>
      </c>
      <c r="N178" s="627">
        <v>11796</v>
      </c>
      <c r="O178" s="627">
        <v>93593</v>
      </c>
      <c r="P178" s="628">
        <v>1302.649215219087</v>
      </c>
      <c r="Q178" s="625">
        <v>121918.848</v>
      </c>
      <c r="R178" s="625">
        <v>121918.848</v>
      </c>
      <c r="S178" s="625">
        <v>116512.98</v>
      </c>
      <c r="T178" s="629">
        <v>95.566011253649648</v>
      </c>
      <c r="U178" s="625"/>
      <c r="V178" s="627">
        <v>51147</v>
      </c>
      <c r="W178" s="629">
        <v>6557.7981259282215</v>
      </c>
      <c r="X178" s="627">
        <v>27407</v>
      </c>
      <c r="Y178" s="627">
        <v>2667</v>
      </c>
      <c r="Z178" s="629">
        <v>3513.9807464233436</v>
      </c>
      <c r="AA178" s="629">
        <v>10.276340457442819</v>
      </c>
      <c r="AB178" s="630">
        <v>118318.429</v>
      </c>
      <c r="AC178" s="630">
        <v>0</v>
      </c>
      <c r="AD178" s="630">
        <v>0</v>
      </c>
      <c r="AE178" s="630">
        <v>0</v>
      </c>
      <c r="AF178" s="630">
        <v>2280.616</v>
      </c>
      <c r="AG178" s="630" t="s">
        <v>434</v>
      </c>
      <c r="AH178" s="630">
        <v>120599.045</v>
      </c>
      <c r="AI178" s="630">
        <v>61828.355000000003</v>
      </c>
      <c r="AJ178" s="630">
        <v>11938.071</v>
      </c>
      <c r="AK178" s="630">
        <v>6940.2179999999998</v>
      </c>
      <c r="AL178" s="630">
        <v>4140.7860000000001</v>
      </c>
      <c r="AM178" s="630">
        <v>31665.55</v>
      </c>
      <c r="AN178" s="630">
        <v>0</v>
      </c>
      <c r="AO178" s="630">
        <v>0</v>
      </c>
      <c r="AP178" s="630">
        <v>116512.98</v>
      </c>
      <c r="AQ178" s="630">
        <v>5575.3360000000002</v>
      </c>
      <c r="AR178" s="630">
        <v>110937.644</v>
      </c>
      <c r="AS178" s="630" t="s">
        <v>434</v>
      </c>
      <c r="AT178" s="630">
        <v>3222.2959999999998</v>
      </c>
      <c r="AU178" s="630">
        <v>10681.053</v>
      </c>
      <c r="AV178" s="630">
        <v>0</v>
      </c>
      <c r="AW178" s="630" t="s">
        <v>434</v>
      </c>
      <c r="AX178" s="630">
        <v>124840.993</v>
      </c>
      <c r="AY178" s="630">
        <v>-4241.9480000000003</v>
      </c>
      <c r="AZ178" s="612" t="s">
        <v>435</v>
      </c>
      <c r="BA178" s="612" t="s">
        <v>433</v>
      </c>
      <c r="BB178" s="613" t="s">
        <v>553</v>
      </c>
      <c r="BC178" s="614">
        <v>9.0306527436315398E-2</v>
      </c>
      <c r="BD178" s="614">
        <v>-4.5966639972811918E-2</v>
      </c>
      <c r="BE178" s="613" t="s">
        <v>571</v>
      </c>
      <c r="BF178" s="613" t="s">
        <v>571</v>
      </c>
      <c r="BG178" s="643"/>
      <c r="BH178" s="655"/>
    </row>
    <row r="179" spans="1:60" customFormat="1">
      <c r="A179" s="612" t="s">
        <v>70</v>
      </c>
      <c r="B179" s="612" t="s">
        <v>161</v>
      </c>
      <c r="C179" s="612">
        <v>83</v>
      </c>
      <c r="D179" s="601">
        <v>180</v>
      </c>
      <c r="E179" s="623" t="s">
        <v>161</v>
      </c>
      <c r="F179" s="623" t="s">
        <v>70</v>
      </c>
      <c r="G179" s="601" t="s">
        <v>567</v>
      </c>
      <c r="H179" s="623">
        <v>2014</v>
      </c>
      <c r="I179" s="624">
        <v>-289.97699999999998</v>
      </c>
      <c r="J179" s="625">
        <v>18905.464</v>
      </c>
      <c r="K179" s="626">
        <v>-0.18327220183389001</v>
      </c>
      <c r="L179" s="626">
        <v>500.25337139999999</v>
      </c>
      <c r="M179" s="625">
        <v>158222.03099999999</v>
      </c>
      <c r="N179" s="627">
        <v>9994</v>
      </c>
      <c r="O179" s="627">
        <v>107345</v>
      </c>
      <c r="P179" s="628">
        <v>819.57220177930969</v>
      </c>
      <c r="Q179" s="625">
        <v>92681.112999999998</v>
      </c>
      <c r="R179" s="625">
        <v>87976.978000000003</v>
      </c>
      <c r="S179" s="625">
        <v>74861.445999999996</v>
      </c>
      <c r="T179" s="629">
        <v>85.092086250109659</v>
      </c>
      <c r="U179" s="625"/>
      <c r="V179" s="627">
        <v>54615</v>
      </c>
      <c r="W179" s="629">
        <v>6105.3612185010943</v>
      </c>
      <c r="X179" s="627">
        <v>9571</v>
      </c>
      <c r="Y179" s="627">
        <v>1701</v>
      </c>
      <c r="Z179" s="629">
        <v>1069.9333923331315</v>
      </c>
      <c r="AA179" s="629">
        <v>5.6266901822457376</v>
      </c>
      <c r="AB179" s="630">
        <v>87785.692999999999</v>
      </c>
      <c r="AC179" s="630">
        <v>0</v>
      </c>
      <c r="AD179" s="630">
        <v>0</v>
      </c>
      <c r="AE179" s="630">
        <v>0</v>
      </c>
      <c r="AF179" s="630">
        <v>0</v>
      </c>
      <c r="AG179" s="630" t="s">
        <v>434</v>
      </c>
      <c r="AH179" s="630">
        <v>87785.692999999999</v>
      </c>
      <c r="AI179" s="630">
        <v>46778.438000000002</v>
      </c>
      <c r="AJ179" s="630">
        <v>468.72300000000001</v>
      </c>
      <c r="AK179" s="630">
        <v>0</v>
      </c>
      <c r="AL179" s="630">
        <v>4516.665</v>
      </c>
      <c r="AM179" s="630">
        <v>7935.4669999999996</v>
      </c>
      <c r="AN179" s="630">
        <v>9253.5380000000005</v>
      </c>
      <c r="AO179" s="630">
        <v>5908.6149999999998</v>
      </c>
      <c r="AP179" s="630">
        <v>74861.445999999996</v>
      </c>
      <c r="AQ179" s="630">
        <v>85.236999999999995</v>
      </c>
      <c r="AR179" s="630">
        <v>74776.209000000003</v>
      </c>
      <c r="AS179" s="630" t="s">
        <v>434</v>
      </c>
      <c r="AT179" s="630">
        <v>680.46699999999998</v>
      </c>
      <c r="AU179" s="630">
        <v>12605.521000000001</v>
      </c>
      <c r="AV179" s="630">
        <v>0</v>
      </c>
      <c r="AW179" s="630" t="s">
        <v>434</v>
      </c>
      <c r="AX179" s="630">
        <v>88062.197</v>
      </c>
      <c r="AY179" s="630">
        <v>-276.50400000000002</v>
      </c>
      <c r="AZ179" s="612" t="s">
        <v>430</v>
      </c>
      <c r="BA179" s="612" t="s">
        <v>431</v>
      </c>
      <c r="BB179" s="613" t="s">
        <v>553</v>
      </c>
      <c r="BC179" s="614">
        <v>0.11948692530688095</v>
      </c>
      <c r="BD179" s="614">
        <v>2.9592212192022502E-2</v>
      </c>
      <c r="BE179" s="613" t="s">
        <v>574</v>
      </c>
      <c r="BF179" s="613" t="s">
        <v>574</v>
      </c>
      <c r="BG179" s="643"/>
      <c r="BH179" s="655"/>
    </row>
    <row r="180" spans="1:60" customFormat="1">
      <c r="A180" s="612" t="s">
        <v>95</v>
      </c>
      <c r="B180" s="612" t="s">
        <v>165</v>
      </c>
      <c r="C180" s="612" t="s">
        <v>20</v>
      </c>
      <c r="D180" s="601">
        <v>182</v>
      </c>
      <c r="E180" s="623" t="s">
        <v>165</v>
      </c>
      <c r="F180" s="623" t="s">
        <v>95</v>
      </c>
      <c r="G180" s="601" t="s">
        <v>567</v>
      </c>
      <c r="H180" s="623">
        <v>2014</v>
      </c>
      <c r="I180" s="624">
        <v>2781.9079999999999</v>
      </c>
      <c r="J180" s="625">
        <v>25341.917000000001</v>
      </c>
      <c r="K180" s="626">
        <v>1.1976041768959127</v>
      </c>
      <c r="L180" s="626">
        <v>560.31356129999995</v>
      </c>
      <c r="M180" s="625">
        <v>232289.43700000001</v>
      </c>
      <c r="N180" s="627">
        <v>8994</v>
      </c>
      <c r="O180" s="627">
        <v>96747</v>
      </c>
      <c r="P180" s="628">
        <v>131.15094008082937</v>
      </c>
      <c r="Q180" s="625">
        <v>12688.46</v>
      </c>
      <c r="R180" s="625">
        <v>12688.46</v>
      </c>
      <c r="S180" s="625">
        <v>9976.5820000000003</v>
      </c>
      <c r="T180" s="629">
        <v>78.627209290962028</v>
      </c>
      <c r="U180" s="625"/>
      <c r="V180" s="627">
        <v>56100</v>
      </c>
      <c r="W180" s="629">
        <v>6958.3552978386924</v>
      </c>
      <c r="X180" s="627">
        <v>2447</v>
      </c>
      <c r="Y180" s="627">
        <v>814</v>
      </c>
      <c r="Z180" s="629">
        <v>303.51328723371267</v>
      </c>
      <c r="AA180" s="629">
        <v>3.0061425061425062</v>
      </c>
      <c r="AB180" s="630">
        <v>12688.46</v>
      </c>
      <c r="AC180" s="630">
        <v>0</v>
      </c>
      <c r="AD180" s="630">
        <v>0</v>
      </c>
      <c r="AE180" s="630">
        <v>0</v>
      </c>
      <c r="AF180" s="630">
        <v>0</v>
      </c>
      <c r="AG180" s="630" t="s">
        <v>434</v>
      </c>
      <c r="AH180" s="630">
        <v>12688.46</v>
      </c>
      <c r="AI180" s="630">
        <v>9440.84</v>
      </c>
      <c r="AJ180" s="630">
        <v>206.51499999999999</v>
      </c>
      <c r="AK180" s="630">
        <v>0</v>
      </c>
      <c r="AL180" s="630">
        <v>329.22699999999998</v>
      </c>
      <c r="AM180" s="630">
        <v>0</v>
      </c>
      <c r="AN180" s="630">
        <v>0</v>
      </c>
      <c r="AO180" s="630">
        <v>0</v>
      </c>
      <c r="AP180" s="630">
        <v>9976.5820000000003</v>
      </c>
      <c r="AQ180" s="630">
        <v>124.578</v>
      </c>
      <c r="AR180" s="630">
        <v>9852.0040000000008</v>
      </c>
      <c r="AS180" s="630" t="s">
        <v>434</v>
      </c>
      <c r="AT180" s="630">
        <v>364.44</v>
      </c>
      <c r="AU180" s="630">
        <v>1387.6079999999999</v>
      </c>
      <c r="AV180" s="630">
        <v>2420</v>
      </c>
      <c r="AW180" s="630" t="s">
        <v>434</v>
      </c>
      <c r="AX180" s="630">
        <v>14024.050999999999</v>
      </c>
      <c r="AY180" s="630">
        <v>-1335.5909999999999</v>
      </c>
      <c r="AZ180" s="612" t="s">
        <v>435</v>
      </c>
      <c r="BA180" s="612" t="s">
        <v>433</v>
      </c>
      <c r="BB180" s="613" t="s">
        <v>553</v>
      </c>
      <c r="BC180" s="614">
        <v>0.10909629523963245</v>
      </c>
      <c r="BD180" s="614">
        <v>0.10463161185074725</v>
      </c>
      <c r="BE180" s="613" t="s">
        <v>581</v>
      </c>
      <c r="BF180" s="613" t="s">
        <v>581</v>
      </c>
      <c r="BG180" s="643"/>
      <c r="BH180" s="655"/>
    </row>
    <row r="181" spans="1:60" customFormat="1">
      <c r="A181" s="612" t="s">
        <v>95</v>
      </c>
      <c r="B181" s="612" t="s">
        <v>157</v>
      </c>
      <c r="C181" s="612" t="s">
        <v>20</v>
      </c>
      <c r="D181" s="601">
        <v>181</v>
      </c>
      <c r="E181" s="623" t="s">
        <v>157</v>
      </c>
      <c r="F181" s="623" t="s">
        <v>95</v>
      </c>
      <c r="G181" s="601" t="s">
        <v>567</v>
      </c>
      <c r="H181" s="623">
        <v>2014</v>
      </c>
      <c r="I181" s="624">
        <v>384.97199999999998</v>
      </c>
      <c r="J181" s="625">
        <v>10298.346</v>
      </c>
      <c r="K181" s="626">
        <v>0.22869800697646192</v>
      </c>
      <c r="L181" s="626">
        <v>335.3531696</v>
      </c>
      <c r="M181" s="625">
        <v>168332.03099999999</v>
      </c>
      <c r="N181" s="627">
        <v>8648</v>
      </c>
      <c r="O181" s="627">
        <v>103515</v>
      </c>
      <c r="P181" s="628">
        <v>143.52510264212916</v>
      </c>
      <c r="Q181" s="625">
        <v>14857.001</v>
      </c>
      <c r="R181" s="625">
        <v>14857.001</v>
      </c>
      <c r="S181" s="625">
        <v>12755.781000000001</v>
      </c>
      <c r="T181" s="629">
        <v>85.857038038834361</v>
      </c>
      <c r="U181" s="625"/>
      <c r="V181" s="627">
        <v>55952</v>
      </c>
      <c r="W181" s="629">
        <v>6486.2483698014785</v>
      </c>
      <c r="X181" s="627">
        <v>2537</v>
      </c>
      <c r="Y181" s="627">
        <v>650</v>
      </c>
      <c r="Z181" s="629">
        <v>294.10230401391101</v>
      </c>
      <c r="AA181" s="629">
        <v>3.9030769230769229</v>
      </c>
      <c r="AB181" s="630">
        <v>14857.001</v>
      </c>
      <c r="AC181" s="630">
        <v>0</v>
      </c>
      <c r="AD181" s="630">
        <v>0</v>
      </c>
      <c r="AE181" s="630">
        <v>0</v>
      </c>
      <c r="AF181" s="630">
        <v>0</v>
      </c>
      <c r="AG181" s="630" t="s">
        <v>434</v>
      </c>
      <c r="AH181" s="630">
        <v>14857.001</v>
      </c>
      <c r="AI181" s="630">
        <v>7922.3710000000001</v>
      </c>
      <c r="AJ181" s="630">
        <v>246.05099999999999</v>
      </c>
      <c r="AK181" s="630">
        <v>3831.2539999999999</v>
      </c>
      <c r="AL181" s="630">
        <v>756.10599999999999</v>
      </c>
      <c r="AM181" s="630">
        <v>0</v>
      </c>
      <c r="AN181" s="630">
        <v>0</v>
      </c>
      <c r="AO181" s="630">
        <v>0</v>
      </c>
      <c r="AP181" s="630">
        <v>12755.781999999999</v>
      </c>
      <c r="AQ181" s="630">
        <v>0</v>
      </c>
      <c r="AR181" s="630">
        <v>12755.781999999999</v>
      </c>
      <c r="AS181" s="630" t="s">
        <v>434</v>
      </c>
      <c r="AT181" s="630">
        <v>979.59900000000005</v>
      </c>
      <c r="AU181" s="630">
        <v>954.69799999999998</v>
      </c>
      <c r="AV181" s="630">
        <v>0</v>
      </c>
      <c r="AW181" s="630" t="s">
        <v>434</v>
      </c>
      <c r="AX181" s="630">
        <v>14690.079</v>
      </c>
      <c r="AY181" s="630">
        <v>166.922</v>
      </c>
      <c r="AZ181" s="612" t="s">
        <v>435</v>
      </c>
      <c r="BA181" s="612" t="s">
        <v>433</v>
      </c>
      <c r="BB181" s="613" t="s">
        <v>553</v>
      </c>
      <c r="BC181" s="614">
        <v>6.1178766387010447E-2</v>
      </c>
      <c r="BD181" s="614">
        <v>8.0250853224645896E-2</v>
      </c>
      <c r="BE181" s="613" t="s">
        <v>576</v>
      </c>
      <c r="BF181" s="613" t="s">
        <v>576</v>
      </c>
      <c r="BG181" s="643"/>
      <c r="BH181" s="655"/>
    </row>
    <row r="182" spans="1:60" customFormat="1">
      <c r="A182" s="612" t="s">
        <v>90</v>
      </c>
      <c r="B182" s="612" t="s">
        <v>410</v>
      </c>
      <c r="C182" s="612">
        <v>100</v>
      </c>
      <c r="D182" s="601">
        <v>183</v>
      </c>
      <c r="E182" s="623" t="s">
        <v>410</v>
      </c>
      <c r="F182" s="623" t="s">
        <v>90</v>
      </c>
      <c r="G182" s="601" t="s">
        <v>469</v>
      </c>
      <c r="H182" s="623">
        <v>2014</v>
      </c>
      <c r="I182" s="624">
        <v>-2606.65</v>
      </c>
      <c r="J182" s="625">
        <v>5435.4610000000002</v>
      </c>
      <c r="K182" s="626">
        <v>-12.706409384604511</v>
      </c>
      <c r="L182" s="626">
        <v>1124.1538181000001</v>
      </c>
      <c r="M182" s="625">
        <v>20514.45</v>
      </c>
      <c r="N182" s="627">
        <v>7958</v>
      </c>
      <c r="O182" s="627">
        <v>94194</v>
      </c>
      <c r="P182" s="628">
        <v>217.78934964010446</v>
      </c>
      <c r="Q182" s="625">
        <v>20514.45</v>
      </c>
      <c r="R182" s="625">
        <v>20514.45</v>
      </c>
      <c r="S182" s="625">
        <v>17290.72</v>
      </c>
      <c r="T182" s="629">
        <v>84.285564565464824</v>
      </c>
      <c r="U182" s="625"/>
      <c r="V182" s="627">
        <v>147902</v>
      </c>
      <c r="W182" s="629">
        <v>18842.219249633734</v>
      </c>
      <c r="X182" s="627">
        <v>1779</v>
      </c>
      <c r="Y182" s="627">
        <v>370</v>
      </c>
      <c r="Z182" s="629">
        <v>226.63863940378369</v>
      </c>
      <c r="AA182" s="629">
        <v>4.8081081081081081</v>
      </c>
      <c r="AB182" s="630">
        <v>20514.45</v>
      </c>
      <c r="AC182" s="630">
        <v>0</v>
      </c>
      <c r="AD182" s="630">
        <v>0</v>
      </c>
      <c r="AE182" s="630">
        <v>0</v>
      </c>
      <c r="AF182" s="630">
        <v>0</v>
      </c>
      <c r="AG182" s="630" t="s">
        <v>434</v>
      </c>
      <c r="AH182" s="630">
        <v>20514.45</v>
      </c>
      <c r="AI182" s="630">
        <v>8587.4320000000007</v>
      </c>
      <c r="AJ182" s="630">
        <v>2798.509</v>
      </c>
      <c r="AK182" s="630">
        <v>0</v>
      </c>
      <c r="AL182" s="630">
        <v>2415.7240000000002</v>
      </c>
      <c r="AM182" s="630">
        <v>3489.0549999999998</v>
      </c>
      <c r="AN182" s="630">
        <v>0</v>
      </c>
      <c r="AO182" s="630">
        <v>0</v>
      </c>
      <c r="AP182" s="630">
        <v>17290.72</v>
      </c>
      <c r="AQ182" s="630">
        <v>0</v>
      </c>
      <c r="AR182" s="630">
        <v>17290.72</v>
      </c>
      <c r="AS182" s="630" t="s">
        <v>434</v>
      </c>
      <c r="AT182" s="630">
        <v>249.81899999999999</v>
      </c>
      <c r="AU182" s="630">
        <v>5435.4610000000002</v>
      </c>
      <c r="AV182" s="630">
        <v>0</v>
      </c>
      <c r="AW182" s="630" t="s">
        <v>434</v>
      </c>
      <c r="AX182" s="630">
        <v>22976</v>
      </c>
      <c r="AY182" s="630">
        <v>-2461.5500000000002</v>
      </c>
      <c r="AZ182" s="637" t="s">
        <v>435</v>
      </c>
      <c r="BA182" s="637" t="s">
        <v>431</v>
      </c>
      <c r="BB182" s="613" t="s">
        <v>553</v>
      </c>
      <c r="BC182" s="614">
        <v>0.26495767617459887</v>
      </c>
      <c r="BD182" s="614">
        <v>-0.12706409384604511</v>
      </c>
      <c r="BE182" s="613" t="s">
        <v>579</v>
      </c>
      <c r="BF182" s="613" t="s">
        <v>579</v>
      </c>
      <c r="BG182" s="643"/>
      <c r="BH182" s="655"/>
    </row>
    <row r="183" spans="1:60" customFormat="1">
      <c r="A183" s="612" t="s">
        <v>69</v>
      </c>
      <c r="B183" s="612" t="s">
        <v>408</v>
      </c>
      <c r="C183" s="612">
        <v>98</v>
      </c>
      <c r="D183" s="601">
        <v>188</v>
      </c>
      <c r="E183" s="623" t="s">
        <v>408</v>
      </c>
      <c r="F183" s="623" t="s">
        <v>69</v>
      </c>
      <c r="G183" s="601" t="s">
        <v>469</v>
      </c>
      <c r="H183" s="623">
        <v>2014</v>
      </c>
      <c r="I183" s="624">
        <v>422.65600000000001</v>
      </c>
      <c r="J183" s="625">
        <v>2458.7289999999998</v>
      </c>
      <c r="K183" s="626">
        <v>1.9270452412187327</v>
      </c>
      <c r="L183" s="626">
        <v>603.87053470000001</v>
      </c>
      <c r="M183" s="625">
        <v>21932.852999999999</v>
      </c>
      <c r="N183" s="627">
        <v>6034</v>
      </c>
      <c r="O183" s="627">
        <v>58775</v>
      </c>
      <c r="P183" s="628">
        <v>377.09022543598468</v>
      </c>
      <c r="Q183" s="625">
        <v>22163.477999999999</v>
      </c>
      <c r="R183" s="625">
        <v>22163.477999999999</v>
      </c>
      <c r="S183" s="625">
        <v>18099.207999999999</v>
      </c>
      <c r="T183" s="629">
        <v>81.662309498536274</v>
      </c>
      <c r="U183" s="625"/>
      <c r="V183" s="627">
        <v>38639</v>
      </c>
      <c r="W183" s="629">
        <v>7888.8643130582732</v>
      </c>
      <c r="X183" s="627">
        <v>3774</v>
      </c>
      <c r="Y183" s="627">
        <v>867</v>
      </c>
      <c r="Z183" s="629">
        <v>770.53168864313056</v>
      </c>
      <c r="AA183" s="629">
        <v>4.3529411764705879</v>
      </c>
      <c r="AB183" s="630">
        <v>21808.381000000001</v>
      </c>
      <c r="AC183" s="630">
        <v>0</v>
      </c>
      <c r="AD183" s="630">
        <v>0</v>
      </c>
      <c r="AE183" s="630">
        <v>0</v>
      </c>
      <c r="AF183" s="630">
        <v>124.47199999999999</v>
      </c>
      <c r="AG183" s="630" t="s">
        <v>434</v>
      </c>
      <c r="AH183" s="630">
        <v>21932.852999999999</v>
      </c>
      <c r="AI183" s="630">
        <v>15289.968000000001</v>
      </c>
      <c r="AJ183" s="630">
        <v>218.11199999999999</v>
      </c>
      <c r="AK183" s="630">
        <v>0</v>
      </c>
      <c r="AL183" s="630">
        <v>0</v>
      </c>
      <c r="AM183" s="630">
        <v>2197.6840000000002</v>
      </c>
      <c r="AN183" s="630">
        <v>0</v>
      </c>
      <c r="AO183" s="630">
        <v>393.44400000000002</v>
      </c>
      <c r="AP183" s="630">
        <v>18099.207999999999</v>
      </c>
      <c r="AQ183" s="630">
        <v>0</v>
      </c>
      <c r="AR183" s="630">
        <v>18099.207999999999</v>
      </c>
      <c r="AS183" s="630" t="s">
        <v>434</v>
      </c>
      <c r="AT183" s="630">
        <v>723.96799999999996</v>
      </c>
      <c r="AU183" s="630">
        <v>2458.7289999999998</v>
      </c>
      <c r="AV183" s="630">
        <v>0</v>
      </c>
      <c r="AW183" s="630" t="s">
        <v>434</v>
      </c>
      <c r="AX183" s="630">
        <v>21281.904999999999</v>
      </c>
      <c r="AY183" s="630">
        <v>650.94799999999998</v>
      </c>
      <c r="AZ183" s="612" t="s">
        <v>435</v>
      </c>
      <c r="BA183" s="612" t="s">
        <v>433</v>
      </c>
      <c r="BB183" s="613" t="s">
        <v>553</v>
      </c>
      <c r="BC183" s="614">
        <v>0.11210256139499954</v>
      </c>
      <c r="BD183" s="614">
        <v>1.9270452412187326E-2</v>
      </c>
      <c r="BE183" s="613" t="s">
        <v>573</v>
      </c>
      <c r="BF183" s="613" t="s">
        <v>573</v>
      </c>
      <c r="BG183" s="643"/>
      <c r="BH183" s="655"/>
    </row>
    <row r="184" spans="1:60" customFormat="1">
      <c r="A184" s="612" t="s">
        <v>91</v>
      </c>
      <c r="B184" s="612" t="s">
        <v>222</v>
      </c>
      <c r="C184" s="612" t="s">
        <v>20</v>
      </c>
      <c r="D184" s="601">
        <v>190</v>
      </c>
      <c r="E184" s="623" t="s">
        <v>222</v>
      </c>
      <c r="F184" s="623" t="s">
        <v>91</v>
      </c>
      <c r="G184" s="601" t="s">
        <v>469</v>
      </c>
      <c r="H184" s="623">
        <v>2014</v>
      </c>
      <c r="I184" s="624">
        <v>-770.71400000000006</v>
      </c>
      <c r="J184" s="625">
        <v>1158.1690000000001</v>
      </c>
      <c r="K184" s="626">
        <v>-5.7273613009070656</v>
      </c>
      <c r="L184" s="626">
        <v>175.95682540000001</v>
      </c>
      <c r="M184" s="625">
        <v>13456.703</v>
      </c>
      <c r="N184" s="627">
        <v>5997</v>
      </c>
      <c r="O184" s="627">
        <v>52189</v>
      </c>
      <c r="P184" s="628">
        <v>265.52886623618002</v>
      </c>
      <c r="Q184" s="625">
        <v>13857.686</v>
      </c>
      <c r="R184" s="625">
        <v>13857.686</v>
      </c>
      <c r="S184" s="625">
        <v>13544.973</v>
      </c>
      <c r="T184" s="629">
        <v>97.743396696966585</v>
      </c>
      <c r="U184" s="625"/>
      <c r="V184" s="627">
        <v>20184</v>
      </c>
      <c r="W184" s="629">
        <v>4640.9779838663317</v>
      </c>
      <c r="X184" s="627">
        <v>2002</v>
      </c>
      <c r="Y184" s="627">
        <v>661</v>
      </c>
      <c r="Z184" s="629">
        <v>460.32688880798634</v>
      </c>
      <c r="AA184" s="629">
        <v>3.0287443267776095</v>
      </c>
      <c r="AB184" s="630">
        <v>13456.703</v>
      </c>
      <c r="AC184" s="630">
        <v>0</v>
      </c>
      <c r="AD184" s="630">
        <v>0</v>
      </c>
      <c r="AE184" s="630">
        <v>0</v>
      </c>
      <c r="AF184" s="630">
        <v>0</v>
      </c>
      <c r="AG184" s="630" t="s">
        <v>434</v>
      </c>
      <c r="AH184" s="630">
        <v>13456.703</v>
      </c>
      <c r="AI184" s="630">
        <v>11248.543</v>
      </c>
      <c r="AJ184" s="630">
        <v>0</v>
      </c>
      <c r="AK184" s="630">
        <v>0</v>
      </c>
      <c r="AL184" s="630">
        <v>495.16</v>
      </c>
      <c r="AM184" s="630">
        <v>1801.27</v>
      </c>
      <c r="AN184" s="630">
        <v>0</v>
      </c>
      <c r="AO184" s="630">
        <v>0</v>
      </c>
      <c r="AP184" s="630">
        <v>13544.973</v>
      </c>
      <c r="AQ184" s="630">
        <v>200.59899999999999</v>
      </c>
      <c r="AR184" s="630">
        <v>13344.374</v>
      </c>
      <c r="AS184" s="630" t="s">
        <v>434</v>
      </c>
      <c r="AT184" s="630">
        <v>0</v>
      </c>
      <c r="AU184" s="630">
        <v>1158.1690000000001</v>
      </c>
      <c r="AV184" s="630">
        <v>0</v>
      </c>
      <c r="AW184" s="630" t="s">
        <v>434</v>
      </c>
      <c r="AX184" s="630">
        <v>14502.543</v>
      </c>
      <c r="AY184" s="630">
        <v>-1045.8399999999999</v>
      </c>
      <c r="AZ184" s="612" t="s">
        <v>435</v>
      </c>
      <c r="BA184" s="612" t="s">
        <v>433</v>
      </c>
      <c r="BB184" s="613" t="s">
        <v>553</v>
      </c>
      <c r="BC184" s="614">
        <v>8.6066326945017674E-2</v>
      </c>
      <c r="BD184" s="614">
        <v>-5.7273613009070655E-2</v>
      </c>
      <c r="BE184" s="613" t="s">
        <v>570</v>
      </c>
      <c r="BF184" s="613" t="s">
        <v>570</v>
      </c>
      <c r="BG184" s="643"/>
      <c r="BH184" s="655"/>
    </row>
    <row r="185" spans="1:60" customFormat="1">
      <c r="A185" s="612" t="s">
        <v>95</v>
      </c>
      <c r="B185" s="612" t="s">
        <v>154</v>
      </c>
      <c r="C185" s="612" t="s">
        <v>20</v>
      </c>
      <c r="D185" s="601">
        <v>189</v>
      </c>
      <c r="E185" s="623" t="s">
        <v>154</v>
      </c>
      <c r="F185" s="623" t="s">
        <v>95</v>
      </c>
      <c r="G185" s="601" t="s">
        <v>567</v>
      </c>
      <c r="H185" s="623">
        <v>2014</v>
      </c>
      <c r="I185" s="624">
        <v>-18746.668000000001</v>
      </c>
      <c r="J185" s="625">
        <v>36478.603999999999</v>
      </c>
      <c r="K185" s="626">
        <v>-5.0289509685121772</v>
      </c>
      <c r="L185" s="626">
        <v>316.47415439999997</v>
      </c>
      <c r="M185" s="625">
        <v>372774.92099999997</v>
      </c>
      <c r="N185" s="627">
        <v>5884</v>
      </c>
      <c r="O185" s="627">
        <v>52787</v>
      </c>
      <c r="P185" s="628">
        <v>139.16949248868093</v>
      </c>
      <c r="Q185" s="625">
        <v>7346.34</v>
      </c>
      <c r="R185" s="625">
        <v>7346.34</v>
      </c>
      <c r="S185" s="625">
        <v>6734.8239999999996</v>
      </c>
      <c r="T185" s="629">
        <v>91.675909364390961</v>
      </c>
      <c r="U185" s="625"/>
      <c r="V185" s="627">
        <v>10824</v>
      </c>
      <c r="W185" s="629">
        <v>2460.6058309811128</v>
      </c>
      <c r="X185" s="627">
        <v>10116</v>
      </c>
      <c r="Y185" s="627">
        <v>380</v>
      </c>
      <c r="Z185" s="629">
        <v>2299.6571125466498</v>
      </c>
      <c r="AA185" s="629">
        <v>26.621052631578948</v>
      </c>
      <c r="AB185" s="630">
        <v>7243.4049999999997</v>
      </c>
      <c r="AC185" s="630">
        <v>0</v>
      </c>
      <c r="AD185" s="630">
        <v>144.32599999999999</v>
      </c>
      <c r="AE185" s="630">
        <v>0</v>
      </c>
      <c r="AF185" s="630">
        <v>128.423</v>
      </c>
      <c r="AG185" s="630" t="s">
        <v>434</v>
      </c>
      <c r="AH185" s="630">
        <v>7516.1540000000005</v>
      </c>
      <c r="AI185" s="630">
        <v>4566.1149999999998</v>
      </c>
      <c r="AJ185" s="630">
        <v>651.39700000000005</v>
      </c>
      <c r="AK185" s="630">
        <v>319.25700000000001</v>
      </c>
      <c r="AL185" s="630">
        <v>0</v>
      </c>
      <c r="AM185" s="630">
        <v>737.94299999999998</v>
      </c>
      <c r="AN185" s="630">
        <v>460.11200000000002</v>
      </c>
      <c r="AO185" s="630">
        <v>0</v>
      </c>
      <c r="AP185" s="630">
        <v>6734.8239999999996</v>
      </c>
      <c r="AQ185" s="630">
        <v>8.2189999999999994</v>
      </c>
      <c r="AR185" s="630">
        <v>6726.6049999999996</v>
      </c>
      <c r="AS185" s="630" t="s">
        <v>434</v>
      </c>
      <c r="AT185" s="630">
        <v>247.45099999999999</v>
      </c>
      <c r="AU185" s="630">
        <v>1993.47</v>
      </c>
      <c r="AV185" s="630">
        <v>0</v>
      </c>
      <c r="AW185" s="630" t="s">
        <v>434</v>
      </c>
      <c r="AX185" s="630">
        <v>8967.5259999999998</v>
      </c>
      <c r="AY185" s="630">
        <v>-1451.3720000000001</v>
      </c>
      <c r="AZ185" s="612" t="s">
        <v>430</v>
      </c>
      <c r="BA185" s="612" t="s">
        <v>431</v>
      </c>
      <c r="BB185" s="613" t="s">
        <v>553</v>
      </c>
      <c r="BC185" s="614">
        <v>9.7856915648035239E-2</v>
      </c>
      <c r="BD185" s="614">
        <v>-1.4616009291944856E-2</v>
      </c>
      <c r="BE185" s="613" t="s">
        <v>572</v>
      </c>
      <c r="BF185" s="613" t="s">
        <v>572</v>
      </c>
      <c r="BG185" s="643"/>
      <c r="BH185" s="655"/>
    </row>
    <row r="186" spans="1:60" customFormat="1">
      <c r="A186" s="612" t="s">
        <v>67</v>
      </c>
      <c r="B186" s="612" t="s">
        <v>427</v>
      </c>
      <c r="C186" s="612">
        <v>51</v>
      </c>
      <c r="D186" s="601">
        <v>193</v>
      </c>
      <c r="E186" s="623" t="s">
        <v>239</v>
      </c>
      <c r="F186" s="623" t="s">
        <v>67</v>
      </c>
      <c r="G186" s="601" t="s">
        <v>567</v>
      </c>
      <c r="H186" s="623">
        <v>2014</v>
      </c>
      <c r="I186" s="624">
        <v>-12335.831</v>
      </c>
      <c r="J186" s="625">
        <v>239484.50700000001</v>
      </c>
      <c r="K186" s="626">
        <v>-0.47063936295217423</v>
      </c>
      <c r="L186" s="626">
        <v>273.95789810000002</v>
      </c>
      <c r="M186" s="625">
        <v>2621079.3169999998</v>
      </c>
      <c r="N186" s="627">
        <v>5707</v>
      </c>
      <c r="O186" s="627">
        <v>38117</v>
      </c>
      <c r="P186" s="628">
        <v>175.58346669465067</v>
      </c>
      <c r="Q186" s="625">
        <v>6692.7150000000001</v>
      </c>
      <c r="R186" s="625">
        <v>6692.7150000000001</v>
      </c>
      <c r="S186" s="625">
        <v>5782.8090000000002</v>
      </c>
      <c r="T186" s="629">
        <v>86.404530896654052</v>
      </c>
      <c r="U186" s="625"/>
      <c r="V186" s="627">
        <v>15217</v>
      </c>
      <c r="W186" s="629">
        <v>4790.618359262271</v>
      </c>
      <c r="X186" s="627">
        <v>1934</v>
      </c>
      <c r="Y186" s="627">
        <v>459</v>
      </c>
      <c r="Z186" s="629">
        <v>608.86218747540465</v>
      </c>
      <c r="AA186" s="629">
        <v>4.2135076252723316</v>
      </c>
      <c r="AB186" s="630">
        <v>17664.772000000001</v>
      </c>
      <c r="AC186" s="630">
        <v>0</v>
      </c>
      <c r="AD186" s="630">
        <v>37.348999999999997</v>
      </c>
      <c r="AE186" s="630">
        <v>0</v>
      </c>
      <c r="AF186" s="630">
        <v>5.2999999999999999E-2</v>
      </c>
      <c r="AG186" s="630" t="s">
        <v>434</v>
      </c>
      <c r="AH186" s="630">
        <v>17702.173999999999</v>
      </c>
      <c r="AI186" s="630">
        <v>6823.6329999999998</v>
      </c>
      <c r="AJ186" s="630">
        <v>6063.7809999999999</v>
      </c>
      <c r="AK186" s="630">
        <v>0</v>
      </c>
      <c r="AL186" s="630">
        <v>1207.7529999999999</v>
      </c>
      <c r="AM186" s="630">
        <v>1792.3979999999999</v>
      </c>
      <c r="AN186" s="630">
        <v>2920.62</v>
      </c>
      <c r="AO186" s="630">
        <v>0</v>
      </c>
      <c r="AP186" s="630">
        <v>18808.185000000001</v>
      </c>
      <c r="AQ186" s="630">
        <v>0</v>
      </c>
      <c r="AR186" s="630">
        <v>18808.185000000001</v>
      </c>
      <c r="AS186" s="630" t="s">
        <v>434</v>
      </c>
      <c r="AT186" s="630">
        <v>317.88</v>
      </c>
      <c r="AU186" s="630">
        <v>493.18700000000001</v>
      </c>
      <c r="AV186" s="630">
        <v>0</v>
      </c>
      <c r="AW186" s="630" t="s">
        <v>434</v>
      </c>
      <c r="AX186" s="630">
        <v>19619.252</v>
      </c>
      <c r="AY186" s="630">
        <v>-1917.078</v>
      </c>
      <c r="AZ186" s="612" t="s">
        <v>435</v>
      </c>
      <c r="BA186" s="612" t="s">
        <v>431</v>
      </c>
      <c r="BB186" s="613" t="s">
        <v>553</v>
      </c>
      <c r="BC186" s="614">
        <v>9.1368660782881611E-2</v>
      </c>
      <c r="BD186" s="614">
        <v>4.4586030250577863E-2</v>
      </c>
      <c r="BE186" s="613" t="s">
        <v>574</v>
      </c>
      <c r="BF186" s="613" t="s">
        <v>574</v>
      </c>
      <c r="BG186" s="643"/>
      <c r="BH186" s="655"/>
    </row>
    <row r="187" spans="1:60" customFormat="1">
      <c r="A187" s="612" t="s">
        <v>95</v>
      </c>
      <c r="B187" s="612" t="s">
        <v>173</v>
      </c>
      <c r="C187" s="612" t="s">
        <v>20</v>
      </c>
      <c r="D187" s="601">
        <v>195</v>
      </c>
      <c r="E187" s="623" t="s">
        <v>173</v>
      </c>
      <c r="F187" s="623" t="s">
        <v>95</v>
      </c>
      <c r="G187" s="601" t="s">
        <v>469</v>
      </c>
      <c r="H187" s="623">
        <v>2014</v>
      </c>
      <c r="I187" s="624">
        <v>-1652.07</v>
      </c>
      <c r="J187" s="625">
        <v>1107.1210000000001</v>
      </c>
      <c r="K187" s="626">
        <v>-32.104949977088296</v>
      </c>
      <c r="L187" s="626">
        <v>349.1122201</v>
      </c>
      <c r="M187" s="625">
        <v>5145.8419999999996</v>
      </c>
      <c r="N187" s="627">
        <v>5428</v>
      </c>
      <c r="O187" s="627">
        <v>22387</v>
      </c>
      <c r="P187" s="628">
        <v>231.92035556349668</v>
      </c>
      <c r="Q187" s="625">
        <v>5192.0010000000002</v>
      </c>
      <c r="R187" s="625">
        <v>5192.0010000000002</v>
      </c>
      <c r="S187" s="625">
        <v>4476.4210000000003</v>
      </c>
      <c r="T187" s="629">
        <v>86.217645181501311</v>
      </c>
      <c r="U187" s="625"/>
      <c r="V187" s="627">
        <v>12726</v>
      </c>
      <c r="W187" s="629">
        <v>6821.4588823870999</v>
      </c>
      <c r="X187" s="627">
        <v>1445</v>
      </c>
      <c r="Y187" s="627">
        <v>320</v>
      </c>
      <c r="Z187" s="629">
        <v>774.55666234868454</v>
      </c>
      <c r="AA187" s="629">
        <v>4.515625</v>
      </c>
      <c r="AB187" s="630">
        <v>5145.8419999999996</v>
      </c>
      <c r="AC187" s="630">
        <v>0</v>
      </c>
      <c r="AD187" s="630">
        <v>0</v>
      </c>
      <c r="AE187" s="630">
        <v>0</v>
      </c>
      <c r="AF187" s="630">
        <v>0</v>
      </c>
      <c r="AG187" s="630" t="s">
        <v>434</v>
      </c>
      <c r="AH187" s="630">
        <v>5145.8419999999996</v>
      </c>
      <c r="AI187" s="630">
        <v>4167.8829999999998</v>
      </c>
      <c r="AJ187" s="630">
        <v>308.53800000000001</v>
      </c>
      <c r="AK187" s="630">
        <v>0</v>
      </c>
      <c r="AL187" s="630">
        <v>0</v>
      </c>
      <c r="AM187" s="630">
        <v>0</v>
      </c>
      <c r="AN187" s="630">
        <v>0</v>
      </c>
      <c r="AO187" s="630">
        <v>0</v>
      </c>
      <c r="AP187" s="630">
        <v>4476.4210000000003</v>
      </c>
      <c r="AQ187" s="630">
        <v>0</v>
      </c>
      <c r="AR187" s="630">
        <v>4476.4210000000003</v>
      </c>
      <c r="AS187" s="630" t="s">
        <v>434</v>
      </c>
      <c r="AT187" s="630">
        <v>381.14400000000001</v>
      </c>
      <c r="AU187" s="630">
        <v>1107.1210000000001</v>
      </c>
      <c r="AV187" s="630">
        <v>0</v>
      </c>
      <c r="AW187" s="630" t="s">
        <v>434</v>
      </c>
      <c r="AX187" s="630">
        <v>5964.6859999999997</v>
      </c>
      <c r="AY187" s="630">
        <v>-818.84400000000005</v>
      </c>
      <c r="AZ187" s="612" t="s">
        <v>430</v>
      </c>
      <c r="BA187" s="612" t="s">
        <v>433</v>
      </c>
      <c r="BB187" s="613" t="s">
        <v>553</v>
      </c>
      <c r="BC187" s="614">
        <v>0.21514865788728069</v>
      </c>
      <c r="BD187" s="614">
        <v>-0.32104949977088298</v>
      </c>
      <c r="BE187" s="613" t="s">
        <v>580</v>
      </c>
      <c r="BF187" s="613" t="s">
        <v>580</v>
      </c>
      <c r="BG187" s="643"/>
      <c r="BH187" s="655"/>
    </row>
    <row r="188" spans="1:60" customFormat="1">
      <c r="A188" s="612" t="s">
        <v>95</v>
      </c>
      <c r="B188" s="612" t="s">
        <v>143</v>
      </c>
      <c r="C188" s="612">
        <v>88</v>
      </c>
      <c r="D188" s="601">
        <v>196</v>
      </c>
      <c r="E188" s="623" t="s">
        <v>143</v>
      </c>
      <c r="F188" s="623" t="s">
        <v>95</v>
      </c>
      <c r="G188" s="601" t="s">
        <v>567</v>
      </c>
      <c r="H188" s="623">
        <v>2014</v>
      </c>
      <c r="I188" s="624">
        <v>-9357.9089999999997</v>
      </c>
      <c r="J188" s="625">
        <v>5426.3879999999999</v>
      </c>
      <c r="K188" s="626">
        <v>-9.1610420538993651</v>
      </c>
      <c r="L188" s="626">
        <v>251.29921239999999</v>
      </c>
      <c r="M188" s="625">
        <v>102148.958</v>
      </c>
      <c r="N188" s="627">
        <v>2404</v>
      </c>
      <c r="O188" s="627">
        <v>20518</v>
      </c>
      <c r="P188" s="628">
        <v>3109.8111414367872</v>
      </c>
      <c r="Q188" s="625">
        <v>63849.923000000003</v>
      </c>
      <c r="R188" s="625">
        <v>63807.105000000003</v>
      </c>
      <c r="S188" s="625">
        <v>56138.902000000002</v>
      </c>
      <c r="T188" s="629">
        <v>87.982211385393526</v>
      </c>
      <c r="U188" s="625"/>
      <c r="V188" s="627">
        <v>60437</v>
      </c>
      <c r="W188" s="629">
        <v>35346.719953211817</v>
      </c>
      <c r="X188" s="627">
        <v>1379</v>
      </c>
      <c r="Y188" s="627">
        <v>227</v>
      </c>
      <c r="Z188" s="629">
        <v>806.51135588263958</v>
      </c>
      <c r="AA188" s="629">
        <v>6.0748898678414101</v>
      </c>
      <c r="AB188" s="630">
        <v>63807.105000000003</v>
      </c>
      <c r="AC188" s="630">
        <v>0</v>
      </c>
      <c r="AD188" s="630">
        <v>0</v>
      </c>
      <c r="AE188" s="630">
        <v>0</v>
      </c>
      <c r="AF188" s="630">
        <v>5.3</v>
      </c>
      <c r="AG188" s="630" t="s">
        <v>434</v>
      </c>
      <c r="AH188" s="630">
        <v>63812.404999999999</v>
      </c>
      <c r="AI188" s="630">
        <v>25679.838</v>
      </c>
      <c r="AJ188" s="630">
        <v>23300.859</v>
      </c>
      <c r="AK188" s="630">
        <v>0</v>
      </c>
      <c r="AL188" s="630">
        <v>585.24199999999996</v>
      </c>
      <c r="AM188" s="630">
        <v>2827.9270000000001</v>
      </c>
      <c r="AN188" s="630">
        <v>3745.0360000000001</v>
      </c>
      <c r="AO188" s="630">
        <v>0</v>
      </c>
      <c r="AP188" s="630">
        <v>56138.902000000002</v>
      </c>
      <c r="AQ188" s="630">
        <v>0</v>
      </c>
      <c r="AR188" s="630">
        <v>56138.902000000002</v>
      </c>
      <c r="AS188" s="630" t="s">
        <v>434</v>
      </c>
      <c r="AT188" s="630">
        <v>6002.7250000000004</v>
      </c>
      <c r="AU188" s="630">
        <v>3413.3679999999999</v>
      </c>
      <c r="AV188" s="630">
        <v>5241.3419999999996</v>
      </c>
      <c r="AW188" s="630" t="s">
        <v>434</v>
      </c>
      <c r="AX188" s="630">
        <v>70796.337</v>
      </c>
      <c r="AY188" s="630">
        <v>-6983.9319999999998</v>
      </c>
      <c r="AZ188" s="612" t="s">
        <v>430</v>
      </c>
      <c r="BA188" s="612" t="s">
        <v>431</v>
      </c>
      <c r="BB188" s="613" t="s">
        <v>553</v>
      </c>
      <c r="BC188" s="614">
        <v>5.312230399844118E-2</v>
      </c>
      <c r="BD188" s="614">
        <v>6.7055582147623555E-2</v>
      </c>
      <c r="BE188" s="613" t="s">
        <v>575</v>
      </c>
      <c r="BF188" s="613" t="s">
        <v>575</v>
      </c>
      <c r="BG188" s="643"/>
      <c r="BH188" s="655"/>
    </row>
    <row r="189" spans="1:60" customFormat="1">
      <c r="A189" s="612" t="s">
        <v>56</v>
      </c>
      <c r="B189" s="612" t="s">
        <v>183</v>
      </c>
      <c r="C189" s="612">
        <v>93</v>
      </c>
      <c r="D189" s="601">
        <v>200</v>
      </c>
      <c r="E189" s="623" t="s">
        <v>183</v>
      </c>
      <c r="F189" s="623" t="s">
        <v>56</v>
      </c>
      <c r="G189" s="601" t="s">
        <v>567</v>
      </c>
      <c r="H189" s="623">
        <v>2014</v>
      </c>
      <c r="I189" s="624">
        <v>-6600.7550000000001</v>
      </c>
      <c r="J189" s="625">
        <v>8960.33</v>
      </c>
      <c r="K189" s="626">
        <v>-7.5059072124450275</v>
      </c>
      <c r="L189" s="626">
        <v>135.00661070000001</v>
      </c>
      <c r="M189" s="625">
        <v>87940.801999999996</v>
      </c>
      <c r="N189" s="627">
        <v>1655</v>
      </c>
      <c r="O189" s="627">
        <v>14518</v>
      </c>
      <c r="P189" s="628">
        <v>2669.403912384626</v>
      </c>
      <c r="Q189" s="625">
        <v>38834.81</v>
      </c>
      <c r="R189" s="625">
        <v>38754.406000000003</v>
      </c>
      <c r="S189" s="625">
        <v>37625.392</v>
      </c>
      <c r="T189" s="629">
        <v>97.086746730165331</v>
      </c>
      <c r="U189" s="625"/>
      <c r="V189" s="627">
        <v>20457</v>
      </c>
      <c r="W189" s="629">
        <v>16908.940625430499</v>
      </c>
      <c r="X189" s="627">
        <v>3729</v>
      </c>
      <c r="Y189" s="627">
        <v>740</v>
      </c>
      <c r="Z189" s="629">
        <v>3082.2427331588374</v>
      </c>
      <c r="AA189" s="629">
        <v>5.0391891891891891</v>
      </c>
      <c r="AB189" s="630">
        <v>38754.406000000003</v>
      </c>
      <c r="AC189" s="630">
        <v>0</v>
      </c>
      <c r="AD189" s="630">
        <v>0</v>
      </c>
      <c r="AE189" s="630">
        <v>0</v>
      </c>
      <c r="AF189" s="630">
        <v>0</v>
      </c>
      <c r="AG189" s="630" t="s">
        <v>434</v>
      </c>
      <c r="AH189" s="630">
        <v>38754.406000000003</v>
      </c>
      <c r="AI189" s="630">
        <v>9771.7119999999995</v>
      </c>
      <c r="AJ189" s="630">
        <v>1613.346</v>
      </c>
      <c r="AK189" s="630">
        <v>0</v>
      </c>
      <c r="AL189" s="630">
        <v>1277.01</v>
      </c>
      <c r="AM189" s="630">
        <v>24664.907999999999</v>
      </c>
      <c r="AN189" s="630">
        <v>0</v>
      </c>
      <c r="AO189" s="630">
        <v>0</v>
      </c>
      <c r="AP189" s="630">
        <v>37326.976000000002</v>
      </c>
      <c r="AQ189" s="630">
        <v>0</v>
      </c>
      <c r="AR189" s="630">
        <v>37326.976000000002</v>
      </c>
      <c r="AS189" s="630" t="s">
        <v>434</v>
      </c>
      <c r="AT189" s="630">
        <v>0</v>
      </c>
      <c r="AU189" s="630">
        <v>3917.4690000000001</v>
      </c>
      <c r="AV189" s="630">
        <v>0</v>
      </c>
      <c r="AW189" s="630" t="s">
        <v>434</v>
      </c>
      <c r="AX189" s="630">
        <v>41244.445</v>
      </c>
      <c r="AY189" s="630">
        <v>-2490.0390000000002</v>
      </c>
      <c r="AZ189" s="612" t="s">
        <v>430</v>
      </c>
      <c r="BA189" s="612" t="s">
        <v>431</v>
      </c>
      <c r="BB189" s="613" t="s">
        <v>553</v>
      </c>
      <c r="BC189" s="614">
        <v>0.10189047400318228</v>
      </c>
      <c r="BD189" s="614">
        <v>-7.275794130483558E-2</v>
      </c>
      <c r="BE189" s="613" t="s">
        <v>570</v>
      </c>
      <c r="BF189" s="613" t="s">
        <v>570</v>
      </c>
      <c r="BG189" s="643"/>
      <c r="BH189" s="655"/>
    </row>
    <row r="190" spans="1:60" customFormat="1">
      <c r="A190" s="612" t="s">
        <v>52</v>
      </c>
      <c r="B190" s="612" t="s">
        <v>413</v>
      </c>
      <c r="C190" s="612" t="s">
        <v>20</v>
      </c>
      <c r="D190" s="601">
        <v>197</v>
      </c>
      <c r="E190" s="623" t="s">
        <v>413</v>
      </c>
      <c r="F190" s="623" t="s">
        <v>52</v>
      </c>
      <c r="G190" s="601" t="s">
        <v>567</v>
      </c>
      <c r="H190" s="623">
        <v>2014</v>
      </c>
      <c r="I190" s="624">
        <v>2434.2249999999999</v>
      </c>
      <c r="J190" s="625">
        <v>5062.9489999999996</v>
      </c>
      <c r="K190" s="626">
        <v>4.9552348937779502</v>
      </c>
      <c r="L190" s="626">
        <v>366.52643010000003</v>
      </c>
      <c r="M190" s="625">
        <v>49124.311000000002</v>
      </c>
      <c r="N190" s="627">
        <v>1460</v>
      </c>
      <c r="O190" s="627">
        <v>16916</v>
      </c>
      <c r="P190" s="628">
        <v>159.96476708441713</v>
      </c>
      <c r="Q190" s="625">
        <v>2767.009</v>
      </c>
      <c r="R190" s="625">
        <v>2705.9639999999999</v>
      </c>
      <c r="S190" s="625">
        <v>1564.7929999999999</v>
      </c>
      <c r="T190" s="629">
        <v>57.827561637922749</v>
      </c>
      <c r="U190" s="625"/>
      <c r="V190" s="627">
        <v>0</v>
      </c>
      <c r="W190" s="629">
        <v>0</v>
      </c>
      <c r="X190" s="627">
        <v>0</v>
      </c>
      <c r="Y190" s="627">
        <v>0</v>
      </c>
      <c r="Z190" s="629">
        <v>0</v>
      </c>
      <c r="AA190" s="629" t="s">
        <v>434</v>
      </c>
      <c r="AB190" s="630">
        <v>2705.9639999999999</v>
      </c>
      <c r="AC190" s="630">
        <v>0</v>
      </c>
      <c r="AD190" s="630">
        <v>0</v>
      </c>
      <c r="AE190" s="630">
        <v>0</v>
      </c>
      <c r="AF190" s="630">
        <v>0</v>
      </c>
      <c r="AG190" s="630" t="s">
        <v>434</v>
      </c>
      <c r="AH190" s="630">
        <v>2705.9639999999999</v>
      </c>
      <c r="AI190" s="630">
        <v>1367.556</v>
      </c>
      <c r="AJ190" s="630">
        <v>0</v>
      </c>
      <c r="AK190" s="630">
        <v>0</v>
      </c>
      <c r="AL190" s="630">
        <v>0</v>
      </c>
      <c r="AM190" s="630">
        <v>197.23699999999999</v>
      </c>
      <c r="AN190" s="630">
        <v>0</v>
      </c>
      <c r="AO190" s="630">
        <v>0</v>
      </c>
      <c r="AP190" s="630">
        <v>1564.7929999999999</v>
      </c>
      <c r="AQ190" s="630">
        <v>0</v>
      </c>
      <c r="AR190" s="630">
        <v>1564.7929999999999</v>
      </c>
      <c r="AS190" s="630" t="s">
        <v>434</v>
      </c>
      <c r="AT190" s="630">
        <v>135.14699999999999</v>
      </c>
      <c r="AU190" s="630">
        <v>598.77599999999995</v>
      </c>
      <c r="AV190" s="630">
        <v>0</v>
      </c>
      <c r="AW190" s="630" t="s">
        <v>434</v>
      </c>
      <c r="AX190" s="630">
        <v>2298.7159999999999</v>
      </c>
      <c r="AY190" s="630">
        <v>407.24799999999999</v>
      </c>
      <c r="AZ190" s="612">
        <v>0</v>
      </c>
      <c r="BA190" s="612">
        <v>0</v>
      </c>
      <c r="BB190" s="613" t="s">
        <v>553</v>
      </c>
      <c r="BC190" s="614">
        <v>0.10306402058239554</v>
      </c>
      <c r="BD190" s="614">
        <v>0.31866036303837691</v>
      </c>
      <c r="BE190" s="613" t="s">
        <v>582</v>
      </c>
      <c r="BF190" s="613" t="s">
        <v>582</v>
      </c>
      <c r="BG190" s="643"/>
      <c r="BH190" s="655"/>
    </row>
    <row r="191" spans="1:60" customFormat="1">
      <c r="A191" s="612" t="s">
        <v>84</v>
      </c>
      <c r="B191" s="612" t="s">
        <v>427</v>
      </c>
      <c r="C191" s="612">
        <v>51</v>
      </c>
      <c r="D191" s="601">
        <v>199</v>
      </c>
      <c r="E191" s="623" t="s">
        <v>238</v>
      </c>
      <c r="F191" s="623" t="s">
        <v>84</v>
      </c>
      <c r="G191" s="601" t="s">
        <v>567</v>
      </c>
      <c r="H191" s="623">
        <v>2014</v>
      </c>
      <c r="I191" s="624">
        <v>-15594.565000000001</v>
      </c>
      <c r="J191" s="625">
        <v>228802.11300000001</v>
      </c>
      <c r="K191" s="626">
        <v>-0.49702720327148497</v>
      </c>
      <c r="L191" s="626">
        <v>370.38561600000003</v>
      </c>
      <c r="M191" s="625">
        <v>3137567.702</v>
      </c>
      <c r="N191" s="627">
        <v>1458</v>
      </c>
      <c r="O191" s="627">
        <v>15983</v>
      </c>
      <c r="P191" s="628">
        <v>222.80372896202215</v>
      </c>
      <c r="Q191" s="625">
        <v>3561.0720000000001</v>
      </c>
      <c r="R191" s="625">
        <v>3561.0720000000001</v>
      </c>
      <c r="S191" s="625">
        <v>6230.08</v>
      </c>
      <c r="T191" s="629">
        <v>174.94956574874081</v>
      </c>
      <c r="U191" s="625"/>
      <c r="V191" s="627">
        <v>9758</v>
      </c>
      <c r="W191" s="629">
        <v>7326.2841769379966</v>
      </c>
      <c r="X191" s="627">
        <v>494</v>
      </c>
      <c r="Y191" s="627">
        <v>103</v>
      </c>
      <c r="Z191" s="629">
        <v>370.89407495463928</v>
      </c>
      <c r="AA191" s="629">
        <v>4.7961165048543686</v>
      </c>
      <c r="AB191" s="630">
        <v>3561.0720000000001</v>
      </c>
      <c r="AC191" s="630">
        <v>0</v>
      </c>
      <c r="AD191" s="630">
        <v>29.169</v>
      </c>
      <c r="AE191" s="630">
        <v>0</v>
      </c>
      <c r="AF191" s="630">
        <v>0</v>
      </c>
      <c r="AG191" s="630" t="s">
        <v>434</v>
      </c>
      <c r="AH191" s="630">
        <v>3590.241</v>
      </c>
      <c r="AI191" s="630">
        <v>1443.07</v>
      </c>
      <c r="AJ191" s="630">
        <v>713.02</v>
      </c>
      <c r="AK191" s="630">
        <v>618.23599999999999</v>
      </c>
      <c r="AL191" s="630">
        <v>374.68</v>
      </c>
      <c r="AM191" s="630">
        <v>1761.577</v>
      </c>
      <c r="AN191" s="630">
        <v>1319.4970000000001</v>
      </c>
      <c r="AO191" s="630">
        <v>0</v>
      </c>
      <c r="AP191" s="630">
        <v>6230.08</v>
      </c>
      <c r="AQ191" s="630">
        <v>0</v>
      </c>
      <c r="AR191" s="630">
        <v>6230.08</v>
      </c>
      <c r="AS191" s="630" t="s">
        <v>434</v>
      </c>
      <c r="AT191" s="630">
        <v>91.552999999999997</v>
      </c>
      <c r="AU191" s="630">
        <v>334.48099999999999</v>
      </c>
      <c r="AV191" s="630">
        <v>0</v>
      </c>
      <c r="AW191" s="630" t="s">
        <v>434</v>
      </c>
      <c r="AX191" s="630">
        <v>6656.1139999999996</v>
      </c>
      <c r="AY191" s="630">
        <v>-3065.873</v>
      </c>
      <c r="AZ191" s="612" t="s">
        <v>435</v>
      </c>
      <c r="BA191" s="612" t="s">
        <v>431</v>
      </c>
      <c r="BB191" s="613" t="s">
        <v>553</v>
      </c>
      <c r="BC191" s="614">
        <v>7.2923402689973257E-2</v>
      </c>
      <c r="BD191" s="614">
        <v>-0.82241906017738131</v>
      </c>
      <c r="BE191" s="613" t="s">
        <v>580</v>
      </c>
      <c r="BF191" s="613" t="s">
        <v>614</v>
      </c>
      <c r="BG191" s="643"/>
      <c r="BH191" s="655"/>
    </row>
    <row r="192" spans="1:60" customFormat="1">
      <c r="A192" s="612" t="s">
        <v>81</v>
      </c>
      <c r="B192" s="612" t="s">
        <v>184</v>
      </c>
      <c r="C192" s="612">
        <v>40</v>
      </c>
      <c r="D192" s="601">
        <v>201</v>
      </c>
      <c r="E192" s="623" t="s">
        <v>184</v>
      </c>
      <c r="F192" s="623" t="s">
        <v>81</v>
      </c>
      <c r="G192" s="601" t="s">
        <v>567</v>
      </c>
      <c r="H192" s="623">
        <v>2014</v>
      </c>
      <c r="I192" s="624">
        <v>-16332.221</v>
      </c>
      <c r="J192" s="625">
        <v>18236.945</v>
      </c>
      <c r="K192" s="626">
        <v>-40.945589132668225</v>
      </c>
      <c r="L192" s="626">
        <v>1157.2185572000001</v>
      </c>
      <c r="M192" s="625">
        <v>39887.620000000003</v>
      </c>
      <c r="N192" s="627">
        <v>1411</v>
      </c>
      <c r="O192" s="627">
        <v>8044</v>
      </c>
      <c r="P192" s="628">
        <v>4113.6913227250125</v>
      </c>
      <c r="Q192" s="625">
        <v>33090.533000000003</v>
      </c>
      <c r="R192" s="625">
        <v>33090.533000000003</v>
      </c>
      <c r="S192" s="625">
        <v>28083.403999999999</v>
      </c>
      <c r="T192" s="629">
        <v>84.868394232271797</v>
      </c>
      <c r="U192" s="625"/>
      <c r="V192" s="627">
        <v>165136</v>
      </c>
      <c r="W192" s="629">
        <v>246349.0800596718</v>
      </c>
      <c r="X192" s="627">
        <v>0</v>
      </c>
      <c r="Y192" s="627">
        <v>0</v>
      </c>
      <c r="Z192" s="629">
        <v>0</v>
      </c>
      <c r="AA192" s="629" t="s">
        <v>434</v>
      </c>
      <c r="AB192" s="630">
        <v>33090.533000000003</v>
      </c>
      <c r="AC192" s="630">
        <v>0</v>
      </c>
      <c r="AD192" s="630">
        <v>0</v>
      </c>
      <c r="AE192" s="630">
        <v>0</v>
      </c>
      <c r="AF192" s="630">
        <v>0</v>
      </c>
      <c r="AG192" s="630" t="s">
        <v>434</v>
      </c>
      <c r="AH192" s="630">
        <v>33090.533000000003</v>
      </c>
      <c r="AI192" s="630">
        <v>28001.035</v>
      </c>
      <c r="AJ192" s="630">
        <v>82.369</v>
      </c>
      <c r="AK192" s="630">
        <v>0</v>
      </c>
      <c r="AL192" s="630">
        <v>0</v>
      </c>
      <c r="AM192" s="630">
        <v>0</v>
      </c>
      <c r="AN192" s="630">
        <v>0</v>
      </c>
      <c r="AO192" s="630">
        <v>0</v>
      </c>
      <c r="AP192" s="630">
        <v>28083.403999999999</v>
      </c>
      <c r="AQ192" s="630">
        <v>0</v>
      </c>
      <c r="AR192" s="630">
        <v>28083.403999999999</v>
      </c>
      <c r="AS192" s="630" t="s">
        <v>434</v>
      </c>
      <c r="AT192" s="630">
        <v>2095.7710000000002</v>
      </c>
      <c r="AU192" s="630">
        <v>7420.4009999999998</v>
      </c>
      <c r="AV192" s="630">
        <v>0</v>
      </c>
      <c r="AW192" s="630" t="s">
        <v>434</v>
      </c>
      <c r="AX192" s="630">
        <v>37599.576000000001</v>
      </c>
      <c r="AY192" s="630">
        <v>-4509.0429999999997</v>
      </c>
      <c r="AZ192" s="612" t="s">
        <v>430</v>
      </c>
      <c r="BA192" s="612" t="s">
        <v>433</v>
      </c>
      <c r="BB192" s="613" t="s">
        <v>553</v>
      </c>
      <c r="BC192" s="614">
        <v>0.45720815130108033</v>
      </c>
      <c r="BD192" s="614">
        <v>-0.30589209362379827</v>
      </c>
      <c r="BE192" s="613" t="s">
        <v>580</v>
      </c>
      <c r="BF192" s="613" t="s">
        <v>580</v>
      </c>
      <c r="BG192" s="643"/>
      <c r="BH192" s="655"/>
    </row>
    <row r="193" spans="1:60" customFormat="1">
      <c r="A193" s="612" t="s">
        <v>95</v>
      </c>
      <c r="B193" s="612" t="s">
        <v>309</v>
      </c>
      <c r="C193" s="612">
        <v>90</v>
      </c>
      <c r="D193" s="601">
        <v>198</v>
      </c>
      <c r="E193" s="623" t="s">
        <v>309</v>
      </c>
      <c r="F193" s="623" t="s">
        <v>95</v>
      </c>
      <c r="G193" s="601" t="s">
        <v>567</v>
      </c>
      <c r="H193" s="623">
        <v>2014</v>
      </c>
      <c r="I193" s="624">
        <v>-5576.5940000000001</v>
      </c>
      <c r="J193" s="625">
        <v>5658.9750000000004</v>
      </c>
      <c r="K193" s="626">
        <v>-6.0496387900922022</v>
      </c>
      <c r="L193" s="626">
        <v>320.3852521</v>
      </c>
      <c r="M193" s="625">
        <v>92180.611000000004</v>
      </c>
      <c r="N193" s="627">
        <v>1396</v>
      </c>
      <c r="O193" s="627">
        <v>16806</v>
      </c>
      <c r="P193" s="628">
        <v>3298.8996786861835</v>
      </c>
      <c r="Q193" s="625">
        <v>55441.307999999997</v>
      </c>
      <c r="R193" s="625">
        <v>55441.307999999997</v>
      </c>
      <c r="S193" s="625">
        <v>63313.552000000003</v>
      </c>
      <c r="T193" s="629">
        <v>114.19923931087629</v>
      </c>
      <c r="U193" s="625"/>
      <c r="V193" s="627">
        <v>38307</v>
      </c>
      <c r="W193" s="629">
        <v>27352.374152088541</v>
      </c>
      <c r="X193" s="627">
        <v>514</v>
      </c>
      <c r="Y193" s="627">
        <v>87</v>
      </c>
      <c r="Z193" s="629">
        <v>367.01178150660479</v>
      </c>
      <c r="AA193" s="629">
        <v>5.9080459770114944</v>
      </c>
      <c r="AB193" s="630">
        <v>55441.307999999997</v>
      </c>
      <c r="AC193" s="630">
        <v>0</v>
      </c>
      <c r="AD193" s="630">
        <v>0</v>
      </c>
      <c r="AE193" s="630">
        <v>0</v>
      </c>
      <c r="AF193" s="630">
        <v>0</v>
      </c>
      <c r="AG193" s="630" t="s">
        <v>434</v>
      </c>
      <c r="AH193" s="630">
        <v>55441.307999999997</v>
      </c>
      <c r="AI193" s="630">
        <v>5286.1959999999999</v>
      </c>
      <c r="AJ193" s="630">
        <v>54845.017</v>
      </c>
      <c r="AK193" s="630">
        <v>0</v>
      </c>
      <c r="AL193" s="630">
        <v>238.995</v>
      </c>
      <c r="AM193" s="630">
        <v>2943.3440000000001</v>
      </c>
      <c r="AN193" s="630">
        <v>0</v>
      </c>
      <c r="AO193" s="630">
        <v>0</v>
      </c>
      <c r="AP193" s="630">
        <v>63313.552000000003</v>
      </c>
      <c r="AQ193" s="630">
        <v>10.403</v>
      </c>
      <c r="AR193" s="630">
        <v>63303.148999999998</v>
      </c>
      <c r="AS193" s="630" t="s">
        <v>434</v>
      </c>
      <c r="AT193" s="630">
        <v>885.61500000000001</v>
      </c>
      <c r="AU193" s="630">
        <v>3942.0880000000002</v>
      </c>
      <c r="AV193" s="630">
        <v>0</v>
      </c>
      <c r="AW193" s="630" t="s">
        <v>434</v>
      </c>
      <c r="AX193" s="630">
        <v>68130.851999999999</v>
      </c>
      <c r="AY193" s="630">
        <v>-12689.544</v>
      </c>
      <c r="AZ193" s="612" t="s">
        <v>430</v>
      </c>
      <c r="BA193" s="612" t="s">
        <v>431</v>
      </c>
      <c r="BB193" s="613" t="s">
        <v>553</v>
      </c>
      <c r="BC193" s="614">
        <v>6.1390079091578162E-2</v>
      </c>
      <c r="BD193" s="614">
        <v>-0.20338247220034117</v>
      </c>
      <c r="BE193" s="613" t="s">
        <v>580</v>
      </c>
      <c r="BF193" s="613" t="s">
        <v>580</v>
      </c>
      <c r="BG193" s="643"/>
      <c r="BH193" s="655"/>
    </row>
    <row r="194" spans="1:60" customFormat="1">
      <c r="A194" s="612" t="s">
        <v>66</v>
      </c>
      <c r="B194" s="612" t="s">
        <v>270</v>
      </c>
      <c r="C194" s="612">
        <v>11</v>
      </c>
      <c r="D194" s="601">
        <v>202</v>
      </c>
      <c r="E194" s="623" t="s">
        <v>270</v>
      </c>
      <c r="F194" s="623" t="s">
        <v>66</v>
      </c>
      <c r="G194" s="601" t="s">
        <v>567</v>
      </c>
      <c r="H194" s="613">
        <v>2014</v>
      </c>
      <c r="I194" s="624">
        <v>65768.691999999995</v>
      </c>
      <c r="J194" s="625">
        <v>214771.38</v>
      </c>
      <c r="K194" s="626">
        <v>2.4895160286218241</v>
      </c>
      <c r="L194" s="626">
        <v>580.92908030000001</v>
      </c>
      <c r="M194" s="625">
        <v>2641826.4130000002</v>
      </c>
      <c r="N194" s="627">
        <v>877</v>
      </c>
      <c r="O194" s="627">
        <v>6043</v>
      </c>
      <c r="P194" s="628">
        <v>1960.7949693860664</v>
      </c>
      <c r="Q194" s="625">
        <v>11849.084000000001</v>
      </c>
      <c r="R194" s="625">
        <v>11849.084000000001</v>
      </c>
      <c r="S194" s="625">
        <v>5821.8559999999998</v>
      </c>
      <c r="T194" s="629">
        <v>49.133384487779807</v>
      </c>
      <c r="U194" s="625"/>
      <c r="V194" s="627">
        <v>0</v>
      </c>
      <c r="W194" s="629">
        <v>0</v>
      </c>
      <c r="X194" s="627">
        <v>0</v>
      </c>
      <c r="Y194" s="627">
        <v>0</v>
      </c>
      <c r="Z194" s="629">
        <v>0</v>
      </c>
      <c r="AA194" s="629" t="s">
        <v>434</v>
      </c>
      <c r="AB194" s="630">
        <v>11849.084000000001</v>
      </c>
      <c r="AC194" s="630">
        <v>0</v>
      </c>
      <c r="AD194" s="630">
        <v>0</v>
      </c>
      <c r="AE194" s="630">
        <v>0</v>
      </c>
      <c r="AF194" s="630">
        <v>0</v>
      </c>
      <c r="AG194" s="630" t="s">
        <v>434</v>
      </c>
      <c r="AH194" s="630">
        <v>11849.084000000001</v>
      </c>
      <c r="AI194" s="630">
        <v>5226.5020000000004</v>
      </c>
      <c r="AJ194" s="630">
        <v>0</v>
      </c>
      <c r="AK194" s="630">
        <v>0</v>
      </c>
      <c r="AL194" s="630">
        <v>0</v>
      </c>
      <c r="AM194" s="630">
        <v>119.876</v>
      </c>
      <c r="AN194" s="630">
        <v>475.47800000000001</v>
      </c>
      <c r="AO194" s="630">
        <v>0</v>
      </c>
      <c r="AP194" s="630">
        <v>5821.8559999999998</v>
      </c>
      <c r="AQ194" s="630">
        <v>0</v>
      </c>
      <c r="AR194" s="630">
        <v>5821.8559999999998</v>
      </c>
      <c r="AS194" s="630" t="s">
        <v>434</v>
      </c>
      <c r="AT194" s="630">
        <v>0</v>
      </c>
      <c r="AU194" s="630">
        <v>5253.1270000000004</v>
      </c>
      <c r="AV194" s="630">
        <v>0</v>
      </c>
      <c r="AW194" s="630" t="s">
        <v>434</v>
      </c>
      <c r="AX194" s="630">
        <v>11074.983</v>
      </c>
      <c r="AY194" s="630">
        <v>774.101</v>
      </c>
      <c r="AZ194" s="612" t="s">
        <v>430</v>
      </c>
      <c r="BA194" s="612" t="s">
        <v>431</v>
      </c>
      <c r="BB194" s="613" t="s">
        <v>553</v>
      </c>
      <c r="BC194" s="614">
        <v>8.1296552620999177E-2</v>
      </c>
      <c r="BD194" s="614">
        <v>0.42736960250120276</v>
      </c>
      <c r="BE194" s="613" t="s">
        <v>582</v>
      </c>
      <c r="BF194" s="613" t="s">
        <v>582</v>
      </c>
      <c r="BG194" s="643"/>
      <c r="BH194" s="655"/>
    </row>
    <row r="195" spans="1:60" customFormat="1">
      <c r="A195" s="601" t="s">
        <v>85</v>
      </c>
      <c r="B195" s="601" t="s">
        <v>424</v>
      </c>
      <c r="C195" s="601">
        <v>5</v>
      </c>
      <c r="D195" s="601">
        <v>107</v>
      </c>
      <c r="E195" s="623" t="s">
        <v>381</v>
      </c>
      <c r="F195" s="623" t="s">
        <v>85</v>
      </c>
      <c r="G195" s="601" t="s">
        <v>567</v>
      </c>
      <c r="H195" s="623">
        <v>2014</v>
      </c>
      <c r="I195" s="624">
        <v>-9303.2219999999998</v>
      </c>
      <c r="J195" s="625">
        <v>118806.17200000001</v>
      </c>
      <c r="K195" s="626">
        <v>-0.92734023269233146</v>
      </c>
      <c r="L195" s="626">
        <v>346.91188269999998</v>
      </c>
      <c r="M195" s="625">
        <v>1003215.613</v>
      </c>
      <c r="N195" s="627">
        <v>72328.75</v>
      </c>
      <c r="O195" s="627">
        <v>867945</v>
      </c>
      <c r="P195" s="628">
        <v>372.42142992931582</v>
      </c>
      <c r="Q195" s="625">
        <v>323241.31800000003</v>
      </c>
      <c r="R195" s="625">
        <v>323241.31800000003</v>
      </c>
      <c r="S195" s="625">
        <v>274661.21299999999</v>
      </c>
      <c r="T195" s="629">
        <v>84.970948237502213</v>
      </c>
      <c r="U195" s="625"/>
      <c r="V195" s="627">
        <v>409476</v>
      </c>
      <c r="W195" s="629">
        <v>5661.317249364879</v>
      </c>
      <c r="X195" s="627">
        <v>42472</v>
      </c>
      <c r="Y195" s="627">
        <v>7837</v>
      </c>
      <c r="Z195" s="629">
        <v>587.20771477455366</v>
      </c>
      <c r="AA195" s="629">
        <v>5.4194206966951644</v>
      </c>
      <c r="AB195" s="630">
        <v>310882.27100000001</v>
      </c>
      <c r="AC195" s="630">
        <v>0</v>
      </c>
      <c r="AD195" s="630">
        <v>0</v>
      </c>
      <c r="AE195" s="630">
        <v>0</v>
      </c>
      <c r="AF195" s="630">
        <v>0</v>
      </c>
      <c r="AG195" s="630" t="s">
        <v>434</v>
      </c>
      <c r="AH195" s="630">
        <v>310882.27100000001</v>
      </c>
      <c r="AI195" s="630">
        <v>157082.41</v>
      </c>
      <c r="AJ195" s="630">
        <v>9491.5740000000005</v>
      </c>
      <c r="AK195" s="630">
        <v>16041.699000000001</v>
      </c>
      <c r="AL195" s="630">
        <v>21093.179</v>
      </c>
      <c r="AM195" s="630">
        <v>63819.402999999998</v>
      </c>
      <c r="AN195" s="630">
        <v>7132.9480000000003</v>
      </c>
      <c r="AO195" s="630">
        <v>0</v>
      </c>
      <c r="AP195" s="630">
        <v>274661.21299999999</v>
      </c>
      <c r="AQ195" s="630">
        <v>241.29499999999999</v>
      </c>
      <c r="AR195" s="630">
        <v>274419.91800000001</v>
      </c>
      <c r="AS195" s="630" t="s">
        <v>434</v>
      </c>
      <c r="AT195" s="630">
        <v>14299.773999999999</v>
      </c>
      <c r="AU195" s="630">
        <v>42156.53</v>
      </c>
      <c r="AV195" s="630">
        <v>0</v>
      </c>
      <c r="AW195" s="630" t="s">
        <v>434</v>
      </c>
      <c r="AX195" s="630">
        <v>330876.22200000001</v>
      </c>
      <c r="AY195" s="630">
        <v>-19993.951000000001</v>
      </c>
      <c r="AZ195" s="637" t="s">
        <v>430</v>
      </c>
      <c r="BA195" s="637" t="s">
        <v>433</v>
      </c>
      <c r="BB195" s="613" t="s">
        <v>551</v>
      </c>
      <c r="BC195" s="614">
        <v>0.11842536186685125</v>
      </c>
      <c r="BD195" s="614">
        <v>3.1865155758126665E-2</v>
      </c>
      <c r="BE195" s="613" t="s">
        <v>574</v>
      </c>
      <c r="BF195" s="613" t="s">
        <v>574</v>
      </c>
      <c r="BG195" s="643"/>
      <c r="BH195" s="655"/>
    </row>
    <row r="196" spans="1:60" customFormat="1">
      <c r="A196" s="601" t="s">
        <v>64</v>
      </c>
      <c r="B196" s="601" t="s">
        <v>420</v>
      </c>
      <c r="C196" s="601">
        <v>3</v>
      </c>
      <c r="D196" s="601">
        <v>154</v>
      </c>
      <c r="E196" s="623" t="s">
        <v>375</v>
      </c>
      <c r="F196" s="623" t="s">
        <v>64</v>
      </c>
      <c r="G196" s="601" t="s">
        <v>567</v>
      </c>
      <c r="H196" s="623">
        <v>2014</v>
      </c>
      <c r="I196" s="631">
        <v>123377.647</v>
      </c>
      <c r="J196" s="631">
        <v>241575.997</v>
      </c>
      <c r="K196" s="634">
        <v>5.3384490473628796</v>
      </c>
      <c r="L196" s="634">
        <v>502.82553919999998</v>
      </c>
      <c r="M196" s="631">
        <v>2311114.0690000001</v>
      </c>
      <c r="N196" s="627">
        <v>25422.083333333332</v>
      </c>
      <c r="O196" s="632">
        <v>305065</v>
      </c>
      <c r="P196" s="635">
        <v>594.21348237260906</v>
      </c>
      <c r="Q196" s="631">
        <v>202947.177</v>
      </c>
      <c r="R196" s="631">
        <v>181273.736</v>
      </c>
      <c r="S196" s="631">
        <v>131691.361</v>
      </c>
      <c r="T196" s="633">
        <v>72.647788866667369</v>
      </c>
      <c r="U196" s="625"/>
      <c r="V196" s="632">
        <v>277890</v>
      </c>
      <c r="W196" s="633">
        <v>10931.047481684231</v>
      </c>
      <c r="X196" s="632">
        <v>22036</v>
      </c>
      <c r="Y196" s="632">
        <v>3942</v>
      </c>
      <c r="Z196" s="633">
        <v>866.80543490731486</v>
      </c>
      <c r="AA196" s="633">
        <v>5.590055809233891</v>
      </c>
      <c r="AB196" s="630">
        <v>202947.177</v>
      </c>
      <c r="AC196" s="630">
        <v>-21673.440999999999</v>
      </c>
      <c r="AD196" s="630">
        <v>0</v>
      </c>
      <c r="AE196" s="630">
        <v>0</v>
      </c>
      <c r="AF196" s="630">
        <v>0</v>
      </c>
      <c r="AG196" s="630" t="s">
        <v>434</v>
      </c>
      <c r="AH196" s="630">
        <v>181273.736</v>
      </c>
      <c r="AI196" s="630">
        <v>96970.717000000004</v>
      </c>
      <c r="AJ196" s="630">
        <v>9292.2109999999993</v>
      </c>
      <c r="AK196" s="630">
        <v>0</v>
      </c>
      <c r="AL196" s="630">
        <v>2868.2730000000001</v>
      </c>
      <c r="AM196" s="630">
        <v>22560.161</v>
      </c>
      <c r="AN196" s="630">
        <v>0</v>
      </c>
      <c r="AO196" s="630">
        <v>0</v>
      </c>
      <c r="AP196" s="630">
        <v>131691.36199999999</v>
      </c>
      <c r="AQ196" s="630">
        <v>0</v>
      </c>
      <c r="AR196" s="630">
        <v>131691.36199999999</v>
      </c>
      <c r="AS196" s="630" t="s">
        <v>434</v>
      </c>
      <c r="AT196" s="630">
        <v>3350.9929999999999</v>
      </c>
      <c r="AU196" s="630">
        <v>14944.073</v>
      </c>
      <c r="AV196" s="630">
        <v>0</v>
      </c>
      <c r="AW196" s="630" t="s">
        <v>434</v>
      </c>
      <c r="AX196" s="630">
        <v>149986.42800000001</v>
      </c>
      <c r="AY196" s="630">
        <v>31287.308000000001</v>
      </c>
      <c r="AZ196" s="637" t="s">
        <v>430</v>
      </c>
      <c r="BA196" s="637" t="s">
        <v>433</v>
      </c>
      <c r="BB196" s="613" t="s">
        <v>554</v>
      </c>
      <c r="BC196" s="614">
        <v>0.10452794184431058</v>
      </c>
      <c r="BD196" s="614">
        <v>0.16899416948901569</v>
      </c>
      <c r="BE196" s="613" t="s">
        <v>582</v>
      </c>
      <c r="BF196" s="613" t="s">
        <v>582</v>
      </c>
      <c r="BG196" s="643"/>
      <c r="BH196" s="655"/>
    </row>
    <row r="197" spans="1:60" customFormat="1">
      <c r="A197" s="612" t="s">
        <v>56</v>
      </c>
      <c r="B197" s="612" t="s">
        <v>412</v>
      </c>
      <c r="C197" s="612" t="s">
        <v>20</v>
      </c>
      <c r="D197" s="601">
        <v>155</v>
      </c>
      <c r="E197" s="623" t="s">
        <v>412</v>
      </c>
      <c r="F197" s="623" t="s">
        <v>56</v>
      </c>
      <c r="G197" s="601" t="s">
        <v>469</v>
      </c>
      <c r="H197" s="623">
        <v>2014</v>
      </c>
      <c r="I197" s="624">
        <v>138.55500000000001</v>
      </c>
      <c r="J197" s="625">
        <v>799.94200000000001</v>
      </c>
      <c r="K197" s="626">
        <v>1.2172686899569074</v>
      </c>
      <c r="L197" s="626" t="s">
        <v>434</v>
      </c>
      <c r="M197" s="625">
        <v>11382.45</v>
      </c>
      <c r="N197" s="627">
        <v>24185.416666666668</v>
      </c>
      <c r="O197" s="627">
        <v>290225</v>
      </c>
      <c r="P197" s="628">
        <v>38.75255749849255</v>
      </c>
      <c r="Q197" s="625">
        <v>11246.960999999999</v>
      </c>
      <c r="R197" s="625">
        <v>11246.960999999999</v>
      </c>
      <c r="S197" s="625">
        <v>10654.855</v>
      </c>
      <c r="T197" s="629">
        <v>94.735413415232799</v>
      </c>
      <c r="U197" s="625"/>
      <c r="V197" s="627">
        <v>16584</v>
      </c>
      <c r="W197" s="629">
        <v>685.70247221982947</v>
      </c>
      <c r="X197" s="627">
        <v>4232</v>
      </c>
      <c r="Y197" s="627">
        <v>1107</v>
      </c>
      <c r="Z197" s="629">
        <v>174.98147988629512</v>
      </c>
      <c r="AA197" s="629">
        <v>3.822944896115628</v>
      </c>
      <c r="AB197" s="630">
        <v>11246.960999999999</v>
      </c>
      <c r="AC197" s="630">
        <v>0</v>
      </c>
      <c r="AD197" s="630">
        <v>0</v>
      </c>
      <c r="AE197" s="630">
        <v>0</v>
      </c>
      <c r="AF197" s="630">
        <v>0</v>
      </c>
      <c r="AG197" s="630" t="s">
        <v>434</v>
      </c>
      <c r="AH197" s="630">
        <v>11246.960999999999</v>
      </c>
      <c r="AI197" s="630">
        <v>10654.855</v>
      </c>
      <c r="AJ197" s="630">
        <v>0</v>
      </c>
      <c r="AK197" s="630">
        <v>0</v>
      </c>
      <c r="AL197" s="630">
        <v>0</v>
      </c>
      <c r="AM197" s="630">
        <v>0</v>
      </c>
      <c r="AN197" s="630">
        <v>0</v>
      </c>
      <c r="AO197" s="630">
        <v>0</v>
      </c>
      <c r="AP197" s="630">
        <v>10654.855</v>
      </c>
      <c r="AQ197" s="630">
        <v>0</v>
      </c>
      <c r="AR197" s="630">
        <v>10654.855</v>
      </c>
      <c r="AS197" s="630" t="s">
        <v>434</v>
      </c>
      <c r="AT197" s="630">
        <v>0</v>
      </c>
      <c r="AU197" s="630">
        <v>457.64499999999998</v>
      </c>
      <c r="AV197" s="630">
        <v>163.60599999999999</v>
      </c>
      <c r="AW197" s="630" t="s">
        <v>434</v>
      </c>
      <c r="AX197" s="630">
        <v>11276.106</v>
      </c>
      <c r="AY197" s="630">
        <v>-29.143999999999998</v>
      </c>
      <c r="AZ197" s="637" t="s">
        <v>430</v>
      </c>
      <c r="BA197" s="637" t="s">
        <v>431</v>
      </c>
      <c r="BB197" s="613" t="s">
        <v>553</v>
      </c>
      <c r="BC197" s="614">
        <v>7.027854284446669E-2</v>
      </c>
      <c r="BD197" s="614">
        <v>1.2172686899569074E-2</v>
      </c>
      <c r="BE197" s="613" t="s">
        <v>573</v>
      </c>
      <c r="BF197" s="613" t="s">
        <v>573</v>
      </c>
      <c r="BG197" s="643"/>
      <c r="BH197" s="655"/>
    </row>
    <row r="198" spans="1:60" customFormat="1">
      <c r="A198" s="612" t="s">
        <v>78</v>
      </c>
      <c r="B198" s="612" t="s">
        <v>403</v>
      </c>
      <c r="C198" s="612">
        <v>80</v>
      </c>
      <c r="D198" s="601">
        <v>161</v>
      </c>
      <c r="E198" s="623" t="s">
        <v>403</v>
      </c>
      <c r="F198" s="623" t="s">
        <v>78</v>
      </c>
      <c r="G198" s="601" t="s">
        <v>567</v>
      </c>
      <c r="H198" s="623">
        <v>2014</v>
      </c>
      <c r="I198" s="624">
        <v>9282.9629999999997</v>
      </c>
      <c r="J198" s="625">
        <v>40601.404000000002</v>
      </c>
      <c r="K198" s="626">
        <v>4.4905933859792482</v>
      </c>
      <c r="L198" s="626">
        <v>132.01850630000001</v>
      </c>
      <c r="M198" s="625">
        <v>206720.18599999999</v>
      </c>
      <c r="N198" s="627">
        <v>21459.166666666668</v>
      </c>
      <c r="O198" s="627">
        <v>257510</v>
      </c>
      <c r="P198" s="628">
        <v>396.84460020970062</v>
      </c>
      <c r="Q198" s="625">
        <v>102792.087</v>
      </c>
      <c r="R198" s="625">
        <v>102191.45299999999</v>
      </c>
      <c r="S198" s="625">
        <v>90386.341</v>
      </c>
      <c r="T198" s="629">
        <v>88.44804369304741</v>
      </c>
      <c r="U198" s="625"/>
      <c r="V198" s="627">
        <v>202783</v>
      </c>
      <c r="W198" s="629">
        <v>9449.7145741912937</v>
      </c>
      <c r="X198" s="627">
        <v>13261</v>
      </c>
      <c r="Y198" s="627">
        <v>2475</v>
      </c>
      <c r="Z198" s="629">
        <v>617.96435089899421</v>
      </c>
      <c r="AA198" s="629">
        <v>5.3579797979797981</v>
      </c>
      <c r="AB198" s="630">
        <v>102191.45299999999</v>
      </c>
      <c r="AC198" s="630">
        <v>0</v>
      </c>
      <c r="AD198" s="630">
        <v>0</v>
      </c>
      <c r="AE198" s="630">
        <v>0</v>
      </c>
      <c r="AF198" s="630">
        <v>0</v>
      </c>
      <c r="AG198" s="630" t="s">
        <v>434</v>
      </c>
      <c r="AH198" s="630">
        <v>102191.45299999999</v>
      </c>
      <c r="AI198" s="630">
        <v>42268.26</v>
      </c>
      <c r="AJ198" s="630">
        <v>4004.998</v>
      </c>
      <c r="AK198" s="630">
        <v>0</v>
      </c>
      <c r="AL198" s="630">
        <v>3771.6909999999998</v>
      </c>
      <c r="AM198" s="630">
        <v>20219.195</v>
      </c>
      <c r="AN198" s="630">
        <v>20362.291000000001</v>
      </c>
      <c r="AO198" s="630">
        <v>0</v>
      </c>
      <c r="AP198" s="630">
        <v>90626.434999999998</v>
      </c>
      <c r="AQ198" s="630">
        <v>240.095</v>
      </c>
      <c r="AR198" s="630">
        <v>90386.34</v>
      </c>
      <c r="AS198" s="630" t="s">
        <v>434</v>
      </c>
      <c r="AT198" s="630">
        <v>3086.319</v>
      </c>
      <c r="AU198" s="630">
        <v>23061.612000000001</v>
      </c>
      <c r="AV198" s="630">
        <v>-2340.4279999999999</v>
      </c>
      <c r="AW198" s="630" t="s">
        <v>434</v>
      </c>
      <c r="AX198" s="630">
        <v>114193.84299999999</v>
      </c>
      <c r="AY198" s="630">
        <v>-12002.39</v>
      </c>
      <c r="AZ198" s="612">
        <v>0</v>
      </c>
      <c r="BA198" s="612">
        <v>0</v>
      </c>
      <c r="BB198" s="613" t="s">
        <v>553</v>
      </c>
      <c r="BC198" s="614">
        <v>0.19640754386705131</v>
      </c>
      <c r="BD198" s="614">
        <v>-8.0887980797525377E-2</v>
      </c>
      <c r="BE198" s="613" t="s">
        <v>569</v>
      </c>
      <c r="BF198" s="613" t="s">
        <v>569</v>
      </c>
      <c r="BG198" s="643"/>
      <c r="BH198" s="655"/>
    </row>
    <row r="199" spans="1:60" customFormat="1">
      <c r="A199" s="601" t="s">
        <v>77</v>
      </c>
      <c r="B199" s="601" t="s">
        <v>425</v>
      </c>
      <c r="C199" s="601">
        <v>8</v>
      </c>
      <c r="D199" s="601">
        <v>166</v>
      </c>
      <c r="E199" s="623" t="s">
        <v>385</v>
      </c>
      <c r="F199" s="623" t="s">
        <v>77</v>
      </c>
      <c r="G199" s="601" t="s">
        <v>469</v>
      </c>
      <c r="H199" s="623">
        <v>2014</v>
      </c>
      <c r="I199" s="624">
        <v>-3743.2829999999999</v>
      </c>
      <c r="J199" s="625">
        <v>8197.9419999999991</v>
      </c>
      <c r="K199" s="626">
        <v>-5.9709542613383366</v>
      </c>
      <c r="L199" s="626">
        <v>193.5412321</v>
      </c>
      <c r="M199" s="625">
        <v>62691.536999999997</v>
      </c>
      <c r="N199" s="627">
        <v>16048.75</v>
      </c>
      <c r="O199" s="627">
        <v>192585</v>
      </c>
      <c r="P199" s="628">
        <v>324.91063686164551</v>
      </c>
      <c r="Q199" s="625">
        <v>63160.474999999999</v>
      </c>
      <c r="R199" s="625">
        <v>62572.915000000001</v>
      </c>
      <c r="S199" s="625">
        <v>58237.071000000004</v>
      </c>
      <c r="T199" s="629">
        <v>93.070733559400267</v>
      </c>
      <c r="U199" s="625"/>
      <c r="V199" s="627">
        <v>130927</v>
      </c>
      <c r="W199" s="629">
        <v>8158.080847418023</v>
      </c>
      <c r="X199" s="627">
        <v>7242</v>
      </c>
      <c r="Y199" s="627">
        <v>1517</v>
      </c>
      <c r="Z199" s="629">
        <v>451.25009735960742</v>
      </c>
      <c r="AA199" s="629">
        <v>4.7738958470665791</v>
      </c>
      <c r="AB199" s="630">
        <v>62572.915000000001</v>
      </c>
      <c r="AC199" s="630">
        <v>0</v>
      </c>
      <c r="AD199" s="630">
        <v>0</v>
      </c>
      <c r="AE199" s="630">
        <v>0</v>
      </c>
      <c r="AF199" s="630">
        <v>118.622</v>
      </c>
      <c r="AG199" s="630" t="s">
        <v>434</v>
      </c>
      <c r="AH199" s="630">
        <v>62691.536999999997</v>
      </c>
      <c r="AI199" s="630">
        <v>38295.065999999999</v>
      </c>
      <c r="AJ199" s="630">
        <v>1287.569</v>
      </c>
      <c r="AK199" s="630">
        <v>2267.7089999999998</v>
      </c>
      <c r="AL199" s="630">
        <v>521.28899999999999</v>
      </c>
      <c r="AM199" s="630">
        <v>15749.753000000001</v>
      </c>
      <c r="AN199" s="630">
        <v>14.565</v>
      </c>
      <c r="AO199" s="630">
        <v>101.12</v>
      </c>
      <c r="AP199" s="630">
        <v>58237.071000000004</v>
      </c>
      <c r="AQ199" s="630">
        <v>139.74199999999999</v>
      </c>
      <c r="AR199" s="630">
        <v>58097.328999999998</v>
      </c>
      <c r="AS199" s="630" t="s">
        <v>434</v>
      </c>
      <c r="AT199" s="630">
        <v>346.19299999999998</v>
      </c>
      <c r="AU199" s="630">
        <v>8197.9419999999991</v>
      </c>
      <c r="AV199" s="630">
        <v>0</v>
      </c>
      <c r="AW199" s="630" t="s">
        <v>434</v>
      </c>
      <c r="AX199" s="630">
        <v>66641.464000000007</v>
      </c>
      <c r="AY199" s="630">
        <v>-3949.9270000000001</v>
      </c>
      <c r="AZ199" s="612">
        <v>0</v>
      </c>
      <c r="BA199" s="612">
        <v>0</v>
      </c>
      <c r="BB199" s="613" t="s">
        <v>553</v>
      </c>
      <c r="BC199" s="614">
        <v>0.13076632656174947</v>
      </c>
      <c r="BD199" s="614">
        <v>-5.9709542613383369E-2</v>
      </c>
      <c r="BE199" s="613" t="s">
        <v>570</v>
      </c>
      <c r="BF199" s="613" t="s">
        <v>570</v>
      </c>
      <c r="BG199" s="643"/>
      <c r="BH199" s="655"/>
    </row>
    <row r="200" spans="1:60" customFormat="1">
      <c r="A200" s="612" t="s">
        <v>56</v>
      </c>
      <c r="B200" s="612" t="s">
        <v>407</v>
      </c>
      <c r="C200" s="612">
        <v>92</v>
      </c>
      <c r="D200" s="601">
        <v>168</v>
      </c>
      <c r="E200" s="623" t="s">
        <v>407</v>
      </c>
      <c r="F200" s="623" t="s">
        <v>56</v>
      </c>
      <c r="G200" s="601" t="s">
        <v>567</v>
      </c>
      <c r="H200" s="623">
        <v>2014</v>
      </c>
      <c r="I200" s="624">
        <v>521.97799999999995</v>
      </c>
      <c r="J200" s="625">
        <v>83207.759999999995</v>
      </c>
      <c r="K200" s="626">
        <v>7.8641961094013391E-2</v>
      </c>
      <c r="L200" s="626">
        <v>104.89330270000001</v>
      </c>
      <c r="M200" s="625">
        <v>663739.80599999998</v>
      </c>
      <c r="N200" s="627">
        <v>13973</v>
      </c>
      <c r="O200" s="627">
        <v>167676</v>
      </c>
      <c r="P200" s="628">
        <v>270.1154726973449</v>
      </c>
      <c r="Q200" s="625">
        <v>45097.014999999999</v>
      </c>
      <c r="R200" s="625">
        <v>45291.881999999998</v>
      </c>
      <c r="S200" s="625">
        <v>41241.654000000002</v>
      </c>
      <c r="T200" s="629">
        <v>91.057496793796304</v>
      </c>
      <c r="U200" s="625"/>
      <c r="V200" s="627">
        <v>5754</v>
      </c>
      <c r="W200" s="629">
        <v>411.79417447935305</v>
      </c>
      <c r="X200" s="627">
        <v>6136</v>
      </c>
      <c r="Y200" s="627">
        <v>1360</v>
      </c>
      <c r="Z200" s="629">
        <v>439.13261289630003</v>
      </c>
      <c r="AA200" s="629">
        <v>4.5117647058823529</v>
      </c>
      <c r="AB200" s="630">
        <v>44920.351000000002</v>
      </c>
      <c r="AC200" s="630">
        <v>0</v>
      </c>
      <c r="AD200" s="630">
        <v>0</v>
      </c>
      <c r="AE200" s="630">
        <v>0</v>
      </c>
      <c r="AF200" s="630">
        <v>0</v>
      </c>
      <c r="AG200" s="630" t="s">
        <v>434</v>
      </c>
      <c r="AH200" s="630">
        <v>44920.351000000002</v>
      </c>
      <c r="AI200" s="630">
        <v>28200.422999999999</v>
      </c>
      <c r="AJ200" s="630">
        <v>3529.6790000000001</v>
      </c>
      <c r="AK200" s="630">
        <v>0</v>
      </c>
      <c r="AL200" s="630">
        <v>1620.0530000000001</v>
      </c>
      <c r="AM200" s="630">
        <v>7699.2030000000004</v>
      </c>
      <c r="AN200" s="630">
        <v>0</v>
      </c>
      <c r="AO200" s="630">
        <v>192.29599999999999</v>
      </c>
      <c r="AP200" s="630">
        <v>41241.654000000002</v>
      </c>
      <c r="AQ200" s="630">
        <v>313.74799999999999</v>
      </c>
      <c r="AR200" s="630">
        <v>40927.906000000003</v>
      </c>
      <c r="AS200" s="630" t="s">
        <v>434</v>
      </c>
      <c r="AT200" s="630">
        <v>239.66900000000001</v>
      </c>
      <c r="AU200" s="630">
        <v>5251.5379999999996</v>
      </c>
      <c r="AV200" s="630">
        <v>0</v>
      </c>
      <c r="AW200" s="630" t="s">
        <v>434</v>
      </c>
      <c r="AX200" s="630">
        <v>46419.112999999998</v>
      </c>
      <c r="AY200" s="630">
        <v>-1498.7619999999999</v>
      </c>
      <c r="AZ200" s="612">
        <v>0</v>
      </c>
      <c r="BA200" s="612">
        <v>0</v>
      </c>
      <c r="BB200" s="613" t="s">
        <v>553</v>
      </c>
      <c r="BC200" s="614">
        <v>0.12536201572939865</v>
      </c>
      <c r="BD200" s="614">
        <v>-3.5936983667361644E-2</v>
      </c>
      <c r="BE200" s="613" t="s">
        <v>571</v>
      </c>
      <c r="BF200" s="613" t="s">
        <v>571</v>
      </c>
      <c r="BG200" s="643"/>
      <c r="BH200" s="655"/>
    </row>
    <row r="201" spans="1:60" customFormat="1">
      <c r="A201" s="601" t="s">
        <v>56</v>
      </c>
      <c r="B201" s="601" t="s">
        <v>424</v>
      </c>
      <c r="C201" s="601">
        <v>5</v>
      </c>
      <c r="D201" s="601">
        <v>175</v>
      </c>
      <c r="E201" s="623" t="s">
        <v>383</v>
      </c>
      <c r="F201" s="623" t="s">
        <v>56</v>
      </c>
      <c r="G201" s="601" t="s">
        <v>567</v>
      </c>
      <c r="H201" s="623">
        <v>2014</v>
      </c>
      <c r="I201" s="624">
        <v>2701.86</v>
      </c>
      <c r="J201" s="625">
        <v>75097.544999999998</v>
      </c>
      <c r="K201" s="626">
        <v>0.38552640450276621</v>
      </c>
      <c r="L201" s="626">
        <v>459.95701550000001</v>
      </c>
      <c r="M201" s="625">
        <v>700823.59299999999</v>
      </c>
      <c r="N201" s="627">
        <v>11537.083333333334</v>
      </c>
      <c r="O201" s="627">
        <v>138445</v>
      </c>
      <c r="P201" s="628">
        <v>227.60495503629599</v>
      </c>
      <c r="Q201" s="625">
        <v>31510.768</v>
      </c>
      <c r="R201" s="625">
        <v>31510.768</v>
      </c>
      <c r="S201" s="625">
        <v>26151.309000000001</v>
      </c>
      <c r="T201" s="629">
        <v>82.991658597467378</v>
      </c>
      <c r="U201" s="625"/>
      <c r="V201" s="627">
        <v>43959</v>
      </c>
      <c r="W201" s="629">
        <v>3810.2351114160856</v>
      </c>
      <c r="X201" s="627">
        <v>2730</v>
      </c>
      <c r="Y201" s="627">
        <v>622</v>
      </c>
      <c r="Z201" s="629">
        <v>236.62826393152517</v>
      </c>
      <c r="AA201" s="629">
        <v>4.389067524115756</v>
      </c>
      <c r="AB201" s="630">
        <v>31510.768</v>
      </c>
      <c r="AC201" s="630">
        <v>0</v>
      </c>
      <c r="AD201" s="630">
        <v>0</v>
      </c>
      <c r="AE201" s="630">
        <v>0</v>
      </c>
      <c r="AF201" s="630">
        <v>0</v>
      </c>
      <c r="AG201" s="630" t="s">
        <v>434</v>
      </c>
      <c r="AH201" s="630">
        <v>31510.768</v>
      </c>
      <c r="AI201" s="630">
        <v>19140.326000000001</v>
      </c>
      <c r="AJ201" s="630">
        <v>-2.9000000000000001E-2</v>
      </c>
      <c r="AK201" s="630">
        <v>100.944</v>
      </c>
      <c r="AL201" s="630">
        <v>0</v>
      </c>
      <c r="AM201" s="630">
        <v>3528.8180000000002</v>
      </c>
      <c r="AN201" s="630">
        <v>0</v>
      </c>
      <c r="AO201" s="630">
        <v>3381.25</v>
      </c>
      <c r="AP201" s="630">
        <v>26151.309000000001</v>
      </c>
      <c r="AQ201" s="630">
        <v>0</v>
      </c>
      <c r="AR201" s="630">
        <v>26151.309000000001</v>
      </c>
      <c r="AS201" s="630" t="s">
        <v>434</v>
      </c>
      <c r="AT201" s="630">
        <v>432.66899999999998</v>
      </c>
      <c r="AU201" s="630">
        <v>3379.895</v>
      </c>
      <c r="AV201" s="630">
        <v>0</v>
      </c>
      <c r="AW201" s="630" t="s">
        <v>434</v>
      </c>
      <c r="AX201" s="630">
        <v>29963.873</v>
      </c>
      <c r="AY201" s="630">
        <v>1546.895</v>
      </c>
      <c r="AZ201" s="612">
        <v>0</v>
      </c>
      <c r="BA201" s="612">
        <v>0</v>
      </c>
      <c r="BB201" s="613" t="s">
        <v>553</v>
      </c>
      <c r="BC201" s="614">
        <v>0.10715613137185009</v>
      </c>
      <c r="BD201" s="614">
        <v>6.2927282653476135E-2</v>
      </c>
      <c r="BE201" s="613" t="s">
        <v>575</v>
      </c>
      <c r="BF201" s="613" t="s">
        <v>575</v>
      </c>
      <c r="BG201" s="643"/>
      <c r="BH201" s="655"/>
    </row>
    <row r="202" spans="1:60" customFormat="1">
      <c r="A202" s="612" t="s">
        <v>92</v>
      </c>
      <c r="B202" s="612" t="s">
        <v>406</v>
      </c>
      <c r="C202" s="612">
        <v>91</v>
      </c>
      <c r="D202" s="601">
        <v>178</v>
      </c>
      <c r="E202" s="623" t="s">
        <v>406</v>
      </c>
      <c r="F202" s="623" t="s">
        <v>92</v>
      </c>
      <c r="G202" s="601" t="s">
        <v>469</v>
      </c>
      <c r="H202" s="623">
        <v>2014</v>
      </c>
      <c r="I202" s="624">
        <v>-325.584</v>
      </c>
      <c r="J202" s="625">
        <v>5576.0709999999999</v>
      </c>
      <c r="K202" s="626">
        <v>-0.69521785121901525</v>
      </c>
      <c r="L202" s="626">
        <v>507.37357259999999</v>
      </c>
      <c r="M202" s="625">
        <v>46831.938999999998</v>
      </c>
      <c r="N202" s="627">
        <v>10134.333333333334</v>
      </c>
      <c r="O202" s="627">
        <v>121612</v>
      </c>
      <c r="P202" s="628">
        <v>387.94371443607537</v>
      </c>
      <c r="Q202" s="625">
        <v>47178.610999999997</v>
      </c>
      <c r="R202" s="625">
        <v>47178.610999999997</v>
      </c>
      <c r="S202" s="625">
        <v>45970.639000000003</v>
      </c>
      <c r="T202" s="629">
        <v>97.439577015101207</v>
      </c>
      <c r="U202" s="625"/>
      <c r="V202" s="627">
        <v>86607</v>
      </c>
      <c r="W202" s="629">
        <v>8545.9000756504283</v>
      </c>
      <c r="X202" s="627">
        <v>6937</v>
      </c>
      <c r="Y202" s="627">
        <v>1798</v>
      </c>
      <c r="Z202" s="629">
        <v>684.50481860342734</v>
      </c>
      <c r="AA202" s="629">
        <v>3.8581757508342602</v>
      </c>
      <c r="AB202" s="630">
        <v>46870.065000000002</v>
      </c>
      <c r="AC202" s="630">
        <v>0</v>
      </c>
      <c r="AD202" s="630">
        <v>0</v>
      </c>
      <c r="AE202" s="630">
        <v>0</v>
      </c>
      <c r="AF202" s="630">
        <v>0</v>
      </c>
      <c r="AG202" s="630" t="s">
        <v>434</v>
      </c>
      <c r="AH202" s="630">
        <v>46870.065000000002</v>
      </c>
      <c r="AI202" s="630">
        <v>29149.119999999999</v>
      </c>
      <c r="AJ202" s="630">
        <v>650.29</v>
      </c>
      <c r="AK202" s="630">
        <v>0</v>
      </c>
      <c r="AL202" s="630">
        <v>2519.38</v>
      </c>
      <c r="AM202" s="630">
        <v>13924.86</v>
      </c>
      <c r="AN202" s="630">
        <v>0</v>
      </c>
      <c r="AO202" s="630">
        <v>-273.01</v>
      </c>
      <c r="AP202" s="630">
        <v>45970.639000000003</v>
      </c>
      <c r="AQ202" s="630">
        <v>3220.7089999999998</v>
      </c>
      <c r="AR202" s="630">
        <v>42749.930999999997</v>
      </c>
      <c r="AS202" s="630" t="s">
        <v>434</v>
      </c>
      <c r="AT202" s="630">
        <v>1617.2329999999999</v>
      </c>
      <c r="AU202" s="630">
        <v>5576.0709999999999</v>
      </c>
      <c r="AV202" s="630">
        <v>-1930</v>
      </c>
      <c r="AW202" s="630" t="s">
        <v>434</v>
      </c>
      <c r="AX202" s="630">
        <v>48013.235000000001</v>
      </c>
      <c r="AY202" s="630">
        <v>-1143.1690000000001</v>
      </c>
      <c r="AZ202" s="612">
        <v>0</v>
      </c>
      <c r="BA202" s="612">
        <v>0</v>
      </c>
      <c r="BB202" s="613" t="s">
        <v>553</v>
      </c>
      <c r="BC202" s="614">
        <v>0.1190655590835135</v>
      </c>
      <c r="BD202" s="614">
        <v>-6.9521785121901521E-3</v>
      </c>
      <c r="BE202" s="613" t="s">
        <v>572</v>
      </c>
      <c r="BF202" s="613" t="s">
        <v>572</v>
      </c>
      <c r="BG202" s="643"/>
      <c r="BH202" s="655"/>
    </row>
    <row r="203" spans="1:60" customFormat="1">
      <c r="A203" s="612" t="s">
        <v>56</v>
      </c>
      <c r="B203" s="612" t="s">
        <v>411</v>
      </c>
      <c r="C203" s="612">
        <v>101</v>
      </c>
      <c r="D203" s="601">
        <v>185</v>
      </c>
      <c r="E203" s="623" t="s">
        <v>411</v>
      </c>
      <c r="F203" s="623" t="s">
        <v>56</v>
      </c>
      <c r="G203" s="601" t="s">
        <v>567</v>
      </c>
      <c r="H203" s="623">
        <v>2014</v>
      </c>
      <c r="I203" s="624">
        <v>11717.757</v>
      </c>
      <c r="J203" s="625">
        <v>2465.8270000000002</v>
      </c>
      <c r="K203" s="626">
        <v>24.456833826268344</v>
      </c>
      <c r="L203" s="626">
        <v>1618.9608241999999</v>
      </c>
      <c r="M203" s="625">
        <v>47911.995000000003</v>
      </c>
      <c r="N203" s="627">
        <v>7723.333333333333</v>
      </c>
      <c r="O203" s="627">
        <v>92680</v>
      </c>
      <c r="P203" s="628">
        <v>197.74461588260681</v>
      </c>
      <c r="Q203" s="625">
        <v>18326.971000000001</v>
      </c>
      <c r="R203" s="625">
        <v>18326.971000000001</v>
      </c>
      <c r="S203" s="625">
        <v>13506.293</v>
      </c>
      <c r="T203" s="629">
        <v>73.696264374511202</v>
      </c>
      <c r="U203" s="625"/>
      <c r="V203" s="627">
        <v>77402</v>
      </c>
      <c r="W203" s="629">
        <v>10021.838584376348</v>
      </c>
      <c r="X203" s="627">
        <v>1675</v>
      </c>
      <c r="Y203" s="627">
        <v>443</v>
      </c>
      <c r="Z203" s="629">
        <v>216.87526974536038</v>
      </c>
      <c r="AA203" s="629">
        <v>3.7810383747178329</v>
      </c>
      <c r="AB203" s="630">
        <v>18272.29</v>
      </c>
      <c r="AC203" s="630">
        <v>0</v>
      </c>
      <c r="AD203" s="630">
        <v>0</v>
      </c>
      <c r="AE203" s="630">
        <v>0</v>
      </c>
      <c r="AF203" s="630">
        <v>35.332000000000001</v>
      </c>
      <c r="AG203" s="630" t="s">
        <v>434</v>
      </c>
      <c r="AH203" s="630">
        <v>18307.621999999999</v>
      </c>
      <c r="AI203" s="630">
        <v>6770.3109999999997</v>
      </c>
      <c r="AJ203" s="630">
        <v>2083.777</v>
      </c>
      <c r="AK203" s="630">
        <v>684.19100000000003</v>
      </c>
      <c r="AL203" s="630">
        <v>1641.039</v>
      </c>
      <c r="AM203" s="630">
        <v>2326.9749999999999</v>
      </c>
      <c r="AN203" s="630">
        <v>0</v>
      </c>
      <c r="AO203" s="630">
        <v>0</v>
      </c>
      <c r="AP203" s="630">
        <v>13506.293</v>
      </c>
      <c r="AQ203" s="630">
        <v>0</v>
      </c>
      <c r="AR203" s="630">
        <v>13506.293</v>
      </c>
      <c r="AS203" s="630" t="s">
        <v>434</v>
      </c>
      <c r="AT203" s="630">
        <v>891.7</v>
      </c>
      <c r="AU203" s="630">
        <v>1009.798</v>
      </c>
      <c r="AV203" s="630">
        <v>0</v>
      </c>
      <c r="AW203" s="630" t="s">
        <v>434</v>
      </c>
      <c r="AX203" s="630">
        <v>15407.790999999999</v>
      </c>
      <c r="AY203" s="630">
        <v>2899.8310000000001</v>
      </c>
      <c r="AZ203" s="612">
        <v>0</v>
      </c>
      <c r="BA203" s="612">
        <v>0</v>
      </c>
      <c r="BB203" s="613" t="s">
        <v>553</v>
      </c>
      <c r="BC203" s="614">
        <v>5.1465755078660365E-2</v>
      </c>
      <c r="BD203" s="614">
        <v>0.21157160117622764</v>
      </c>
      <c r="BE203" s="613" t="s">
        <v>582</v>
      </c>
      <c r="BF203" s="613" t="s">
        <v>582</v>
      </c>
      <c r="BG203" s="643"/>
      <c r="BH203" s="655"/>
    </row>
    <row r="204" spans="1:60" customFormat="1">
      <c r="A204" s="601" t="s">
        <v>56</v>
      </c>
      <c r="B204" s="601" t="s">
        <v>418</v>
      </c>
      <c r="C204" s="601">
        <v>1</v>
      </c>
      <c r="D204" s="601">
        <v>191</v>
      </c>
      <c r="E204" s="623" t="s">
        <v>370</v>
      </c>
      <c r="F204" s="623" t="s">
        <v>56</v>
      </c>
      <c r="G204" s="601" t="s">
        <v>469</v>
      </c>
      <c r="H204" s="623">
        <v>2014</v>
      </c>
      <c r="I204" s="631">
        <v>1914.848</v>
      </c>
      <c r="J204" s="631">
        <v>1505.201</v>
      </c>
      <c r="K204" s="634">
        <v>10.550390626850941</v>
      </c>
      <c r="L204" s="634">
        <v>706.45049100000006</v>
      </c>
      <c r="M204" s="631">
        <v>18149.545999999998</v>
      </c>
      <c r="N204" s="627">
        <v>3708.4166666666665</v>
      </c>
      <c r="O204" s="632">
        <v>44501</v>
      </c>
      <c r="P204" s="635">
        <v>390.25678074650006</v>
      </c>
      <c r="Q204" s="631">
        <v>17621.896000000001</v>
      </c>
      <c r="R204" s="631">
        <v>17366.816999999999</v>
      </c>
      <c r="S204" s="631">
        <v>15472.522000000001</v>
      </c>
      <c r="T204" s="633">
        <v>89.0924456680807</v>
      </c>
      <c r="U204" s="625"/>
      <c r="V204" s="632">
        <v>44525</v>
      </c>
      <c r="W204" s="633">
        <v>12006.471764679445</v>
      </c>
      <c r="X204" s="632">
        <v>2354</v>
      </c>
      <c r="Y204" s="632">
        <v>461</v>
      </c>
      <c r="Z204" s="633">
        <v>634.77225230893691</v>
      </c>
      <c r="AA204" s="633">
        <v>5.1062906724511929</v>
      </c>
      <c r="AB204" s="630">
        <v>17621.896000000001</v>
      </c>
      <c r="AC204" s="630">
        <v>-255.08</v>
      </c>
      <c r="AD204" s="630">
        <v>0</v>
      </c>
      <c r="AE204" s="630">
        <v>0</v>
      </c>
      <c r="AF204" s="630">
        <v>0</v>
      </c>
      <c r="AG204" s="630" t="s">
        <v>434</v>
      </c>
      <c r="AH204" s="630">
        <v>17366.815999999999</v>
      </c>
      <c r="AI204" s="630">
        <v>6189.9170000000004</v>
      </c>
      <c r="AJ204" s="630">
        <v>2065.4450000000002</v>
      </c>
      <c r="AK204" s="630">
        <v>1847.345</v>
      </c>
      <c r="AL204" s="630">
        <v>2824.4160000000002</v>
      </c>
      <c r="AM204" s="630">
        <v>2545.4</v>
      </c>
      <c r="AN204" s="630">
        <v>0</v>
      </c>
      <c r="AO204" s="630">
        <v>0</v>
      </c>
      <c r="AP204" s="630">
        <v>15472.522999999999</v>
      </c>
      <c r="AQ204" s="630">
        <v>0</v>
      </c>
      <c r="AR204" s="630">
        <v>15472.522999999999</v>
      </c>
      <c r="AS204" s="630" t="s">
        <v>434</v>
      </c>
      <c r="AT204" s="630">
        <v>184.70699999999999</v>
      </c>
      <c r="AU204" s="630">
        <v>1295.4090000000001</v>
      </c>
      <c r="AV204" s="630">
        <v>-738</v>
      </c>
      <c r="AW204" s="630" t="s">
        <v>434</v>
      </c>
      <c r="AX204" s="630">
        <v>16214.638999999999</v>
      </c>
      <c r="AY204" s="630">
        <v>1152.1769999999999</v>
      </c>
      <c r="AZ204" s="612">
        <v>0</v>
      </c>
      <c r="BA204" s="612">
        <v>0</v>
      </c>
      <c r="BB204" s="613" t="s">
        <v>553</v>
      </c>
      <c r="BC204" s="614">
        <v>8.2933259046810329E-2</v>
      </c>
      <c r="BD204" s="614">
        <v>0.10550390626850942</v>
      </c>
      <c r="BE204" s="613" t="s">
        <v>581</v>
      </c>
      <c r="BF204" s="613" t="s">
        <v>581</v>
      </c>
      <c r="BG204" s="643"/>
      <c r="BH204" s="655"/>
    </row>
    <row r="205" spans="1:60" customFormat="1">
      <c r="A205" s="612" t="s">
        <v>56</v>
      </c>
      <c r="B205" s="601" t="s">
        <v>423</v>
      </c>
      <c r="C205" s="612">
        <v>7</v>
      </c>
      <c r="D205" s="601">
        <v>192</v>
      </c>
      <c r="E205" s="623" t="s">
        <v>216</v>
      </c>
      <c r="F205" s="623" t="s">
        <v>56</v>
      </c>
      <c r="G205" s="601" t="s">
        <v>469</v>
      </c>
      <c r="H205" s="623">
        <v>2014</v>
      </c>
      <c r="I205" s="624">
        <v>-14700.764999999999</v>
      </c>
      <c r="J205" s="625">
        <v>15465.302</v>
      </c>
      <c r="K205" s="626">
        <v>-150.17577312747449</v>
      </c>
      <c r="L205" s="626">
        <v>887.65100270000005</v>
      </c>
      <c r="M205" s="625">
        <v>9789.0390000000007</v>
      </c>
      <c r="N205" s="627">
        <v>3552.6666666666665</v>
      </c>
      <c r="O205" s="627">
        <v>42632</v>
      </c>
      <c r="P205" s="628">
        <v>232.1581206605367</v>
      </c>
      <c r="Q205" s="625">
        <v>9897.3649999999998</v>
      </c>
      <c r="R205" s="625">
        <v>9897.3649999999998</v>
      </c>
      <c r="S205" s="625">
        <v>6628.4120000000003</v>
      </c>
      <c r="T205" s="629">
        <v>66.971481803490136</v>
      </c>
      <c r="U205" s="625"/>
      <c r="V205" s="627">
        <v>30199</v>
      </c>
      <c r="W205" s="629">
        <v>8500.3753049352599</v>
      </c>
      <c r="X205" s="627">
        <v>1362</v>
      </c>
      <c r="Y205" s="627">
        <v>351</v>
      </c>
      <c r="Z205" s="629">
        <v>383.37399136798649</v>
      </c>
      <c r="AA205" s="629">
        <v>3.8803418803418803</v>
      </c>
      <c r="AB205" s="630">
        <v>9789.0390000000007</v>
      </c>
      <c r="AC205" s="630">
        <v>0</v>
      </c>
      <c r="AD205" s="630">
        <v>0</v>
      </c>
      <c r="AE205" s="630">
        <v>0</v>
      </c>
      <c r="AF205" s="630">
        <v>0</v>
      </c>
      <c r="AG205" s="630" t="s">
        <v>434</v>
      </c>
      <c r="AH205" s="630">
        <v>9789.0390000000007</v>
      </c>
      <c r="AI205" s="630">
        <v>1622.6420000000001</v>
      </c>
      <c r="AJ205" s="630">
        <v>1758.2829999999999</v>
      </c>
      <c r="AK205" s="630">
        <v>6.04</v>
      </c>
      <c r="AL205" s="630">
        <v>945.14300000000003</v>
      </c>
      <c r="AM205" s="630">
        <v>2220.6709999999998</v>
      </c>
      <c r="AN205" s="630">
        <v>75.632999999999996</v>
      </c>
      <c r="AO205" s="630">
        <v>0</v>
      </c>
      <c r="AP205" s="630">
        <v>6628.4120000000003</v>
      </c>
      <c r="AQ205" s="630">
        <v>0</v>
      </c>
      <c r="AR205" s="630">
        <v>6628.4120000000003</v>
      </c>
      <c r="AS205" s="630" t="s">
        <v>434</v>
      </c>
      <c r="AT205" s="630">
        <v>4183.2359999999999</v>
      </c>
      <c r="AU205" s="630">
        <v>15465.302</v>
      </c>
      <c r="AV205" s="630">
        <v>-1766.0229999999999</v>
      </c>
      <c r="AW205" s="630" t="s">
        <v>434</v>
      </c>
      <c r="AX205" s="630">
        <v>24510.927</v>
      </c>
      <c r="AY205" s="630">
        <v>-14721.888000000001</v>
      </c>
      <c r="AZ205" s="612" t="s">
        <v>430</v>
      </c>
      <c r="BA205" s="612" t="s">
        <v>431</v>
      </c>
      <c r="BB205" s="613" t="s">
        <v>553</v>
      </c>
      <c r="BC205" s="614">
        <v>1.5798590648172919</v>
      </c>
      <c r="BD205" s="614">
        <v>-1.5017577312747448</v>
      </c>
      <c r="BE205" s="613" t="s">
        <v>580</v>
      </c>
      <c r="BF205" s="613" t="s">
        <v>614</v>
      </c>
      <c r="BG205" s="643"/>
      <c r="BH205" s="655"/>
    </row>
    <row r="206" spans="1:60" customFormat="1">
      <c r="A206" s="601" t="s">
        <v>56</v>
      </c>
      <c r="B206" s="601" t="s">
        <v>418</v>
      </c>
      <c r="C206" s="601">
        <v>1</v>
      </c>
      <c r="D206" s="601">
        <v>194</v>
      </c>
      <c r="E206" s="623" t="s">
        <v>371</v>
      </c>
      <c r="F206" s="623" t="s">
        <v>56</v>
      </c>
      <c r="G206" s="601" t="s">
        <v>567</v>
      </c>
      <c r="H206" s="623">
        <v>2014</v>
      </c>
      <c r="I206" s="631">
        <v>19920.999</v>
      </c>
      <c r="J206" s="631">
        <v>52712.754000000001</v>
      </c>
      <c r="K206" s="634">
        <v>3.4049807861801056</v>
      </c>
      <c r="L206" s="634">
        <v>600.08765289999997</v>
      </c>
      <c r="M206" s="631">
        <v>585054.66700000002</v>
      </c>
      <c r="N206" s="627">
        <v>2692</v>
      </c>
      <c r="O206" s="632">
        <v>32304</v>
      </c>
      <c r="P206" s="635">
        <v>332.49789499752353</v>
      </c>
      <c r="Q206" s="631">
        <v>11052.102000000001</v>
      </c>
      <c r="R206" s="631">
        <v>10741.012000000001</v>
      </c>
      <c r="S206" s="631">
        <v>8498.6419999999998</v>
      </c>
      <c r="T206" s="633">
        <v>79.123289313893324</v>
      </c>
      <c r="U206" s="625"/>
      <c r="V206" s="632">
        <v>1924</v>
      </c>
      <c r="W206" s="633">
        <v>714.71025260029717</v>
      </c>
      <c r="X206" s="632">
        <v>1531</v>
      </c>
      <c r="Y206" s="632">
        <v>282</v>
      </c>
      <c r="Z206" s="633">
        <v>568.72213967310552</v>
      </c>
      <c r="AA206" s="633">
        <v>5.4290780141843973</v>
      </c>
      <c r="AB206" s="630">
        <v>11052.102000000001</v>
      </c>
      <c r="AC206" s="630">
        <v>-311.08999999999997</v>
      </c>
      <c r="AD206" s="630">
        <v>0</v>
      </c>
      <c r="AE206" s="630">
        <v>0</v>
      </c>
      <c r="AF206" s="630">
        <v>0</v>
      </c>
      <c r="AG206" s="630" t="s">
        <v>434</v>
      </c>
      <c r="AH206" s="630">
        <v>10741.012000000001</v>
      </c>
      <c r="AI206" s="630">
        <v>5159.7849999999999</v>
      </c>
      <c r="AJ206" s="630">
        <v>171.63499999999999</v>
      </c>
      <c r="AK206" s="630">
        <v>0</v>
      </c>
      <c r="AL206" s="630">
        <v>1683.316</v>
      </c>
      <c r="AM206" s="630">
        <v>1483.9059999999999</v>
      </c>
      <c r="AN206" s="630">
        <v>0</v>
      </c>
      <c r="AO206" s="630">
        <v>0</v>
      </c>
      <c r="AP206" s="630">
        <v>8498.6419999999998</v>
      </c>
      <c r="AQ206" s="630">
        <v>0</v>
      </c>
      <c r="AR206" s="630">
        <v>8498.6419999999998</v>
      </c>
      <c r="AS206" s="630" t="s">
        <v>434</v>
      </c>
      <c r="AT206" s="630">
        <v>185.523</v>
      </c>
      <c r="AU206" s="630">
        <v>672.94100000000003</v>
      </c>
      <c r="AV206" s="630">
        <v>0</v>
      </c>
      <c r="AW206" s="630" t="s">
        <v>434</v>
      </c>
      <c r="AX206" s="630">
        <v>9357.1059999999998</v>
      </c>
      <c r="AY206" s="630">
        <v>1383.9059999999999</v>
      </c>
      <c r="AZ206" s="612">
        <v>0</v>
      </c>
      <c r="BA206" s="612">
        <v>0</v>
      </c>
      <c r="BB206" s="613" t="s">
        <v>553</v>
      </c>
      <c r="BC206" s="614">
        <v>9.0098852249647976E-2</v>
      </c>
      <c r="BD206" s="614">
        <v>0.11866825461141883</v>
      </c>
      <c r="BE206" s="613" t="s">
        <v>581</v>
      </c>
      <c r="BF206" s="613" t="s">
        <v>581</v>
      </c>
      <c r="BG206" s="643"/>
      <c r="BH206" s="655"/>
    </row>
    <row r="207" spans="1:60" customFormat="1">
      <c r="A207" s="612" t="s">
        <v>79</v>
      </c>
      <c r="B207" s="612" t="s">
        <v>414</v>
      </c>
      <c r="C207" s="612" t="s">
        <v>20</v>
      </c>
      <c r="D207" s="601">
        <v>203</v>
      </c>
      <c r="E207" s="623" t="s">
        <v>414</v>
      </c>
      <c r="F207" s="623" t="s">
        <v>79</v>
      </c>
      <c r="G207" s="601" t="s">
        <v>567</v>
      </c>
      <c r="H207" s="623">
        <v>2014</v>
      </c>
      <c r="I207" s="624">
        <v>144056.55600000001</v>
      </c>
      <c r="J207" s="625">
        <v>116583.29399999999</v>
      </c>
      <c r="K207" s="626">
        <v>48.425152263700738</v>
      </c>
      <c r="L207" s="626">
        <v>1867.1119008000001</v>
      </c>
      <c r="M207" s="625">
        <v>297482.91800000001</v>
      </c>
      <c r="N207" s="627">
        <v>0</v>
      </c>
      <c r="O207" s="627">
        <v>0</v>
      </c>
      <c r="P207" s="628" t="s">
        <v>434</v>
      </c>
      <c r="Q207" s="625">
        <v>-412.16899999999998</v>
      </c>
      <c r="R207" s="625">
        <v>-412.16899999999998</v>
      </c>
      <c r="S207" s="625">
        <v>668.63199999999995</v>
      </c>
      <c r="T207" s="629">
        <v>-162.22277754998555</v>
      </c>
      <c r="U207" s="625"/>
      <c r="V207" s="627">
        <v>0</v>
      </c>
      <c r="W207" s="629" t="s">
        <v>434</v>
      </c>
      <c r="X207" s="627">
        <v>0</v>
      </c>
      <c r="Y207" s="627">
        <v>0</v>
      </c>
      <c r="Z207" s="629" t="s">
        <v>434</v>
      </c>
      <c r="AA207" s="629" t="s">
        <v>434</v>
      </c>
      <c r="AB207" s="630">
        <v>-412.16899999999998</v>
      </c>
      <c r="AC207" s="630">
        <v>0</v>
      </c>
      <c r="AD207" s="630">
        <v>0</v>
      </c>
      <c r="AE207" s="630">
        <v>0</v>
      </c>
      <c r="AF207" s="630">
        <v>0</v>
      </c>
      <c r="AG207" s="630" t="s">
        <v>434</v>
      </c>
      <c r="AH207" s="630">
        <v>-412.16899999999998</v>
      </c>
      <c r="AI207" s="630">
        <v>898.70299999999997</v>
      </c>
      <c r="AJ207" s="630">
        <v>26.707000000000001</v>
      </c>
      <c r="AK207" s="630">
        <v>621.05799999999999</v>
      </c>
      <c r="AL207" s="630">
        <v>-877.83600000000001</v>
      </c>
      <c r="AM207" s="630">
        <v>0</v>
      </c>
      <c r="AN207" s="630">
        <v>0</v>
      </c>
      <c r="AO207" s="630">
        <v>0</v>
      </c>
      <c r="AP207" s="630">
        <v>668.63199999999995</v>
      </c>
      <c r="AQ207" s="630">
        <v>0</v>
      </c>
      <c r="AR207" s="630">
        <v>668.63199999999995</v>
      </c>
      <c r="AS207" s="630" t="s">
        <v>434</v>
      </c>
      <c r="AT207" s="630">
        <v>392.791</v>
      </c>
      <c r="AU207" s="630">
        <v>2677.797</v>
      </c>
      <c r="AV207" s="630">
        <v>0</v>
      </c>
      <c r="AW207" s="630" t="s">
        <v>434</v>
      </c>
      <c r="AX207" s="630">
        <v>3739.22</v>
      </c>
      <c r="AY207" s="630">
        <v>-4151.3890000000001</v>
      </c>
      <c r="AZ207" s="612">
        <v>0</v>
      </c>
      <c r="BA207" s="612">
        <v>0</v>
      </c>
      <c r="BB207" s="613" t="s">
        <v>553</v>
      </c>
      <c r="BC207" s="614">
        <v>0.39189912074211936</v>
      </c>
      <c r="BD207" s="614">
        <v>2.2303286547577361</v>
      </c>
      <c r="BE207" s="613" t="s">
        <v>582</v>
      </c>
      <c r="BF207" s="613" t="s">
        <v>614</v>
      </c>
      <c r="BG207" s="643"/>
      <c r="BH207" s="655"/>
    </row>
    <row r="208" spans="1:60" customFormat="1">
      <c r="A208" s="601" t="s">
        <v>55</v>
      </c>
      <c r="B208" s="601" t="s">
        <v>424</v>
      </c>
      <c r="C208" s="601">
        <v>5</v>
      </c>
      <c r="D208" s="601">
        <v>203</v>
      </c>
      <c r="E208" s="623" t="s">
        <v>210</v>
      </c>
      <c r="F208" s="623" t="s">
        <v>55</v>
      </c>
      <c r="G208" s="601" t="s">
        <v>567</v>
      </c>
      <c r="H208" s="623">
        <v>2014</v>
      </c>
      <c r="I208" s="624">
        <v>3985.5210000000002</v>
      </c>
      <c r="J208" s="625">
        <v>20589.123</v>
      </c>
      <c r="K208" s="626">
        <v>3.1072106936819317</v>
      </c>
      <c r="L208" s="626">
        <v>841.75227600000005</v>
      </c>
      <c r="M208" s="625">
        <v>128266.841</v>
      </c>
      <c r="N208" s="627">
        <v>0</v>
      </c>
      <c r="O208" s="627">
        <v>0</v>
      </c>
      <c r="P208" s="628" t="s">
        <v>434</v>
      </c>
      <c r="Q208" s="625">
        <v>519.08900000000006</v>
      </c>
      <c r="R208" s="625">
        <v>519.08900000000006</v>
      </c>
      <c r="S208" s="625">
        <v>-821.49599999999998</v>
      </c>
      <c r="T208" s="629">
        <v>-158.25725453631262</v>
      </c>
      <c r="U208" s="625"/>
      <c r="V208" s="627">
        <v>747</v>
      </c>
      <c r="W208" s="629" t="s">
        <v>434</v>
      </c>
      <c r="X208" s="627">
        <v>0</v>
      </c>
      <c r="Y208" s="627">
        <v>0</v>
      </c>
      <c r="Z208" s="629" t="s">
        <v>434</v>
      </c>
      <c r="AA208" s="629" t="s">
        <v>434</v>
      </c>
      <c r="AB208" s="630">
        <v>519.08900000000006</v>
      </c>
      <c r="AC208" s="630">
        <v>0</v>
      </c>
      <c r="AD208" s="630">
        <v>0</v>
      </c>
      <c r="AE208" s="630">
        <v>0</v>
      </c>
      <c r="AF208" s="630">
        <v>0</v>
      </c>
      <c r="AG208" s="630" t="s">
        <v>434</v>
      </c>
      <c r="AH208" s="630">
        <v>519.08900000000006</v>
      </c>
      <c r="AI208" s="630">
        <v>-975.61099999999999</v>
      </c>
      <c r="AJ208" s="630">
        <v>0</v>
      </c>
      <c r="AK208" s="630">
        <v>130.691</v>
      </c>
      <c r="AL208" s="630">
        <v>19.568999999999999</v>
      </c>
      <c r="AM208" s="630">
        <v>0</v>
      </c>
      <c r="AN208" s="630">
        <v>3.855</v>
      </c>
      <c r="AO208" s="630">
        <v>0</v>
      </c>
      <c r="AP208" s="630">
        <v>-821.49599999999998</v>
      </c>
      <c r="AQ208" s="630">
        <v>-335.77600000000001</v>
      </c>
      <c r="AR208" s="630">
        <v>-485.72</v>
      </c>
      <c r="AS208" s="630" t="s">
        <v>434</v>
      </c>
      <c r="AT208" s="630">
        <v>8.2509999999999994</v>
      </c>
      <c r="AU208" s="630">
        <v>75.97</v>
      </c>
      <c r="AV208" s="630">
        <v>0</v>
      </c>
      <c r="AW208" s="630" t="s">
        <v>434</v>
      </c>
      <c r="AX208" s="630">
        <v>-401.49900000000002</v>
      </c>
      <c r="AY208" s="630">
        <v>920.58799999999997</v>
      </c>
      <c r="AZ208" s="612" t="s">
        <v>430</v>
      </c>
      <c r="BA208" s="612" t="s">
        <v>433</v>
      </c>
      <c r="BB208" s="613" t="s">
        <v>553</v>
      </c>
      <c r="BC208" s="614">
        <v>0.16051789253935084</v>
      </c>
      <c r="BD208" s="614">
        <v>2.4220546528237752</v>
      </c>
      <c r="BE208" s="613" t="s">
        <v>582</v>
      </c>
      <c r="BF208" s="613" t="s">
        <v>614</v>
      </c>
      <c r="BG208" s="643"/>
      <c r="BH208" s="655"/>
    </row>
    <row r="209" spans="1:60" customFormat="1">
      <c r="A209" s="601" t="s">
        <v>82</v>
      </c>
      <c r="B209" s="601" t="s">
        <v>422</v>
      </c>
      <c r="C209" s="601">
        <v>6</v>
      </c>
      <c r="D209" s="601">
        <v>203</v>
      </c>
      <c r="E209" s="623" t="s">
        <v>294</v>
      </c>
      <c r="F209" s="623" t="s">
        <v>82</v>
      </c>
      <c r="G209" s="601" t="s">
        <v>567</v>
      </c>
      <c r="H209" s="623">
        <v>2014</v>
      </c>
      <c r="I209" s="631">
        <v>1003.074</v>
      </c>
      <c r="J209" s="625">
        <v>7848.4880000000003</v>
      </c>
      <c r="K209" s="626">
        <v>2.2248294205175001</v>
      </c>
      <c r="L209" s="626">
        <v>1902.2803818</v>
      </c>
      <c r="M209" s="625">
        <v>45085.434000000001</v>
      </c>
      <c r="N209" s="627">
        <v>0</v>
      </c>
      <c r="O209" s="627">
        <v>0</v>
      </c>
      <c r="P209" s="628" t="s">
        <v>434</v>
      </c>
      <c r="Q209" s="625">
        <v>860.31500000000005</v>
      </c>
      <c r="R209" s="625">
        <v>860.31500000000005</v>
      </c>
      <c r="S209" s="625">
        <v>-2866.7440000000001</v>
      </c>
      <c r="T209" s="629">
        <v>-333.2202739694182</v>
      </c>
      <c r="U209" s="625"/>
      <c r="V209" s="632">
        <v>0</v>
      </c>
      <c r="W209" s="633" t="s">
        <v>434</v>
      </c>
      <c r="X209" s="632">
        <v>0</v>
      </c>
      <c r="Y209" s="632">
        <v>0</v>
      </c>
      <c r="Z209" s="633" t="s">
        <v>434</v>
      </c>
      <c r="AA209" s="633" t="s">
        <v>434</v>
      </c>
      <c r="AB209" s="630">
        <v>860.31500000000005</v>
      </c>
      <c r="AC209" s="630">
        <v>0</v>
      </c>
      <c r="AD209" s="630">
        <v>0</v>
      </c>
      <c r="AE209" s="630">
        <v>0</v>
      </c>
      <c r="AF209" s="630">
        <v>0</v>
      </c>
      <c r="AG209" s="630" t="s">
        <v>434</v>
      </c>
      <c r="AH209" s="630">
        <v>860.31500000000005</v>
      </c>
      <c r="AI209" s="630">
        <v>-3334.0929999999998</v>
      </c>
      <c r="AJ209" s="630">
        <v>3.9820000000000002</v>
      </c>
      <c r="AK209" s="630">
        <v>0</v>
      </c>
      <c r="AL209" s="630">
        <v>457.77499999999998</v>
      </c>
      <c r="AM209" s="630">
        <v>5.5919999999999996</v>
      </c>
      <c r="AN209" s="630">
        <v>0</v>
      </c>
      <c r="AO209" s="630">
        <v>0</v>
      </c>
      <c r="AP209" s="630">
        <v>-2866.7440000000001</v>
      </c>
      <c r="AQ209" s="630">
        <v>-1072.0329999999999</v>
      </c>
      <c r="AR209" s="630">
        <v>-1794.711</v>
      </c>
      <c r="AS209" s="630" t="s">
        <v>434</v>
      </c>
      <c r="AT209" s="630">
        <v>-1.9730000000000001</v>
      </c>
      <c r="AU209" s="630">
        <v>2307.62</v>
      </c>
      <c r="AV209" s="630">
        <v>0</v>
      </c>
      <c r="AW209" s="630" t="s">
        <v>434</v>
      </c>
      <c r="AX209" s="630">
        <v>510.93599999999998</v>
      </c>
      <c r="AY209" s="630">
        <v>349.37900000000002</v>
      </c>
      <c r="AZ209" s="612">
        <v>0</v>
      </c>
      <c r="BA209" s="612">
        <v>0</v>
      </c>
      <c r="BB209" s="613" t="s">
        <v>553</v>
      </c>
      <c r="BC209" s="614">
        <v>0.17408034710279155</v>
      </c>
      <c r="BD209" s="614">
        <v>4.1581223925913902</v>
      </c>
      <c r="BE209" s="613" t="s">
        <v>582</v>
      </c>
      <c r="BF209" s="613" t="s">
        <v>614</v>
      </c>
      <c r="BG209" s="643"/>
      <c r="BH209" s="655"/>
    </row>
    <row r="210" spans="1:60" customFormat="1">
      <c r="A210" s="601" t="s">
        <v>79</v>
      </c>
      <c r="B210" s="601" t="s">
        <v>420</v>
      </c>
      <c r="C210" s="601">
        <v>3</v>
      </c>
      <c r="D210" s="601">
        <v>203</v>
      </c>
      <c r="E210" s="623" t="s">
        <v>377</v>
      </c>
      <c r="F210" s="623" t="s">
        <v>79</v>
      </c>
      <c r="G210" s="601" t="s">
        <v>567</v>
      </c>
      <c r="H210" s="623">
        <v>2014</v>
      </c>
      <c r="I210" s="631">
        <v>-2516.0160000000001</v>
      </c>
      <c r="J210" s="631">
        <v>2802.518</v>
      </c>
      <c r="K210" s="634">
        <v>-6.6564800593258973</v>
      </c>
      <c r="L210" s="634">
        <v>2631.4798093999998</v>
      </c>
      <c r="M210" s="631">
        <v>37797.995000000003</v>
      </c>
      <c r="N210" s="632">
        <v>0</v>
      </c>
      <c r="O210" s="632">
        <v>0</v>
      </c>
      <c r="P210" s="635" t="s">
        <v>434</v>
      </c>
      <c r="Q210" s="631">
        <v>-37.451000000000001</v>
      </c>
      <c r="R210" s="631">
        <v>-37.451000000000001</v>
      </c>
      <c r="S210" s="631">
        <v>881.34100000000001</v>
      </c>
      <c r="T210" s="633">
        <v>-2353.3176684200689</v>
      </c>
      <c r="U210" s="625"/>
      <c r="V210" s="632">
        <v>0</v>
      </c>
      <c r="W210" s="633" t="s">
        <v>434</v>
      </c>
      <c r="X210" s="632">
        <v>0</v>
      </c>
      <c r="Y210" s="632">
        <v>0</v>
      </c>
      <c r="Z210" s="633" t="s">
        <v>434</v>
      </c>
      <c r="AA210" s="633" t="s">
        <v>434</v>
      </c>
      <c r="AB210" s="630">
        <v>-37.451000000000001</v>
      </c>
      <c r="AC210" s="630">
        <v>0</v>
      </c>
      <c r="AD210" s="630">
        <v>0</v>
      </c>
      <c r="AE210" s="630">
        <v>0</v>
      </c>
      <c r="AF210" s="630">
        <v>0</v>
      </c>
      <c r="AG210" s="630" t="s">
        <v>434</v>
      </c>
      <c r="AH210" s="630">
        <v>-37.451000000000001</v>
      </c>
      <c r="AI210" s="630">
        <v>-202.49299999999999</v>
      </c>
      <c r="AJ210" s="630">
        <v>1401.6210000000001</v>
      </c>
      <c r="AK210" s="630">
        <v>0</v>
      </c>
      <c r="AL210" s="630">
        <v>-38.889000000000003</v>
      </c>
      <c r="AM210" s="630">
        <v>-192.84800000000001</v>
      </c>
      <c r="AN210" s="630">
        <v>-86.049000000000007</v>
      </c>
      <c r="AO210" s="630">
        <v>0</v>
      </c>
      <c r="AP210" s="630">
        <v>881.34199999999998</v>
      </c>
      <c r="AQ210" s="630">
        <v>0</v>
      </c>
      <c r="AR210" s="630">
        <v>881.34199999999998</v>
      </c>
      <c r="AS210" s="630" t="s">
        <v>434</v>
      </c>
      <c r="AT210" s="630">
        <v>-361.12400000000002</v>
      </c>
      <c r="AU210" s="630">
        <v>-755.36</v>
      </c>
      <c r="AV210" s="630">
        <v>0</v>
      </c>
      <c r="AW210" s="630" t="s">
        <v>434</v>
      </c>
      <c r="AX210" s="630">
        <v>-235.142</v>
      </c>
      <c r="AY210" s="630">
        <v>197.691</v>
      </c>
      <c r="AZ210" s="612">
        <v>0</v>
      </c>
      <c r="BA210" s="612">
        <v>0</v>
      </c>
      <c r="BB210" s="613" t="s">
        <v>553</v>
      </c>
      <c r="BC210" s="614">
        <v>7.4144620633978073E-2</v>
      </c>
      <c r="BD210" s="614">
        <v>24.459032063566713</v>
      </c>
      <c r="BE210" s="613" t="s">
        <v>582</v>
      </c>
      <c r="BF210" s="613" t="s">
        <v>614</v>
      </c>
      <c r="BG210" s="643"/>
      <c r="BH210" s="655"/>
    </row>
    <row r="211" spans="1:60" customFormat="1">
      <c r="A211" s="601" t="s">
        <v>82</v>
      </c>
      <c r="B211" s="601" t="s">
        <v>420</v>
      </c>
      <c r="C211" s="601">
        <v>3</v>
      </c>
      <c r="D211" s="601">
        <v>203</v>
      </c>
      <c r="E211" s="623" t="s">
        <v>376</v>
      </c>
      <c r="F211" s="623" t="s">
        <v>82</v>
      </c>
      <c r="G211" s="601" t="s">
        <v>567</v>
      </c>
      <c r="H211" s="623">
        <v>2014</v>
      </c>
      <c r="I211" s="631">
        <v>189.667</v>
      </c>
      <c r="J211" s="631">
        <v>272.63200000000001</v>
      </c>
      <c r="K211" s="634">
        <v>56.062581100933158</v>
      </c>
      <c r="L211" s="634">
        <v>1274.3080858000001</v>
      </c>
      <c r="M211" s="631">
        <v>338.31299999999999</v>
      </c>
      <c r="N211" s="632">
        <v>0</v>
      </c>
      <c r="O211" s="632">
        <v>0</v>
      </c>
      <c r="P211" s="635" t="s">
        <v>434</v>
      </c>
      <c r="Q211" s="631">
        <v>293.31299999999999</v>
      </c>
      <c r="R211" s="631">
        <v>338.31299999999999</v>
      </c>
      <c r="S211" s="631">
        <v>219.73</v>
      </c>
      <c r="T211" s="633">
        <v>64.948730908951177</v>
      </c>
      <c r="U211" s="625"/>
      <c r="V211" s="632">
        <v>0</v>
      </c>
      <c r="W211" s="633" t="s">
        <v>434</v>
      </c>
      <c r="X211" s="632">
        <v>134</v>
      </c>
      <c r="Y211" s="632">
        <v>0</v>
      </c>
      <c r="Z211" s="633" t="s">
        <v>434</v>
      </c>
      <c r="AA211" s="633" t="s">
        <v>434</v>
      </c>
      <c r="AB211" s="630">
        <v>293.31299999999999</v>
      </c>
      <c r="AC211" s="630">
        <v>45</v>
      </c>
      <c r="AD211" s="630">
        <v>0</v>
      </c>
      <c r="AE211" s="630">
        <v>0</v>
      </c>
      <c r="AF211" s="630">
        <v>0</v>
      </c>
      <c r="AG211" s="630" t="s">
        <v>434</v>
      </c>
      <c r="AH211" s="630">
        <v>338.31299999999999</v>
      </c>
      <c r="AI211" s="630">
        <v>413.14</v>
      </c>
      <c r="AJ211" s="630">
        <v>-2E-3</v>
      </c>
      <c r="AK211" s="630">
        <v>0</v>
      </c>
      <c r="AL211" s="630">
        <v>0</v>
      </c>
      <c r="AM211" s="630">
        <v>-193.40799999999999</v>
      </c>
      <c r="AN211" s="630">
        <v>0</v>
      </c>
      <c r="AO211" s="630">
        <v>0</v>
      </c>
      <c r="AP211" s="630">
        <v>219.73</v>
      </c>
      <c r="AQ211" s="630">
        <v>-68.974000000000004</v>
      </c>
      <c r="AR211" s="630">
        <v>288.70400000000001</v>
      </c>
      <c r="AS211" s="630" t="s">
        <v>434</v>
      </c>
      <c r="AT211" s="630">
        <v>-108.55800000000001</v>
      </c>
      <c r="AU211" s="630">
        <v>272.63200000000001</v>
      </c>
      <c r="AV211" s="630">
        <v>0</v>
      </c>
      <c r="AW211" s="630" t="s">
        <v>434</v>
      </c>
      <c r="AX211" s="630">
        <v>452.77800000000002</v>
      </c>
      <c r="AY211" s="630">
        <v>-114.465</v>
      </c>
      <c r="AZ211" s="612">
        <v>0</v>
      </c>
      <c r="BA211" s="612">
        <v>0</v>
      </c>
      <c r="BB211" s="613" t="s">
        <v>553</v>
      </c>
      <c r="BC211" s="614">
        <v>0.80585729782775128</v>
      </c>
      <c r="BD211" s="614">
        <v>-0.45534460691726308</v>
      </c>
      <c r="BE211" s="613" t="s">
        <v>580</v>
      </c>
      <c r="BF211" s="613" t="s">
        <v>580</v>
      </c>
      <c r="BG211" s="643"/>
      <c r="BH211" s="655"/>
    </row>
    <row r="212" spans="1:60" customFormat="1">
      <c r="A212" s="612" t="s">
        <v>66</v>
      </c>
      <c r="B212" s="601" t="s">
        <v>142</v>
      </c>
      <c r="C212" s="612">
        <v>10</v>
      </c>
      <c r="D212" s="601">
        <v>203</v>
      </c>
      <c r="E212" s="623" t="s">
        <v>142</v>
      </c>
      <c r="F212" s="623" t="s">
        <v>66</v>
      </c>
      <c r="G212" s="601" t="s">
        <v>567</v>
      </c>
      <c r="H212" s="623">
        <v>2014</v>
      </c>
      <c r="I212" s="624">
        <v>0</v>
      </c>
      <c r="J212" s="625">
        <v>0</v>
      </c>
      <c r="K212" s="626">
        <v>0</v>
      </c>
      <c r="L212" s="626">
        <v>0</v>
      </c>
      <c r="M212" s="625">
        <v>0</v>
      </c>
      <c r="N212" s="627">
        <v>0</v>
      </c>
      <c r="O212" s="627">
        <v>0</v>
      </c>
      <c r="P212" s="628">
        <v>0</v>
      </c>
      <c r="Q212" s="625">
        <v>0</v>
      </c>
      <c r="R212" s="625">
        <v>0</v>
      </c>
      <c r="S212" s="625">
        <v>0</v>
      </c>
      <c r="T212" s="629">
        <v>0</v>
      </c>
      <c r="U212" s="625"/>
      <c r="V212" s="627">
        <v>0</v>
      </c>
      <c r="W212" s="629">
        <v>0</v>
      </c>
      <c r="X212" s="627">
        <v>0</v>
      </c>
      <c r="Y212" s="627">
        <v>0</v>
      </c>
      <c r="Z212" s="629">
        <v>0</v>
      </c>
      <c r="AA212" s="629">
        <v>0</v>
      </c>
      <c r="AB212" s="630">
        <v>1612043.0759999999</v>
      </c>
      <c r="AC212" s="630">
        <v>0</v>
      </c>
      <c r="AD212" s="630">
        <v>0</v>
      </c>
      <c r="AE212" s="630">
        <v>10085.653</v>
      </c>
      <c r="AF212" s="630">
        <v>0</v>
      </c>
      <c r="AG212" s="630" t="s">
        <v>434</v>
      </c>
      <c r="AH212" s="630">
        <v>1622128.7290000001</v>
      </c>
      <c r="AI212" s="630">
        <v>912964.81400000001</v>
      </c>
      <c r="AJ212" s="630">
        <v>150469.47099999999</v>
      </c>
      <c r="AK212" s="630">
        <v>0</v>
      </c>
      <c r="AL212" s="630">
        <v>156901.666</v>
      </c>
      <c r="AM212" s="630">
        <v>302809.826</v>
      </c>
      <c r="AN212" s="630">
        <v>0</v>
      </c>
      <c r="AO212" s="630">
        <v>4010.1680000000001</v>
      </c>
      <c r="AP212" s="630">
        <v>1527155.9450000001</v>
      </c>
      <c r="AQ212" s="630">
        <v>89.423000000000002</v>
      </c>
      <c r="AR212" s="630">
        <v>1527066.5220000001</v>
      </c>
      <c r="AS212" s="630" t="s">
        <v>434</v>
      </c>
      <c r="AT212" s="630">
        <v>51308.156999999999</v>
      </c>
      <c r="AU212" s="630">
        <v>49277.356</v>
      </c>
      <c r="AV212" s="630">
        <v>15448</v>
      </c>
      <c r="AW212" s="630" t="s">
        <v>434</v>
      </c>
      <c r="AX212" s="630">
        <v>1643100.0349999999</v>
      </c>
      <c r="AY212" s="630">
        <v>-20971.306</v>
      </c>
      <c r="AZ212" s="612" t="s">
        <v>435</v>
      </c>
      <c r="BA212" s="612" t="s">
        <v>431</v>
      </c>
      <c r="BB212" s="613" t="s">
        <v>553</v>
      </c>
      <c r="BC212" s="614">
        <v>0</v>
      </c>
      <c r="BD212" s="614">
        <v>-100</v>
      </c>
      <c r="BE212" s="613" t="s">
        <v>455</v>
      </c>
      <c r="BF212" s="613" t="s">
        <v>455</v>
      </c>
      <c r="BG212" s="643"/>
      <c r="BH212" s="655"/>
    </row>
    <row r="213" spans="1:60" customFormat="1">
      <c r="A213" s="601" t="s">
        <v>63</v>
      </c>
      <c r="B213" s="601" t="s">
        <v>420</v>
      </c>
      <c r="C213" s="601">
        <v>3</v>
      </c>
      <c r="D213" s="601">
        <v>203</v>
      </c>
      <c r="E213" s="623" t="s">
        <v>378</v>
      </c>
      <c r="F213" s="623" t="s">
        <v>63</v>
      </c>
      <c r="G213" s="601" t="s">
        <v>469</v>
      </c>
      <c r="H213" s="623">
        <v>2014</v>
      </c>
      <c r="I213" s="631">
        <v>-305.99400000000003</v>
      </c>
      <c r="J213" s="631">
        <v>-35.198999999999998</v>
      </c>
      <c r="K213" s="634">
        <v>17.767292676015778</v>
      </c>
      <c r="L213" s="634">
        <v>32339.686956500002</v>
      </c>
      <c r="M213" s="631">
        <v>-1722.232</v>
      </c>
      <c r="N213" s="632">
        <v>0</v>
      </c>
      <c r="O213" s="632">
        <v>0</v>
      </c>
      <c r="P213" s="635" t="s">
        <v>434</v>
      </c>
      <c r="Q213" s="631">
        <v>0</v>
      </c>
      <c r="R213" s="631">
        <v>-1386.8309999999999</v>
      </c>
      <c r="S213" s="631">
        <v>-640.70299999999997</v>
      </c>
      <c r="T213" s="633">
        <v>46.199068235423063</v>
      </c>
      <c r="U213" s="636"/>
      <c r="V213" s="632">
        <v>0</v>
      </c>
      <c r="W213" s="633" t="s">
        <v>434</v>
      </c>
      <c r="X213" s="632">
        <v>0</v>
      </c>
      <c r="Y213" s="632">
        <v>0</v>
      </c>
      <c r="Z213" s="633" t="s">
        <v>434</v>
      </c>
      <c r="AA213" s="633" t="s">
        <v>434</v>
      </c>
      <c r="AB213" s="630" t="s">
        <v>20</v>
      </c>
      <c r="AC213" s="630" t="s">
        <v>20</v>
      </c>
      <c r="AD213" s="630" t="s">
        <v>20</v>
      </c>
      <c r="AE213" s="630" t="s">
        <v>20</v>
      </c>
      <c r="AF213" s="630" t="s">
        <v>20</v>
      </c>
      <c r="AG213" s="630" t="s">
        <v>20</v>
      </c>
      <c r="AH213" s="630" t="s">
        <v>20</v>
      </c>
      <c r="AI213" s="630" t="s">
        <v>20</v>
      </c>
      <c r="AJ213" s="630" t="s">
        <v>20</v>
      </c>
      <c r="AK213" s="630" t="s">
        <v>20</v>
      </c>
      <c r="AL213" s="630" t="s">
        <v>20</v>
      </c>
      <c r="AM213" s="630" t="s">
        <v>20</v>
      </c>
      <c r="AN213" s="630" t="s">
        <v>20</v>
      </c>
      <c r="AO213" s="630" t="s">
        <v>20</v>
      </c>
      <c r="AP213" s="630" t="s">
        <v>20</v>
      </c>
      <c r="AQ213" s="630" t="s">
        <v>20</v>
      </c>
      <c r="AR213" s="630" t="s">
        <v>20</v>
      </c>
      <c r="AS213" s="630" t="s">
        <v>20</v>
      </c>
      <c r="AT213" s="630" t="s">
        <v>20</v>
      </c>
      <c r="AU213" s="630" t="s">
        <v>20</v>
      </c>
      <c r="AV213" s="630" t="s">
        <v>20</v>
      </c>
      <c r="AW213" s="630" t="s">
        <v>20</v>
      </c>
      <c r="AX213" s="630" t="s">
        <v>20</v>
      </c>
      <c r="AY213" s="630" t="s">
        <v>20</v>
      </c>
      <c r="AZ213" s="601" t="s">
        <v>430</v>
      </c>
      <c r="BA213" s="601" t="s">
        <v>433</v>
      </c>
      <c r="BB213" s="613" t="s">
        <v>553</v>
      </c>
      <c r="BC213" s="614">
        <v>2.0438012997087501E-2</v>
      </c>
      <c r="BD213" s="614">
        <v>0.17767292676015778</v>
      </c>
      <c r="BE213" s="613" t="s">
        <v>582</v>
      </c>
      <c r="BF213" s="613" t="s">
        <v>582</v>
      </c>
      <c r="BG213" s="643"/>
      <c r="BH213" s="655"/>
    </row>
    <row r="214" spans="1:60" customFormat="1">
      <c r="A214" s="601" t="s">
        <v>50</v>
      </c>
      <c r="B214" s="601" t="s">
        <v>424</v>
      </c>
      <c r="C214" s="601"/>
      <c r="D214" s="601">
        <v>203</v>
      </c>
      <c r="E214" s="623" t="s">
        <v>561</v>
      </c>
      <c r="F214" s="623" t="s">
        <v>50</v>
      </c>
      <c r="G214" s="601" t="s">
        <v>469</v>
      </c>
      <c r="H214" s="623">
        <v>2014</v>
      </c>
      <c r="I214" s="631"/>
      <c r="J214" s="631">
        <v>128369</v>
      </c>
      <c r="K214" s="634">
        <v>1.6698219316903684</v>
      </c>
      <c r="L214" s="634"/>
      <c r="M214" s="631"/>
      <c r="N214" s="632">
        <v>298031</v>
      </c>
      <c r="O214" s="632"/>
      <c r="P214" s="635"/>
      <c r="Q214" s="631"/>
      <c r="R214" s="631">
        <v>1795940</v>
      </c>
      <c r="S214" s="631">
        <v>1610354</v>
      </c>
      <c r="T214" s="633">
        <v>89.666358564317292</v>
      </c>
      <c r="U214" s="636"/>
      <c r="V214" s="632"/>
      <c r="W214" s="633"/>
      <c r="X214" s="632"/>
      <c r="Y214" s="632"/>
      <c r="Z214" s="633"/>
      <c r="AA214" s="633"/>
      <c r="AB214" s="630"/>
      <c r="AC214" s="630"/>
      <c r="AD214" s="630"/>
      <c r="AE214" s="630"/>
      <c r="AF214" s="630"/>
      <c r="AG214" s="630"/>
      <c r="AH214" s="630"/>
      <c r="AI214" s="630"/>
      <c r="AJ214" s="630"/>
      <c r="AK214" s="630"/>
      <c r="AL214" s="630"/>
      <c r="AM214" s="630"/>
      <c r="AN214" s="630"/>
      <c r="AO214" s="630"/>
      <c r="AP214" s="630"/>
      <c r="AQ214" s="630"/>
      <c r="AR214" s="630"/>
      <c r="AS214" s="630"/>
      <c r="AT214" s="630"/>
      <c r="AU214" s="630"/>
      <c r="AV214" s="630"/>
      <c r="AW214" s="630"/>
      <c r="AX214" s="630"/>
      <c r="AY214" s="630"/>
      <c r="AZ214" s="612" t="s">
        <v>430</v>
      </c>
      <c r="BA214" s="612" t="s">
        <v>431</v>
      </c>
      <c r="BB214" s="613" t="s">
        <v>552</v>
      </c>
      <c r="BC214" s="647">
        <v>0.01</v>
      </c>
      <c r="BD214" s="652">
        <v>1.6698219316903684E-2</v>
      </c>
      <c r="BE214" s="613" t="s">
        <v>573</v>
      </c>
      <c r="BF214" s="613" t="s">
        <v>573</v>
      </c>
      <c r="BG214" s="643"/>
      <c r="BH214" s="655"/>
    </row>
    <row r="215" spans="1:60" customFormat="1">
      <c r="A215" s="601" t="s">
        <v>50</v>
      </c>
      <c r="B215" s="601" t="s">
        <v>548</v>
      </c>
      <c r="C215" s="601"/>
      <c r="D215" s="601">
        <v>203</v>
      </c>
      <c r="E215" s="603" t="s">
        <v>548</v>
      </c>
      <c r="F215" s="623" t="s">
        <v>50</v>
      </c>
      <c r="G215" s="601" t="s">
        <v>469</v>
      </c>
      <c r="H215" s="623">
        <v>2014</v>
      </c>
      <c r="I215" s="631"/>
      <c r="J215" s="631">
        <v>61567</v>
      </c>
      <c r="K215" s="634">
        <v>1.6543890136905013</v>
      </c>
      <c r="L215" s="634"/>
      <c r="M215" s="631"/>
      <c r="N215" s="632">
        <v>198998</v>
      </c>
      <c r="O215" s="632"/>
      <c r="P215" s="635"/>
      <c r="Q215" s="631"/>
      <c r="R215" s="631">
        <v>589825</v>
      </c>
      <c r="S215" s="631">
        <v>518500</v>
      </c>
      <c r="T215" s="633">
        <v>87.907430169965679</v>
      </c>
      <c r="U215" s="636"/>
      <c r="V215" s="632"/>
      <c r="W215" s="633"/>
      <c r="X215" s="632"/>
      <c r="Y215" s="632"/>
      <c r="Z215" s="633"/>
      <c r="AA215" s="633"/>
      <c r="AB215" s="630"/>
      <c r="AC215" s="630"/>
      <c r="AD215" s="630"/>
      <c r="AE215" s="630"/>
      <c r="AF215" s="630"/>
      <c r="AG215" s="630"/>
      <c r="AH215" s="630"/>
      <c r="AI215" s="630"/>
      <c r="AJ215" s="630"/>
      <c r="AK215" s="630"/>
      <c r="AL215" s="630"/>
      <c r="AM215" s="630"/>
      <c r="AN215" s="630"/>
      <c r="AO215" s="630"/>
      <c r="AP215" s="630"/>
      <c r="AQ215" s="630"/>
      <c r="AR215" s="630"/>
      <c r="AS215" s="630"/>
      <c r="AT215" s="630"/>
      <c r="AU215" s="630"/>
      <c r="AV215" s="630"/>
      <c r="AW215" s="630"/>
      <c r="AX215" s="630"/>
      <c r="AY215" s="630"/>
      <c r="AZ215" s="612" t="s">
        <v>435</v>
      </c>
      <c r="BA215" s="612" t="s">
        <v>433</v>
      </c>
      <c r="BB215" s="613" t="s">
        <v>555</v>
      </c>
      <c r="BC215" s="614">
        <v>0.01</v>
      </c>
      <c r="BD215" s="652">
        <v>1.6543890136905014E-2</v>
      </c>
      <c r="BE215" s="613" t="s">
        <v>573</v>
      </c>
      <c r="BF215" s="613" t="s">
        <v>573</v>
      </c>
      <c r="BG215" s="643"/>
      <c r="BH215" s="655"/>
    </row>
    <row r="216" spans="1:60" customFormat="1">
      <c r="A216" s="601" t="s">
        <v>50</v>
      </c>
      <c r="B216" s="601" t="s">
        <v>566</v>
      </c>
      <c r="C216" s="601"/>
      <c r="D216" s="601">
        <v>203</v>
      </c>
      <c r="E216" s="603" t="s">
        <v>566</v>
      </c>
      <c r="F216" s="623" t="s">
        <v>50</v>
      </c>
      <c r="G216" s="601" t="s">
        <v>469</v>
      </c>
      <c r="H216" s="623">
        <v>2014</v>
      </c>
      <c r="I216" s="631"/>
      <c r="J216" s="631">
        <v>15318</v>
      </c>
      <c r="K216" s="634">
        <v>-5.0602761870367505</v>
      </c>
      <c r="L216" s="634"/>
      <c r="M216" s="631"/>
      <c r="N216" s="632">
        <v>78734</v>
      </c>
      <c r="O216" s="632"/>
      <c r="P216" s="635"/>
      <c r="Q216" s="631"/>
      <c r="R216" s="631">
        <v>232596</v>
      </c>
      <c r="S216" s="631">
        <v>224268</v>
      </c>
      <c r="T216" s="633">
        <v>96.41954289841614</v>
      </c>
      <c r="U216" s="636"/>
      <c r="V216" s="632"/>
      <c r="W216" s="633"/>
      <c r="X216" s="632"/>
      <c r="Y216" s="632"/>
      <c r="Z216" s="633"/>
      <c r="AA216" s="633"/>
      <c r="AB216" s="630"/>
      <c r="AC216" s="630"/>
      <c r="AD216" s="630"/>
      <c r="AE216" s="630"/>
      <c r="AF216" s="630"/>
      <c r="AG216" s="630"/>
      <c r="AH216" s="630"/>
      <c r="AI216" s="630"/>
      <c r="AJ216" s="630"/>
      <c r="AK216" s="630"/>
      <c r="AL216" s="630"/>
      <c r="AM216" s="630"/>
      <c r="AN216" s="630"/>
      <c r="AO216" s="630"/>
      <c r="AP216" s="630"/>
      <c r="AQ216" s="630"/>
      <c r="AR216" s="630"/>
      <c r="AS216" s="630"/>
      <c r="AT216" s="630"/>
      <c r="AU216" s="630"/>
      <c r="AV216" s="630"/>
      <c r="AW216" s="630"/>
      <c r="AX216" s="630"/>
      <c r="AY216" s="630"/>
      <c r="AZ216" s="612" t="s">
        <v>430</v>
      </c>
      <c r="BA216" s="612" t="s">
        <v>433</v>
      </c>
      <c r="BB216" s="613" t="s">
        <v>551</v>
      </c>
      <c r="BC216" s="614">
        <v>0.01</v>
      </c>
      <c r="BD216" s="614">
        <v>-5.0602761870367503E-2</v>
      </c>
      <c r="BE216" s="613" t="s">
        <v>570</v>
      </c>
      <c r="BF216" s="613" t="s">
        <v>570</v>
      </c>
      <c r="BG216" s="643"/>
      <c r="BH216" s="655"/>
    </row>
    <row r="217" spans="1:60" customFormat="1">
      <c r="A217" s="601" t="s">
        <v>50</v>
      </c>
      <c r="B217" s="601" t="s">
        <v>583</v>
      </c>
      <c r="C217" s="601"/>
      <c r="D217" s="601">
        <v>203</v>
      </c>
      <c r="E217" s="623" t="s">
        <v>563</v>
      </c>
      <c r="F217" s="623" t="s">
        <v>50</v>
      </c>
      <c r="G217" s="601" t="s">
        <v>469</v>
      </c>
      <c r="H217" s="623">
        <v>2014</v>
      </c>
      <c r="I217" s="631"/>
      <c r="J217" s="631">
        <v>24576</v>
      </c>
      <c r="K217" s="634">
        <v>2.6447361555719926</v>
      </c>
      <c r="L217" s="634"/>
      <c r="M217" s="631"/>
      <c r="N217" s="632">
        <v>124797</v>
      </c>
      <c r="O217" s="632"/>
      <c r="P217" s="635"/>
      <c r="Q217" s="631"/>
      <c r="R217" s="631">
        <v>325817</v>
      </c>
      <c r="S217" s="631">
        <v>288204</v>
      </c>
      <c r="T217" s="633">
        <v>88.455789599683257</v>
      </c>
      <c r="U217" s="636"/>
      <c r="V217" s="632"/>
      <c r="W217" s="633"/>
      <c r="X217" s="632"/>
      <c r="Y217" s="632"/>
      <c r="Z217" s="633"/>
      <c r="AA217" s="633"/>
      <c r="AB217" s="630"/>
      <c r="AC217" s="630"/>
      <c r="AD217" s="630"/>
      <c r="AE217" s="630"/>
      <c r="AF217" s="630"/>
      <c r="AG217" s="630"/>
      <c r="AH217" s="630"/>
      <c r="AI217" s="630"/>
      <c r="AJ217" s="630"/>
      <c r="AK217" s="630"/>
      <c r="AL217" s="630"/>
      <c r="AM217" s="630"/>
      <c r="AN217" s="630"/>
      <c r="AO217" s="630"/>
      <c r="AP217" s="630"/>
      <c r="AQ217" s="630"/>
      <c r="AR217" s="630"/>
      <c r="AS217" s="630"/>
      <c r="AT217" s="630"/>
      <c r="AU217" s="630"/>
      <c r="AV217" s="630"/>
      <c r="AW217" s="630"/>
      <c r="AX217" s="630"/>
      <c r="AY217" s="630"/>
      <c r="AZ217" s="612" t="s">
        <v>435</v>
      </c>
      <c r="BA217" s="612" t="s">
        <v>431</v>
      </c>
      <c r="BB217" s="613" t="s">
        <v>555</v>
      </c>
      <c r="BC217" s="614">
        <v>0.01</v>
      </c>
      <c r="BD217" s="652">
        <v>2.6447361555719928E-2</v>
      </c>
      <c r="BE217" s="613" t="s">
        <v>574</v>
      </c>
      <c r="BF217" s="613" t="s">
        <v>574</v>
      </c>
      <c r="BG217" s="643"/>
      <c r="BH217" s="655"/>
    </row>
    <row r="218" spans="1:60" customFormat="1">
      <c r="A218" s="601" t="s">
        <v>50</v>
      </c>
      <c r="B218" s="601" t="s">
        <v>583</v>
      </c>
      <c r="C218" s="601"/>
      <c r="D218" s="601">
        <v>203</v>
      </c>
      <c r="E218" s="623" t="s">
        <v>564</v>
      </c>
      <c r="F218" s="623" t="s">
        <v>50</v>
      </c>
      <c r="G218" s="601" t="s">
        <v>469</v>
      </c>
      <c r="H218" s="623">
        <v>2014</v>
      </c>
      <c r="I218" s="631"/>
      <c r="J218" s="631">
        <v>17249</v>
      </c>
      <c r="K218" s="634">
        <v>0.30379996547727661</v>
      </c>
      <c r="L218" s="634"/>
      <c r="M218" s="631"/>
      <c r="N218" s="632">
        <v>74281</v>
      </c>
      <c r="O218" s="632"/>
      <c r="P218" s="635"/>
      <c r="Q218" s="631"/>
      <c r="R218" s="631">
        <v>202765</v>
      </c>
      <c r="S218" s="631">
        <v>180796</v>
      </c>
      <c r="T218" s="633">
        <v>89.165289867580697</v>
      </c>
      <c r="U218" s="636"/>
      <c r="V218" s="632"/>
      <c r="W218" s="633"/>
      <c r="X218" s="632"/>
      <c r="Y218" s="632"/>
      <c r="Z218" s="633"/>
      <c r="AA218" s="633"/>
      <c r="AB218" s="630"/>
      <c r="AC218" s="630"/>
      <c r="AD218" s="630"/>
      <c r="AE218" s="630"/>
      <c r="AF218" s="630"/>
      <c r="AG218" s="630"/>
      <c r="AH218" s="630"/>
      <c r="AI218" s="630"/>
      <c r="AJ218" s="630"/>
      <c r="AK218" s="630"/>
      <c r="AL218" s="630"/>
      <c r="AM218" s="630"/>
      <c r="AN218" s="630"/>
      <c r="AO218" s="630"/>
      <c r="AP218" s="630"/>
      <c r="AQ218" s="630"/>
      <c r="AR218" s="630"/>
      <c r="AS218" s="630"/>
      <c r="AT218" s="630"/>
      <c r="AU218" s="630"/>
      <c r="AV218" s="630"/>
      <c r="AW218" s="630"/>
      <c r="AX218" s="630"/>
      <c r="AY218" s="630"/>
      <c r="AZ218" s="612" t="s">
        <v>435</v>
      </c>
      <c r="BA218" s="612" t="s">
        <v>431</v>
      </c>
      <c r="BB218" s="613" t="s">
        <v>551</v>
      </c>
      <c r="BC218" s="614">
        <v>0.01</v>
      </c>
      <c r="BD218" s="614">
        <v>3.0379996547727659E-3</v>
      </c>
      <c r="BE218" s="613" t="s">
        <v>573</v>
      </c>
      <c r="BF218" s="613" t="s">
        <v>573</v>
      </c>
      <c r="BG218" s="643"/>
      <c r="BH218" s="655"/>
    </row>
    <row r="219" spans="1:60" customFormat="1">
      <c r="A219" s="601" t="s">
        <v>50</v>
      </c>
      <c r="B219" s="601" t="s">
        <v>549</v>
      </c>
      <c r="C219" s="601"/>
      <c r="D219" s="601">
        <v>203</v>
      </c>
      <c r="E219" s="623" t="s">
        <v>549</v>
      </c>
      <c r="F219" s="623" t="s">
        <v>50</v>
      </c>
      <c r="G219" s="601" t="s">
        <v>469</v>
      </c>
      <c r="H219" s="623">
        <v>2014</v>
      </c>
      <c r="I219" s="631"/>
      <c r="J219" s="631">
        <v>20373</v>
      </c>
      <c r="K219" s="634">
        <v>2.5573036541917582</v>
      </c>
      <c r="L219" s="634"/>
      <c r="M219" s="631"/>
      <c r="N219" s="632">
        <v>68326</v>
      </c>
      <c r="O219" s="632"/>
      <c r="P219" s="635"/>
      <c r="Q219" s="631"/>
      <c r="R219" s="631">
        <v>317170</v>
      </c>
      <c r="S219" s="631">
        <v>288687</v>
      </c>
      <c r="T219" s="633">
        <v>91.01964246303244</v>
      </c>
      <c r="U219" s="636"/>
      <c r="V219" s="632"/>
      <c r="W219" s="633"/>
      <c r="X219" s="632"/>
      <c r="Y219" s="632"/>
      <c r="Z219" s="633"/>
      <c r="AA219" s="633"/>
      <c r="AB219" s="630"/>
      <c r="AC219" s="630"/>
      <c r="AD219" s="630"/>
      <c r="AE219" s="630"/>
      <c r="AF219" s="630"/>
      <c r="AG219" s="630"/>
      <c r="AH219" s="630"/>
      <c r="AI219" s="630"/>
      <c r="AJ219" s="630"/>
      <c r="AK219" s="630"/>
      <c r="AL219" s="630"/>
      <c r="AM219" s="630"/>
      <c r="AN219" s="630"/>
      <c r="AO219" s="630"/>
      <c r="AP219" s="630"/>
      <c r="AQ219" s="630"/>
      <c r="AR219" s="630"/>
      <c r="AS219" s="630"/>
      <c r="AT219" s="630"/>
      <c r="AU219" s="630"/>
      <c r="AV219" s="630"/>
      <c r="AW219" s="630"/>
      <c r="AX219" s="630"/>
      <c r="AY219" s="630"/>
      <c r="AZ219" s="612" t="s">
        <v>430</v>
      </c>
      <c r="BA219" s="612" t="s">
        <v>431</v>
      </c>
      <c r="BB219" s="613" t="s">
        <v>551</v>
      </c>
      <c r="BC219" s="614">
        <v>0.01</v>
      </c>
      <c r="BD219" s="614">
        <v>2.5573036541917581E-2</v>
      </c>
      <c r="BE219" s="613" t="s">
        <v>574</v>
      </c>
      <c r="BF219" s="613" t="s">
        <v>574</v>
      </c>
      <c r="BG219" s="643"/>
      <c r="BH219" s="655"/>
    </row>
    <row r="220" spans="1:60" customFormat="1">
      <c r="A220" s="601" t="s">
        <v>50</v>
      </c>
      <c r="B220" s="601" t="s">
        <v>418</v>
      </c>
      <c r="C220" s="601"/>
      <c r="D220" s="601">
        <v>203</v>
      </c>
      <c r="E220" s="603" t="s">
        <v>562</v>
      </c>
      <c r="F220" s="623" t="s">
        <v>50</v>
      </c>
      <c r="G220" s="601" t="s">
        <v>469</v>
      </c>
      <c r="H220" s="623">
        <v>2014</v>
      </c>
      <c r="I220" s="631"/>
      <c r="J220" s="631">
        <v>171205</v>
      </c>
      <c r="K220" s="634">
        <v>1.4006800812885729</v>
      </c>
      <c r="L220" s="634"/>
      <c r="M220" s="631"/>
      <c r="N220" s="632">
        <v>338870</v>
      </c>
      <c r="O220" s="632"/>
      <c r="P220" s="635"/>
      <c r="Q220" s="631"/>
      <c r="R220" s="631">
        <v>1893009</v>
      </c>
      <c r="S220" s="631">
        <v>1667560</v>
      </c>
      <c r="T220" s="633">
        <v>88.090442253576185</v>
      </c>
      <c r="U220" s="636"/>
      <c r="V220" s="632"/>
      <c r="W220" s="633"/>
      <c r="X220" s="632"/>
      <c r="Y220" s="632"/>
      <c r="Z220" s="633"/>
      <c r="AA220" s="633"/>
      <c r="AB220" s="630"/>
      <c r="AC220" s="630"/>
      <c r="AD220" s="630"/>
      <c r="AE220" s="630"/>
      <c r="AF220" s="630"/>
      <c r="AG220" s="630"/>
      <c r="AH220" s="630"/>
      <c r="AI220" s="630"/>
      <c r="AJ220" s="630"/>
      <c r="AK220" s="630"/>
      <c r="AL220" s="630"/>
      <c r="AM220" s="630"/>
      <c r="AN220" s="630"/>
      <c r="AO220" s="630"/>
      <c r="AP220" s="630"/>
      <c r="AQ220" s="630"/>
      <c r="AR220" s="630"/>
      <c r="AS220" s="630"/>
      <c r="AT220" s="630"/>
      <c r="AU220" s="630"/>
      <c r="AV220" s="630"/>
      <c r="AW220" s="630"/>
      <c r="AX220" s="630"/>
      <c r="AY220" s="630"/>
      <c r="AZ220" s="601" t="s">
        <v>430</v>
      </c>
      <c r="BA220" s="601" t="s">
        <v>433</v>
      </c>
      <c r="BB220" s="613" t="s">
        <v>552</v>
      </c>
      <c r="BC220" s="614">
        <v>0.01</v>
      </c>
      <c r="BD220" s="652">
        <v>1.4006800812885729E-2</v>
      </c>
      <c r="BE220" s="613" t="s">
        <v>573</v>
      </c>
      <c r="BF220" s="613" t="s">
        <v>573</v>
      </c>
      <c r="BG220" s="643"/>
      <c r="BH220" s="655"/>
    </row>
    <row r="221" spans="1:60" customFormat="1">
      <c r="A221" s="601" t="s">
        <v>50</v>
      </c>
      <c r="B221" s="601" t="s">
        <v>550</v>
      </c>
      <c r="C221" s="601"/>
      <c r="D221" s="601">
        <v>203</v>
      </c>
      <c r="E221" s="623" t="s">
        <v>550</v>
      </c>
      <c r="F221" s="623" t="s">
        <v>50</v>
      </c>
      <c r="G221" s="601" t="s">
        <v>469</v>
      </c>
      <c r="H221" s="623">
        <v>2014</v>
      </c>
      <c r="I221" s="631"/>
      <c r="J221" s="631">
        <v>7594</v>
      </c>
      <c r="K221" s="634">
        <v>1.2658227848101267</v>
      </c>
      <c r="L221" s="634"/>
      <c r="M221" s="631"/>
      <c r="N221" s="632">
        <v>15645</v>
      </c>
      <c r="O221" s="632"/>
      <c r="P221" s="635"/>
      <c r="Q221" s="631"/>
      <c r="R221" s="631">
        <v>41633</v>
      </c>
      <c r="S221" s="631">
        <v>33512</v>
      </c>
      <c r="T221" s="633">
        <v>80.493839021929716</v>
      </c>
      <c r="U221" s="636"/>
      <c r="V221" s="632"/>
      <c r="W221" s="633"/>
      <c r="X221" s="632"/>
      <c r="Y221" s="632"/>
      <c r="Z221" s="633"/>
      <c r="AA221" s="633"/>
      <c r="AB221" s="630"/>
      <c r="AC221" s="630"/>
      <c r="AD221" s="630"/>
      <c r="AE221" s="630"/>
      <c r="AF221" s="630"/>
      <c r="AG221" s="630"/>
      <c r="AH221" s="630"/>
      <c r="AI221" s="630"/>
      <c r="AJ221" s="630"/>
      <c r="AK221" s="630"/>
      <c r="AL221" s="630"/>
      <c r="AM221" s="630"/>
      <c r="AN221" s="630"/>
      <c r="AO221" s="630"/>
      <c r="AP221" s="630"/>
      <c r="AQ221" s="630"/>
      <c r="AR221" s="630"/>
      <c r="AS221" s="630"/>
      <c r="AT221" s="630"/>
      <c r="AU221" s="630"/>
      <c r="AV221" s="630"/>
      <c r="AW221" s="630"/>
      <c r="AX221" s="630"/>
      <c r="AY221" s="630"/>
      <c r="AZ221" s="601" t="s">
        <v>430</v>
      </c>
      <c r="BA221" s="601" t="s">
        <v>433</v>
      </c>
      <c r="BB221" s="613" t="s">
        <v>553</v>
      </c>
      <c r="BC221" s="614">
        <v>0.01</v>
      </c>
      <c r="BD221" s="614">
        <v>1.2658227848101267E-2</v>
      </c>
      <c r="BE221" s="613" t="s">
        <v>573</v>
      </c>
      <c r="BF221" s="613" t="s">
        <v>573</v>
      </c>
      <c r="BG221" s="643"/>
      <c r="BH221" s="655"/>
    </row>
    <row r="222" spans="1:60" customFormat="1">
      <c r="A222" s="601" t="s">
        <v>50</v>
      </c>
      <c r="B222" s="601" t="s">
        <v>565</v>
      </c>
      <c r="C222" s="601"/>
      <c r="D222" s="601">
        <v>203</v>
      </c>
      <c r="E222" s="623" t="s">
        <v>565</v>
      </c>
      <c r="F222" s="623" t="s">
        <v>50</v>
      </c>
      <c r="G222" s="601" t="s">
        <v>469</v>
      </c>
      <c r="H222" s="623">
        <v>2014</v>
      </c>
      <c r="I222" s="631"/>
      <c r="J222" s="631">
        <v>178496</v>
      </c>
      <c r="K222" s="634">
        <v>3.1789999999999998</v>
      </c>
      <c r="L222" s="634"/>
      <c r="M222" s="631"/>
      <c r="N222" s="632">
        <v>100740</v>
      </c>
      <c r="O222" s="632"/>
      <c r="P222" s="635"/>
      <c r="Q222" s="631"/>
      <c r="R222" s="631">
        <v>1680789</v>
      </c>
      <c r="S222" s="631">
        <v>1450512</v>
      </c>
      <c r="T222" s="633">
        <v>86.29947007030627</v>
      </c>
      <c r="U222" s="636"/>
      <c r="V222" s="632"/>
      <c r="W222" s="633"/>
      <c r="X222" s="632"/>
      <c r="Y222" s="632"/>
      <c r="Z222" s="633"/>
      <c r="AA222" s="633"/>
      <c r="AB222" s="630"/>
      <c r="AC222" s="630"/>
      <c r="AD222" s="630"/>
      <c r="AE222" s="630"/>
      <c r="AF222" s="630"/>
      <c r="AG222" s="630"/>
      <c r="AH222" s="630"/>
      <c r="AI222" s="630"/>
      <c r="AJ222" s="630"/>
      <c r="AK222" s="630"/>
      <c r="AL222" s="630"/>
      <c r="AM222" s="630"/>
      <c r="AN222" s="630"/>
      <c r="AO222" s="630"/>
      <c r="AP222" s="630"/>
      <c r="AQ222" s="630"/>
      <c r="AR222" s="630"/>
      <c r="AS222" s="630"/>
      <c r="AT222" s="630"/>
      <c r="AU222" s="630"/>
      <c r="AV222" s="630"/>
      <c r="AW222" s="630"/>
      <c r="AX222" s="630"/>
      <c r="AY222" s="630"/>
      <c r="AZ222" s="612" t="s">
        <v>430</v>
      </c>
      <c r="BA222" s="612" t="s">
        <v>433</v>
      </c>
      <c r="BB222" s="613" t="s">
        <v>555</v>
      </c>
      <c r="BC222" s="614">
        <v>0.01</v>
      </c>
      <c r="BD222" s="652">
        <v>3.1789999999999999E-2</v>
      </c>
      <c r="BE222" s="613" t="s">
        <v>574</v>
      </c>
      <c r="BF222" s="613" t="s">
        <v>574</v>
      </c>
      <c r="BG222" s="643"/>
      <c r="BH222" s="655"/>
    </row>
    <row r="223" spans="1:60" s="643" customFormat="1">
      <c r="A223" s="601" t="s">
        <v>51</v>
      </c>
      <c r="B223" s="601" t="s">
        <v>613</v>
      </c>
      <c r="C223" s="601"/>
      <c r="D223" s="601"/>
      <c r="E223" s="623" t="s">
        <v>584</v>
      </c>
      <c r="F223" s="623" t="s">
        <v>51</v>
      </c>
      <c r="G223" s="601" t="s">
        <v>469</v>
      </c>
      <c r="H223" s="623">
        <v>2014</v>
      </c>
      <c r="I223" s="631"/>
      <c r="J223" s="631"/>
      <c r="K223" s="634"/>
      <c r="L223" s="634"/>
      <c r="M223" s="631">
        <v>36137</v>
      </c>
      <c r="N223" s="632">
        <v>331947</v>
      </c>
      <c r="O223" s="632">
        <v>980438</v>
      </c>
      <c r="P223" s="635"/>
      <c r="Q223" s="631"/>
      <c r="R223" s="631"/>
      <c r="S223" s="631"/>
      <c r="T223" s="633"/>
      <c r="U223" s="636"/>
      <c r="V223" s="632"/>
      <c r="W223" s="633"/>
      <c r="X223" s="632"/>
      <c r="Y223" s="632"/>
      <c r="Z223" s="633"/>
      <c r="AA223" s="633"/>
      <c r="AB223" s="630"/>
      <c r="AC223" s="630"/>
      <c r="AD223" s="630"/>
      <c r="AE223" s="630"/>
      <c r="AF223" s="630"/>
      <c r="AG223" s="630"/>
      <c r="AH223" s="630"/>
      <c r="AI223" s="630"/>
      <c r="AJ223" s="630"/>
      <c r="AK223" s="630"/>
      <c r="AL223" s="630"/>
      <c r="AM223" s="630"/>
      <c r="AN223" s="630"/>
      <c r="AO223" s="630"/>
      <c r="AP223" s="630"/>
      <c r="AQ223" s="630"/>
      <c r="AR223" s="630"/>
      <c r="AS223" s="630"/>
      <c r="AT223" s="630"/>
      <c r="AU223" s="630"/>
      <c r="AV223" s="630"/>
      <c r="AW223" s="630"/>
      <c r="AX223" s="630"/>
      <c r="AY223" s="630"/>
      <c r="AZ223" s="601"/>
      <c r="BA223" s="601"/>
      <c r="BB223" s="613" t="s">
        <v>552</v>
      </c>
      <c r="BC223" s="614"/>
      <c r="BD223" s="652"/>
      <c r="BE223" s="613"/>
      <c r="BH223" s="655"/>
    </row>
    <row r="224" spans="1:60" s="643" customFormat="1">
      <c r="A224" s="601" t="s">
        <v>51</v>
      </c>
      <c r="B224" s="601" t="s">
        <v>613</v>
      </c>
      <c r="C224" s="601"/>
      <c r="D224" s="601"/>
      <c r="E224" s="623" t="s">
        <v>585</v>
      </c>
      <c r="F224" s="623" t="s">
        <v>51</v>
      </c>
      <c r="G224" s="601" t="s">
        <v>469</v>
      </c>
      <c r="H224" s="623">
        <v>2014</v>
      </c>
      <c r="I224" s="631"/>
      <c r="J224" s="631"/>
      <c r="K224" s="634"/>
      <c r="L224" s="634"/>
      <c r="M224" s="631">
        <v>3680851</v>
      </c>
      <c r="N224" s="632">
        <v>1285630</v>
      </c>
      <c r="O224" s="632">
        <v>13519535</v>
      </c>
      <c r="P224" s="635"/>
      <c r="Q224" s="631"/>
      <c r="R224" s="631"/>
      <c r="S224" s="631"/>
      <c r="T224" s="633"/>
      <c r="U224" s="636"/>
      <c r="V224" s="632"/>
      <c r="W224" s="633"/>
      <c r="X224" s="632"/>
      <c r="Y224" s="632"/>
      <c r="Z224" s="633"/>
      <c r="AA224" s="633"/>
      <c r="AB224" s="630"/>
      <c r="AC224" s="630"/>
      <c r="AD224" s="630"/>
      <c r="AE224" s="630"/>
      <c r="AF224" s="630"/>
      <c r="AG224" s="630"/>
      <c r="AH224" s="630"/>
      <c r="AI224" s="630"/>
      <c r="AJ224" s="630"/>
      <c r="AK224" s="630"/>
      <c r="AL224" s="630"/>
      <c r="AM224" s="630"/>
      <c r="AN224" s="630"/>
      <c r="AO224" s="630"/>
      <c r="AP224" s="630"/>
      <c r="AQ224" s="630"/>
      <c r="AR224" s="630"/>
      <c r="AS224" s="630"/>
      <c r="AT224" s="630"/>
      <c r="AU224" s="630"/>
      <c r="AV224" s="630"/>
      <c r="AW224" s="630"/>
      <c r="AX224" s="630"/>
      <c r="AY224" s="630"/>
      <c r="AZ224" s="601"/>
      <c r="BA224" s="601"/>
      <c r="BB224" s="613" t="s">
        <v>552</v>
      </c>
      <c r="BC224" s="614"/>
      <c r="BD224" s="652"/>
      <c r="BE224" s="613"/>
      <c r="BH224" s="655"/>
    </row>
    <row r="225" spans="1:60" s="643" customFormat="1">
      <c r="A225" s="601" t="s">
        <v>51</v>
      </c>
      <c r="B225" s="601" t="s">
        <v>586</v>
      </c>
      <c r="C225" s="601"/>
      <c r="D225" s="601"/>
      <c r="E225" s="623" t="s">
        <v>586</v>
      </c>
      <c r="F225" s="623" t="s">
        <v>51</v>
      </c>
      <c r="G225" s="601" t="s">
        <v>469</v>
      </c>
      <c r="H225" s="623">
        <v>2014</v>
      </c>
      <c r="I225" s="631"/>
      <c r="J225" s="631"/>
      <c r="K225" s="634"/>
      <c r="L225" s="634"/>
      <c r="M225" s="631">
        <v>3816640</v>
      </c>
      <c r="N225" s="632">
        <v>1478614</v>
      </c>
      <c r="O225" s="632">
        <v>15857514</v>
      </c>
      <c r="P225" s="635"/>
      <c r="Q225" s="631"/>
      <c r="R225" s="631"/>
      <c r="S225" s="631"/>
      <c r="T225" s="633"/>
      <c r="U225" s="636"/>
      <c r="V225" s="632"/>
      <c r="W225" s="633"/>
      <c r="X225" s="632"/>
      <c r="Y225" s="632"/>
      <c r="Z225" s="633"/>
      <c r="AA225" s="633"/>
      <c r="AB225" s="630"/>
      <c r="AC225" s="630"/>
      <c r="AD225" s="630"/>
      <c r="AE225" s="630"/>
      <c r="AF225" s="630"/>
      <c r="AG225" s="630"/>
      <c r="AH225" s="630"/>
      <c r="AI225" s="630"/>
      <c r="AJ225" s="630"/>
      <c r="AK225" s="630"/>
      <c r="AL225" s="630"/>
      <c r="AM225" s="630"/>
      <c r="AN225" s="630"/>
      <c r="AO225" s="630"/>
      <c r="AP225" s="630"/>
      <c r="AQ225" s="630"/>
      <c r="AR225" s="630"/>
      <c r="AS225" s="630"/>
      <c r="AT225" s="630"/>
      <c r="AU225" s="630"/>
      <c r="AV225" s="630"/>
      <c r="AW225" s="630"/>
      <c r="AX225" s="630"/>
      <c r="AY225" s="630"/>
      <c r="AZ225" s="601"/>
      <c r="BA225" s="601"/>
      <c r="BB225" s="613" t="s">
        <v>552</v>
      </c>
      <c r="BC225" s="614"/>
      <c r="BD225" s="652"/>
      <c r="BE225" s="613"/>
      <c r="BH225" s="655"/>
    </row>
    <row r="226" spans="1:60" s="643" customFormat="1">
      <c r="A226" s="601" t="s">
        <v>51</v>
      </c>
      <c r="B226" s="601" t="s">
        <v>587</v>
      </c>
      <c r="C226" s="601"/>
      <c r="D226" s="601"/>
      <c r="E226" s="623" t="s">
        <v>587</v>
      </c>
      <c r="F226" s="623" t="s">
        <v>51</v>
      </c>
      <c r="G226" s="601" t="s">
        <v>469</v>
      </c>
      <c r="H226" s="623">
        <v>2014</v>
      </c>
      <c r="I226" s="631"/>
      <c r="J226" s="631"/>
      <c r="K226" s="634"/>
      <c r="L226" s="634"/>
      <c r="M226" s="631">
        <v>2471292</v>
      </c>
      <c r="N226" s="632">
        <v>1079201</v>
      </c>
      <c r="O226" s="632">
        <v>3185568</v>
      </c>
      <c r="P226" s="635"/>
      <c r="Q226" s="631"/>
      <c r="R226" s="631"/>
      <c r="S226" s="631"/>
      <c r="T226" s="633"/>
      <c r="U226" s="636"/>
      <c r="V226" s="632"/>
      <c r="W226" s="633"/>
      <c r="X226" s="632"/>
      <c r="Y226" s="632"/>
      <c r="Z226" s="633"/>
      <c r="AA226" s="633"/>
      <c r="AB226" s="630"/>
      <c r="AC226" s="630"/>
      <c r="AD226" s="630"/>
      <c r="AE226" s="630"/>
      <c r="AF226" s="630"/>
      <c r="AG226" s="630"/>
      <c r="AH226" s="630"/>
      <c r="AI226" s="630"/>
      <c r="AJ226" s="630"/>
      <c r="AK226" s="630"/>
      <c r="AL226" s="630"/>
      <c r="AM226" s="630"/>
      <c r="AN226" s="630"/>
      <c r="AO226" s="630"/>
      <c r="AP226" s="630"/>
      <c r="AQ226" s="630"/>
      <c r="AR226" s="630"/>
      <c r="AS226" s="630"/>
      <c r="AT226" s="630"/>
      <c r="AU226" s="630"/>
      <c r="AV226" s="630"/>
      <c r="AW226" s="630"/>
      <c r="AX226" s="630"/>
      <c r="AY226" s="630"/>
      <c r="AZ226" s="601"/>
      <c r="BA226" s="601"/>
      <c r="BB226" s="613" t="s">
        <v>552</v>
      </c>
      <c r="BC226" s="614"/>
      <c r="BD226" s="652"/>
      <c r="BE226" s="613"/>
      <c r="BH226" s="655"/>
    </row>
    <row r="227" spans="1:60" s="643" customFormat="1">
      <c r="A227" s="601" t="s">
        <v>51</v>
      </c>
      <c r="B227" s="601" t="s">
        <v>588</v>
      </c>
      <c r="C227" s="601"/>
      <c r="D227" s="601"/>
      <c r="E227" s="623" t="s">
        <v>588</v>
      </c>
      <c r="F227" s="623" t="s">
        <v>51</v>
      </c>
      <c r="G227" s="601" t="s">
        <v>469</v>
      </c>
      <c r="H227" s="623">
        <v>2014</v>
      </c>
      <c r="I227" s="631"/>
      <c r="J227" s="631"/>
      <c r="K227" s="634"/>
      <c r="L227" s="634"/>
      <c r="M227" s="631">
        <v>1669649</v>
      </c>
      <c r="N227" s="632">
        <v>788868</v>
      </c>
      <c r="O227" s="632">
        <v>8138106</v>
      </c>
      <c r="P227" s="635"/>
      <c r="Q227" s="631"/>
      <c r="R227" s="631"/>
      <c r="S227" s="631"/>
      <c r="T227" s="633"/>
      <c r="U227" s="636"/>
      <c r="V227" s="632"/>
      <c r="W227" s="633"/>
      <c r="X227" s="632"/>
      <c r="Y227" s="632"/>
      <c r="Z227" s="633"/>
      <c r="AA227" s="633"/>
      <c r="AB227" s="630"/>
      <c r="AC227" s="630"/>
      <c r="AD227" s="630"/>
      <c r="AE227" s="630"/>
      <c r="AF227" s="630"/>
      <c r="AG227" s="630"/>
      <c r="AH227" s="630"/>
      <c r="AI227" s="630"/>
      <c r="AJ227" s="630"/>
      <c r="AK227" s="630"/>
      <c r="AL227" s="630"/>
      <c r="AM227" s="630"/>
      <c r="AN227" s="630"/>
      <c r="AO227" s="630"/>
      <c r="AP227" s="630"/>
      <c r="AQ227" s="630"/>
      <c r="AR227" s="630"/>
      <c r="AS227" s="630"/>
      <c r="AT227" s="630"/>
      <c r="AU227" s="630"/>
      <c r="AV227" s="630"/>
      <c r="AW227" s="630"/>
      <c r="AX227" s="630"/>
      <c r="AY227" s="630"/>
      <c r="AZ227" s="601"/>
      <c r="BA227" s="601"/>
      <c r="BB227" s="613" t="s">
        <v>552</v>
      </c>
      <c r="BC227" s="614"/>
      <c r="BD227" s="652"/>
      <c r="BE227" s="613"/>
      <c r="BH227" s="655"/>
    </row>
    <row r="228" spans="1:60" s="643" customFormat="1">
      <c r="A228" s="601" t="s">
        <v>51</v>
      </c>
      <c r="B228" s="601" t="s">
        <v>589</v>
      </c>
      <c r="C228" s="601"/>
      <c r="D228" s="601"/>
      <c r="E228" s="623" t="s">
        <v>589</v>
      </c>
      <c r="F228" s="623" t="s">
        <v>51</v>
      </c>
      <c r="G228" s="601" t="s">
        <v>469</v>
      </c>
      <c r="H228" s="623">
        <v>2014</v>
      </c>
      <c r="I228" s="631"/>
      <c r="J228" s="631"/>
      <c r="K228" s="634"/>
      <c r="L228" s="634"/>
      <c r="M228" s="631">
        <v>1778459</v>
      </c>
      <c r="N228" s="632">
        <v>603663</v>
      </c>
      <c r="O228" s="632">
        <v>6125419</v>
      </c>
      <c r="P228" s="635"/>
      <c r="Q228" s="631"/>
      <c r="R228" s="631"/>
      <c r="S228" s="631"/>
      <c r="T228" s="633"/>
      <c r="U228" s="636"/>
      <c r="V228" s="632"/>
      <c r="W228" s="633"/>
      <c r="X228" s="632"/>
      <c r="Y228" s="632"/>
      <c r="Z228" s="633"/>
      <c r="AA228" s="633"/>
      <c r="AB228" s="630"/>
      <c r="AC228" s="630"/>
      <c r="AD228" s="630"/>
      <c r="AE228" s="630"/>
      <c r="AF228" s="630"/>
      <c r="AG228" s="630"/>
      <c r="AH228" s="630"/>
      <c r="AI228" s="630"/>
      <c r="AJ228" s="630"/>
      <c r="AK228" s="630"/>
      <c r="AL228" s="630"/>
      <c r="AM228" s="630"/>
      <c r="AN228" s="630"/>
      <c r="AO228" s="630"/>
      <c r="AP228" s="630"/>
      <c r="AQ228" s="630"/>
      <c r="AR228" s="630"/>
      <c r="AS228" s="630"/>
      <c r="AT228" s="630"/>
      <c r="AU228" s="630"/>
      <c r="AV228" s="630"/>
      <c r="AW228" s="630"/>
      <c r="AX228" s="630"/>
      <c r="AY228" s="630"/>
      <c r="AZ228" s="601"/>
      <c r="BA228" s="601"/>
      <c r="BB228" s="613" t="s">
        <v>552</v>
      </c>
      <c r="BC228" s="614"/>
      <c r="BD228" s="652"/>
      <c r="BE228" s="613"/>
      <c r="BH228" s="655"/>
    </row>
    <row r="229" spans="1:60" s="643" customFormat="1">
      <c r="A229" s="601" t="s">
        <v>51</v>
      </c>
      <c r="B229" s="601" t="s">
        <v>590</v>
      </c>
      <c r="C229" s="601"/>
      <c r="D229" s="601"/>
      <c r="E229" s="623" t="s">
        <v>590</v>
      </c>
      <c r="F229" s="623" t="s">
        <v>51</v>
      </c>
      <c r="G229" s="601" t="s">
        <v>469</v>
      </c>
      <c r="H229" s="623">
        <v>2014</v>
      </c>
      <c r="I229" s="631"/>
      <c r="J229" s="631"/>
      <c r="K229" s="634"/>
      <c r="L229" s="634"/>
      <c r="M229" s="631">
        <v>1484452</v>
      </c>
      <c r="N229" s="632">
        <v>439675</v>
      </c>
      <c r="O229" s="632">
        <v>4229017</v>
      </c>
      <c r="P229" s="635"/>
      <c r="Q229" s="631"/>
      <c r="R229" s="631"/>
      <c r="S229" s="631"/>
      <c r="T229" s="633"/>
      <c r="U229" s="636"/>
      <c r="V229" s="632"/>
      <c r="W229" s="633"/>
      <c r="X229" s="632"/>
      <c r="Y229" s="632"/>
      <c r="Z229" s="633"/>
      <c r="AA229" s="633"/>
      <c r="AB229" s="630"/>
      <c r="AC229" s="630"/>
      <c r="AD229" s="630"/>
      <c r="AE229" s="630"/>
      <c r="AF229" s="630"/>
      <c r="AG229" s="630"/>
      <c r="AH229" s="630"/>
      <c r="AI229" s="630"/>
      <c r="AJ229" s="630"/>
      <c r="AK229" s="630"/>
      <c r="AL229" s="630"/>
      <c r="AM229" s="630"/>
      <c r="AN229" s="630"/>
      <c r="AO229" s="630"/>
      <c r="AP229" s="630"/>
      <c r="AQ229" s="630"/>
      <c r="AR229" s="630"/>
      <c r="AS229" s="630"/>
      <c r="AT229" s="630"/>
      <c r="AU229" s="630"/>
      <c r="AV229" s="630"/>
      <c r="AW229" s="630"/>
      <c r="AX229" s="630"/>
      <c r="AY229" s="630"/>
      <c r="AZ229" s="601"/>
      <c r="BA229" s="601"/>
      <c r="BB229" s="613" t="s">
        <v>552</v>
      </c>
      <c r="BC229" s="614"/>
      <c r="BD229" s="652"/>
      <c r="BE229" s="613"/>
      <c r="BH229" s="655"/>
    </row>
    <row r="230" spans="1:60" s="643" customFormat="1">
      <c r="A230" s="601" t="s">
        <v>51</v>
      </c>
      <c r="B230" s="601" t="s">
        <v>591</v>
      </c>
      <c r="C230" s="601"/>
      <c r="D230" s="601"/>
      <c r="E230" s="623" t="s">
        <v>591</v>
      </c>
      <c r="F230" s="623" t="s">
        <v>51</v>
      </c>
      <c r="G230" s="601" t="s">
        <v>469</v>
      </c>
      <c r="H230" s="623">
        <v>2014</v>
      </c>
      <c r="I230" s="631"/>
      <c r="J230" s="631"/>
      <c r="K230" s="634"/>
      <c r="L230" s="634"/>
      <c r="M230" s="631">
        <v>1047289</v>
      </c>
      <c r="N230" s="632">
        <v>377184</v>
      </c>
      <c r="O230" s="632">
        <v>1119780</v>
      </c>
      <c r="P230" s="635"/>
      <c r="Q230" s="631"/>
      <c r="R230" s="631"/>
      <c r="S230" s="631"/>
      <c r="T230" s="633"/>
      <c r="U230" s="636"/>
      <c r="V230" s="632"/>
      <c r="W230" s="633"/>
      <c r="X230" s="632"/>
      <c r="Y230" s="632"/>
      <c r="Z230" s="633"/>
      <c r="AA230" s="633"/>
      <c r="AB230" s="630"/>
      <c r="AC230" s="630"/>
      <c r="AD230" s="630"/>
      <c r="AE230" s="630"/>
      <c r="AF230" s="630"/>
      <c r="AG230" s="630"/>
      <c r="AH230" s="630"/>
      <c r="AI230" s="630"/>
      <c r="AJ230" s="630"/>
      <c r="AK230" s="630"/>
      <c r="AL230" s="630"/>
      <c r="AM230" s="630"/>
      <c r="AN230" s="630"/>
      <c r="AO230" s="630"/>
      <c r="AP230" s="630"/>
      <c r="AQ230" s="630"/>
      <c r="AR230" s="630"/>
      <c r="AS230" s="630"/>
      <c r="AT230" s="630"/>
      <c r="AU230" s="630"/>
      <c r="AV230" s="630"/>
      <c r="AW230" s="630"/>
      <c r="AX230" s="630"/>
      <c r="AY230" s="630"/>
      <c r="AZ230" s="601"/>
      <c r="BA230" s="601"/>
      <c r="BB230" s="613" t="s">
        <v>552</v>
      </c>
      <c r="BC230" s="614"/>
      <c r="BD230" s="652"/>
      <c r="BE230" s="613"/>
      <c r="BH230" s="655"/>
    </row>
    <row r="231" spans="1:60" s="643" customFormat="1">
      <c r="A231" s="601" t="s">
        <v>51</v>
      </c>
      <c r="B231" s="601" t="s">
        <v>592</v>
      </c>
      <c r="C231" s="601"/>
      <c r="D231" s="601"/>
      <c r="E231" s="623" t="s">
        <v>592</v>
      </c>
      <c r="F231" s="623" t="s">
        <v>51</v>
      </c>
      <c r="G231" s="601" t="s">
        <v>469</v>
      </c>
      <c r="H231" s="623">
        <v>2014</v>
      </c>
      <c r="I231" s="631"/>
      <c r="J231" s="631"/>
      <c r="K231" s="634"/>
      <c r="L231" s="634"/>
      <c r="M231" s="631">
        <v>786111</v>
      </c>
      <c r="N231" s="632">
        <v>304379</v>
      </c>
      <c r="O231" s="632">
        <v>900580</v>
      </c>
      <c r="P231" s="635"/>
      <c r="Q231" s="631"/>
      <c r="R231" s="631"/>
      <c r="S231" s="631"/>
      <c r="T231" s="633"/>
      <c r="U231" s="636"/>
      <c r="V231" s="632"/>
      <c r="W231" s="633"/>
      <c r="X231" s="632"/>
      <c r="Y231" s="632"/>
      <c r="Z231" s="633"/>
      <c r="AA231" s="633"/>
      <c r="AB231" s="630"/>
      <c r="AC231" s="630"/>
      <c r="AD231" s="630"/>
      <c r="AE231" s="630"/>
      <c r="AF231" s="630"/>
      <c r="AG231" s="630"/>
      <c r="AH231" s="630"/>
      <c r="AI231" s="630"/>
      <c r="AJ231" s="630"/>
      <c r="AK231" s="630"/>
      <c r="AL231" s="630"/>
      <c r="AM231" s="630"/>
      <c r="AN231" s="630"/>
      <c r="AO231" s="630"/>
      <c r="AP231" s="630"/>
      <c r="AQ231" s="630"/>
      <c r="AR231" s="630"/>
      <c r="AS231" s="630"/>
      <c r="AT231" s="630"/>
      <c r="AU231" s="630"/>
      <c r="AV231" s="630"/>
      <c r="AW231" s="630"/>
      <c r="AX231" s="630"/>
      <c r="AY231" s="630"/>
      <c r="AZ231" s="601"/>
      <c r="BA231" s="601"/>
      <c r="BB231" s="613" t="s">
        <v>552</v>
      </c>
      <c r="BC231" s="614"/>
      <c r="BD231" s="652"/>
      <c r="BE231" s="613"/>
      <c r="BH231" s="655"/>
    </row>
    <row r="232" spans="1:60" s="643" customFormat="1">
      <c r="A232" s="601" t="s">
        <v>51</v>
      </c>
      <c r="B232" s="601" t="s">
        <v>593</v>
      </c>
      <c r="C232" s="601"/>
      <c r="D232" s="601"/>
      <c r="E232" s="623" t="s">
        <v>593</v>
      </c>
      <c r="F232" s="623" t="s">
        <v>51</v>
      </c>
      <c r="G232" s="601" t="s">
        <v>469</v>
      </c>
      <c r="H232" s="623">
        <v>2014</v>
      </c>
      <c r="I232" s="631"/>
      <c r="J232" s="631"/>
      <c r="K232" s="634"/>
      <c r="L232" s="634"/>
      <c r="M232" s="631">
        <v>1161006</v>
      </c>
      <c r="N232" s="632">
        <v>300053</v>
      </c>
      <c r="O232" s="632">
        <v>908491</v>
      </c>
      <c r="P232" s="635"/>
      <c r="Q232" s="631"/>
      <c r="R232" s="631"/>
      <c r="S232" s="631"/>
      <c r="T232" s="633"/>
      <c r="U232" s="636"/>
      <c r="V232" s="632"/>
      <c r="W232" s="633"/>
      <c r="X232" s="632"/>
      <c r="Y232" s="632"/>
      <c r="Z232" s="633"/>
      <c r="AA232" s="633"/>
      <c r="AB232" s="630"/>
      <c r="AC232" s="630"/>
      <c r="AD232" s="630"/>
      <c r="AE232" s="630"/>
      <c r="AF232" s="630"/>
      <c r="AG232" s="630"/>
      <c r="AH232" s="630"/>
      <c r="AI232" s="630"/>
      <c r="AJ232" s="630"/>
      <c r="AK232" s="630"/>
      <c r="AL232" s="630"/>
      <c r="AM232" s="630"/>
      <c r="AN232" s="630"/>
      <c r="AO232" s="630"/>
      <c r="AP232" s="630"/>
      <c r="AQ232" s="630"/>
      <c r="AR232" s="630"/>
      <c r="AS232" s="630"/>
      <c r="AT232" s="630"/>
      <c r="AU232" s="630"/>
      <c r="AV232" s="630"/>
      <c r="AW232" s="630"/>
      <c r="AX232" s="630"/>
      <c r="AY232" s="630"/>
      <c r="AZ232" s="601"/>
      <c r="BA232" s="601"/>
      <c r="BB232" s="613" t="s">
        <v>552</v>
      </c>
      <c r="BC232" s="614"/>
      <c r="BD232" s="652"/>
      <c r="BE232" s="613"/>
      <c r="BH232" s="655"/>
    </row>
    <row r="233" spans="1:60" s="643" customFormat="1">
      <c r="A233" s="601" t="s">
        <v>51</v>
      </c>
      <c r="B233" s="601" t="s">
        <v>594</v>
      </c>
      <c r="C233" s="601"/>
      <c r="D233" s="601"/>
      <c r="E233" s="623" t="s">
        <v>594</v>
      </c>
      <c r="F233" s="623" t="s">
        <v>51</v>
      </c>
      <c r="G233" s="601" t="s">
        <v>469</v>
      </c>
      <c r="H233" s="623">
        <v>2014</v>
      </c>
      <c r="I233" s="631"/>
      <c r="J233" s="631"/>
      <c r="K233" s="634"/>
      <c r="L233" s="634"/>
      <c r="M233" s="631">
        <v>573157</v>
      </c>
      <c r="N233" s="632">
        <v>259860</v>
      </c>
      <c r="O233" s="632">
        <v>2699770</v>
      </c>
      <c r="P233" s="635"/>
      <c r="Q233" s="631"/>
      <c r="R233" s="631"/>
      <c r="S233" s="631"/>
      <c r="T233" s="633"/>
      <c r="U233" s="636"/>
      <c r="V233" s="632"/>
      <c r="W233" s="633"/>
      <c r="X233" s="632"/>
      <c r="Y233" s="632"/>
      <c r="Z233" s="633"/>
      <c r="AA233" s="633"/>
      <c r="AB233" s="630"/>
      <c r="AC233" s="630"/>
      <c r="AD233" s="630"/>
      <c r="AE233" s="630"/>
      <c r="AF233" s="630"/>
      <c r="AG233" s="630"/>
      <c r="AH233" s="630"/>
      <c r="AI233" s="630"/>
      <c r="AJ233" s="630"/>
      <c r="AK233" s="630"/>
      <c r="AL233" s="630"/>
      <c r="AM233" s="630"/>
      <c r="AN233" s="630"/>
      <c r="AO233" s="630"/>
      <c r="AP233" s="630"/>
      <c r="AQ233" s="630"/>
      <c r="AR233" s="630"/>
      <c r="AS233" s="630"/>
      <c r="AT233" s="630"/>
      <c r="AU233" s="630"/>
      <c r="AV233" s="630"/>
      <c r="AW233" s="630"/>
      <c r="AX233" s="630"/>
      <c r="AY233" s="630"/>
      <c r="AZ233" s="601"/>
      <c r="BA233" s="601"/>
      <c r="BB233" s="613" t="s">
        <v>552</v>
      </c>
      <c r="BC233" s="614"/>
      <c r="BD233" s="652"/>
      <c r="BE233" s="613"/>
      <c r="BH233" s="655"/>
    </row>
    <row r="234" spans="1:60" s="643" customFormat="1">
      <c r="A234" s="601" t="s">
        <v>51</v>
      </c>
      <c r="B234" s="601" t="s">
        <v>595</v>
      </c>
      <c r="C234" s="601"/>
      <c r="D234" s="601"/>
      <c r="E234" s="623" t="s">
        <v>595</v>
      </c>
      <c r="F234" s="623" t="s">
        <v>51</v>
      </c>
      <c r="G234" s="601" t="s">
        <v>469</v>
      </c>
      <c r="H234" s="623">
        <v>2014</v>
      </c>
      <c r="I234" s="631"/>
      <c r="J234" s="631"/>
      <c r="K234" s="634"/>
      <c r="L234" s="634"/>
      <c r="M234" s="631">
        <v>446434</v>
      </c>
      <c r="N234" s="632">
        <v>239795</v>
      </c>
      <c r="O234" s="632">
        <v>2432528</v>
      </c>
      <c r="P234" s="635"/>
      <c r="Q234" s="631"/>
      <c r="R234" s="631"/>
      <c r="S234" s="631"/>
      <c r="T234" s="633"/>
      <c r="U234" s="636"/>
      <c r="V234" s="632"/>
      <c r="W234" s="633"/>
      <c r="X234" s="632"/>
      <c r="Y234" s="632"/>
      <c r="Z234" s="633"/>
      <c r="AA234" s="633"/>
      <c r="AB234" s="630"/>
      <c r="AC234" s="630"/>
      <c r="AD234" s="630"/>
      <c r="AE234" s="630"/>
      <c r="AF234" s="630"/>
      <c r="AG234" s="630"/>
      <c r="AH234" s="630"/>
      <c r="AI234" s="630"/>
      <c r="AJ234" s="630"/>
      <c r="AK234" s="630"/>
      <c r="AL234" s="630"/>
      <c r="AM234" s="630"/>
      <c r="AN234" s="630"/>
      <c r="AO234" s="630"/>
      <c r="AP234" s="630"/>
      <c r="AQ234" s="630"/>
      <c r="AR234" s="630"/>
      <c r="AS234" s="630"/>
      <c r="AT234" s="630"/>
      <c r="AU234" s="630"/>
      <c r="AV234" s="630"/>
      <c r="AW234" s="630"/>
      <c r="AX234" s="630"/>
      <c r="AY234" s="630"/>
      <c r="AZ234" s="601"/>
      <c r="BA234" s="601"/>
      <c r="BB234" s="613" t="s">
        <v>555</v>
      </c>
      <c r="BC234" s="614"/>
      <c r="BD234" s="652"/>
      <c r="BE234" s="613"/>
      <c r="BH234" s="655"/>
    </row>
    <row r="235" spans="1:60" s="643" customFormat="1">
      <c r="A235" s="601" t="s">
        <v>51</v>
      </c>
      <c r="B235" s="601" t="s">
        <v>596</v>
      </c>
      <c r="C235" s="601"/>
      <c r="D235" s="601"/>
      <c r="E235" s="623" t="s">
        <v>596</v>
      </c>
      <c r="F235" s="623" t="s">
        <v>51</v>
      </c>
      <c r="G235" s="601" t="s">
        <v>469</v>
      </c>
      <c r="H235" s="623">
        <v>2014</v>
      </c>
      <c r="I235" s="631"/>
      <c r="J235" s="631"/>
      <c r="K235" s="634"/>
      <c r="L235" s="634"/>
      <c r="M235" s="631">
        <v>663918</v>
      </c>
      <c r="N235" s="632">
        <v>230888</v>
      </c>
      <c r="O235" s="632">
        <v>673094</v>
      </c>
      <c r="P235" s="635"/>
      <c r="Q235" s="631"/>
      <c r="R235" s="631"/>
      <c r="S235" s="631"/>
      <c r="T235" s="633"/>
      <c r="U235" s="636"/>
      <c r="V235" s="632"/>
      <c r="W235" s="633"/>
      <c r="X235" s="632"/>
      <c r="Y235" s="632"/>
      <c r="Z235" s="633"/>
      <c r="AA235" s="633"/>
      <c r="AB235" s="630"/>
      <c r="AC235" s="630"/>
      <c r="AD235" s="630"/>
      <c r="AE235" s="630"/>
      <c r="AF235" s="630"/>
      <c r="AG235" s="630"/>
      <c r="AH235" s="630"/>
      <c r="AI235" s="630"/>
      <c r="AJ235" s="630"/>
      <c r="AK235" s="630"/>
      <c r="AL235" s="630"/>
      <c r="AM235" s="630"/>
      <c r="AN235" s="630"/>
      <c r="AO235" s="630"/>
      <c r="AP235" s="630"/>
      <c r="AQ235" s="630"/>
      <c r="AR235" s="630"/>
      <c r="AS235" s="630"/>
      <c r="AT235" s="630"/>
      <c r="AU235" s="630"/>
      <c r="AV235" s="630"/>
      <c r="AW235" s="630"/>
      <c r="AX235" s="630"/>
      <c r="AY235" s="630"/>
      <c r="AZ235" s="601"/>
      <c r="BA235" s="601"/>
      <c r="BB235" s="613" t="s">
        <v>555</v>
      </c>
      <c r="BC235" s="614"/>
      <c r="BD235" s="652"/>
      <c r="BE235" s="613"/>
      <c r="BH235" s="655"/>
    </row>
    <row r="236" spans="1:60" s="643" customFormat="1">
      <c r="A236" s="601" t="s">
        <v>51</v>
      </c>
      <c r="B236" s="601" t="s">
        <v>597</v>
      </c>
      <c r="C236" s="601"/>
      <c r="D236" s="601"/>
      <c r="E236" s="623" t="s">
        <v>597</v>
      </c>
      <c r="F236" s="623" t="s">
        <v>51</v>
      </c>
      <c r="G236" s="601" t="s">
        <v>469</v>
      </c>
      <c r="H236" s="623">
        <v>2014</v>
      </c>
      <c r="I236" s="631"/>
      <c r="J236" s="631"/>
      <c r="K236" s="634"/>
      <c r="L236" s="634"/>
      <c r="M236" s="631">
        <v>509370</v>
      </c>
      <c r="N236" s="632">
        <v>201312</v>
      </c>
      <c r="O236" s="632">
        <v>592746</v>
      </c>
      <c r="P236" s="635"/>
      <c r="Q236" s="631"/>
      <c r="R236" s="631"/>
      <c r="S236" s="631"/>
      <c r="T236" s="633"/>
      <c r="U236" s="636"/>
      <c r="V236" s="632"/>
      <c r="W236" s="633"/>
      <c r="X236" s="632"/>
      <c r="Y236" s="632"/>
      <c r="Z236" s="633"/>
      <c r="AA236" s="633"/>
      <c r="AB236" s="630"/>
      <c r="AC236" s="630"/>
      <c r="AD236" s="630"/>
      <c r="AE236" s="630"/>
      <c r="AF236" s="630"/>
      <c r="AG236" s="630"/>
      <c r="AH236" s="630"/>
      <c r="AI236" s="630"/>
      <c r="AJ236" s="630"/>
      <c r="AK236" s="630"/>
      <c r="AL236" s="630"/>
      <c r="AM236" s="630"/>
      <c r="AN236" s="630"/>
      <c r="AO236" s="630"/>
      <c r="AP236" s="630"/>
      <c r="AQ236" s="630"/>
      <c r="AR236" s="630"/>
      <c r="AS236" s="630"/>
      <c r="AT236" s="630"/>
      <c r="AU236" s="630"/>
      <c r="AV236" s="630"/>
      <c r="AW236" s="630"/>
      <c r="AX236" s="630"/>
      <c r="AY236" s="630"/>
      <c r="AZ236" s="601"/>
      <c r="BA236" s="601"/>
      <c r="BB236" s="613" t="s">
        <v>555</v>
      </c>
      <c r="BC236" s="614"/>
      <c r="BD236" s="652"/>
      <c r="BE236" s="613"/>
      <c r="BH236" s="655"/>
    </row>
    <row r="237" spans="1:60" s="643" customFormat="1">
      <c r="A237" s="601" t="s">
        <v>51</v>
      </c>
      <c r="B237" s="601" t="s">
        <v>598</v>
      </c>
      <c r="C237" s="601"/>
      <c r="D237" s="601"/>
      <c r="E237" s="623" t="s">
        <v>598</v>
      </c>
      <c r="F237" s="623" t="s">
        <v>51</v>
      </c>
      <c r="G237" s="601" t="s">
        <v>469</v>
      </c>
      <c r="H237" s="623">
        <v>2014</v>
      </c>
      <c r="I237" s="631"/>
      <c r="J237" s="631"/>
      <c r="K237" s="634"/>
      <c r="L237" s="634"/>
      <c r="M237" s="631">
        <v>452156</v>
      </c>
      <c r="N237" s="632">
        <v>187085</v>
      </c>
      <c r="O237" s="632">
        <v>1927648</v>
      </c>
      <c r="P237" s="635"/>
      <c r="Q237" s="631"/>
      <c r="R237" s="631"/>
      <c r="S237" s="631"/>
      <c r="T237" s="633"/>
      <c r="U237" s="636"/>
      <c r="V237" s="632"/>
      <c r="W237" s="633"/>
      <c r="X237" s="632"/>
      <c r="Y237" s="632"/>
      <c r="Z237" s="633"/>
      <c r="AA237" s="633"/>
      <c r="AB237" s="630"/>
      <c r="AC237" s="630"/>
      <c r="AD237" s="630"/>
      <c r="AE237" s="630"/>
      <c r="AF237" s="630"/>
      <c r="AG237" s="630"/>
      <c r="AH237" s="630"/>
      <c r="AI237" s="630"/>
      <c r="AJ237" s="630"/>
      <c r="AK237" s="630"/>
      <c r="AL237" s="630"/>
      <c r="AM237" s="630"/>
      <c r="AN237" s="630"/>
      <c r="AO237" s="630"/>
      <c r="AP237" s="630"/>
      <c r="AQ237" s="630"/>
      <c r="AR237" s="630"/>
      <c r="AS237" s="630"/>
      <c r="AT237" s="630"/>
      <c r="AU237" s="630"/>
      <c r="AV237" s="630"/>
      <c r="AW237" s="630"/>
      <c r="AX237" s="630"/>
      <c r="AY237" s="630"/>
      <c r="AZ237" s="601"/>
      <c r="BA237" s="601"/>
      <c r="BB237" s="613" t="s">
        <v>555</v>
      </c>
      <c r="BC237" s="614"/>
      <c r="BD237" s="652"/>
      <c r="BE237" s="613"/>
      <c r="BH237" s="655"/>
    </row>
    <row r="238" spans="1:60" s="643" customFormat="1">
      <c r="A238" s="601" t="s">
        <v>51</v>
      </c>
      <c r="B238" s="601" t="s">
        <v>599</v>
      </c>
      <c r="C238" s="601"/>
      <c r="D238" s="601"/>
      <c r="E238" s="623" t="s">
        <v>599</v>
      </c>
      <c r="F238" s="623" t="s">
        <v>51</v>
      </c>
      <c r="G238" s="601" t="s">
        <v>469</v>
      </c>
      <c r="H238" s="623">
        <v>2014</v>
      </c>
      <c r="I238" s="631"/>
      <c r="J238" s="631"/>
      <c r="K238" s="634"/>
      <c r="L238" s="634"/>
      <c r="M238" s="631">
        <v>386238</v>
      </c>
      <c r="N238" s="632">
        <v>182716</v>
      </c>
      <c r="O238" s="632">
        <v>541763</v>
      </c>
      <c r="P238" s="635"/>
      <c r="Q238" s="631"/>
      <c r="R238" s="631"/>
      <c r="S238" s="631"/>
      <c r="T238" s="633"/>
      <c r="U238" s="636"/>
      <c r="V238" s="632"/>
      <c r="W238" s="633"/>
      <c r="X238" s="632"/>
      <c r="Y238" s="632"/>
      <c r="Z238" s="633"/>
      <c r="AA238" s="633"/>
      <c r="AB238" s="630"/>
      <c r="AC238" s="630"/>
      <c r="AD238" s="630"/>
      <c r="AE238" s="630"/>
      <c r="AF238" s="630"/>
      <c r="AG238" s="630"/>
      <c r="AH238" s="630"/>
      <c r="AI238" s="630"/>
      <c r="AJ238" s="630"/>
      <c r="AK238" s="630"/>
      <c r="AL238" s="630"/>
      <c r="AM238" s="630"/>
      <c r="AN238" s="630"/>
      <c r="AO238" s="630"/>
      <c r="AP238" s="630"/>
      <c r="AQ238" s="630"/>
      <c r="AR238" s="630"/>
      <c r="AS238" s="630"/>
      <c r="AT238" s="630"/>
      <c r="AU238" s="630"/>
      <c r="AV238" s="630"/>
      <c r="AW238" s="630"/>
      <c r="AX238" s="630"/>
      <c r="AY238" s="630"/>
      <c r="AZ238" s="601"/>
      <c r="BA238" s="601"/>
      <c r="BB238" s="613" t="s">
        <v>555</v>
      </c>
      <c r="BC238" s="614"/>
      <c r="BD238" s="652"/>
      <c r="BE238" s="613"/>
      <c r="BH238" s="655"/>
    </row>
    <row r="239" spans="1:60" s="643" customFormat="1">
      <c r="A239" s="601" t="s">
        <v>51</v>
      </c>
      <c r="B239" s="601" t="s">
        <v>600</v>
      </c>
      <c r="C239" s="601"/>
      <c r="D239" s="601"/>
      <c r="E239" s="623" t="s">
        <v>600</v>
      </c>
      <c r="F239" s="623" t="s">
        <v>51</v>
      </c>
      <c r="G239" s="601" t="s">
        <v>469</v>
      </c>
      <c r="H239" s="623">
        <v>2014</v>
      </c>
      <c r="I239" s="631"/>
      <c r="J239" s="631"/>
      <c r="K239" s="634"/>
      <c r="L239" s="634"/>
      <c r="M239" s="631">
        <v>330328</v>
      </c>
      <c r="N239" s="632">
        <v>162783</v>
      </c>
      <c r="O239" s="632">
        <v>460794</v>
      </c>
      <c r="P239" s="635"/>
      <c r="Q239" s="631"/>
      <c r="R239" s="631"/>
      <c r="S239" s="631"/>
      <c r="T239" s="633"/>
      <c r="U239" s="636"/>
      <c r="V239" s="632"/>
      <c r="W239" s="633"/>
      <c r="X239" s="632"/>
      <c r="Y239" s="632"/>
      <c r="Z239" s="633"/>
      <c r="AA239" s="633"/>
      <c r="AB239" s="630"/>
      <c r="AC239" s="630"/>
      <c r="AD239" s="630"/>
      <c r="AE239" s="630"/>
      <c r="AF239" s="630"/>
      <c r="AG239" s="630"/>
      <c r="AH239" s="630"/>
      <c r="AI239" s="630"/>
      <c r="AJ239" s="630"/>
      <c r="AK239" s="630"/>
      <c r="AL239" s="630"/>
      <c r="AM239" s="630"/>
      <c r="AN239" s="630"/>
      <c r="AO239" s="630"/>
      <c r="AP239" s="630"/>
      <c r="AQ239" s="630"/>
      <c r="AR239" s="630"/>
      <c r="AS239" s="630"/>
      <c r="AT239" s="630"/>
      <c r="AU239" s="630"/>
      <c r="AV239" s="630"/>
      <c r="AW239" s="630"/>
      <c r="AX239" s="630"/>
      <c r="AY239" s="630"/>
      <c r="AZ239" s="601"/>
      <c r="BA239" s="601"/>
      <c r="BB239" s="613" t="s">
        <v>555</v>
      </c>
      <c r="BC239" s="614"/>
      <c r="BD239" s="652"/>
      <c r="BE239" s="613"/>
      <c r="BH239" s="655"/>
    </row>
    <row r="240" spans="1:60" s="643" customFormat="1">
      <c r="A240" s="601" t="s">
        <v>51</v>
      </c>
      <c r="B240" s="601" t="s">
        <v>601</v>
      </c>
      <c r="C240" s="601"/>
      <c r="D240" s="601"/>
      <c r="E240" s="623" t="s">
        <v>601</v>
      </c>
      <c r="F240" s="623" t="s">
        <v>51</v>
      </c>
      <c r="G240" s="601" t="s">
        <v>469</v>
      </c>
      <c r="H240" s="623">
        <v>2014</v>
      </c>
      <c r="I240" s="631"/>
      <c r="J240" s="631"/>
      <c r="K240" s="634"/>
      <c r="L240" s="634"/>
      <c r="M240" s="631">
        <v>380803</v>
      </c>
      <c r="N240" s="632">
        <v>130968</v>
      </c>
      <c r="O240" s="632">
        <v>1376582</v>
      </c>
      <c r="P240" s="635"/>
      <c r="Q240" s="631"/>
      <c r="R240" s="631"/>
      <c r="S240" s="631"/>
      <c r="T240" s="633"/>
      <c r="U240" s="636"/>
      <c r="V240" s="632"/>
      <c r="W240" s="633"/>
      <c r="X240" s="632"/>
      <c r="Y240" s="632"/>
      <c r="Z240" s="633"/>
      <c r="AA240" s="633"/>
      <c r="AB240" s="630"/>
      <c r="AC240" s="630"/>
      <c r="AD240" s="630"/>
      <c r="AE240" s="630"/>
      <c r="AF240" s="630"/>
      <c r="AG240" s="630"/>
      <c r="AH240" s="630"/>
      <c r="AI240" s="630"/>
      <c r="AJ240" s="630"/>
      <c r="AK240" s="630"/>
      <c r="AL240" s="630"/>
      <c r="AM240" s="630"/>
      <c r="AN240" s="630"/>
      <c r="AO240" s="630"/>
      <c r="AP240" s="630"/>
      <c r="AQ240" s="630"/>
      <c r="AR240" s="630"/>
      <c r="AS240" s="630"/>
      <c r="AT240" s="630"/>
      <c r="AU240" s="630"/>
      <c r="AV240" s="630"/>
      <c r="AW240" s="630"/>
      <c r="AX240" s="630"/>
      <c r="AY240" s="630"/>
      <c r="AZ240" s="601"/>
      <c r="BA240" s="601"/>
      <c r="BB240" s="613" t="s">
        <v>555</v>
      </c>
      <c r="BC240" s="614"/>
      <c r="BD240" s="652"/>
      <c r="BE240" s="613"/>
      <c r="BH240" s="655"/>
    </row>
    <row r="241" spans="1:60" s="643" customFormat="1">
      <c r="A241" s="601" t="s">
        <v>51</v>
      </c>
      <c r="B241" s="601" t="s">
        <v>602</v>
      </c>
      <c r="C241" s="601"/>
      <c r="D241" s="601"/>
      <c r="E241" s="623" t="s">
        <v>602</v>
      </c>
      <c r="F241" s="623" t="s">
        <v>51</v>
      </c>
      <c r="G241" s="601" t="s">
        <v>469</v>
      </c>
      <c r="H241" s="623">
        <v>2014</v>
      </c>
      <c r="I241" s="631"/>
      <c r="J241" s="631"/>
      <c r="K241" s="634"/>
      <c r="L241" s="634"/>
      <c r="M241" s="631">
        <v>350655</v>
      </c>
      <c r="N241" s="632">
        <v>124072</v>
      </c>
      <c r="O241" s="632">
        <v>1237794</v>
      </c>
      <c r="P241" s="635"/>
      <c r="Q241" s="631"/>
      <c r="R241" s="631"/>
      <c r="S241" s="631"/>
      <c r="T241" s="633"/>
      <c r="U241" s="636"/>
      <c r="V241" s="632"/>
      <c r="W241" s="633"/>
      <c r="X241" s="632"/>
      <c r="Y241" s="632"/>
      <c r="Z241" s="633"/>
      <c r="AA241" s="633"/>
      <c r="AB241" s="630"/>
      <c r="AC241" s="630"/>
      <c r="AD241" s="630"/>
      <c r="AE241" s="630"/>
      <c r="AF241" s="630"/>
      <c r="AG241" s="630"/>
      <c r="AH241" s="630"/>
      <c r="AI241" s="630"/>
      <c r="AJ241" s="630"/>
      <c r="AK241" s="630"/>
      <c r="AL241" s="630"/>
      <c r="AM241" s="630"/>
      <c r="AN241" s="630"/>
      <c r="AO241" s="630"/>
      <c r="AP241" s="630"/>
      <c r="AQ241" s="630"/>
      <c r="AR241" s="630"/>
      <c r="AS241" s="630"/>
      <c r="AT241" s="630"/>
      <c r="AU241" s="630"/>
      <c r="AV241" s="630"/>
      <c r="AW241" s="630"/>
      <c r="AX241" s="630"/>
      <c r="AY241" s="630"/>
      <c r="AZ241" s="601"/>
      <c r="BA241" s="601"/>
      <c r="BB241" s="613" t="s">
        <v>555</v>
      </c>
      <c r="BC241" s="614"/>
      <c r="BD241" s="652"/>
      <c r="BE241" s="613"/>
      <c r="BH241" s="655"/>
    </row>
    <row r="242" spans="1:60" s="643" customFormat="1">
      <c r="A242" s="601" t="s">
        <v>51</v>
      </c>
      <c r="B242" s="601" t="s">
        <v>603</v>
      </c>
      <c r="C242" s="601"/>
      <c r="D242" s="601"/>
      <c r="E242" s="623" t="s">
        <v>603</v>
      </c>
      <c r="F242" s="623" t="s">
        <v>51</v>
      </c>
      <c r="G242" s="601" t="s">
        <v>469</v>
      </c>
      <c r="H242" s="623">
        <v>2014</v>
      </c>
      <c r="I242" s="631"/>
      <c r="J242" s="631"/>
      <c r="K242" s="634"/>
      <c r="L242" s="634"/>
      <c r="M242" s="631">
        <v>552047</v>
      </c>
      <c r="N242" s="632">
        <v>113520</v>
      </c>
      <c r="O242" s="632">
        <v>337266</v>
      </c>
      <c r="P242" s="635"/>
      <c r="Q242" s="631"/>
      <c r="R242" s="631"/>
      <c r="S242" s="631"/>
      <c r="T242" s="633"/>
      <c r="U242" s="636"/>
      <c r="V242" s="632"/>
      <c r="W242" s="633"/>
      <c r="X242" s="632"/>
      <c r="Y242" s="632"/>
      <c r="Z242" s="633"/>
      <c r="AA242" s="633"/>
      <c r="AB242" s="630"/>
      <c r="AC242" s="630"/>
      <c r="AD242" s="630"/>
      <c r="AE242" s="630"/>
      <c r="AF242" s="630"/>
      <c r="AG242" s="630"/>
      <c r="AH242" s="630"/>
      <c r="AI242" s="630"/>
      <c r="AJ242" s="630"/>
      <c r="AK242" s="630"/>
      <c r="AL242" s="630"/>
      <c r="AM242" s="630"/>
      <c r="AN242" s="630"/>
      <c r="AO242" s="630"/>
      <c r="AP242" s="630"/>
      <c r="AQ242" s="630"/>
      <c r="AR242" s="630"/>
      <c r="AS242" s="630"/>
      <c r="AT242" s="630"/>
      <c r="AU242" s="630"/>
      <c r="AV242" s="630"/>
      <c r="AW242" s="630"/>
      <c r="AX242" s="630"/>
      <c r="AY242" s="630"/>
      <c r="AZ242" s="601"/>
      <c r="BA242" s="601"/>
      <c r="BB242" s="613" t="s">
        <v>555</v>
      </c>
      <c r="BC242" s="614"/>
      <c r="BD242" s="652"/>
      <c r="BE242" s="613"/>
      <c r="BH242" s="655"/>
    </row>
    <row r="243" spans="1:60" s="643" customFormat="1">
      <c r="A243" s="601" t="s">
        <v>51</v>
      </c>
      <c r="B243" s="601" t="s">
        <v>604</v>
      </c>
      <c r="C243" s="601"/>
      <c r="D243" s="601"/>
      <c r="E243" s="623" t="s">
        <v>604</v>
      </c>
      <c r="F243" s="623" t="s">
        <v>51</v>
      </c>
      <c r="G243" s="601" t="s">
        <v>469</v>
      </c>
      <c r="H243" s="623">
        <v>2014</v>
      </c>
      <c r="I243" s="631"/>
      <c r="J243" s="631"/>
      <c r="K243" s="634"/>
      <c r="L243" s="634"/>
      <c r="M243" s="631">
        <v>1028515</v>
      </c>
      <c r="N243" s="632">
        <v>105432</v>
      </c>
      <c r="O243" s="632">
        <v>317615</v>
      </c>
      <c r="P243" s="635"/>
      <c r="Q243" s="631"/>
      <c r="R243" s="631"/>
      <c r="S243" s="631"/>
      <c r="T243" s="633"/>
      <c r="U243" s="636"/>
      <c r="V243" s="632"/>
      <c r="W243" s="633"/>
      <c r="X243" s="632"/>
      <c r="Y243" s="632"/>
      <c r="Z243" s="633"/>
      <c r="AA243" s="633"/>
      <c r="AB243" s="630"/>
      <c r="AC243" s="630"/>
      <c r="AD243" s="630"/>
      <c r="AE243" s="630"/>
      <c r="AF243" s="630"/>
      <c r="AG243" s="630"/>
      <c r="AH243" s="630"/>
      <c r="AI243" s="630"/>
      <c r="AJ243" s="630"/>
      <c r="AK243" s="630"/>
      <c r="AL243" s="630"/>
      <c r="AM243" s="630"/>
      <c r="AN243" s="630"/>
      <c r="AO243" s="630"/>
      <c r="AP243" s="630"/>
      <c r="AQ243" s="630"/>
      <c r="AR243" s="630"/>
      <c r="AS243" s="630"/>
      <c r="AT243" s="630"/>
      <c r="AU243" s="630"/>
      <c r="AV243" s="630"/>
      <c r="AW243" s="630"/>
      <c r="AX243" s="630"/>
      <c r="AY243" s="630"/>
      <c r="AZ243" s="601"/>
      <c r="BA243" s="601"/>
      <c r="BB243" s="613" t="s">
        <v>555</v>
      </c>
      <c r="BC243" s="614"/>
      <c r="BD243" s="652"/>
      <c r="BE243" s="613"/>
      <c r="BH243" s="655"/>
    </row>
    <row r="244" spans="1:60" s="643" customFormat="1">
      <c r="A244" s="601" t="s">
        <v>51</v>
      </c>
      <c r="B244" s="601" t="s">
        <v>605</v>
      </c>
      <c r="C244" s="601"/>
      <c r="D244" s="601"/>
      <c r="E244" s="623" t="s">
        <v>605</v>
      </c>
      <c r="F244" s="623" t="s">
        <v>51</v>
      </c>
      <c r="G244" s="601" t="s">
        <v>469</v>
      </c>
      <c r="H244" s="623">
        <v>2014</v>
      </c>
      <c r="I244" s="631"/>
      <c r="J244" s="631"/>
      <c r="K244" s="634"/>
      <c r="L244" s="634"/>
      <c r="M244" s="631">
        <v>311858</v>
      </c>
      <c r="N244" s="632">
        <v>95078</v>
      </c>
      <c r="O244" s="632">
        <v>929812</v>
      </c>
      <c r="P244" s="635"/>
      <c r="Q244" s="631"/>
      <c r="R244" s="631"/>
      <c r="S244" s="631"/>
      <c r="T244" s="633"/>
      <c r="U244" s="636"/>
      <c r="V244" s="632"/>
      <c r="W244" s="633"/>
      <c r="X244" s="632"/>
      <c r="Y244" s="632"/>
      <c r="Z244" s="633"/>
      <c r="AA244" s="633"/>
      <c r="AB244" s="630"/>
      <c r="AC244" s="630"/>
      <c r="AD244" s="630"/>
      <c r="AE244" s="630"/>
      <c r="AF244" s="630"/>
      <c r="AG244" s="630"/>
      <c r="AH244" s="630"/>
      <c r="AI244" s="630"/>
      <c r="AJ244" s="630"/>
      <c r="AK244" s="630"/>
      <c r="AL244" s="630"/>
      <c r="AM244" s="630"/>
      <c r="AN244" s="630"/>
      <c r="AO244" s="630"/>
      <c r="AP244" s="630"/>
      <c r="AQ244" s="630"/>
      <c r="AR244" s="630"/>
      <c r="AS244" s="630"/>
      <c r="AT244" s="630"/>
      <c r="AU244" s="630"/>
      <c r="AV244" s="630"/>
      <c r="AW244" s="630"/>
      <c r="AX244" s="630"/>
      <c r="AY244" s="630"/>
      <c r="AZ244" s="601"/>
      <c r="BA244" s="601"/>
      <c r="BB244" s="613" t="s">
        <v>551</v>
      </c>
      <c r="BC244" s="614"/>
      <c r="BD244" s="652"/>
      <c r="BE244" s="613"/>
      <c r="BH244" s="655"/>
    </row>
    <row r="245" spans="1:60" s="643" customFormat="1">
      <c r="A245" s="601" t="s">
        <v>51</v>
      </c>
      <c r="B245" s="601" t="s">
        <v>606</v>
      </c>
      <c r="C245" s="601"/>
      <c r="D245" s="601"/>
      <c r="E245" s="623" t="s">
        <v>606</v>
      </c>
      <c r="F245" s="623" t="s">
        <v>51</v>
      </c>
      <c r="G245" s="601" t="s">
        <v>469</v>
      </c>
      <c r="H245" s="623">
        <v>2014</v>
      </c>
      <c r="I245" s="631"/>
      <c r="J245" s="631"/>
      <c r="K245" s="634"/>
      <c r="L245" s="634"/>
      <c r="M245" s="631">
        <v>40914</v>
      </c>
      <c r="N245" s="632">
        <v>9819</v>
      </c>
      <c r="O245" s="632">
        <v>28431</v>
      </c>
      <c r="P245" s="635"/>
      <c r="Q245" s="631"/>
      <c r="R245" s="631"/>
      <c r="S245" s="631"/>
      <c r="T245" s="633"/>
      <c r="U245" s="636"/>
      <c r="V245" s="632"/>
      <c r="W245" s="633"/>
      <c r="X245" s="632"/>
      <c r="Y245" s="632"/>
      <c r="Z245" s="633"/>
      <c r="AA245" s="633"/>
      <c r="AB245" s="630"/>
      <c r="AC245" s="630"/>
      <c r="AD245" s="630"/>
      <c r="AE245" s="630"/>
      <c r="AF245" s="630"/>
      <c r="AG245" s="630"/>
      <c r="AH245" s="630"/>
      <c r="AI245" s="630"/>
      <c r="AJ245" s="630"/>
      <c r="AK245" s="630"/>
      <c r="AL245" s="630"/>
      <c r="AM245" s="630"/>
      <c r="AN245" s="630"/>
      <c r="AO245" s="630"/>
      <c r="AP245" s="630"/>
      <c r="AQ245" s="630"/>
      <c r="AR245" s="630"/>
      <c r="AS245" s="630"/>
      <c r="AT245" s="630"/>
      <c r="AU245" s="630"/>
      <c r="AV245" s="630"/>
      <c r="AW245" s="630"/>
      <c r="AX245" s="630"/>
      <c r="AY245" s="630"/>
      <c r="AZ245" s="601"/>
      <c r="BA245" s="601"/>
      <c r="BB245" s="613" t="s">
        <v>553</v>
      </c>
      <c r="BC245" s="614"/>
      <c r="BD245" s="652"/>
      <c r="BE245" s="613"/>
      <c r="BH245" s="655"/>
    </row>
    <row r="246" spans="1:60" s="643" customFormat="1">
      <c r="A246" s="601" t="s">
        <v>51</v>
      </c>
      <c r="B246" s="601" t="s">
        <v>607</v>
      </c>
      <c r="C246" s="601"/>
      <c r="D246" s="601"/>
      <c r="E246" s="623" t="s">
        <v>607</v>
      </c>
      <c r="F246" s="623" t="s">
        <v>51</v>
      </c>
      <c r="G246" s="601" t="s">
        <v>469</v>
      </c>
      <c r="H246" s="623">
        <v>2014</v>
      </c>
      <c r="I246" s="631"/>
      <c r="J246" s="631"/>
      <c r="K246" s="634"/>
      <c r="L246" s="634"/>
      <c r="M246" s="631">
        <v>11325</v>
      </c>
      <c r="N246" s="632">
        <v>2208</v>
      </c>
      <c r="O246" s="632">
        <v>27745</v>
      </c>
      <c r="P246" s="635"/>
      <c r="Q246" s="631"/>
      <c r="R246" s="631"/>
      <c r="S246" s="631"/>
      <c r="T246" s="633"/>
      <c r="U246" s="636"/>
      <c r="V246" s="632"/>
      <c r="W246" s="633"/>
      <c r="X246" s="632"/>
      <c r="Y246" s="632"/>
      <c r="Z246" s="633"/>
      <c r="AA246" s="633"/>
      <c r="AB246" s="630"/>
      <c r="AC246" s="630"/>
      <c r="AD246" s="630"/>
      <c r="AE246" s="630"/>
      <c r="AF246" s="630"/>
      <c r="AG246" s="630"/>
      <c r="AH246" s="630"/>
      <c r="AI246" s="630"/>
      <c r="AJ246" s="630"/>
      <c r="AK246" s="630"/>
      <c r="AL246" s="630"/>
      <c r="AM246" s="630"/>
      <c r="AN246" s="630"/>
      <c r="AO246" s="630"/>
      <c r="AP246" s="630"/>
      <c r="AQ246" s="630"/>
      <c r="AR246" s="630"/>
      <c r="AS246" s="630"/>
      <c r="AT246" s="630"/>
      <c r="AU246" s="630"/>
      <c r="AV246" s="630"/>
      <c r="AW246" s="630"/>
      <c r="AX246" s="630"/>
      <c r="AY246" s="630"/>
      <c r="AZ246" s="601"/>
      <c r="BA246" s="601"/>
      <c r="BB246" s="613" t="s">
        <v>553</v>
      </c>
      <c r="BC246" s="614"/>
      <c r="BD246" s="652"/>
      <c r="BE246" s="613"/>
      <c r="BH246" s="655"/>
    </row>
    <row r="247" spans="1:60" s="643" customFormat="1">
      <c r="A247" s="601" t="s">
        <v>51</v>
      </c>
      <c r="B247" s="601" t="s">
        <v>608</v>
      </c>
      <c r="C247" s="601"/>
      <c r="D247" s="601"/>
      <c r="E247" s="623" t="s">
        <v>608</v>
      </c>
      <c r="F247" s="623" t="s">
        <v>51</v>
      </c>
      <c r="G247" s="601" t="s">
        <v>469</v>
      </c>
      <c r="H247" s="623">
        <v>2014</v>
      </c>
      <c r="I247" s="631"/>
      <c r="J247" s="631"/>
      <c r="K247" s="634"/>
      <c r="L247" s="634"/>
      <c r="M247" s="631">
        <v>51294</v>
      </c>
      <c r="N247" s="632">
        <v>842</v>
      </c>
      <c r="O247" s="632">
        <v>2579</v>
      </c>
      <c r="P247" s="635"/>
      <c r="Q247" s="631"/>
      <c r="R247" s="631"/>
      <c r="S247" s="631"/>
      <c r="T247" s="633"/>
      <c r="U247" s="636"/>
      <c r="V247" s="632"/>
      <c r="W247" s="633"/>
      <c r="X247" s="632"/>
      <c r="Y247" s="632"/>
      <c r="Z247" s="633"/>
      <c r="AA247" s="633"/>
      <c r="AB247" s="630"/>
      <c r="AC247" s="630"/>
      <c r="AD247" s="630"/>
      <c r="AE247" s="630"/>
      <c r="AF247" s="630"/>
      <c r="AG247" s="630"/>
      <c r="AH247" s="630"/>
      <c r="AI247" s="630"/>
      <c r="AJ247" s="630"/>
      <c r="AK247" s="630"/>
      <c r="AL247" s="630"/>
      <c r="AM247" s="630"/>
      <c r="AN247" s="630"/>
      <c r="AO247" s="630"/>
      <c r="AP247" s="630"/>
      <c r="AQ247" s="630"/>
      <c r="AR247" s="630"/>
      <c r="AS247" s="630"/>
      <c r="AT247" s="630"/>
      <c r="AU247" s="630"/>
      <c r="AV247" s="630"/>
      <c r="AW247" s="630"/>
      <c r="AX247" s="630"/>
      <c r="AY247" s="630"/>
      <c r="AZ247" s="601"/>
      <c r="BA247" s="601"/>
      <c r="BB247" s="613" t="s">
        <v>553</v>
      </c>
      <c r="BC247" s="614"/>
      <c r="BD247" s="652"/>
      <c r="BE247" s="613"/>
      <c r="BH247" s="655"/>
    </row>
    <row r="248" spans="1:60" s="643" customFormat="1">
      <c r="A248" s="601" t="s">
        <v>51</v>
      </c>
      <c r="B248" s="601" t="s">
        <v>609</v>
      </c>
      <c r="C248" s="601"/>
      <c r="D248" s="601"/>
      <c r="E248" s="623" t="s">
        <v>609</v>
      </c>
      <c r="F248" s="623" t="s">
        <v>51</v>
      </c>
      <c r="G248" s="601" t="s">
        <v>469</v>
      </c>
      <c r="H248" s="623">
        <v>2014</v>
      </c>
      <c r="I248" s="631"/>
      <c r="J248" s="631"/>
      <c r="K248" s="634"/>
      <c r="L248" s="634"/>
      <c r="M248" s="631">
        <v>66055</v>
      </c>
      <c r="N248" s="632">
        <v>106</v>
      </c>
      <c r="O248" s="632">
        <v>289</v>
      </c>
      <c r="P248" s="635"/>
      <c r="Q248" s="631"/>
      <c r="R248" s="631"/>
      <c r="S248" s="631"/>
      <c r="T248" s="633"/>
      <c r="U248" s="636"/>
      <c r="V248" s="632"/>
      <c r="W248" s="633"/>
      <c r="X248" s="632"/>
      <c r="Y248" s="632"/>
      <c r="Z248" s="633"/>
      <c r="AA248" s="633"/>
      <c r="AB248" s="630"/>
      <c r="AC248" s="630"/>
      <c r="AD248" s="630"/>
      <c r="AE248" s="630"/>
      <c r="AF248" s="630"/>
      <c r="AG248" s="630"/>
      <c r="AH248" s="630"/>
      <c r="AI248" s="630"/>
      <c r="AJ248" s="630"/>
      <c r="AK248" s="630"/>
      <c r="AL248" s="630"/>
      <c r="AM248" s="630"/>
      <c r="AN248" s="630"/>
      <c r="AO248" s="630"/>
      <c r="AP248" s="630"/>
      <c r="AQ248" s="630"/>
      <c r="AR248" s="630"/>
      <c r="AS248" s="630"/>
      <c r="AT248" s="630"/>
      <c r="AU248" s="630"/>
      <c r="AV248" s="630"/>
      <c r="AW248" s="630"/>
      <c r="AX248" s="630"/>
      <c r="AY248" s="630"/>
      <c r="AZ248" s="601"/>
      <c r="BA248" s="601"/>
      <c r="BB248" s="613" t="s">
        <v>553</v>
      </c>
      <c r="BC248" s="614"/>
      <c r="BD248" s="652"/>
      <c r="BE248" s="613"/>
      <c r="BH248" s="655"/>
    </row>
    <row r="249" spans="1:60" customFormat="1">
      <c r="A249" s="511"/>
      <c r="B249" s="511"/>
      <c r="C249" s="511"/>
      <c r="D249" s="511"/>
      <c r="E249" s="511"/>
      <c r="F249" s="511"/>
      <c r="G249" s="511"/>
      <c r="H249" s="517"/>
      <c r="I249" s="511"/>
      <c r="J249" s="511"/>
      <c r="K249" s="511"/>
      <c r="L249" s="511"/>
      <c r="M249" s="511"/>
      <c r="N249" s="511"/>
      <c r="O249" s="511"/>
      <c r="P249" s="511"/>
      <c r="Q249" s="511"/>
      <c r="R249" s="511"/>
      <c r="S249" s="511"/>
      <c r="T249" s="511"/>
      <c r="U249" s="511"/>
      <c r="V249" s="511"/>
      <c r="W249" s="511"/>
      <c r="X249" s="511"/>
      <c r="Y249" s="511"/>
      <c r="Z249" s="511"/>
      <c r="AA249" s="511"/>
      <c r="AB249" s="511"/>
      <c r="AC249" s="511"/>
      <c r="AD249" s="511"/>
      <c r="AE249" s="511"/>
      <c r="AF249" s="511"/>
      <c r="AG249" s="511"/>
      <c r="AH249" s="511"/>
      <c r="AI249" s="511"/>
      <c r="AJ249" s="511"/>
      <c r="AK249" s="511"/>
      <c r="AL249" s="511"/>
      <c r="AM249" s="511"/>
      <c r="AN249" s="511"/>
      <c r="AO249" s="511"/>
      <c r="AP249" s="511"/>
      <c r="AQ249" s="511"/>
      <c r="AR249" s="511"/>
      <c r="AS249" s="511"/>
      <c r="AT249" s="511"/>
      <c r="AU249" s="511"/>
      <c r="AV249" s="511"/>
      <c r="AW249" s="511"/>
      <c r="AX249" s="511"/>
      <c r="AY249" s="511"/>
      <c r="AZ249" s="511"/>
      <c r="BA249" s="511"/>
    </row>
    <row r="250" spans="1:60" customFormat="1">
      <c r="A250" s="649" t="s">
        <v>473</v>
      </c>
      <c r="B250" s="511"/>
      <c r="C250" s="511"/>
      <c r="D250" s="511"/>
      <c r="E250" s="511"/>
      <c r="F250" s="511"/>
      <c r="G250" s="511"/>
      <c r="H250" s="517"/>
      <c r="I250" s="511"/>
      <c r="J250" s="511"/>
      <c r="K250" s="511"/>
      <c r="L250" s="511"/>
      <c r="M250" s="511"/>
      <c r="N250" s="511"/>
      <c r="O250" s="511"/>
      <c r="P250" s="511"/>
      <c r="Q250" s="511"/>
      <c r="R250" s="511"/>
      <c r="S250" s="511"/>
      <c r="T250" s="511"/>
      <c r="U250" s="511"/>
      <c r="V250" s="511"/>
      <c r="W250" s="511"/>
      <c r="X250" s="511"/>
      <c r="Y250" s="511"/>
      <c r="Z250" s="511"/>
      <c r="AA250" s="511"/>
      <c r="AB250" s="511"/>
      <c r="AC250" s="511"/>
      <c r="AD250" s="511"/>
      <c r="AE250" s="511"/>
      <c r="AF250" s="511"/>
      <c r="AG250" s="511"/>
      <c r="AH250" s="511"/>
      <c r="AI250" s="511"/>
      <c r="AJ250" s="511"/>
      <c r="AK250" s="511"/>
      <c r="AL250" s="511"/>
      <c r="AM250" s="511"/>
      <c r="AN250" s="511"/>
      <c r="AO250" s="511"/>
      <c r="AP250" s="511"/>
      <c r="AQ250" s="511"/>
      <c r="AR250" s="511"/>
      <c r="AS250" s="511"/>
      <c r="AT250" s="511"/>
      <c r="AU250" s="511"/>
      <c r="AV250" s="511"/>
      <c r="AW250" s="511"/>
      <c r="AX250" s="511"/>
      <c r="AY250" s="511"/>
      <c r="AZ250" s="511"/>
      <c r="BA250" s="511"/>
    </row>
    <row r="251" spans="1:60" customFormat="1">
      <c r="A251" s="649"/>
      <c r="B251" s="511"/>
      <c r="C251" s="511"/>
      <c r="D251" s="511"/>
      <c r="E251" s="511"/>
      <c r="F251" s="511"/>
      <c r="G251" s="511"/>
      <c r="H251" s="517"/>
      <c r="I251" s="511"/>
      <c r="J251" s="511"/>
      <c r="K251" s="511"/>
      <c r="L251" s="511"/>
      <c r="M251" s="511"/>
      <c r="N251" s="511"/>
      <c r="O251" s="511"/>
      <c r="P251" s="511"/>
      <c r="Q251" s="511"/>
      <c r="R251" s="511"/>
      <c r="S251" s="511"/>
      <c r="T251" s="511"/>
      <c r="U251" s="511"/>
      <c r="V251" s="511"/>
      <c r="W251" s="511"/>
      <c r="X251" s="511"/>
      <c r="Y251" s="511"/>
      <c r="Z251" s="511"/>
      <c r="AA251" s="511"/>
      <c r="AB251" s="511"/>
      <c r="AC251" s="511"/>
      <c r="AD251" s="511"/>
      <c r="AE251" s="511"/>
      <c r="AF251" s="511"/>
      <c r="AG251" s="511"/>
      <c r="AH251" s="511"/>
      <c r="AI251" s="511"/>
      <c r="AJ251" s="511"/>
      <c r="AK251" s="511"/>
      <c r="AL251" s="511"/>
      <c r="AM251" s="511"/>
      <c r="AN251" s="511"/>
      <c r="AO251" s="511"/>
      <c r="AP251" s="511"/>
      <c r="AQ251" s="511"/>
      <c r="AR251" s="511"/>
      <c r="AS251" s="511"/>
      <c r="AT251" s="511"/>
      <c r="AU251" s="511"/>
      <c r="AV251" s="511"/>
      <c r="AW251" s="511"/>
      <c r="AX251" s="511"/>
      <c r="AY251" s="511"/>
      <c r="AZ251" s="511"/>
      <c r="BA251" s="511"/>
    </row>
    <row r="252" spans="1:60" customFormat="1">
      <c r="A252" s="511"/>
      <c r="B252" s="511"/>
      <c r="C252" s="511"/>
      <c r="D252" s="511"/>
      <c r="E252" s="511"/>
      <c r="F252" s="511"/>
      <c r="G252" s="511"/>
      <c r="H252" s="517"/>
      <c r="I252" s="511"/>
      <c r="J252" s="511"/>
      <c r="K252" s="511"/>
      <c r="L252" s="511"/>
      <c r="M252" s="511"/>
      <c r="N252" s="511"/>
      <c r="O252" s="511"/>
      <c r="P252" s="511"/>
      <c r="Q252" s="511"/>
      <c r="R252" s="511"/>
      <c r="S252" s="511"/>
      <c r="T252" s="511"/>
      <c r="U252" s="511"/>
      <c r="V252" s="511"/>
      <c r="W252" s="511"/>
      <c r="X252" s="511"/>
      <c r="Y252" s="511"/>
      <c r="Z252" s="511"/>
      <c r="AA252" s="511"/>
      <c r="AB252" s="511"/>
      <c r="AC252" s="511"/>
      <c r="AD252" s="511"/>
      <c r="AE252" s="511"/>
      <c r="AF252" s="511"/>
      <c r="AG252" s="511"/>
      <c r="AH252" s="511"/>
      <c r="AI252" s="511"/>
      <c r="AJ252" s="511"/>
      <c r="AK252" s="511"/>
      <c r="AL252" s="511"/>
      <c r="AM252" s="511"/>
      <c r="AN252" s="511"/>
      <c r="AO252" s="511"/>
      <c r="AP252" s="511"/>
      <c r="AQ252" s="511"/>
      <c r="AR252" s="511"/>
      <c r="AS252" s="511"/>
      <c r="AT252" s="511"/>
      <c r="AU252" s="511"/>
      <c r="AV252" s="511"/>
      <c r="AW252" s="511"/>
      <c r="AX252" s="511"/>
      <c r="AY252" s="511"/>
      <c r="AZ252" s="511"/>
      <c r="BA252" s="511"/>
    </row>
    <row r="253" spans="1:60" customFormat="1">
      <c r="A253" s="651" t="s">
        <v>638</v>
      </c>
      <c r="B253" s="511"/>
      <c r="C253" s="511"/>
      <c r="D253" s="511"/>
      <c r="E253" s="511"/>
      <c r="F253" s="511"/>
      <c r="G253" s="511"/>
      <c r="H253" s="517"/>
      <c r="I253" s="511"/>
      <c r="J253" s="511"/>
      <c r="K253" s="511"/>
      <c r="L253" s="511"/>
      <c r="M253" s="511"/>
      <c r="N253" s="511"/>
      <c r="O253" s="511"/>
      <c r="P253" s="511"/>
      <c r="Q253" s="511"/>
      <c r="R253" s="511"/>
      <c r="S253" s="511"/>
      <c r="T253" s="511"/>
      <c r="U253" s="511"/>
      <c r="V253" s="511"/>
      <c r="W253" s="511"/>
      <c r="X253" s="511"/>
      <c r="Y253" s="511"/>
      <c r="Z253" s="511"/>
      <c r="AA253" s="511"/>
      <c r="AB253" s="511"/>
      <c r="AC253" s="511"/>
      <c r="AD253" s="511"/>
      <c r="AE253" s="511"/>
      <c r="AF253" s="511"/>
      <c r="AG253" s="511"/>
      <c r="AH253" s="511"/>
      <c r="AI253" s="511"/>
      <c r="AJ253" s="511"/>
      <c r="AK253" s="511"/>
      <c r="AL253" s="511"/>
      <c r="AM253" s="511"/>
      <c r="AN253" s="511"/>
      <c r="AO253" s="511"/>
      <c r="AP253" s="511"/>
      <c r="AQ253" s="511"/>
      <c r="AR253" s="511"/>
      <c r="AS253" s="511"/>
      <c r="AT253" s="511"/>
      <c r="AU253" s="511"/>
      <c r="AV253" s="511"/>
      <c r="AW253" s="511"/>
      <c r="AX253" s="511"/>
      <c r="AY253" s="511"/>
      <c r="AZ253" s="511"/>
      <c r="BA253" s="511"/>
    </row>
    <row r="254" spans="1:60" customFormat="1">
      <c r="A254" s="651" t="s">
        <v>639</v>
      </c>
      <c r="B254" s="511"/>
      <c r="C254" s="511"/>
      <c r="D254" s="511"/>
      <c r="E254" s="511"/>
      <c r="F254" s="511"/>
      <c r="G254" s="511"/>
      <c r="H254" s="517"/>
      <c r="I254" s="511"/>
      <c r="J254" s="511"/>
      <c r="K254" s="511"/>
      <c r="L254" s="511"/>
      <c r="M254" s="511"/>
      <c r="N254" s="511"/>
      <c r="O254" s="511"/>
      <c r="P254" s="511"/>
      <c r="Q254" s="511"/>
      <c r="R254" s="511"/>
      <c r="S254" s="511"/>
      <c r="T254" s="511"/>
      <c r="U254" s="511"/>
      <c r="V254" s="511"/>
      <c r="W254" s="511"/>
      <c r="X254" s="511"/>
      <c r="Y254" s="511"/>
      <c r="Z254" s="511"/>
      <c r="AA254" s="511"/>
      <c r="AB254" s="511"/>
      <c r="AC254" s="511"/>
      <c r="AD254" s="511"/>
      <c r="AE254" s="511"/>
      <c r="AF254" s="511"/>
      <c r="AG254" s="511"/>
      <c r="AH254" s="511"/>
      <c r="AI254" s="511"/>
      <c r="AJ254" s="511"/>
      <c r="AK254" s="511"/>
      <c r="AL254" s="511"/>
      <c r="AM254" s="511"/>
      <c r="AN254" s="511"/>
      <c r="AO254" s="511"/>
      <c r="AP254" s="511"/>
      <c r="AQ254" s="511"/>
      <c r="AR254" s="511"/>
      <c r="AS254" s="511"/>
      <c r="AT254" s="511"/>
      <c r="AU254" s="511"/>
      <c r="AV254" s="511"/>
      <c r="AW254" s="511"/>
      <c r="AX254" s="511"/>
      <c r="AY254" s="511"/>
      <c r="AZ254" s="511"/>
      <c r="BA254" s="511"/>
    </row>
    <row r="255" spans="1:60" customFormat="1">
      <c r="A255" s="511"/>
      <c r="B255" s="511"/>
      <c r="C255" s="511"/>
      <c r="D255" s="511"/>
      <c r="E255" s="511"/>
      <c r="F255" s="511"/>
      <c r="G255" s="511"/>
      <c r="H255" s="517"/>
      <c r="I255" s="511"/>
      <c r="J255" s="511"/>
      <c r="K255" s="511"/>
      <c r="L255" s="511"/>
      <c r="M255" s="511"/>
      <c r="N255" s="511"/>
      <c r="O255" s="511"/>
      <c r="P255" s="511"/>
      <c r="Q255" s="511"/>
      <c r="R255" s="511"/>
      <c r="S255" s="511"/>
      <c r="T255" s="511"/>
      <c r="U255" s="511"/>
      <c r="V255" s="511"/>
      <c r="W255" s="511"/>
      <c r="X255" s="511"/>
      <c r="Y255" s="511"/>
      <c r="Z255" s="511"/>
      <c r="AA255" s="511"/>
      <c r="AB255" s="511"/>
      <c r="AC255" s="511"/>
      <c r="AD255" s="511"/>
      <c r="AE255" s="511"/>
      <c r="AF255" s="511"/>
      <c r="AG255" s="511"/>
      <c r="AH255" s="511"/>
      <c r="AI255" s="511"/>
      <c r="AJ255" s="511"/>
      <c r="AK255" s="511"/>
      <c r="AL255" s="511"/>
      <c r="AM255" s="511"/>
      <c r="AN255" s="511"/>
      <c r="AO255" s="511"/>
      <c r="AP255" s="511"/>
      <c r="AQ255" s="511"/>
      <c r="AR255" s="511"/>
      <c r="AS255" s="511"/>
      <c r="AT255" s="511"/>
      <c r="AU255" s="511"/>
      <c r="AV255" s="511"/>
      <c r="AW255" s="511"/>
      <c r="AX255" s="511"/>
      <c r="AY255" s="511"/>
      <c r="AZ255" s="511"/>
      <c r="BA255" s="511"/>
    </row>
    <row r="256" spans="1:60" customFormat="1">
      <c r="A256" s="511"/>
      <c r="B256" s="511"/>
      <c r="C256" s="511"/>
      <c r="D256" s="511"/>
      <c r="E256" s="511"/>
      <c r="F256" s="511"/>
      <c r="G256" s="511"/>
      <c r="H256" s="517"/>
      <c r="I256" s="511"/>
      <c r="J256" s="511"/>
      <c r="K256" s="511"/>
      <c r="L256" s="511"/>
      <c r="M256" s="511"/>
      <c r="N256" s="511"/>
      <c r="O256" s="511"/>
      <c r="P256" s="511"/>
      <c r="Q256" s="511"/>
      <c r="R256" s="511"/>
      <c r="S256" s="511"/>
      <c r="T256" s="511"/>
      <c r="U256" s="511"/>
      <c r="V256" s="511"/>
      <c r="W256" s="511"/>
      <c r="X256" s="511"/>
      <c r="Y256" s="511"/>
      <c r="Z256" s="511"/>
      <c r="AA256" s="511"/>
      <c r="AB256" s="511"/>
      <c r="AC256" s="511"/>
      <c r="AD256" s="511"/>
      <c r="AE256" s="511"/>
      <c r="AF256" s="511"/>
      <c r="AG256" s="511"/>
      <c r="AH256" s="511"/>
      <c r="AI256" s="511"/>
      <c r="AJ256" s="511"/>
      <c r="AK256" s="511"/>
      <c r="AL256" s="511"/>
      <c r="AM256" s="511"/>
      <c r="AN256" s="511"/>
      <c r="AO256" s="511"/>
      <c r="AP256" s="511"/>
      <c r="AQ256" s="511"/>
      <c r="AR256" s="511"/>
      <c r="AS256" s="511"/>
      <c r="AT256" s="511"/>
      <c r="AU256" s="511"/>
      <c r="AV256" s="511"/>
      <c r="AW256" s="511"/>
      <c r="AX256" s="511"/>
      <c r="AY256" s="511"/>
      <c r="AZ256" s="511"/>
      <c r="BA256" s="511"/>
    </row>
    <row r="257" spans="1:53" customFormat="1">
      <c r="A257" s="511"/>
      <c r="B257" s="511"/>
      <c r="C257" s="511"/>
      <c r="D257" s="511"/>
      <c r="E257" s="511"/>
      <c r="F257" s="511"/>
      <c r="G257" s="511"/>
      <c r="H257" s="517"/>
      <c r="I257" s="511"/>
      <c r="J257" s="511"/>
      <c r="K257" s="511"/>
      <c r="L257" s="511"/>
      <c r="M257" s="511"/>
      <c r="N257" s="511"/>
      <c r="O257" s="511"/>
      <c r="P257" s="511"/>
      <c r="Q257" s="511"/>
      <c r="R257" s="511"/>
      <c r="S257" s="511"/>
      <c r="T257" s="511"/>
      <c r="U257" s="511"/>
      <c r="V257" s="511"/>
      <c r="W257" s="511"/>
      <c r="X257" s="511"/>
      <c r="Y257" s="511"/>
      <c r="Z257" s="511"/>
      <c r="AA257" s="511"/>
      <c r="AB257" s="511"/>
      <c r="AC257" s="511"/>
      <c r="AD257" s="511"/>
      <c r="AE257" s="511"/>
      <c r="AF257" s="511"/>
      <c r="AG257" s="511"/>
      <c r="AH257" s="511"/>
      <c r="AI257" s="511"/>
      <c r="AJ257" s="511"/>
      <c r="AK257" s="511"/>
      <c r="AL257" s="511"/>
      <c r="AM257" s="511"/>
      <c r="AN257" s="511"/>
      <c r="AO257" s="511"/>
      <c r="AP257" s="511"/>
      <c r="AQ257" s="511"/>
      <c r="AR257" s="511"/>
      <c r="AS257" s="511"/>
      <c r="AT257" s="511"/>
      <c r="AU257" s="511"/>
      <c r="AV257" s="511"/>
      <c r="AW257" s="511"/>
      <c r="AX257" s="511"/>
      <c r="AY257" s="511"/>
      <c r="AZ257" s="511"/>
      <c r="BA257" s="511"/>
    </row>
    <row r="258" spans="1:53" customFormat="1">
      <c r="A258" s="511"/>
      <c r="B258" s="511"/>
      <c r="C258" s="511"/>
      <c r="D258" s="511"/>
      <c r="E258" s="511"/>
      <c r="F258" s="511"/>
      <c r="G258" s="511"/>
      <c r="H258" s="517"/>
      <c r="I258" s="511"/>
      <c r="J258" s="511"/>
      <c r="K258" s="511"/>
      <c r="L258" s="511"/>
      <c r="M258" s="511"/>
      <c r="N258" s="511"/>
      <c r="O258" s="511"/>
      <c r="P258" s="511"/>
      <c r="Q258" s="511"/>
      <c r="R258" s="511"/>
      <c r="S258" s="511"/>
      <c r="T258" s="511"/>
      <c r="U258" s="511"/>
      <c r="V258" s="511"/>
      <c r="W258" s="511"/>
      <c r="X258" s="511"/>
      <c r="Y258" s="511"/>
      <c r="Z258" s="511"/>
      <c r="AA258" s="511"/>
      <c r="AB258" s="511"/>
      <c r="AC258" s="511"/>
      <c r="AD258" s="511"/>
      <c r="AE258" s="511"/>
      <c r="AF258" s="511"/>
      <c r="AG258" s="511"/>
      <c r="AH258" s="511"/>
      <c r="AI258" s="511"/>
      <c r="AJ258" s="511"/>
      <c r="AK258" s="511"/>
      <c r="AL258" s="511"/>
      <c r="AM258" s="511"/>
      <c r="AN258" s="511"/>
      <c r="AO258" s="511"/>
      <c r="AP258" s="511"/>
      <c r="AQ258" s="511"/>
      <c r="AR258" s="511"/>
      <c r="AS258" s="511"/>
      <c r="AT258" s="511"/>
      <c r="AU258" s="511"/>
      <c r="AV258" s="511"/>
      <c r="AW258" s="511"/>
      <c r="AX258" s="511"/>
      <c r="AY258" s="511"/>
      <c r="AZ258" s="511"/>
      <c r="BA258" s="511"/>
    </row>
    <row r="259" spans="1:53" customFormat="1">
      <c r="A259" s="511"/>
      <c r="B259" s="511"/>
      <c r="C259" s="511"/>
      <c r="D259" s="511"/>
      <c r="E259" s="511"/>
      <c r="F259" s="511"/>
      <c r="G259" s="511"/>
      <c r="H259" s="517"/>
      <c r="I259" s="511"/>
      <c r="J259" s="511"/>
      <c r="K259" s="511"/>
      <c r="L259" s="511"/>
      <c r="M259" s="511"/>
      <c r="N259" s="511"/>
      <c r="O259" s="511"/>
      <c r="P259" s="511"/>
      <c r="Q259" s="511"/>
      <c r="R259" s="511"/>
      <c r="S259" s="511"/>
      <c r="T259" s="511"/>
      <c r="U259" s="511"/>
      <c r="V259" s="511"/>
      <c r="W259" s="511"/>
      <c r="X259" s="511"/>
      <c r="Y259" s="511"/>
      <c r="Z259" s="511"/>
      <c r="AA259" s="511"/>
      <c r="AB259" s="511"/>
      <c r="AC259" s="511"/>
      <c r="AD259" s="511"/>
      <c r="AE259" s="511"/>
      <c r="AF259" s="511"/>
      <c r="AG259" s="511"/>
      <c r="AH259" s="511"/>
      <c r="AI259" s="511"/>
      <c r="AJ259" s="511"/>
      <c r="AK259" s="511"/>
      <c r="AL259" s="511"/>
      <c r="AM259" s="511"/>
      <c r="AN259" s="511"/>
      <c r="AO259" s="511"/>
      <c r="AP259" s="511"/>
      <c r="AQ259" s="511"/>
      <c r="AR259" s="511"/>
      <c r="AS259" s="511"/>
      <c r="AT259" s="511"/>
      <c r="AU259" s="511"/>
      <c r="AV259" s="511"/>
      <c r="AW259" s="511"/>
      <c r="AX259" s="511"/>
      <c r="AY259" s="511"/>
      <c r="AZ259" s="511"/>
      <c r="BA259" s="511"/>
    </row>
    <row r="260" spans="1:53" customFormat="1">
      <c r="A260" s="511"/>
      <c r="B260" s="511"/>
      <c r="C260" s="511"/>
      <c r="D260" s="511"/>
      <c r="E260" s="511"/>
      <c r="F260" s="511"/>
      <c r="G260" s="511"/>
      <c r="H260" s="517"/>
      <c r="I260" s="511"/>
      <c r="J260" s="511"/>
      <c r="K260" s="511"/>
      <c r="L260" s="511"/>
      <c r="M260" s="511"/>
      <c r="N260" s="511"/>
      <c r="O260" s="511"/>
      <c r="P260" s="511"/>
      <c r="Q260" s="511"/>
      <c r="R260" s="511"/>
      <c r="S260" s="511"/>
      <c r="T260" s="511"/>
      <c r="U260" s="511"/>
      <c r="V260" s="511"/>
      <c r="W260" s="511"/>
      <c r="X260" s="511"/>
      <c r="Y260" s="511"/>
      <c r="Z260" s="511"/>
      <c r="AA260" s="511"/>
      <c r="AB260" s="511"/>
      <c r="AC260" s="511"/>
      <c r="AD260" s="511"/>
      <c r="AE260" s="511"/>
      <c r="AF260" s="511"/>
      <c r="AG260" s="511"/>
      <c r="AH260" s="511"/>
      <c r="AI260" s="511"/>
      <c r="AJ260" s="511"/>
      <c r="AK260" s="511"/>
      <c r="AL260" s="511"/>
      <c r="AM260" s="511"/>
      <c r="AN260" s="511"/>
      <c r="AO260" s="511"/>
      <c r="AP260" s="511"/>
      <c r="AQ260" s="511"/>
      <c r="AR260" s="511"/>
      <c r="AS260" s="511"/>
      <c r="AT260" s="511"/>
      <c r="AU260" s="511"/>
      <c r="AV260" s="511"/>
      <c r="AW260" s="511"/>
      <c r="AX260" s="511"/>
      <c r="AY260" s="511"/>
      <c r="AZ260" s="511"/>
      <c r="BA260" s="511"/>
    </row>
    <row r="261" spans="1:53" customFormat="1">
      <c r="A261" s="511"/>
      <c r="B261" s="511"/>
      <c r="C261" s="511"/>
      <c r="D261" s="511"/>
      <c r="E261" s="511"/>
      <c r="F261" s="511"/>
      <c r="G261" s="511"/>
      <c r="H261" s="517"/>
      <c r="I261" s="511"/>
      <c r="J261" s="511"/>
      <c r="K261" s="511"/>
      <c r="L261" s="511"/>
      <c r="M261" s="511"/>
      <c r="N261" s="511"/>
      <c r="O261" s="511"/>
      <c r="P261" s="511"/>
      <c r="Q261" s="511"/>
      <c r="R261" s="511"/>
      <c r="S261" s="511"/>
      <c r="T261" s="511"/>
      <c r="U261" s="511"/>
      <c r="V261" s="511"/>
      <c r="W261" s="511"/>
      <c r="X261" s="511"/>
      <c r="Y261" s="511"/>
      <c r="Z261" s="511"/>
      <c r="AA261" s="511"/>
      <c r="AB261" s="511"/>
      <c r="AC261" s="511"/>
      <c r="AD261" s="511"/>
      <c r="AE261" s="511"/>
      <c r="AF261" s="511"/>
      <c r="AG261" s="511"/>
      <c r="AH261" s="511"/>
      <c r="AI261" s="511"/>
      <c r="AJ261" s="511"/>
      <c r="AK261" s="511"/>
      <c r="AL261" s="511"/>
      <c r="AM261" s="511"/>
      <c r="AN261" s="511"/>
      <c r="AO261" s="511"/>
      <c r="AP261" s="511"/>
      <c r="AQ261" s="511"/>
      <c r="AR261" s="511"/>
      <c r="AS261" s="511"/>
      <c r="AT261" s="511"/>
      <c r="AU261" s="511"/>
      <c r="AV261" s="511"/>
      <c r="AW261" s="511"/>
      <c r="AX261" s="511"/>
      <c r="AY261" s="511"/>
      <c r="AZ261" s="511"/>
      <c r="BA261" s="511"/>
    </row>
    <row r="262" spans="1:53" customFormat="1">
      <c r="A262" s="511"/>
      <c r="B262" s="511"/>
      <c r="C262" s="511"/>
      <c r="D262" s="511"/>
      <c r="E262" s="511"/>
      <c r="F262" s="511"/>
      <c r="G262" s="511"/>
      <c r="H262" s="517"/>
      <c r="I262" s="511"/>
      <c r="J262" s="511"/>
      <c r="K262" s="511"/>
      <c r="L262" s="511"/>
      <c r="M262" s="511"/>
      <c r="N262" s="511"/>
      <c r="O262" s="511"/>
      <c r="P262" s="511"/>
      <c r="Q262" s="511"/>
      <c r="R262" s="511"/>
      <c r="S262" s="511"/>
      <c r="T262" s="511"/>
      <c r="U262" s="511"/>
      <c r="V262" s="511"/>
      <c r="W262" s="511"/>
      <c r="X262" s="511"/>
      <c r="Y262" s="511"/>
      <c r="Z262" s="511"/>
      <c r="AA262" s="511"/>
      <c r="AB262" s="511"/>
      <c r="AC262" s="511"/>
      <c r="AD262" s="511"/>
      <c r="AE262" s="511"/>
      <c r="AF262" s="511"/>
      <c r="AG262" s="511"/>
      <c r="AH262" s="511"/>
      <c r="AI262" s="511"/>
      <c r="AJ262" s="511"/>
      <c r="AK262" s="511"/>
      <c r="AL262" s="511"/>
      <c r="AM262" s="511"/>
      <c r="AN262" s="511"/>
      <c r="AO262" s="511"/>
      <c r="AP262" s="511"/>
      <c r="AQ262" s="511"/>
      <c r="AR262" s="511"/>
      <c r="AS262" s="511"/>
      <c r="AT262" s="511"/>
      <c r="AU262" s="511"/>
      <c r="AV262" s="511"/>
      <c r="AW262" s="511"/>
      <c r="AX262" s="511"/>
      <c r="AY262" s="511"/>
      <c r="AZ262" s="511"/>
      <c r="BA262" s="511"/>
    </row>
    <row r="263" spans="1:53" customFormat="1">
      <c r="A263" s="511"/>
      <c r="B263" s="511"/>
      <c r="C263" s="511"/>
      <c r="D263" s="511"/>
      <c r="E263" s="511"/>
      <c r="F263" s="511"/>
      <c r="G263" s="511"/>
      <c r="H263" s="517"/>
      <c r="I263" s="511"/>
      <c r="J263" s="511"/>
      <c r="K263" s="511"/>
      <c r="L263" s="511"/>
      <c r="M263" s="511"/>
      <c r="N263" s="511"/>
      <c r="O263" s="511"/>
      <c r="P263" s="511"/>
      <c r="Q263" s="511"/>
      <c r="R263" s="511"/>
      <c r="S263" s="511"/>
      <c r="T263" s="511"/>
      <c r="U263" s="511"/>
      <c r="V263" s="511"/>
      <c r="W263" s="511"/>
      <c r="X263" s="511"/>
      <c r="Y263" s="511"/>
      <c r="Z263" s="511"/>
      <c r="AA263" s="511"/>
      <c r="AB263" s="511"/>
      <c r="AC263" s="511"/>
      <c r="AD263" s="511"/>
      <c r="AE263" s="511"/>
      <c r="AF263" s="511"/>
      <c r="AG263" s="511"/>
      <c r="AH263" s="511"/>
      <c r="AI263" s="511"/>
      <c r="AJ263" s="511"/>
      <c r="AK263" s="511"/>
      <c r="AL263" s="511"/>
      <c r="AM263" s="511"/>
      <c r="AN263" s="511"/>
      <c r="AO263" s="511"/>
      <c r="AP263" s="511"/>
      <c r="AQ263" s="511"/>
      <c r="AR263" s="511"/>
      <c r="AS263" s="511"/>
      <c r="AT263" s="511"/>
      <c r="AU263" s="511"/>
      <c r="AV263" s="511"/>
      <c r="AW263" s="511"/>
      <c r="AX263" s="511"/>
      <c r="AY263" s="511"/>
      <c r="AZ263" s="511"/>
      <c r="BA263" s="511"/>
    </row>
    <row r="264" spans="1:53" customFormat="1">
      <c r="A264" s="511"/>
      <c r="B264" s="511"/>
      <c r="C264" s="511"/>
      <c r="D264" s="511"/>
      <c r="E264" s="511"/>
      <c r="F264" s="511"/>
      <c r="G264" s="511"/>
      <c r="H264" s="517"/>
      <c r="I264" s="511"/>
      <c r="J264" s="511"/>
      <c r="K264" s="511"/>
      <c r="L264" s="511"/>
      <c r="M264" s="511"/>
      <c r="N264" s="511"/>
      <c r="O264" s="511"/>
      <c r="P264" s="511"/>
      <c r="Q264" s="511"/>
      <c r="R264" s="511"/>
      <c r="S264" s="511"/>
      <c r="T264" s="511"/>
      <c r="U264" s="511"/>
      <c r="V264" s="511"/>
      <c r="W264" s="511"/>
      <c r="X264" s="511"/>
      <c r="Y264" s="511"/>
      <c r="Z264" s="511"/>
      <c r="AA264" s="511"/>
      <c r="AB264" s="511"/>
      <c r="AC264" s="511"/>
      <c r="AD264" s="511"/>
      <c r="AE264" s="511"/>
      <c r="AF264" s="511"/>
      <c r="AG264" s="511"/>
      <c r="AH264" s="511"/>
      <c r="AI264" s="511"/>
      <c r="AJ264" s="511"/>
      <c r="AK264" s="511"/>
      <c r="AL264" s="511"/>
      <c r="AM264" s="511"/>
      <c r="AN264" s="511"/>
      <c r="AO264" s="511"/>
      <c r="AP264" s="511"/>
      <c r="AQ264" s="511"/>
      <c r="AR264" s="511"/>
      <c r="AS264" s="511"/>
      <c r="AT264" s="511"/>
      <c r="AU264" s="511"/>
      <c r="AV264" s="511"/>
      <c r="AW264" s="511"/>
      <c r="AX264" s="511"/>
      <c r="AY264" s="511"/>
      <c r="AZ264" s="511"/>
      <c r="BA264" s="511"/>
    </row>
    <row r="265" spans="1:53" customFormat="1">
      <c r="A265" s="511"/>
      <c r="B265" s="511"/>
      <c r="C265" s="511"/>
      <c r="D265" s="511"/>
      <c r="E265" s="511"/>
      <c r="F265" s="511"/>
      <c r="G265" s="511"/>
      <c r="H265" s="517"/>
      <c r="I265" s="511"/>
      <c r="J265" s="511"/>
      <c r="K265" s="511"/>
      <c r="L265" s="511"/>
      <c r="M265" s="511"/>
      <c r="N265" s="511"/>
      <c r="O265" s="511"/>
      <c r="P265" s="511"/>
      <c r="Q265" s="511"/>
      <c r="R265" s="511"/>
      <c r="S265" s="511"/>
      <c r="T265" s="511"/>
      <c r="U265" s="511"/>
      <c r="V265" s="511"/>
      <c r="W265" s="511"/>
      <c r="X265" s="511"/>
      <c r="Y265" s="511"/>
      <c r="Z265" s="511"/>
      <c r="AA265" s="511"/>
      <c r="AB265" s="511"/>
      <c r="AC265" s="511"/>
      <c r="AD265" s="511"/>
      <c r="AE265" s="511"/>
      <c r="AF265" s="511"/>
      <c r="AG265" s="511"/>
      <c r="AH265" s="511"/>
      <c r="AI265" s="511"/>
      <c r="AJ265" s="511"/>
      <c r="AK265" s="511"/>
      <c r="AL265" s="511"/>
      <c r="AM265" s="511"/>
      <c r="AN265" s="511"/>
      <c r="AO265" s="511"/>
      <c r="AP265" s="511"/>
      <c r="AQ265" s="511"/>
      <c r="AR265" s="511"/>
      <c r="AS265" s="511"/>
      <c r="AT265" s="511"/>
      <c r="AU265" s="511"/>
      <c r="AV265" s="511"/>
      <c r="AW265" s="511"/>
      <c r="AX265" s="511"/>
      <c r="AY265" s="511"/>
      <c r="AZ265" s="511"/>
      <c r="BA265" s="511"/>
    </row>
    <row r="266" spans="1:53" customFormat="1">
      <c r="A266" s="511"/>
      <c r="B266" s="511"/>
      <c r="C266" s="511"/>
      <c r="D266" s="511"/>
      <c r="E266" s="511"/>
      <c r="F266" s="511"/>
      <c r="G266" s="511"/>
      <c r="H266" s="517"/>
      <c r="I266" s="511"/>
      <c r="J266" s="511"/>
      <c r="K266" s="511"/>
      <c r="L266" s="511"/>
      <c r="M266" s="511"/>
      <c r="N266" s="511"/>
      <c r="O266" s="511"/>
      <c r="P266" s="511"/>
      <c r="Q266" s="511"/>
      <c r="R266" s="511"/>
      <c r="S266" s="511"/>
      <c r="T266" s="511"/>
      <c r="U266" s="511"/>
      <c r="V266" s="511"/>
      <c r="W266" s="511"/>
      <c r="X266" s="511"/>
      <c r="Y266" s="511"/>
      <c r="Z266" s="511"/>
      <c r="AA266" s="511"/>
      <c r="AB266" s="511"/>
      <c r="AC266" s="511"/>
      <c r="AD266" s="511"/>
      <c r="AE266" s="511"/>
      <c r="AF266" s="511"/>
      <c r="AG266" s="511"/>
      <c r="AH266" s="511"/>
      <c r="AI266" s="511"/>
      <c r="AJ266" s="511"/>
      <c r="AK266" s="511"/>
      <c r="AL266" s="511"/>
      <c r="AM266" s="511"/>
      <c r="AN266" s="511"/>
      <c r="AO266" s="511"/>
      <c r="AP266" s="511"/>
      <c r="AQ266" s="511"/>
      <c r="AR266" s="511"/>
      <c r="AS266" s="511"/>
      <c r="AT266" s="511"/>
      <c r="AU266" s="511"/>
      <c r="AV266" s="511"/>
      <c r="AW266" s="511"/>
      <c r="AX266" s="511"/>
      <c r="AY266" s="511"/>
      <c r="AZ266" s="511"/>
      <c r="BA266" s="511"/>
    </row>
    <row r="267" spans="1:53" customFormat="1">
      <c r="A267" s="511"/>
      <c r="B267" s="511"/>
      <c r="C267" s="511"/>
      <c r="D267" s="511"/>
      <c r="E267" s="511"/>
      <c r="F267" s="511"/>
      <c r="G267" s="511"/>
      <c r="H267" s="517"/>
      <c r="I267" s="511"/>
      <c r="J267" s="511"/>
      <c r="K267" s="511"/>
      <c r="L267" s="511"/>
      <c r="M267" s="511"/>
      <c r="N267" s="511"/>
      <c r="O267" s="511"/>
      <c r="P267" s="511"/>
      <c r="Q267" s="511"/>
      <c r="R267" s="511"/>
      <c r="S267" s="511"/>
      <c r="T267" s="511"/>
      <c r="U267" s="511"/>
      <c r="V267" s="511"/>
      <c r="W267" s="511"/>
      <c r="X267" s="511"/>
      <c r="Y267" s="511"/>
      <c r="Z267" s="511"/>
      <c r="AA267" s="511"/>
      <c r="AB267" s="511"/>
      <c r="AC267" s="511"/>
      <c r="AD267" s="511"/>
      <c r="AE267" s="511"/>
      <c r="AF267" s="511"/>
      <c r="AG267" s="511"/>
      <c r="AH267" s="511"/>
      <c r="AI267" s="511"/>
      <c r="AJ267" s="511"/>
      <c r="AK267" s="511"/>
      <c r="AL267" s="511"/>
      <c r="AM267" s="511"/>
      <c r="AN267" s="511"/>
      <c r="AO267" s="511"/>
      <c r="AP267" s="511"/>
      <c r="AQ267" s="511"/>
      <c r="AR267" s="511"/>
      <c r="AS267" s="511"/>
      <c r="AT267" s="511"/>
      <c r="AU267" s="511"/>
      <c r="AV267" s="511"/>
      <c r="AW267" s="511"/>
      <c r="AX267" s="511"/>
      <c r="AY267" s="511"/>
      <c r="AZ267" s="511"/>
      <c r="BA267" s="511"/>
    </row>
    <row r="268" spans="1:53" customFormat="1">
      <c r="A268" s="511"/>
      <c r="B268" s="511"/>
      <c r="C268" s="511"/>
      <c r="D268" s="511"/>
      <c r="E268" s="511"/>
      <c r="F268" s="511"/>
      <c r="G268" s="511"/>
      <c r="H268" s="517"/>
      <c r="I268" s="511"/>
      <c r="J268" s="511"/>
      <c r="K268" s="511"/>
      <c r="L268" s="511"/>
      <c r="M268" s="511"/>
      <c r="N268" s="511"/>
      <c r="O268" s="511"/>
      <c r="P268" s="511"/>
      <c r="Q268" s="511"/>
      <c r="R268" s="511"/>
      <c r="S268" s="511"/>
      <c r="T268" s="511"/>
      <c r="U268" s="511"/>
      <c r="V268" s="511"/>
      <c r="W268" s="511"/>
      <c r="X268" s="511"/>
      <c r="Y268" s="511"/>
      <c r="Z268" s="511"/>
      <c r="AA268" s="511"/>
      <c r="AB268" s="511"/>
      <c r="AC268" s="511"/>
      <c r="AD268" s="511"/>
      <c r="AE268" s="511"/>
      <c r="AF268" s="511"/>
      <c r="AG268" s="511"/>
      <c r="AH268" s="511"/>
      <c r="AI268" s="511"/>
      <c r="AJ268" s="511"/>
      <c r="AK268" s="511"/>
      <c r="AL268" s="511"/>
      <c r="AM268" s="511"/>
      <c r="AN268" s="511"/>
      <c r="AO268" s="511"/>
      <c r="AP268" s="511"/>
      <c r="AQ268" s="511"/>
      <c r="AR268" s="511"/>
      <c r="AS268" s="511"/>
      <c r="AT268" s="511"/>
      <c r="AU268" s="511"/>
      <c r="AV268" s="511"/>
      <c r="AW268" s="511"/>
      <c r="AX268" s="511"/>
      <c r="AY268" s="511"/>
      <c r="AZ268" s="511"/>
      <c r="BA268" s="511"/>
    </row>
    <row r="269" spans="1:53" customFormat="1">
      <c r="A269" s="511"/>
      <c r="B269" s="511"/>
      <c r="C269" s="511"/>
      <c r="D269" s="511"/>
      <c r="E269" s="511"/>
      <c r="F269" s="511"/>
      <c r="G269" s="511"/>
      <c r="H269" s="517"/>
      <c r="I269" s="511"/>
      <c r="J269" s="511"/>
      <c r="K269" s="511"/>
      <c r="L269" s="511"/>
      <c r="M269" s="511"/>
      <c r="N269" s="511"/>
      <c r="O269" s="511"/>
      <c r="P269" s="511"/>
      <c r="Q269" s="511"/>
      <c r="R269" s="511"/>
      <c r="S269" s="511"/>
      <c r="T269" s="511"/>
      <c r="U269" s="511"/>
      <c r="V269" s="511"/>
      <c r="W269" s="511"/>
      <c r="X269" s="511"/>
      <c r="Y269" s="511"/>
      <c r="Z269" s="511"/>
      <c r="AA269" s="511"/>
      <c r="AB269" s="511"/>
      <c r="AC269" s="511"/>
      <c r="AD269" s="511"/>
      <c r="AE269" s="511"/>
      <c r="AF269" s="511"/>
      <c r="AG269" s="511"/>
      <c r="AH269" s="511"/>
      <c r="AI269" s="511"/>
      <c r="AJ269" s="511"/>
      <c r="AK269" s="511"/>
      <c r="AL269" s="511"/>
      <c r="AM269" s="511"/>
      <c r="AN269" s="511"/>
      <c r="AO269" s="511"/>
      <c r="AP269" s="511"/>
      <c r="AQ269" s="511"/>
      <c r="AR269" s="511"/>
      <c r="AS269" s="511"/>
      <c r="AT269" s="511"/>
      <c r="AU269" s="511"/>
      <c r="AV269" s="511"/>
      <c r="AW269" s="511"/>
      <c r="AX269" s="511"/>
      <c r="AY269" s="511"/>
      <c r="AZ269" s="511"/>
      <c r="BA269" s="511"/>
    </row>
    <row r="270" spans="1:53" customFormat="1">
      <c r="A270" s="511"/>
      <c r="B270" s="511"/>
      <c r="C270" s="511"/>
      <c r="D270" s="511"/>
      <c r="E270" s="511"/>
      <c r="F270" s="511"/>
      <c r="G270" s="511"/>
      <c r="H270" s="517"/>
      <c r="I270" s="511"/>
      <c r="J270" s="511"/>
      <c r="K270" s="511"/>
      <c r="L270" s="511"/>
      <c r="M270" s="511"/>
      <c r="N270" s="511"/>
      <c r="O270" s="511"/>
      <c r="P270" s="511"/>
      <c r="Q270" s="511"/>
      <c r="R270" s="511"/>
      <c r="S270" s="511"/>
      <c r="T270" s="511"/>
      <c r="U270" s="511"/>
      <c r="V270" s="511"/>
      <c r="W270" s="511"/>
      <c r="X270" s="511"/>
      <c r="Y270" s="511"/>
      <c r="Z270" s="511"/>
      <c r="AA270" s="511"/>
      <c r="AB270" s="511"/>
      <c r="AC270" s="511"/>
      <c r="AD270" s="511"/>
      <c r="AE270" s="511"/>
      <c r="AF270" s="511"/>
      <c r="AG270" s="511"/>
      <c r="AH270" s="511"/>
      <c r="AI270" s="511"/>
      <c r="AJ270" s="511"/>
      <c r="AK270" s="511"/>
      <c r="AL270" s="511"/>
      <c r="AM270" s="511"/>
      <c r="AN270" s="511"/>
      <c r="AO270" s="511"/>
      <c r="AP270" s="511"/>
      <c r="AQ270" s="511"/>
      <c r="AR270" s="511"/>
      <c r="AS270" s="511"/>
      <c r="AT270" s="511"/>
      <c r="AU270" s="511"/>
      <c r="AV270" s="511"/>
      <c r="AW270" s="511"/>
      <c r="AX270" s="511"/>
      <c r="AY270" s="511"/>
      <c r="AZ270" s="511"/>
      <c r="BA270" s="511"/>
    </row>
    <row r="271" spans="1:53" customFormat="1">
      <c r="A271" s="511"/>
      <c r="B271" s="511"/>
      <c r="C271" s="511"/>
      <c r="D271" s="511"/>
      <c r="E271" s="511"/>
      <c r="F271" s="511"/>
      <c r="G271" s="511"/>
      <c r="H271" s="517"/>
      <c r="I271" s="511"/>
      <c r="J271" s="511"/>
      <c r="K271" s="511"/>
      <c r="L271" s="511"/>
      <c r="M271" s="511"/>
      <c r="N271" s="511"/>
      <c r="O271" s="511"/>
      <c r="P271" s="511"/>
      <c r="Q271" s="511"/>
      <c r="R271" s="511"/>
      <c r="S271" s="511"/>
      <c r="T271" s="511"/>
      <c r="U271" s="511"/>
      <c r="V271" s="511"/>
      <c r="W271" s="511"/>
      <c r="X271" s="511"/>
      <c r="Y271" s="511"/>
      <c r="Z271" s="511"/>
      <c r="AA271" s="511"/>
      <c r="AB271" s="511"/>
      <c r="AC271" s="511"/>
      <c r="AD271" s="511"/>
      <c r="AE271" s="511"/>
      <c r="AF271" s="511"/>
      <c r="AG271" s="511"/>
      <c r="AH271" s="511"/>
      <c r="AI271" s="511"/>
      <c r="AJ271" s="511"/>
      <c r="AK271" s="511"/>
      <c r="AL271" s="511"/>
      <c r="AM271" s="511"/>
      <c r="AN271" s="511"/>
      <c r="AO271" s="511"/>
      <c r="AP271" s="511"/>
      <c r="AQ271" s="511"/>
      <c r="AR271" s="511"/>
      <c r="AS271" s="511"/>
      <c r="AT271" s="511"/>
      <c r="AU271" s="511"/>
      <c r="AV271" s="511"/>
      <c r="AW271" s="511"/>
      <c r="AX271" s="511"/>
      <c r="AY271" s="511"/>
      <c r="AZ271" s="511"/>
      <c r="BA271" s="511"/>
    </row>
    <row r="272" spans="1:53" customFormat="1">
      <c r="A272" s="511"/>
      <c r="B272" s="511"/>
      <c r="C272" s="511"/>
      <c r="D272" s="511"/>
      <c r="E272" s="511"/>
      <c r="F272" s="511"/>
      <c r="G272" s="511"/>
      <c r="H272" s="517"/>
      <c r="I272" s="511"/>
      <c r="J272" s="511"/>
      <c r="K272" s="511"/>
      <c r="L272" s="511"/>
      <c r="M272" s="511"/>
      <c r="N272" s="511"/>
      <c r="O272" s="511"/>
      <c r="P272" s="511"/>
      <c r="Q272" s="511"/>
      <c r="R272" s="511"/>
      <c r="S272" s="511"/>
      <c r="T272" s="511"/>
      <c r="U272" s="511"/>
      <c r="V272" s="511"/>
      <c r="W272" s="511"/>
      <c r="X272" s="511"/>
      <c r="Y272" s="511"/>
      <c r="Z272" s="511"/>
      <c r="AA272" s="511"/>
      <c r="AB272" s="511"/>
      <c r="AC272" s="511"/>
      <c r="AD272" s="511"/>
      <c r="AE272" s="511"/>
      <c r="AF272" s="511"/>
      <c r="AG272" s="511"/>
      <c r="AH272" s="511"/>
      <c r="AI272" s="511"/>
      <c r="AJ272" s="511"/>
      <c r="AK272" s="511"/>
      <c r="AL272" s="511"/>
      <c r="AM272" s="511"/>
      <c r="AN272" s="511"/>
      <c r="AO272" s="511"/>
      <c r="AP272" s="511"/>
      <c r="AQ272" s="511"/>
      <c r="AR272" s="511"/>
      <c r="AS272" s="511"/>
      <c r="AT272" s="511"/>
      <c r="AU272" s="511"/>
      <c r="AV272" s="511"/>
      <c r="AW272" s="511"/>
      <c r="AX272" s="511"/>
      <c r="AY272" s="511"/>
      <c r="AZ272" s="511"/>
      <c r="BA272" s="511"/>
    </row>
    <row r="273" spans="1:53" customFormat="1">
      <c r="A273" s="511"/>
      <c r="B273" s="511"/>
      <c r="C273" s="511"/>
      <c r="D273" s="511"/>
      <c r="E273" s="511"/>
      <c r="F273" s="511"/>
      <c r="G273" s="511"/>
      <c r="H273" s="517"/>
      <c r="I273" s="511"/>
      <c r="J273" s="511"/>
      <c r="K273" s="511"/>
      <c r="L273" s="511"/>
      <c r="M273" s="511"/>
      <c r="N273" s="511"/>
      <c r="O273" s="511"/>
      <c r="P273" s="511"/>
      <c r="Q273" s="511"/>
      <c r="R273" s="511"/>
      <c r="S273" s="511"/>
      <c r="T273" s="511"/>
      <c r="U273" s="511"/>
      <c r="V273" s="511"/>
      <c r="W273" s="511"/>
      <c r="X273" s="511"/>
      <c r="Y273" s="511"/>
      <c r="Z273" s="511"/>
      <c r="AA273" s="511"/>
      <c r="AB273" s="511"/>
      <c r="AC273" s="511"/>
      <c r="AD273" s="511"/>
      <c r="AE273" s="511"/>
      <c r="AF273" s="511"/>
      <c r="AG273" s="511"/>
      <c r="AH273" s="511"/>
      <c r="AI273" s="511"/>
      <c r="AJ273" s="511"/>
      <c r="AK273" s="511"/>
      <c r="AL273" s="511"/>
      <c r="AM273" s="511"/>
      <c r="AN273" s="511"/>
      <c r="AO273" s="511"/>
      <c r="AP273" s="511"/>
      <c r="AQ273" s="511"/>
      <c r="AR273" s="511"/>
      <c r="AS273" s="511"/>
      <c r="AT273" s="511"/>
      <c r="AU273" s="511"/>
      <c r="AV273" s="511"/>
      <c r="AW273" s="511"/>
      <c r="AX273" s="511"/>
      <c r="AY273" s="511"/>
      <c r="AZ273" s="511"/>
      <c r="BA273" s="511"/>
    </row>
    <row r="274" spans="1:53" customFormat="1">
      <c r="A274" s="511"/>
      <c r="B274" s="511"/>
      <c r="C274" s="511"/>
      <c r="D274" s="511"/>
      <c r="E274" s="511"/>
      <c r="F274" s="511"/>
      <c r="G274" s="511"/>
      <c r="H274" s="517"/>
      <c r="I274" s="511"/>
      <c r="J274" s="511"/>
      <c r="K274" s="511"/>
      <c r="L274" s="511"/>
      <c r="M274" s="511"/>
      <c r="N274" s="511"/>
      <c r="O274" s="511"/>
      <c r="P274" s="511"/>
      <c r="Q274" s="511"/>
      <c r="R274" s="511"/>
      <c r="S274" s="511"/>
      <c r="T274" s="511"/>
      <c r="U274" s="511"/>
      <c r="V274" s="511"/>
      <c r="W274" s="511"/>
      <c r="X274" s="511"/>
      <c r="Y274" s="511"/>
      <c r="Z274" s="511"/>
      <c r="AA274" s="511"/>
      <c r="AB274" s="511"/>
      <c r="AC274" s="511"/>
      <c r="AD274" s="511"/>
      <c r="AE274" s="511"/>
      <c r="AF274" s="511"/>
      <c r="AG274" s="511"/>
      <c r="AH274" s="511"/>
      <c r="AI274" s="511"/>
      <c r="AJ274" s="511"/>
      <c r="AK274" s="511"/>
      <c r="AL274" s="511"/>
      <c r="AM274" s="511"/>
      <c r="AN274" s="511"/>
      <c r="AO274" s="511"/>
      <c r="AP274" s="511"/>
      <c r="AQ274" s="511"/>
      <c r="AR274" s="511"/>
      <c r="AS274" s="511"/>
      <c r="AT274" s="511"/>
      <c r="AU274" s="511"/>
      <c r="AV274" s="511"/>
      <c r="AW274" s="511"/>
      <c r="AX274" s="511"/>
      <c r="AY274" s="511"/>
      <c r="AZ274" s="511"/>
      <c r="BA274" s="511"/>
    </row>
    <row r="275" spans="1:53" customFormat="1">
      <c r="A275" s="511"/>
      <c r="B275" s="511"/>
      <c r="C275" s="511"/>
      <c r="D275" s="511"/>
      <c r="E275" s="511"/>
      <c r="F275" s="511"/>
      <c r="G275" s="511"/>
      <c r="H275" s="517"/>
      <c r="I275" s="511"/>
      <c r="J275" s="511"/>
      <c r="K275" s="511"/>
      <c r="L275" s="511"/>
      <c r="M275" s="511"/>
      <c r="N275" s="511"/>
      <c r="O275" s="511"/>
      <c r="P275" s="511"/>
      <c r="Q275" s="511"/>
      <c r="R275" s="511"/>
      <c r="S275" s="511"/>
      <c r="T275" s="511"/>
      <c r="U275" s="511"/>
      <c r="V275" s="511"/>
      <c r="W275" s="511"/>
      <c r="X275" s="511"/>
      <c r="Y275" s="511"/>
      <c r="Z275" s="511"/>
      <c r="AA275" s="511"/>
      <c r="AB275" s="511"/>
      <c r="AC275" s="511"/>
      <c r="AD275" s="511"/>
      <c r="AE275" s="511"/>
      <c r="AF275" s="511"/>
      <c r="AG275" s="511"/>
      <c r="AH275" s="511"/>
      <c r="AI275" s="511"/>
      <c r="AJ275" s="511"/>
      <c r="AK275" s="511"/>
      <c r="AL275" s="511"/>
      <c r="AM275" s="511"/>
      <c r="AN275" s="511"/>
      <c r="AO275" s="511"/>
      <c r="AP275" s="511"/>
      <c r="AQ275" s="511"/>
      <c r="AR275" s="511"/>
      <c r="AS275" s="511"/>
      <c r="AT275" s="511"/>
      <c r="AU275" s="511"/>
      <c r="AV275" s="511"/>
      <c r="AW275" s="511"/>
      <c r="AX275" s="511"/>
      <c r="AY275" s="511"/>
      <c r="AZ275" s="511"/>
      <c r="BA275" s="511"/>
    </row>
    <row r="276" spans="1:53" customFormat="1">
      <c r="A276" s="511"/>
      <c r="B276" s="511"/>
      <c r="C276" s="511"/>
      <c r="D276" s="511"/>
      <c r="E276" s="511"/>
      <c r="F276" s="511"/>
      <c r="G276" s="511"/>
      <c r="H276" s="517"/>
      <c r="I276" s="511"/>
      <c r="J276" s="511"/>
      <c r="K276" s="511"/>
      <c r="L276" s="511"/>
      <c r="M276" s="511"/>
      <c r="N276" s="511"/>
      <c r="O276" s="511"/>
      <c r="P276" s="511"/>
      <c r="Q276" s="511"/>
      <c r="R276" s="511"/>
      <c r="S276" s="511"/>
      <c r="T276" s="511"/>
      <c r="U276" s="511"/>
      <c r="V276" s="511"/>
      <c r="W276" s="511"/>
      <c r="X276" s="511"/>
      <c r="Y276" s="511"/>
      <c r="Z276" s="511"/>
      <c r="AA276" s="511"/>
      <c r="AB276" s="511"/>
      <c r="AC276" s="511"/>
      <c r="AD276" s="511"/>
      <c r="AE276" s="511"/>
      <c r="AF276" s="511"/>
      <c r="AG276" s="511"/>
      <c r="AH276" s="511"/>
      <c r="AI276" s="511"/>
      <c r="AJ276" s="511"/>
      <c r="AK276" s="511"/>
      <c r="AL276" s="511"/>
      <c r="AM276" s="511"/>
      <c r="AN276" s="511"/>
      <c r="AO276" s="511"/>
      <c r="AP276" s="511"/>
      <c r="AQ276" s="511"/>
      <c r="AR276" s="511"/>
      <c r="AS276" s="511"/>
      <c r="AT276" s="511"/>
      <c r="AU276" s="511"/>
      <c r="AV276" s="511"/>
      <c r="AW276" s="511"/>
      <c r="AX276" s="511"/>
      <c r="AY276" s="511"/>
      <c r="AZ276" s="511"/>
      <c r="BA276" s="511"/>
    </row>
    <row r="277" spans="1:53" customFormat="1">
      <c r="A277" s="511"/>
      <c r="B277" s="511"/>
      <c r="C277" s="511"/>
      <c r="D277" s="511"/>
      <c r="E277" s="511"/>
      <c r="F277" s="511"/>
      <c r="G277" s="511"/>
      <c r="H277" s="517"/>
      <c r="I277" s="511"/>
      <c r="J277" s="511"/>
      <c r="K277" s="511"/>
      <c r="L277" s="511"/>
      <c r="M277" s="511"/>
      <c r="N277" s="511"/>
      <c r="O277" s="511"/>
      <c r="P277" s="511"/>
      <c r="Q277" s="511"/>
      <c r="R277" s="511"/>
      <c r="S277" s="511"/>
      <c r="T277" s="511"/>
      <c r="U277" s="511"/>
      <c r="V277" s="511"/>
      <c r="W277" s="511"/>
      <c r="X277" s="511"/>
      <c r="Y277" s="511"/>
      <c r="Z277" s="511"/>
      <c r="AA277" s="511"/>
      <c r="AB277" s="511"/>
      <c r="AC277" s="511"/>
      <c r="AD277" s="511"/>
      <c r="AE277" s="511"/>
      <c r="AF277" s="511"/>
      <c r="AG277" s="511"/>
      <c r="AH277" s="511"/>
      <c r="AI277" s="511"/>
      <c r="AJ277" s="511"/>
      <c r="AK277" s="511"/>
      <c r="AL277" s="511"/>
      <c r="AM277" s="511"/>
      <c r="AN277" s="511"/>
      <c r="AO277" s="511"/>
      <c r="AP277" s="511"/>
      <c r="AQ277" s="511"/>
      <c r="AR277" s="511"/>
      <c r="AS277" s="511"/>
      <c r="AT277" s="511"/>
      <c r="AU277" s="511"/>
      <c r="AV277" s="511"/>
      <c r="AW277" s="511"/>
      <c r="AX277" s="511"/>
      <c r="AY277" s="511"/>
      <c r="AZ277" s="511"/>
      <c r="BA277" s="511"/>
    </row>
    <row r="278" spans="1:53" customFormat="1">
      <c r="A278" s="511"/>
      <c r="B278" s="511"/>
      <c r="C278" s="511"/>
      <c r="D278" s="511"/>
      <c r="E278" s="511"/>
      <c r="F278" s="511"/>
      <c r="G278" s="511"/>
      <c r="H278" s="517"/>
      <c r="I278" s="511"/>
      <c r="J278" s="511"/>
      <c r="K278" s="511"/>
      <c r="L278" s="511"/>
      <c r="M278" s="511"/>
      <c r="N278" s="511"/>
      <c r="O278" s="511"/>
      <c r="P278" s="511"/>
      <c r="Q278" s="511"/>
      <c r="R278" s="511"/>
      <c r="S278" s="511"/>
      <c r="T278" s="511"/>
      <c r="U278" s="511"/>
      <c r="V278" s="511"/>
      <c r="W278" s="511"/>
      <c r="X278" s="511"/>
      <c r="Y278" s="511"/>
      <c r="Z278" s="511"/>
      <c r="AA278" s="511"/>
      <c r="AB278" s="511"/>
      <c r="AC278" s="511"/>
      <c r="AD278" s="511"/>
      <c r="AE278" s="511"/>
      <c r="AF278" s="511"/>
      <c r="AG278" s="511"/>
      <c r="AH278" s="511"/>
      <c r="AI278" s="511"/>
      <c r="AJ278" s="511"/>
      <c r="AK278" s="511"/>
      <c r="AL278" s="511"/>
      <c r="AM278" s="511"/>
      <c r="AN278" s="511"/>
      <c r="AO278" s="511"/>
      <c r="AP278" s="511"/>
      <c r="AQ278" s="511"/>
      <c r="AR278" s="511"/>
      <c r="AS278" s="511"/>
      <c r="AT278" s="511"/>
      <c r="AU278" s="511"/>
      <c r="AV278" s="511"/>
      <c r="AW278" s="511"/>
      <c r="AX278" s="511"/>
      <c r="AY278" s="511"/>
      <c r="AZ278" s="511"/>
      <c r="BA278" s="511"/>
    </row>
    <row r="279" spans="1:53" customFormat="1">
      <c r="A279" s="511"/>
      <c r="B279" s="511"/>
      <c r="C279" s="511"/>
      <c r="D279" s="511"/>
      <c r="E279" s="511"/>
      <c r="F279" s="511"/>
      <c r="G279" s="511"/>
      <c r="H279" s="517"/>
      <c r="I279" s="511"/>
      <c r="J279" s="511"/>
      <c r="K279" s="511"/>
      <c r="L279" s="511"/>
      <c r="M279" s="511"/>
      <c r="N279" s="511"/>
      <c r="O279" s="511"/>
      <c r="P279" s="511"/>
      <c r="Q279" s="511"/>
      <c r="R279" s="511"/>
      <c r="S279" s="511"/>
      <c r="T279" s="511"/>
      <c r="U279" s="511"/>
      <c r="V279" s="511"/>
      <c r="W279" s="511"/>
      <c r="X279" s="511"/>
      <c r="Y279" s="511"/>
      <c r="Z279" s="511"/>
      <c r="AA279" s="511"/>
      <c r="AB279" s="511"/>
      <c r="AC279" s="511"/>
      <c r="AD279" s="511"/>
      <c r="AE279" s="511"/>
      <c r="AF279" s="511"/>
      <c r="AG279" s="511"/>
      <c r="AH279" s="511"/>
      <c r="AI279" s="511"/>
      <c r="AJ279" s="511"/>
      <c r="AK279" s="511"/>
      <c r="AL279" s="511"/>
      <c r="AM279" s="511"/>
      <c r="AN279" s="511"/>
      <c r="AO279" s="511"/>
      <c r="AP279" s="511"/>
      <c r="AQ279" s="511"/>
      <c r="AR279" s="511"/>
      <c r="AS279" s="511"/>
      <c r="AT279" s="511"/>
      <c r="AU279" s="511"/>
      <c r="AV279" s="511"/>
      <c r="AW279" s="511"/>
      <c r="AX279" s="511"/>
      <c r="AY279" s="511"/>
      <c r="AZ279" s="511"/>
      <c r="BA279" s="511"/>
    </row>
    <row r="280" spans="1:53" customFormat="1">
      <c r="A280" s="511"/>
      <c r="B280" s="511"/>
      <c r="C280" s="511"/>
      <c r="D280" s="511"/>
      <c r="E280" s="511"/>
      <c r="F280" s="511"/>
      <c r="G280" s="511"/>
      <c r="H280" s="517"/>
      <c r="I280" s="511"/>
      <c r="J280" s="511"/>
      <c r="K280" s="511"/>
      <c r="L280" s="511"/>
      <c r="M280" s="511"/>
      <c r="N280" s="511"/>
      <c r="O280" s="511"/>
      <c r="P280" s="511"/>
      <c r="Q280" s="511"/>
      <c r="R280" s="511"/>
      <c r="S280" s="511"/>
      <c r="T280" s="511"/>
      <c r="U280" s="511"/>
      <c r="V280" s="511"/>
      <c r="W280" s="511"/>
      <c r="X280" s="511"/>
      <c r="Y280" s="511"/>
      <c r="Z280" s="511"/>
      <c r="AA280" s="511"/>
      <c r="AB280" s="511"/>
      <c r="AC280" s="511"/>
      <c r="AD280" s="511"/>
      <c r="AE280" s="511"/>
      <c r="AF280" s="511"/>
      <c r="AG280" s="511"/>
      <c r="AH280" s="511"/>
      <c r="AI280" s="511"/>
      <c r="AJ280" s="511"/>
      <c r="AK280" s="511"/>
      <c r="AL280" s="511"/>
      <c r="AM280" s="511"/>
      <c r="AN280" s="511"/>
      <c r="AO280" s="511"/>
      <c r="AP280" s="511"/>
      <c r="AQ280" s="511"/>
      <c r="AR280" s="511"/>
      <c r="AS280" s="511"/>
      <c r="AT280" s="511"/>
      <c r="AU280" s="511"/>
      <c r="AV280" s="511"/>
      <c r="AW280" s="511"/>
      <c r="AX280" s="511"/>
      <c r="AY280" s="511"/>
      <c r="AZ280" s="511"/>
      <c r="BA280" s="511"/>
    </row>
    <row r="281" spans="1:53" customFormat="1">
      <c r="A281" s="511"/>
      <c r="B281" s="511"/>
      <c r="C281" s="511"/>
      <c r="D281" s="511"/>
      <c r="E281" s="511"/>
      <c r="F281" s="511"/>
      <c r="G281" s="511"/>
      <c r="H281" s="517"/>
      <c r="I281" s="511"/>
      <c r="J281" s="511"/>
      <c r="K281" s="511"/>
      <c r="L281" s="511"/>
      <c r="M281" s="511"/>
      <c r="N281" s="511"/>
      <c r="O281" s="511"/>
      <c r="P281" s="511"/>
      <c r="Q281" s="511"/>
      <c r="R281" s="511"/>
      <c r="S281" s="511"/>
      <c r="T281" s="511"/>
      <c r="U281" s="511"/>
      <c r="V281" s="511"/>
      <c r="W281" s="511"/>
      <c r="X281" s="511"/>
      <c r="Y281" s="511"/>
      <c r="Z281" s="511"/>
      <c r="AA281" s="511"/>
      <c r="AB281" s="511"/>
      <c r="AC281" s="511"/>
      <c r="AD281" s="511"/>
      <c r="AE281" s="511"/>
      <c r="AF281" s="511"/>
      <c r="AG281" s="511"/>
      <c r="AH281" s="511"/>
      <c r="AI281" s="511"/>
      <c r="AJ281" s="511"/>
      <c r="AK281" s="511"/>
      <c r="AL281" s="511"/>
      <c r="AM281" s="511"/>
      <c r="AN281" s="511"/>
      <c r="AO281" s="511"/>
      <c r="AP281" s="511"/>
      <c r="AQ281" s="511"/>
      <c r="AR281" s="511"/>
      <c r="AS281" s="511"/>
      <c r="AT281" s="511"/>
      <c r="AU281" s="511"/>
      <c r="AV281" s="511"/>
      <c r="AW281" s="511"/>
      <c r="AX281" s="511"/>
      <c r="AY281" s="511"/>
      <c r="AZ281" s="511"/>
      <c r="BA281" s="511"/>
    </row>
    <row r="282" spans="1:53" customFormat="1">
      <c r="A282" s="511"/>
      <c r="B282" s="511"/>
      <c r="C282" s="511"/>
      <c r="D282" s="511"/>
      <c r="E282" s="511"/>
      <c r="F282" s="511"/>
      <c r="G282" s="511"/>
      <c r="H282" s="517"/>
      <c r="I282" s="511"/>
      <c r="J282" s="511"/>
      <c r="K282" s="511"/>
      <c r="L282" s="511"/>
      <c r="M282" s="511"/>
      <c r="N282" s="511"/>
      <c r="O282" s="511"/>
      <c r="P282" s="511"/>
      <c r="Q282" s="511"/>
      <c r="R282" s="511"/>
      <c r="S282" s="511"/>
      <c r="T282" s="511"/>
      <c r="U282" s="511"/>
      <c r="V282" s="511"/>
      <c r="W282" s="511"/>
      <c r="X282" s="511"/>
      <c r="Y282" s="511"/>
      <c r="Z282" s="511"/>
      <c r="AA282" s="511"/>
      <c r="AB282" s="511"/>
      <c r="AC282" s="511"/>
      <c r="AD282" s="511"/>
      <c r="AE282" s="511"/>
      <c r="AF282" s="511"/>
      <c r="AG282" s="511"/>
      <c r="AH282" s="511"/>
      <c r="AI282" s="511"/>
      <c r="AJ282" s="511"/>
      <c r="AK282" s="511"/>
      <c r="AL282" s="511"/>
      <c r="AM282" s="511"/>
      <c r="AN282" s="511"/>
      <c r="AO282" s="511"/>
      <c r="AP282" s="511"/>
      <c r="AQ282" s="511"/>
      <c r="AR282" s="511"/>
      <c r="AS282" s="511"/>
      <c r="AT282" s="511"/>
      <c r="AU282" s="511"/>
      <c r="AV282" s="511"/>
      <c r="AW282" s="511"/>
      <c r="AX282" s="511"/>
      <c r="AY282" s="511"/>
      <c r="AZ282" s="511"/>
      <c r="BA282" s="511"/>
    </row>
    <row r="283" spans="1:53" customFormat="1">
      <c r="A283" s="511"/>
      <c r="B283" s="511"/>
      <c r="C283" s="511"/>
      <c r="D283" s="511"/>
      <c r="E283" s="511"/>
      <c r="F283" s="511"/>
      <c r="G283" s="511"/>
      <c r="H283" s="517"/>
      <c r="I283" s="511"/>
      <c r="J283" s="511"/>
      <c r="K283" s="511"/>
      <c r="L283" s="511"/>
      <c r="M283" s="511"/>
      <c r="N283" s="511"/>
      <c r="O283" s="511"/>
      <c r="P283" s="511"/>
      <c r="Q283" s="511"/>
      <c r="R283" s="511"/>
      <c r="S283" s="511"/>
      <c r="T283" s="511"/>
      <c r="U283" s="511"/>
      <c r="V283" s="511"/>
      <c r="W283" s="511"/>
      <c r="X283" s="511"/>
      <c r="Y283" s="511"/>
      <c r="Z283" s="511"/>
      <c r="AA283" s="511"/>
      <c r="AB283" s="511"/>
      <c r="AC283" s="511"/>
      <c r="AD283" s="511"/>
      <c r="AE283" s="511"/>
      <c r="AF283" s="511"/>
      <c r="AG283" s="511"/>
      <c r="AH283" s="511"/>
      <c r="AI283" s="511"/>
      <c r="AJ283" s="511"/>
      <c r="AK283" s="511"/>
      <c r="AL283" s="511"/>
      <c r="AM283" s="511"/>
      <c r="AN283" s="511"/>
      <c r="AO283" s="511"/>
      <c r="AP283" s="511"/>
      <c r="AQ283" s="511"/>
      <c r="AR283" s="511"/>
      <c r="AS283" s="511"/>
      <c r="AT283" s="511"/>
      <c r="AU283" s="511"/>
      <c r="AV283" s="511"/>
      <c r="AW283" s="511"/>
      <c r="AX283" s="511"/>
      <c r="AY283" s="511"/>
      <c r="AZ283" s="511"/>
      <c r="BA283" s="511"/>
    </row>
    <row r="284" spans="1:53" customFormat="1">
      <c r="A284" s="511"/>
      <c r="B284" s="511"/>
      <c r="C284" s="511"/>
      <c r="D284" s="511"/>
      <c r="E284" s="511"/>
      <c r="F284" s="511"/>
      <c r="G284" s="511"/>
      <c r="H284" s="517"/>
      <c r="I284" s="511"/>
      <c r="J284" s="511"/>
      <c r="K284" s="511"/>
      <c r="L284" s="511"/>
      <c r="M284" s="511"/>
      <c r="N284" s="511"/>
      <c r="O284" s="511"/>
      <c r="P284" s="511"/>
      <c r="Q284" s="511"/>
      <c r="R284" s="511"/>
      <c r="S284" s="511"/>
      <c r="T284" s="511"/>
      <c r="U284" s="511"/>
      <c r="V284" s="511"/>
      <c r="W284" s="511"/>
      <c r="X284" s="511"/>
      <c r="Y284" s="511"/>
      <c r="Z284" s="511"/>
      <c r="AA284" s="511"/>
      <c r="AB284" s="511"/>
      <c r="AC284" s="511"/>
      <c r="AD284" s="511"/>
      <c r="AE284" s="511"/>
      <c r="AF284" s="511"/>
      <c r="AG284" s="511"/>
      <c r="AH284" s="511"/>
      <c r="AI284" s="511"/>
      <c r="AJ284" s="511"/>
      <c r="AK284" s="511"/>
      <c r="AL284" s="511"/>
      <c r="AM284" s="511"/>
      <c r="AN284" s="511"/>
      <c r="AO284" s="511"/>
      <c r="AP284" s="511"/>
      <c r="AQ284" s="511"/>
      <c r="AR284" s="511"/>
      <c r="AS284" s="511"/>
      <c r="AT284" s="511"/>
      <c r="AU284" s="511"/>
      <c r="AV284" s="511"/>
      <c r="AW284" s="511"/>
      <c r="AX284" s="511"/>
      <c r="AY284" s="511"/>
      <c r="AZ284" s="511"/>
      <c r="BA284" s="511"/>
    </row>
    <row r="285" spans="1:53" customFormat="1">
      <c r="A285" s="511"/>
      <c r="B285" s="511"/>
      <c r="C285" s="511"/>
      <c r="D285" s="511"/>
      <c r="E285" s="511"/>
      <c r="F285" s="511"/>
      <c r="G285" s="511"/>
      <c r="H285" s="517"/>
      <c r="I285" s="511"/>
      <c r="J285" s="511"/>
      <c r="K285" s="511"/>
      <c r="L285" s="511"/>
      <c r="M285" s="511"/>
      <c r="N285" s="511"/>
      <c r="O285" s="511"/>
      <c r="P285" s="511"/>
      <c r="Q285" s="511"/>
      <c r="R285" s="511"/>
      <c r="S285" s="511"/>
      <c r="T285" s="511"/>
      <c r="U285" s="511"/>
      <c r="V285" s="511"/>
      <c r="W285" s="511"/>
      <c r="X285" s="511"/>
      <c r="Y285" s="511"/>
      <c r="Z285" s="511"/>
      <c r="AA285" s="511"/>
      <c r="AB285" s="511"/>
      <c r="AC285" s="511"/>
      <c r="AD285" s="511"/>
      <c r="AE285" s="511"/>
      <c r="AF285" s="511"/>
      <c r="AG285" s="511"/>
      <c r="AH285" s="511"/>
      <c r="AI285" s="511"/>
      <c r="AJ285" s="511"/>
      <c r="AK285" s="511"/>
      <c r="AL285" s="511"/>
      <c r="AM285" s="511"/>
      <c r="AN285" s="511"/>
      <c r="AO285" s="511"/>
      <c r="AP285" s="511"/>
      <c r="AQ285" s="511"/>
      <c r="AR285" s="511"/>
      <c r="AS285" s="511"/>
      <c r="AT285" s="511"/>
      <c r="AU285" s="511"/>
      <c r="AV285" s="511"/>
      <c r="AW285" s="511"/>
      <c r="AX285" s="511"/>
      <c r="AY285" s="511"/>
      <c r="AZ285" s="511"/>
      <c r="BA285" s="511"/>
    </row>
    <row r="286" spans="1:53" customFormat="1">
      <c r="A286" s="511"/>
      <c r="B286" s="511"/>
      <c r="C286" s="511"/>
      <c r="D286" s="511"/>
      <c r="E286" s="511"/>
      <c r="F286" s="511"/>
      <c r="G286" s="511"/>
      <c r="H286" s="517"/>
      <c r="I286" s="511"/>
      <c r="J286" s="511"/>
      <c r="K286" s="511"/>
      <c r="L286" s="511"/>
      <c r="M286" s="511"/>
      <c r="N286" s="511"/>
      <c r="O286" s="511"/>
      <c r="P286" s="511"/>
      <c r="Q286" s="511"/>
      <c r="R286" s="511"/>
      <c r="S286" s="511"/>
      <c r="T286" s="511"/>
      <c r="U286" s="511"/>
      <c r="V286" s="511"/>
      <c r="W286" s="511"/>
      <c r="X286" s="511"/>
      <c r="Y286" s="511"/>
      <c r="Z286" s="511"/>
      <c r="AA286" s="511"/>
      <c r="AB286" s="511"/>
      <c r="AC286" s="511"/>
      <c r="AD286" s="511"/>
      <c r="AE286" s="511"/>
      <c r="AF286" s="511"/>
      <c r="AG286" s="511"/>
      <c r="AH286" s="511"/>
      <c r="AI286" s="511"/>
      <c r="AJ286" s="511"/>
      <c r="AK286" s="511"/>
      <c r="AL286" s="511"/>
      <c r="AM286" s="511"/>
      <c r="AN286" s="511"/>
      <c r="AO286" s="511"/>
      <c r="AP286" s="511"/>
      <c r="AQ286" s="511"/>
      <c r="AR286" s="511"/>
      <c r="AS286" s="511"/>
      <c r="AT286" s="511"/>
      <c r="AU286" s="511"/>
      <c r="AV286" s="511"/>
      <c r="AW286" s="511"/>
      <c r="AX286" s="511"/>
      <c r="AY286" s="511"/>
      <c r="AZ286" s="511"/>
      <c r="BA286" s="511"/>
    </row>
    <row r="287" spans="1:53" customFormat="1">
      <c r="A287" s="511"/>
      <c r="B287" s="511"/>
      <c r="C287" s="511"/>
      <c r="D287" s="511"/>
      <c r="E287" s="511"/>
      <c r="F287" s="511"/>
      <c r="G287" s="511"/>
      <c r="H287" s="517"/>
      <c r="I287" s="511"/>
      <c r="J287" s="511"/>
      <c r="K287" s="511"/>
      <c r="L287" s="511"/>
      <c r="M287" s="511"/>
      <c r="N287" s="511"/>
      <c r="O287" s="511"/>
      <c r="P287" s="511"/>
      <c r="Q287" s="511"/>
      <c r="R287" s="511"/>
      <c r="S287" s="511"/>
      <c r="T287" s="511"/>
      <c r="U287" s="511"/>
      <c r="V287" s="511"/>
      <c r="W287" s="511"/>
      <c r="X287" s="511"/>
      <c r="Y287" s="511"/>
      <c r="Z287" s="511"/>
      <c r="AA287" s="511"/>
      <c r="AB287" s="511"/>
      <c r="AC287" s="511"/>
      <c r="AD287" s="511"/>
      <c r="AE287" s="511"/>
      <c r="AF287" s="511"/>
      <c r="AG287" s="511"/>
      <c r="AH287" s="511"/>
      <c r="AI287" s="511"/>
      <c r="AJ287" s="511"/>
      <c r="AK287" s="511"/>
      <c r="AL287" s="511"/>
      <c r="AM287" s="511"/>
      <c r="AN287" s="511"/>
      <c r="AO287" s="511"/>
      <c r="AP287" s="511"/>
      <c r="AQ287" s="511"/>
      <c r="AR287" s="511"/>
      <c r="AS287" s="511"/>
      <c r="AT287" s="511"/>
      <c r="AU287" s="511"/>
      <c r="AV287" s="511"/>
      <c r="AW287" s="511"/>
      <c r="AX287" s="511"/>
      <c r="AY287" s="511"/>
      <c r="AZ287" s="511"/>
      <c r="BA287" s="511"/>
    </row>
    <row r="288" spans="1:53" customFormat="1">
      <c r="A288" s="511"/>
      <c r="B288" s="511"/>
      <c r="C288" s="511"/>
      <c r="D288" s="511"/>
      <c r="E288" s="511"/>
      <c r="F288" s="511"/>
      <c r="G288" s="511"/>
      <c r="H288" s="517"/>
      <c r="I288" s="511"/>
      <c r="J288" s="511"/>
      <c r="K288" s="511"/>
      <c r="L288" s="511"/>
      <c r="M288" s="511"/>
      <c r="N288" s="511"/>
      <c r="O288" s="511"/>
      <c r="P288" s="511"/>
      <c r="Q288" s="511"/>
      <c r="R288" s="511"/>
      <c r="S288" s="511"/>
      <c r="T288" s="511"/>
      <c r="U288" s="511"/>
      <c r="V288" s="511"/>
      <c r="W288" s="511"/>
      <c r="X288" s="511"/>
      <c r="Y288" s="511"/>
      <c r="Z288" s="511"/>
      <c r="AA288" s="511"/>
      <c r="AB288" s="511"/>
      <c r="AC288" s="511"/>
      <c r="AD288" s="511"/>
      <c r="AE288" s="511"/>
      <c r="AF288" s="511"/>
      <c r="AG288" s="511"/>
      <c r="AH288" s="511"/>
      <c r="AI288" s="511"/>
      <c r="AJ288" s="511"/>
      <c r="AK288" s="511"/>
      <c r="AL288" s="511"/>
      <c r="AM288" s="511"/>
      <c r="AN288" s="511"/>
      <c r="AO288" s="511"/>
      <c r="AP288" s="511"/>
      <c r="AQ288" s="511"/>
      <c r="AR288" s="511"/>
      <c r="AS288" s="511"/>
      <c r="AT288" s="511"/>
      <c r="AU288" s="511"/>
      <c r="AV288" s="511"/>
      <c r="AW288" s="511"/>
      <c r="AX288" s="511"/>
      <c r="AY288" s="511"/>
      <c r="AZ288" s="511"/>
      <c r="BA288" s="511"/>
    </row>
    <row r="289" spans="1:53" customFormat="1">
      <c r="A289" s="511"/>
      <c r="B289" s="511"/>
      <c r="C289" s="511"/>
      <c r="D289" s="511"/>
      <c r="E289" s="511"/>
      <c r="F289" s="511"/>
      <c r="G289" s="511"/>
      <c r="H289" s="517"/>
      <c r="I289" s="511"/>
      <c r="J289" s="511"/>
      <c r="K289" s="511"/>
      <c r="L289" s="511"/>
      <c r="M289" s="511"/>
      <c r="N289" s="511"/>
      <c r="O289" s="511"/>
      <c r="P289" s="511"/>
      <c r="Q289" s="511"/>
      <c r="R289" s="511"/>
      <c r="S289" s="511"/>
      <c r="T289" s="511"/>
      <c r="U289" s="511"/>
      <c r="V289" s="511"/>
      <c r="W289" s="511"/>
      <c r="X289" s="511"/>
      <c r="Y289" s="511"/>
      <c r="Z289" s="511"/>
      <c r="AA289" s="511"/>
      <c r="AB289" s="511"/>
      <c r="AC289" s="511"/>
      <c r="AD289" s="511"/>
      <c r="AE289" s="511"/>
      <c r="AF289" s="511"/>
      <c r="AG289" s="511"/>
      <c r="AH289" s="511"/>
      <c r="AI289" s="511"/>
      <c r="AJ289" s="511"/>
      <c r="AK289" s="511"/>
      <c r="AL289" s="511"/>
      <c r="AM289" s="511"/>
      <c r="AN289" s="511"/>
      <c r="AO289" s="511"/>
      <c r="AP289" s="511"/>
      <c r="AQ289" s="511"/>
      <c r="AR289" s="511"/>
      <c r="AS289" s="511"/>
      <c r="AT289" s="511"/>
      <c r="AU289" s="511"/>
      <c r="AV289" s="511"/>
      <c r="AW289" s="511"/>
      <c r="AX289" s="511"/>
      <c r="AY289" s="511"/>
      <c r="AZ289" s="511"/>
      <c r="BA289" s="511"/>
    </row>
    <row r="290" spans="1:53" customFormat="1">
      <c r="A290" s="511"/>
      <c r="B290" s="511"/>
      <c r="C290" s="511"/>
      <c r="D290" s="511"/>
      <c r="E290" s="511"/>
      <c r="F290" s="511"/>
      <c r="G290" s="511"/>
      <c r="H290" s="517"/>
      <c r="I290" s="511"/>
      <c r="J290" s="511"/>
      <c r="K290" s="511"/>
      <c r="L290" s="511"/>
      <c r="M290" s="511"/>
      <c r="N290" s="511"/>
      <c r="O290" s="511"/>
      <c r="P290" s="511"/>
      <c r="Q290" s="511"/>
      <c r="R290" s="511"/>
      <c r="S290" s="511"/>
      <c r="T290" s="511"/>
      <c r="U290" s="511"/>
      <c r="V290" s="511"/>
      <c r="W290" s="511"/>
      <c r="X290" s="511"/>
      <c r="Y290" s="511"/>
      <c r="Z290" s="511"/>
      <c r="AA290" s="511"/>
      <c r="AB290" s="511"/>
      <c r="AC290" s="511"/>
      <c r="AD290" s="511"/>
      <c r="AE290" s="511"/>
      <c r="AF290" s="511"/>
      <c r="AG290" s="511"/>
      <c r="AH290" s="511"/>
      <c r="AI290" s="511"/>
      <c r="AJ290" s="511"/>
      <c r="AK290" s="511"/>
      <c r="AL290" s="511"/>
      <c r="AM290" s="511"/>
      <c r="AN290" s="511"/>
      <c r="AO290" s="511"/>
      <c r="AP290" s="511"/>
      <c r="AQ290" s="511"/>
      <c r="AR290" s="511"/>
      <c r="AS290" s="511"/>
      <c r="AT290" s="511"/>
      <c r="AU290" s="511"/>
      <c r="AV290" s="511"/>
      <c r="AW290" s="511"/>
      <c r="AX290" s="511"/>
      <c r="AY290" s="511"/>
      <c r="AZ290" s="511"/>
      <c r="BA290" s="511"/>
    </row>
    <row r="291" spans="1:53" customFormat="1">
      <c r="A291" s="511"/>
      <c r="B291" s="511"/>
      <c r="C291" s="511"/>
      <c r="D291" s="511"/>
      <c r="E291" s="511"/>
      <c r="F291" s="511"/>
      <c r="G291" s="511"/>
      <c r="H291" s="517"/>
      <c r="I291" s="511"/>
      <c r="J291" s="511"/>
      <c r="K291" s="511"/>
      <c r="L291" s="511"/>
      <c r="M291" s="511"/>
      <c r="N291" s="511"/>
      <c r="O291" s="511"/>
      <c r="P291" s="511"/>
      <c r="Q291" s="511"/>
      <c r="R291" s="511"/>
      <c r="S291" s="511"/>
      <c r="T291" s="511"/>
      <c r="U291" s="511"/>
      <c r="V291" s="511"/>
      <c r="W291" s="511"/>
      <c r="X291" s="511"/>
      <c r="Y291" s="511"/>
      <c r="Z291" s="511"/>
      <c r="AA291" s="511"/>
      <c r="AB291" s="511"/>
      <c r="AC291" s="511"/>
      <c r="AD291" s="511"/>
      <c r="AE291" s="511"/>
      <c r="AF291" s="511"/>
      <c r="AG291" s="511"/>
      <c r="AH291" s="511"/>
      <c r="AI291" s="511"/>
      <c r="AJ291" s="511"/>
      <c r="AK291" s="511"/>
      <c r="AL291" s="511"/>
      <c r="AM291" s="511"/>
      <c r="AN291" s="511"/>
      <c r="AO291" s="511"/>
      <c r="AP291" s="511"/>
      <c r="AQ291" s="511"/>
      <c r="AR291" s="511"/>
      <c r="AS291" s="511"/>
      <c r="AT291" s="511"/>
      <c r="AU291" s="511"/>
      <c r="AV291" s="511"/>
      <c r="AW291" s="511"/>
      <c r="AX291" s="511"/>
      <c r="AY291" s="511"/>
      <c r="AZ291" s="511"/>
      <c r="BA291" s="511"/>
    </row>
    <row r="292" spans="1:53" customFormat="1">
      <c r="A292" s="511"/>
      <c r="B292" s="511"/>
      <c r="C292" s="511"/>
      <c r="D292" s="511"/>
      <c r="E292" s="511"/>
      <c r="F292" s="511"/>
      <c r="G292" s="511"/>
      <c r="H292" s="517"/>
      <c r="I292" s="511"/>
      <c r="J292" s="511"/>
      <c r="K292" s="511"/>
      <c r="L292" s="511"/>
      <c r="M292" s="511"/>
      <c r="N292" s="511"/>
      <c r="O292" s="511"/>
      <c r="P292" s="511"/>
      <c r="Q292" s="511"/>
      <c r="R292" s="511"/>
      <c r="S292" s="511"/>
      <c r="T292" s="511"/>
      <c r="U292" s="511"/>
      <c r="V292" s="511"/>
      <c r="W292" s="511"/>
      <c r="X292" s="511"/>
      <c r="Y292" s="511"/>
      <c r="Z292" s="511"/>
      <c r="AA292" s="511"/>
      <c r="AB292" s="511"/>
      <c r="AC292" s="511"/>
      <c r="AD292" s="511"/>
      <c r="AE292" s="511"/>
      <c r="AF292" s="511"/>
      <c r="AG292" s="511"/>
      <c r="AH292" s="511"/>
      <c r="AI292" s="511"/>
      <c r="AJ292" s="511"/>
      <c r="AK292" s="511"/>
      <c r="AL292" s="511"/>
      <c r="AM292" s="511"/>
      <c r="AN292" s="511"/>
      <c r="AO292" s="511"/>
      <c r="AP292" s="511"/>
      <c r="AQ292" s="511"/>
      <c r="AR292" s="511"/>
      <c r="AS292" s="511"/>
      <c r="AT292" s="511"/>
      <c r="AU292" s="511"/>
      <c r="AV292" s="511"/>
      <c r="AW292" s="511"/>
      <c r="AX292" s="511"/>
      <c r="AY292" s="511"/>
      <c r="AZ292" s="511"/>
      <c r="BA292" s="511"/>
    </row>
    <row r="293" spans="1:53" customFormat="1">
      <c r="A293" s="511"/>
      <c r="B293" s="511"/>
      <c r="C293" s="511"/>
      <c r="D293" s="511"/>
      <c r="E293" s="511"/>
      <c r="F293" s="511"/>
      <c r="G293" s="511"/>
      <c r="H293" s="517"/>
      <c r="I293" s="511"/>
      <c r="J293" s="511"/>
      <c r="K293" s="511"/>
      <c r="L293" s="511"/>
      <c r="M293" s="511"/>
      <c r="N293" s="511"/>
      <c r="O293" s="511"/>
      <c r="P293" s="511"/>
      <c r="Q293" s="511"/>
      <c r="R293" s="511"/>
      <c r="S293" s="511"/>
      <c r="T293" s="511"/>
      <c r="U293" s="511"/>
      <c r="V293" s="511"/>
      <c r="W293" s="511"/>
      <c r="X293" s="511"/>
      <c r="Y293" s="511"/>
      <c r="Z293" s="511"/>
      <c r="AA293" s="511"/>
      <c r="AB293" s="511"/>
      <c r="AC293" s="511"/>
      <c r="AD293" s="511"/>
      <c r="AE293" s="511"/>
      <c r="AF293" s="511"/>
      <c r="AG293" s="511"/>
      <c r="AH293" s="511"/>
      <c r="AI293" s="511"/>
      <c r="AJ293" s="511"/>
      <c r="AK293" s="511"/>
      <c r="AL293" s="511"/>
      <c r="AM293" s="511"/>
      <c r="AN293" s="511"/>
      <c r="AO293" s="511"/>
      <c r="AP293" s="511"/>
      <c r="AQ293" s="511"/>
      <c r="AR293" s="511"/>
      <c r="AS293" s="511"/>
      <c r="AT293" s="511"/>
      <c r="AU293" s="511"/>
      <c r="AV293" s="511"/>
      <c r="AW293" s="511"/>
      <c r="AX293" s="511"/>
      <c r="AY293" s="511"/>
      <c r="AZ293" s="511"/>
      <c r="BA293" s="511"/>
    </row>
    <row r="294" spans="1:53" customFormat="1">
      <c r="A294" s="511"/>
      <c r="B294" s="511"/>
      <c r="C294" s="511"/>
      <c r="D294" s="511"/>
      <c r="E294" s="511"/>
      <c r="F294" s="511"/>
      <c r="G294" s="511"/>
      <c r="H294" s="517"/>
      <c r="I294" s="511"/>
      <c r="J294" s="511"/>
      <c r="K294" s="511"/>
      <c r="L294" s="511"/>
      <c r="M294" s="511"/>
      <c r="N294" s="511"/>
      <c r="O294" s="511"/>
      <c r="P294" s="511"/>
      <c r="Q294" s="511"/>
      <c r="R294" s="511"/>
      <c r="S294" s="511"/>
      <c r="T294" s="511"/>
      <c r="U294" s="511"/>
      <c r="V294" s="511"/>
      <c r="W294" s="511"/>
      <c r="X294" s="511"/>
      <c r="Y294" s="511"/>
      <c r="Z294" s="511"/>
      <c r="AA294" s="511"/>
      <c r="AB294" s="511"/>
      <c r="AC294" s="511"/>
      <c r="AD294" s="511"/>
      <c r="AE294" s="511"/>
      <c r="AF294" s="511"/>
      <c r="AG294" s="511"/>
      <c r="AH294" s="511"/>
      <c r="AI294" s="511"/>
      <c r="AJ294" s="511"/>
      <c r="AK294" s="511"/>
      <c r="AL294" s="511"/>
      <c r="AM294" s="511"/>
      <c r="AN294" s="511"/>
      <c r="AO294" s="511"/>
      <c r="AP294" s="511"/>
      <c r="AQ294" s="511"/>
      <c r="AR294" s="511"/>
      <c r="AS294" s="511"/>
      <c r="AT294" s="511"/>
      <c r="AU294" s="511"/>
      <c r="AV294" s="511"/>
      <c r="AW294" s="511"/>
      <c r="AX294" s="511"/>
      <c r="AY294" s="511"/>
      <c r="AZ294" s="511"/>
      <c r="BA294" s="511"/>
    </row>
    <row r="295" spans="1:53" customFormat="1">
      <c r="A295" s="511"/>
      <c r="B295" s="511"/>
      <c r="C295" s="511"/>
      <c r="D295" s="511"/>
      <c r="E295" s="511"/>
      <c r="F295" s="511"/>
      <c r="G295" s="511"/>
      <c r="H295" s="517"/>
      <c r="I295" s="511"/>
      <c r="J295" s="511"/>
      <c r="K295" s="511"/>
      <c r="L295" s="511"/>
      <c r="M295" s="511"/>
      <c r="N295" s="511"/>
      <c r="O295" s="511"/>
      <c r="P295" s="511"/>
      <c r="Q295" s="511"/>
      <c r="R295" s="511"/>
      <c r="S295" s="511"/>
      <c r="T295" s="511"/>
      <c r="U295" s="511"/>
      <c r="V295" s="511"/>
      <c r="W295" s="511"/>
      <c r="X295" s="511"/>
      <c r="Y295" s="511"/>
      <c r="Z295" s="511"/>
      <c r="AA295" s="511"/>
      <c r="AB295" s="511"/>
      <c r="AC295" s="511"/>
      <c r="AD295" s="511"/>
      <c r="AE295" s="511"/>
      <c r="AF295" s="511"/>
      <c r="AG295" s="511"/>
      <c r="AH295" s="511"/>
      <c r="AI295" s="511"/>
      <c r="AJ295" s="511"/>
      <c r="AK295" s="511"/>
      <c r="AL295" s="511"/>
      <c r="AM295" s="511"/>
      <c r="AN295" s="511"/>
      <c r="AO295" s="511"/>
      <c r="AP295" s="511"/>
      <c r="AQ295" s="511"/>
      <c r="AR295" s="511"/>
      <c r="AS295" s="511"/>
      <c r="AT295" s="511"/>
      <c r="AU295" s="511"/>
      <c r="AV295" s="511"/>
      <c r="AW295" s="511"/>
      <c r="AX295" s="511"/>
      <c r="AY295" s="511"/>
      <c r="AZ295" s="511"/>
      <c r="BA295" s="511"/>
    </row>
    <row r="296" spans="1:53" customFormat="1">
      <c r="A296" s="511"/>
      <c r="B296" s="511"/>
      <c r="C296" s="511"/>
      <c r="D296" s="511"/>
      <c r="E296" s="511"/>
      <c r="F296" s="511"/>
      <c r="G296" s="511"/>
      <c r="H296" s="517"/>
      <c r="I296" s="511"/>
      <c r="J296" s="511"/>
      <c r="K296" s="511"/>
      <c r="L296" s="511"/>
      <c r="M296" s="511"/>
      <c r="N296" s="511"/>
      <c r="O296" s="511"/>
      <c r="P296" s="511"/>
      <c r="Q296" s="511"/>
      <c r="R296" s="511"/>
      <c r="S296" s="511"/>
      <c r="T296" s="511"/>
      <c r="U296" s="511"/>
      <c r="V296" s="511"/>
      <c r="W296" s="511"/>
      <c r="X296" s="511"/>
      <c r="Y296" s="511"/>
      <c r="Z296" s="511"/>
      <c r="AA296" s="511"/>
      <c r="AB296" s="511"/>
      <c r="AC296" s="511"/>
      <c r="AD296" s="511"/>
      <c r="AE296" s="511"/>
      <c r="AF296" s="511"/>
      <c r="AG296" s="511"/>
      <c r="AH296" s="511"/>
      <c r="AI296" s="511"/>
      <c r="AJ296" s="511"/>
      <c r="AK296" s="511"/>
      <c r="AL296" s="511"/>
      <c r="AM296" s="511"/>
      <c r="AN296" s="511"/>
      <c r="AO296" s="511"/>
      <c r="AP296" s="511"/>
      <c r="AQ296" s="511"/>
      <c r="AR296" s="511"/>
      <c r="AS296" s="511"/>
      <c r="AT296" s="511"/>
      <c r="AU296" s="511"/>
      <c r="AV296" s="511"/>
      <c r="AW296" s="511"/>
      <c r="AX296" s="511"/>
      <c r="AY296" s="511"/>
      <c r="AZ296" s="511"/>
      <c r="BA296" s="511"/>
    </row>
    <row r="297" spans="1:53" customFormat="1">
      <c r="A297" s="511"/>
      <c r="B297" s="511"/>
      <c r="C297" s="511"/>
      <c r="D297" s="511"/>
      <c r="E297" s="511"/>
      <c r="F297" s="511"/>
      <c r="G297" s="511"/>
      <c r="H297" s="517"/>
      <c r="I297" s="511"/>
      <c r="J297" s="511"/>
      <c r="K297" s="511"/>
      <c r="L297" s="511"/>
      <c r="M297" s="511"/>
      <c r="N297" s="511"/>
      <c r="O297" s="511"/>
      <c r="P297" s="511"/>
      <c r="Q297" s="511"/>
      <c r="R297" s="511"/>
      <c r="S297" s="511"/>
      <c r="T297" s="511"/>
      <c r="U297" s="511"/>
      <c r="V297" s="511"/>
      <c r="W297" s="511"/>
      <c r="X297" s="511"/>
      <c r="Y297" s="511"/>
      <c r="Z297" s="511"/>
      <c r="AA297" s="511"/>
      <c r="AB297" s="511"/>
      <c r="AC297" s="511"/>
      <c r="AD297" s="511"/>
      <c r="AE297" s="511"/>
      <c r="AF297" s="511"/>
      <c r="AG297" s="511"/>
      <c r="AH297" s="511"/>
      <c r="AI297" s="511"/>
      <c r="AJ297" s="511"/>
      <c r="AK297" s="511"/>
      <c r="AL297" s="511"/>
      <c r="AM297" s="511"/>
      <c r="AN297" s="511"/>
      <c r="AO297" s="511"/>
      <c r="AP297" s="511"/>
      <c r="AQ297" s="511"/>
      <c r="AR297" s="511"/>
      <c r="AS297" s="511"/>
      <c r="AT297" s="511"/>
      <c r="AU297" s="511"/>
      <c r="AV297" s="511"/>
      <c r="AW297" s="511"/>
      <c r="AX297" s="511"/>
      <c r="AY297" s="511"/>
      <c r="AZ297" s="511"/>
      <c r="BA297" s="511"/>
    </row>
    <row r="298" spans="1:53" customFormat="1">
      <c r="A298" s="511"/>
      <c r="B298" s="511"/>
      <c r="C298" s="511"/>
      <c r="D298" s="511"/>
      <c r="E298" s="511"/>
      <c r="F298" s="511"/>
      <c r="G298" s="511"/>
      <c r="H298" s="517"/>
      <c r="I298" s="511"/>
      <c r="J298" s="511"/>
      <c r="K298" s="511"/>
      <c r="L298" s="511"/>
      <c r="M298" s="511"/>
      <c r="N298" s="511"/>
      <c r="O298" s="511"/>
      <c r="P298" s="511"/>
      <c r="Q298" s="511"/>
      <c r="R298" s="511"/>
      <c r="S298" s="511"/>
      <c r="T298" s="511"/>
      <c r="U298" s="511"/>
      <c r="V298" s="511"/>
      <c r="W298" s="511"/>
      <c r="X298" s="511"/>
      <c r="Y298" s="511"/>
      <c r="Z298" s="511"/>
      <c r="AA298" s="511"/>
      <c r="AB298" s="511"/>
      <c r="AC298" s="511"/>
      <c r="AD298" s="511"/>
      <c r="AE298" s="511"/>
      <c r="AF298" s="511"/>
      <c r="AG298" s="511"/>
      <c r="AH298" s="511"/>
      <c r="AI298" s="511"/>
      <c r="AJ298" s="511"/>
      <c r="AK298" s="511"/>
      <c r="AL298" s="511"/>
      <c r="AM298" s="511"/>
      <c r="AN298" s="511"/>
      <c r="AO298" s="511"/>
      <c r="AP298" s="511"/>
      <c r="AQ298" s="511"/>
      <c r="AR298" s="511"/>
      <c r="AS298" s="511"/>
      <c r="AT298" s="511"/>
      <c r="AU298" s="511"/>
      <c r="AV298" s="511"/>
      <c r="AW298" s="511"/>
      <c r="AX298" s="511"/>
      <c r="AY298" s="511"/>
      <c r="AZ298" s="511"/>
      <c r="BA298" s="511"/>
    </row>
    <row r="299" spans="1:53" customFormat="1">
      <c r="A299" s="511"/>
      <c r="B299" s="511"/>
      <c r="C299" s="511"/>
      <c r="D299" s="511"/>
      <c r="E299" s="511"/>
      <c r="F299" s="511"/>
      <c r="G299" s="511"/>
      <c r="H299" s="517"/>
      <c r="I299" s="511"/>
      <c r="J299" s="511"/>
      <c r="K299" s="511"/>
      <c r="L299" s="511"/>
      <c r="M299" s="511"/>
      <c r="N299" s="511"/>
      <c r="O299" s="511"/>
      <c r="P299" s="511"/>
      <c r="Q299" s="511"/>
      <c r="R299" s="511"/>
      <c r="S299" s="511"/>
      <c r="T299" s="511"/>
      <c r="U299" s="511"/>
      <c r="V299" s="511"/>
      <c r="W299" s="511"/>
      <c r="X299" s="511"/>
      <c r="Y299" s="511"/>
      <c r="Z299" s="511"/>
      <c r="AA299" s="511"/>
      <c r="AB299" s="511"/>
      <c r="AC299" s="511"/>
      <c r="AD299" s="511"/>
      <c r="AE299" s="511"/>
      <c r="AF299" s="511"/>
      <c r="AG299" s="511"/>
      <c r="AH299" s="511"/>
      <c r="AI299" s="511"/>
      <c r="AJ299" s="511"/>
      <c r="AK299" s="511"/>
      <c r="AL299" s="511"/>
      <c r="AM299" s="511"/>
      <c r="AN299" s="511"/>
      <c r="AO299" s="511"/>
      <c r="AP299" s="511"/>
      <c r="AQ299" s="511"/>
      <c r="AR299" s="511"/>
      <c r="AS299" s="511"/>
      <c r="AT299" s="511"/>
      <c r="AU299" s="511"/>
      <c r="AV299" s="511"/>
      <c r="AW299" s="511"/>
      <c r="AX299" s="511"/>
      <c r="AY299" s="511"/>
      <c r="AZ299" s="511"/>
      <c r="BA299" s="511"/>
    </row>
    <row r="300" spans="1:53" customFormat="1">
      <c r="A300" s="511"/>
      <c r="B300" s="511"/>
      <c r="C300" s="511"/>
      <c r="D300" s="511"/>
      <c r="E300" s="511"/>
      <c r="F300" s="511"/>
      <c r="G300" s="511"/>
      <c r="H300" s="517"/>
      <c r="I300" s="511"/>
      <c r="J300" s="511"/>
      <c r="K300" s="511"/>
      <c r="L300" s="511"/>
      <c r="M300" s="511"/>
      <c r="N300" s="511"/>
      <c r="O300" s="511"/>
      <c r="P300" s="511"/>
      <c r="Q300" s="511"/>
      <c r="R300" s="511"/>
      <c r="S300" s="511"/>
      <c r="T300" s="511"/>
      <c r="U300" s="511"/>
      <c r="V300" s="511"/>
      <c r="W300" s="511"/>
      <c r="X300" s="511"/>
      <c r="Y300" s="511"/>
      <c r="Z300" s="511"/>
      <c r="AA300" s="511"/>
      <c r="AB300" s="511"/>
      <c r="AC300" s="511"/>
      <c r="AD300" s="511"/>
      <c r="AE300" s="511"/>
      <c r="AF300" s="511"/>
      <c r="AG300" s="511"/>
      <c r="AH300" s="511"/>
      <c r="AI300" s="511"/>
      <c r="AJ300" s="511"/>
      <c r="AK300" s="511"/>
      <c r="AL300" s="511"/>
      <c r="AM300" s="511"/>
      <c r="AN300" s="511"/>
      <c r="AO300" s="511"/>
      <c r="AP300" s="511"/>
      <c r="AQ300" s="511"/>
      <c r="AR300" s="511"/>
      <c r="AS300" s="511"/>
      <c r="AT300" s="511"/>
      <c r="AU300" s="511"/>
      <c r="AV300" s="511"/>
      <c r="AW300" s="511"/>
      <c r="AX300" s="511"/>
      <c r="AY300" s="511"/>
      <c r="AZ300" s="511"/>
      <c r="BA300" s="511"/>
    </row>
    <row r="301" spans="1:53" customFormat="1">
      <c r="A301" s="511"/>
      <c r="B301" s="511"/>
      <c r="C301" s="511"/>
      <c r="D301" s="511"/>
      <c r="E301" s="511"/>
      <c r="F301" s="511"/>
      <c r="G301" s="511"/>
      <c r="H301" s="517"/>
      <c r="I301" s="511"/>
      <c r="J301" s="511"/>
      <c r="K301" s="511"/>
      <c r="L301" s="511"/>
      <c r="M301" s="511"/>
      <c r="N301" s="511"/>
      <c r="O301" s="511"/>
      <c r="P301" s="511"/>
      <c r="Q301" s="511"/>
      <c r="R301" s="511"/>
      <c r="S301" s="511"/>
      <c r="T301" s="511"/>
      <c r="U301" s="511"/>
      <c r="V301" s="511"/>
      <c r="W301" s="511"/>
      <c r="X301" s="511"/>
      <c r="Y301" s="511"/>
      <c r="Z301" s="511"/>
      <c r="AA301" s="511"/>
      <c r="AB301" s="511"/>
      <c r="AC301" s="511"/>
      <c r="AD301" s="511"/>
      <c r="AE301" s="511"/>
      <c r="AF301" s="511"/>
      <c r="AG301" s="511"/>
      <c r="AH301" s="511"/>
      <c r="AI301" s="511"/>
      <c r="AJ301" s="511"/>
      <c r="AK301" s="511"/>
      <c r="AL301" s="511"/>
      <c r="AM301" s="511"/>
      <c r="AN301" s="511"/>
      <c r="AO301" s="511"/>
      <c r="AP301" s="511"/>
      <c r="AQ301" s="511"/>
      <c r="AR301" s="511"/>
      <c r="AS301" s="511"/>
      <c r="AT301" s="511"/>
      <c r="AU301" s="511"/>
      <c r="AV301" s="511"/>
      <c r="AW301" s="511"/>
      <c r="AX301" s="511"/>
      <c r="AY301" s="511"/>
      <c r="AZ301" s="511"/>
      <c r="BA301" s="511"/>
    </row>
    <row r="302" spans="1:53" customFormat="1">
      <c r="A302" s="511"/>
      <c r="B302" s="511"/>
      <c r="C302" s="511"/>
      <c r="D302" s="511"/>
      <c r="E302" s="511"/>
      <c r="F302" s="511"/>
      <c r="G302" s="511"/>
      <c r="H302" s="517"/>
      <c r="I302" s="511"/>
      <c r="J302" s="511"/>
      <c r="K302" s="511"/>
      <c r="L302" s="511"/>
      <c r="M302" s="511"/>
      <c r="N302" s="511"/>
      <c r="O302" s="511"/>
      <c r="P302" s="511"/>
      <c r="Q302" s="511"/>
      <c r="R302" s="511"/>
      <c r="S302" s="511"/>
      <c r="T302" s="511"/>
      <c r="U302" s="511"/>
      <c r="V302" s="511"/>
      <c r="W302" s="511"/>
      <c r="X302" s="511"/>
      <c r="Y302" s="511"/>
      <c r="Z302" s="511"/>
      <c r="AA302" s="511"/>
      <c r="AB302" s="511"/>
      <c r="AC302" s="511"/>
      <c r="AD302" s="511"/>
      <c r="AE302" s="511"/>
      <c r="AF302" s="511"/>
      <c r="AG302" s="511"/>
      <c r="AH302" s="511"/>
      <c r="AI302" s="511"/>
      <c r="AJ302" s="511"/>
      <c r="AK302" s="511"/>
      <c r="AL302" s="511"/>
      <c r="AM302" s="511"/>
      <c r="AN302" s="511"/>
      <c r="AO302" s="511"/>
      <c r="AP302" s="511"/>
      <c r="AQ302" s="511"/>
      <c r="AR302" s="511"/>
      <c r="AS302" s="511"/>
      <c r="AT302" s="511"/>
      <c r="AU302" s="511"/>
      <c r="AV302" s="511"/>
      <c r="AW302" s="511"/>
      <c r="AX302" s="511"/>
      <c r="AY302" s="511"/>
      <c r="AZ302" s="511"/>
      <c r="BA302" s="511"/>
    </row>
    <row r="303" spans="1:53" customFormat="1">
      <c r="A303" s="511"/>
      <c r="B303" s="511"/>
      <c r="C303" s="511"/>
      <c r="D303" s="511"/>
      <c r="E303" s="511"/>
      <c r="F303" s="511"/>
      <c r="G303" s="511"/>
      <c r="H303" s="517"/>
      <c r="I303" s="511"/>
      <c r="J303" s="511"/>
      <c r="K303" s="511"/>
      <c r="L303" s="511"/>
      <c r="M303" s="511"/>
      <c r="N303" s="511"/>
      <c r="O303" s="511"/>
      <c r="P303" s="511"/>
      <c r="Q303" s="511"/>
      <c r="R303" s="511"/>
      <c r="S303" s="511"/>
      <c r="T303" s="511"/>
      <c r="U303" s="511"/>
      <c r="V303" s="511"/>
      <c r="W303" s="511"/>
      <c r="X303" s="511"/>
      <c r="Y303" s="511"/>
      <c r="Z303" s="511"/>
      <c r="AA303" s="511"/>
      <c r="AB303" s="511"/>
      <c r="AC303" s="511"/>
      <c r="AD303" s="511"/>
      <c r="AE303" s="511"/>
      <c r="AF303" s="511"/>
      <c r="AG303" s="511"/>
      <c r="AH303" s="511"/>
      <c r="AI303" s="511"/>
      <c r="AJ303" s="511"/>
      <c r="AK303" s="511"/>
      <c r="AL303" s="511"/>
      <c r="AM303" s="511"/>
      <c r="AN303" s="511"/>
      <c r="AO303" s="511"/>
      <c r="AP303" s="511"/>
      <c r="AQ303" s="511"/>
      <c r="AR303" s="511"/>
      <c r="AS303" s="511"/>
      <c r="AT303" s="511"/>
      <c r="AU303" s="511"/>
      <c r="AV303" s="511"/>
      <c r="AW303" s="511"/>
      <c r="AX303" s="511"/>
      <c r="AY303" s="511"/>
      <c r="AZ303" s="511"/>
      <c r="BA303" s="511"/>
    </row>
    <row r="304" spans="1:53" customFormat="1">
      <c r="A304" s="511"/>
      <c r="B304" s="511"/>
      <c r="C304" s="511"/>
      <c r="D304" s="511"/>
      <c r="E304" s="511"/>
      <c r="F304" s="511"/>
      <c r="G304" s="511"/>
      <c r="H304" s="517"/>
      <c r="I304" s="511"/>
      <c r="J304" s="511"/>
      <c r="K304" s="511"/>
      <c r="L304" s="511"/>
      <c r="M304" s="511"/>
      <c r="N304" s="511"/>
      <c r="O304" s="511"/>
      <c r="P304" s="511"/>
      <c r="Q304" s="511"/>
      <c r="R304" s="511"/>
      <c r="S304" s="511"/>
      <c r="T304" s="511"/>
      <c r="U304" s="511"/>
      <c r="V304" s="511"/>
      <c r="W304" s="511"/>
      <c r="X304" s="511"/>
      <c r="Y304" s="511"/>
      <c r="Z304" s="511"/>
      <c r="AA304" s="511"/>
      <c r="AB304" s="511"/>
      <c r="AC304" s="511"/>
      <c r="AD304" s="511"/>
      <c r="AE304" s="511"/>
      <c r="AF304" s="511"/>
      <c r="AG304" s="511"/>
      <c r="AH304" s="511"/>
      <c r="AI304" s="511"/>
      <c r="AJ304" s="511"/>
      <c r="AK304" s="511"/>
      <c r="AL304" s="511"/>
      <c r="AM304" s="511"/>
      <c r="AN304" s="511"/>
      <c r="AO304" s="511"/>
      <c r="AP304" s="511"/>
      <c r="AQ304" s="511"/>
      <c r="AR304" s="511"/>
      <c r="AS304" s="511"/>
      <c r="AT304" s="511"/>
      <c r="AU304" s="511"/>
      <c r="AV304" s="511"/>
      <c r="AW304" s="511"/>
      <c r="AX304" s="511"/>
      <c r="AY304" s="511"/>
      <c r="AZ304" s="511"/>
      <c r="BA304" s="511"/>
    </row>
    <row r="305" spans="1:53" customFormat="1">
      <c r="A305" s="511"/>
      <c r="B305" s="511"/>
      <c r="C305" s="511"/>
      <c r="D305" s="511"/>
      <c r="E305" s="511"/>
      <c r="F305" s="511"/>
      <c r="G305" s="511"/>
      <c r="H305" s="517"/>
      <c r="I305" s="511"/>
      <c r="J305" s="511"/>
      <c r="K305" s="511"/>
      <c r="L305" s="511"/>
      <c r="M305" s="511"/>
      <c r="N305" s="511"/>
      <c r="O305" s="511"/>
      <c r="P305" s="511"/>
      <c r="Q305" s="511"/>
      <c r="R305" s="511"/>
      <c r="S305" s="511"/>
      <c r="T305" s="511"/>
      <c r="U305" s="511"/>
      <c r="V305" s="511"/>
      <c r="W305" s="511"/>
      <c r="X305" s="511"/>
      <c r="Y305" s="511"/>
      <c r="Z305" s="511"/>
      <c r="AA305" s="511"/>
      <c r="AB305" s="511"/>
      <c r="AC305" s="511"/>
      <c r="AD305" s="511"/>
      <c r="AE305" s="511"/>
      <c r="AF305" s="511"/>
      <c r="AG305" s="511"/>
      <c r="AH305" s="511"/>
      <c r="AI305" s="511"/>
      <c r="AJ305" s="511"/>
      <c r="AK305" s="511"/>
      <c r="AL305" s="511"/>
      <c r="AM305" s="511"/>
      <c r="AN305" s="511"/>
      <c r="AO305" s="511"/>
      <c r="AP305" s="511"/>
      <c r="AQ305" s="511"/>
      <c r="AR305" s="511"/>
      <c r="AS305" s="511"/>
      <c r="AT305" s="511"/>
      <c r="AU305" s="511"/>
      <c r="AV305" s="511"/>
      <c r="AW305" s="511"/>
      <c r="AX305" s="511"/>
      <c r="AY305" s="511"/>
      <c r="AZ305" s="511"/>
      <c r="BA305" s="511"/>
    </row>
    <row r="306" spans="1:53" customFormat="1">
      <c r="A306" s="511"/>
      <c r="B306" s="511"/>
      <c r="C306" s="511"/>
      <c r="D306" s="511"/>
      <c r="E306" s="511"/>
      <c r="F306" s="511"/>
      <c r="G306" s="511"/>
      <c r="H306" s="517"/>
      <c r="I306" s="511"/>
      <c r="J306" s="511"/>
      <c r="K306" s="511"/>
      <c r="L306" s="511"/>
      <c r="M306" s="511"/>
      <c r="N306" s="511"/>
      <c r="O306" s="511"/>
      <c r="P306" s="511"/>
      <c r="Q306" s="511"/>
      <c r="R306" s="511"/>
      <c r="S306" s="511"/>
      <c r="T306" s="511"/>
      <c r="U306" s="511"/>
      <c r="V306" s="511"/>
      <c r="W306" s="511"/>
      <c r="X306" s="511"/>
      <c r="Y306" s="511"/>
      <c r="Z306" s="511"/>
      <c r="AA306" s="511"/>
      <c r="AB306" s="511"/>
      <c r="AC306" s="511"/>
      <c r="AD306" s="511"/>
      <c r="AE306" s="511"/>
      <c r="AF306" s="511"/>
      <c r="AG306" s="511"/>
      <c r="AH306" s="511"/>
      <c r="AI306" s="511"/>
      <c r="AJ306" s="511"/>
      <c r="AK306" s="511"/>
      <c r="AL306" s="511"/>
      <c r="AM306" s="511"/>
      <c r="AN306" s="511"/>
      <c r="AO306" s="511"/>
      <c r="AP306" s="511"/>
      <c r="AQ306" s="511"/>
      <c r="AR306" s="511"/>
      <c r="AS306" s="511"/>
      <c r="AT306" s="511"/>
      <c r="AU306" s="511"/>
      <c r="AV306" s="511"/>
      <c r="AW306" s="511"/>
      <c r="AX306" s="511"/>
      <c r="AY306" s="511"/>
      <c r="AZ306" s="511"/>
      <c r="BA306" s="511"/>
    </row>
    <row r="307" spans="1:53" customFormat="1">
      <c r="A307" s="511"/>
      <c r="B307" s="511"/>
      <c r="C307" s="511"/>
      <c r="D307" s="511"/>
      <c r="E307" s="511"/>
      <c r="F307" s="511"/>
      <c r="G307" s="511"/>
      <c r="H307" s="517"/>
      <c r="I307" s="511"/>
      <c r="J307" s="511"/>
      <c r="K307" s="511"/>
      <c r="L307" s="511"/>
      <c r="M307" s="511"/>
      <c r="N307" s="511"/>
      <c r="O307" s="511"/>
      <c r="P307" s="511"/>
      <c r="Q307" s="511"/>
      <c r="R307" s="511"/>
      <c r="S307" s="511"/>
      <c r="T307" s="511"/>
      <c r="U307" s="511"/>
      <c r="V307" s="511"/>
      <c r="W307" s="511"/>
      <c r="X307" s="511"/>
      <c r="Y307" s="511"/>
      <c r="Z307" s="511"/>
      <c r="AA307" s="511"/>
      <c r="AB307" s="511"/>
      <c r="AC307" s="511"/>
      <c r="AD307" s="511"/>
      <c r="AE307" s="511"/>
      <c r="AF307" s="511"/>
      <c r="AG307" s="511"/>
      <c r="AH307" s="511"/>
      <c r="AI307" s="511"/>
      <c r="AJ307" s="511"/>
      <c r="AK307" s="511"/>
      <c r="AL307" s="511"/>
      <c r="AM307" s="511"/>
      <c r="AN307" s="511"/>
      <c r="AO307" s="511"/>
      <c r="AP307" s="511"/>
      <c r="AQ307" s="511"/>
      <c r="AR307" s="511"/>
      <c r="AS307" s="511"/>
      <c r="AT307" s="511"/>
      <c r="AU307" s="511"/>
      <c r="AV307" s="511"/>
      <c r="AW307" s="511"/>
      <c r="AX307" s="511"/>
      <c r="AY307" s="511"/>
      <c r="AZ307" s="511"/>
      <c r="BA307" s="511"/>
    </row>
    <row r="308" spans="1:53" customFormat="1">
      <c r="A308" s="511"/>
      <c r="B308" s="511"/>
      <c r="C308" s="511"/>
      <c r="D308" s="511"/>
      <c r="E308" s="511"/>
      <c r="F308" s="511"/>
      <c r="G308" s="511"/>
      <c r="H308" s="517"/>
      <c r="I308" s="511"/>
      <c r="J308" s="511"/>
      <c r="K308" s="511"/>
      <c r="L308" s="511"/>
      <c r="M308" s="511"/>
      <c r="N308" s="511"/>
      <c r="O308" s="511"/>
      <c r="P308" s="511"/>
      <c r="Q308" s="511"/>
      <c r="R308" s="511"/>
      <c r="S308" s="511"/>
      <c r="T308" s="511"/>
      <c r="U308" s="511"/>
      <c r="V308" s="511"/>
      <c r="W308" s="511"/>
      <c r="X308" s="511"/>
      <c r="Y308" s="511"/>
      <c r="Z308" s="511"/>
      <c r="AA308" s="511"/>
      <c r="AB308" s="511"/>
      <c r="AC308" s="511"/>
      <c r="AD308" s="511"/>
      <c r="AE308" s="511"/>
      <c r="AF308" s="511"/>
      <c r="AG308" s="511"/>
      <c r="AH308" s="511"/>
      <c r="AI308" s="511"/>
      <c r="AJ308" s="511"/>
      <c r="AK308" s="511"/>
      <c r="AL308" s="511"/>
      <c r="AM308" s="511"/>
      <c r="AN308" s="511"/>
      <c r="AO308" s="511"/>
      <c r="AP308" s="511"/>
      <c r="AQ308" s="511"/>
      <c r="AR308" s="511"/>
      <c r="AS308" s="511"/>
      <c r="AT308" s="511"/>
      <c r="AU308" s="511"/>
      <c r="AV308" s="511"/>
      <c r="AW308" s="511"/>
      <c r="AX308" s="511"/>
      <c r="AY308" s="511"/>
      <c r="AZ308" s="511"/>
      <c r="BA308" s="511"/>
    </row>
    <row r="309" spans="1:53" customFormat="1">
      <c r="A309" s="511"/>
      <c r="B309" s="511"/>
      <c r="C309" s="511"/>
      <c r="D309" s="511"/>
      <c r="E309" s="511"/>
      <c r="F309" s="511"/>
      <c r="G309" s="511"/>
      <c r="H309" s="517"/>
      <c r="I309" s="511"/>
      <c r="J309" s="511"/>
      <c r="K309" s="511"/>
      <c r="L309" s="511"/>
      <c r="M309" s="511"/>
      <c r="N309" s="511"/>
      <c r="O309" s="511"/>
      <c r="P309" s="511"/>
      <c r="Q309" s="511"/>
      <c r="R309" s="511"/>
      <c r="S309" s="511"/>
      <c r="T309" s="511"/>
      <c r="U309" s="511"/>
      <c r="V309" s="511"/>
      <c r="W309" s="511"/>
      <c r="X309" s="511"/>
      <c r="Y309" s="511"/>
      <c r="Z309" s="511"/>
      <c r="AA309" s="511"/>
      <c r="AB309" s="511"/>
      <c r="AC309" s="511"/>
      <c r="AD309" s="511"/>
      <c r="AE309" s="511"/>
      <c r="AF309" s="511"/>
      <c r="AG309" s="511"/>
      <c r="AH309" s="511"/>
      <c r="AI309" s="511"/>
      <c r="AJ309" s="511"/>
      <c r="AK309" s="511"/>
      <c r="AL309" s="511"/>
      <c r="AM309" s="511"/>
      <c r="AN309" s="511"/>
      <c r="AO309" s="511"/>
      <c r="AP309" s="511"/>
      <c r="AQ309" s="511"/>
      <c r="AR309" s="511"/>
      <c r="AS309" s="511"/>
      <c r="AT309" s="511"/>
      <c r="AU309" s="511"/>
      <c r="AV309" s="511"/>
      <c r="AW309" s="511"/>
      <c r="AX309" s="511"/>
      <c r="AY309" s="511"/>
      <c r="AZ309" s="511"/>
      <c r="BA309" s="511"/>
    </row>
    <row r="310" spans="1:53" customFormat="1">
      <c r="A310" s="511"/>
      <c r="B310" s="511"/>
      <c r="C310" s="511"/>
      <c r="D310" s="511"/>
      <c r="E310" s="511"/>
      <c r="F310" s="511"/>
      <c r="G310" s="511"/>
      <c r="H310" s="517"/>
      <c r="I310" s="511"/>
      <c r="J310" s="511"/>
      <c r="K310" s="511"/>
      <c r="L310" s="511"/>
      <c r="M310" s="511"/>
      <c r="N310" s="511"/>
      <c r="O310" s="511"/>
      <c r="P310" s="511"/>
      <c r="Q310" s="511"/>
      <c r="R310" s="511"/>
      <c r="S310" s="511"/>
      <c r="T310" s="511"/>
      <c r="U310" s="511"/>
      <c r="V310" s="511"/>
      <c r="W310" s="511"/>
      <c r="X310" s="511"/>
      <c r="Y310" s="511"/>
      <c r="Z310" s="511"/>
      <c r="AA310" s="511"/>
      <c r="AB310" s="511"/>
      <c r="AC310" s="511"/>
      <c r="AD310" s="511"/>
      <c r="AE310" s="511"/>
      <c r="AF310" s="511"/>
      <c r="AG310" s="511"/>
      <c r="AH310" s="511"/>
      <c r="AI310" s="511"/>
      <c r="AJ310" s="511"/>
      <c r="AK310" s="511"/>
      <c r="AL310" s="511"/>
      <c r="AM310" s="511"/>
      <c r="AN310" s="511"/>
      <c r="AO310" s="511"/>
      <c r="AP310" s="511"/>
      <c r="AQ310" s="511"/>
      <c r="AR310" s="511"/>
      <c r="AS310" s="511"/>
      <c r="AT310" s="511"/>
      <c r="AU310" s="511"/>
      <c r="AV310" s="511"/>
      <c r="AW310" s="511"/>
      <c r="AX310" s="511"/>
      <c r="AY310" s="511"/>
      <c r="AZ310" s="511"/>
      <c r="BA310" s="511"/>
    </row>
    <row r="311" spans="1:53" customFormat="1">
      <c r="A311" s="511"/>
      <c r="B311" s="511"/>
      <c r="C311" s="511"/>
      <c r="D311" s="511"/>
      <c r="E311" s="511"/>
      <c r="F311" s="511"/>
      <c r="G311" s="511"/>
      <c r="H311" s="517"/>
      <c r="I311" s="511"/>
      <c r="J311" s="511"/>
      <c r="K311" s="511"/>
      <c r="L311" s="511"/>
      <c r="M311" s="511"/>
      <c r="N311" s="511"/>
      <c r="O311" s="511"/>
      <c r="P311" s="511"/>
      <c r="Q311" s="511"/>
      <c r="R311" s="511"/>
      <c r="S311" s="511"/>
      <c r="T311" s="511"/>
      <c r="U311" s="511"/>
      <c r="V311" s="511"/>
      <c r="W311" s="511"/>
      <c r="X311" s="511"/>
      <c r="Y311" s="511"/>
      <c r="Z311" s="511"/>
      <c r="AA311" s="511"/>
      <c r="AB311" s="511"/>
      <c r="AC311" s="511"/>
      <c r="AD311" s="511"/>
      <c r="AE311" s="511"/>
      <c r="AF311" s="511"/>
      <c r="AG311" s="511"/>
      <c r="AH311" s="511"/>
      <c r="AI311" s="511"/>
      <c r="AJ311" s="511"/>
      <c r="AK311" s="511"/>
      <c r="AL311" s="511"/>
      <c r="AM311" s="511"/>
      <c r="AN311" s="511"/>
      <c r="AO311" s="511"/>
      <c r="AP311" s="511"/>
      <c r="AQ311" s="511"/>
      <c r="AR311" s="511"/>
      <c r="AS311" s="511"/>
      <c r="AT311" s="511"/>
      <c r="AU311" s="511"/>
      <c r="AV311" s="511"/>
      <c r="AW311" s="511"/>
      <c r="AX311" s="511"/>
      <c r="AY311" s="511"/>
      <c r="AZ311" s="511"/>
      <c r="BA311" s="511"/>
    </row>
    <row r="312" spans="1:53" customFormat="1">
      <c r="A312" s="511"/>
      <c r="B312" s="511"/>
      <c r="C312" s="511"/>
      <c r="D312" s="511"/>
      <c r="E312" s="511"/>
      <c r="F312" s="511"/>
      <c r="G312" s="511"/>
      <c r="H312" s="517"/>
      <c r="I312" s="511"/>
      <c r="J312" s="511"/>
      <c r="K312" s="511"/>
      <c r="L312" s="511"/>
      <c r="M312" s="511"/>
      <c r="N312" s="511"/>
      <c r="O312" s="511"/>
      <c r="P312" s="511"/>
      <c r="Q312" s="511"/>
      <c r="R312" s="511"/>
      <c r="S312" s="511"/>
      <c r="T312" s="511"/>
      <c r="U312" s="511"/>
      <c r="V312" s="511"/>
      <c r="W312" s="511"/>
      <c r="X312" s="511"/>
      <c r="Y312" s="511"/>
      <c r="Z312" s="511"/>
      <c r="AA312" s="511"/>
      <c r="AB312" s="511"/>
      <c r="AC312" s="511"/>
      <c r="AD312" s="511"/>
      <c r="AE312" s="511"/>
      <c r="AF312" s="511"/>
      <c r="AG312" s="511"/>
      <c r="AH312" s="511"/>
      <c r="AI312" s="511"/>
      <c r="AJ312" s="511"/>
      <c r="AK312" s="511"/>
      <c r="AL312" s="511"/>
      <c r="AM312" s="511"/>
      <c r="AN312" s="511"/>
      <c r="AO312" s="511"/>
      <c r="AP312" s="511"/>
      <c r="AQ312" s="511"/>
      <c r="AR312" s="511"/>
      <c r="AS312" s="511"/>
      <c r="AT312" s="511"/>
      <c r="AU312" s="511"/>
      <c r="AV312" s="511"/>
      <c r="AW312" s="511"/>
      <c r="AX312" s="511"/>
      <c r="AY312" s="511"/>
      <c r="AZ312" s="511"/>
      <c r="BA312" s="511"/>
    </row>
    <row r="313" spans="1:53" customFormat="1">
      <c r="A313" s="511"/>
      <c r="B313" s="511"/>
      <c r="C313" s="511"/>
      <c r="D313" s="511"/>
      <c r="E313" s="511"/>
      <c r="F313" s="511"/>
      <c r="G313" s="511"/>
      <c r="H313" s="517"/>
      <c r="I313" s="511"/>
      <c r="J313" s="511"/>
      <c r="K313" s="511"/>
      <c r="L313" s="511"/>
      <c r="M313" s="511"/>
      <c r="N313" s="511"/>
      <c r="O313" s="511"/>
      <c r="P313" s="511"/>
      <c r="Q313" s="511"/>
      <c r="R313" s="511"/>
      <c r="S313" s="511"/>
      <c r="T313" s="511"/>
      <c r="U313" s="511"/>
      <c r="V313" s="511"/>
      <c r="W313" s="511"/>
      <c r="X313" s="511"/>
      <c r="Y313" s="511"/>
      <c r="Z313" s="511"/>
      <c r="AA313" s="511"/>
      <c r="AB313" s="511"/>
      <c r="AC313" s="511"/>
      <c r="AD313" s="511"/>
      <c r="AE313" s="511"/>
      <c r="AF313" s="511"/>
      <c r="AG313" s="511"/>
      <c r="AH313" s="511"/>
      <c r="AI313" s="511"/>
      <c r="AJ313" s="511"/>
      <c r="AK313" s="511"/>
      <c r="AL313" s="511"/>
      <c r="AM313" s="511"/>
      <c r="AN313" s="511"/>
      <c r="AO313" s="511"/>
      <c r="AP313" s="511"/>
      <c r="AQ313" s="511"/>
      <c r="AR313" s="511"/>
      <c r="AS313" s="511"/>
      <c r="AT313" s="511"/>
      <c r="AU313" s="511"/>
      <c r="AV313" s="511"/>
      <c r="AW313" s="511"/>
      <c r="AX313" s="511"/>
      <c r="AY313" s="511"/>
      <c r="AZ313" s="511"/>
      <c r="BA313" s="511"/>
    </row>
    <row r="314" spans="1:53" customFormat="1">
      <c r="A314" s="511"/>
      <c r="B314" s="511"/>
      <c r="C314" s="511"/>
      <c r="D314" s="511"/>
      <c r="E314" s="511"/>
      <c r="F314" s="511"/>
      <c r="G314" s="511"/>
      <c r="H314" s="517"/>
      <c r="I314" s="511"/>
      <c r="J314" s="511"/>
      <c r="K314" s="511"/>
      <c r="L314" s="511"/>
      <c r="M314" s="511"/>
      <c r="N314" s="511"/>
      <c r="O314" s="511"/>
      <c r="P314" s="511"/>
      <c r="Q314" s="511"/>
      <c r="R314" s="511"/>
      <c r="S314" s="511"/>
      <c r="T314" s="511"/>
      <c r="U314" s="511"/>
      <c r="V314" s="511"/>
      <c r="W314" s="511"/>
      <c r="X314" s="511"/>
      <c r="Y314" s="511"/>
      <c r="Z314" s="511"/>
      <c r="AA314" s="511"/>
      <c r="AB314" s="511"/>
      <c r="AC314" s="511"/>
      <c r="AD314" s="511"/>
      <c r="AE314" s="511"/>
      <c r="AF314" s="511"/>
      <c r="AG314" s="511"/>
      <c r="AH314" s="511"/>
      <c r="AI314" s="511"/>
      <c r="AJ314" s="511"/>
      <c r="AK314" s="511"/>
      <c r="AL314" s="511"/>
      <c r="AM314" s="511"/>
      <c r="AN314" s="511"/>
      <c r="AO314" s="511"/>
      <c r="AP314" s="511"/>
      <c r="AQ314" s="511"/>
      <c r="AR314" s="511"/>
      <c r="AS314" s="511"/>
      <c r="AT314" s="511"/>
      <c r="AU314" s="511"/>
      <c r="AV314" s="511"/>
      <c r="AW314" s="511"/>
      <c r="AX314" s="511"/>
      <c r="AY314" s="511"/>
      <c r="AZ314" s="511"/>
      <c r="BA314" s="511"/>
    </row>
    <row r="315" spans="1:53" customFormat="1">
      <c r="A315" s="511"/>
      <c r="B315" s="511"/>
      <c r="C315" s="511"/>
      <c r="D315" s="511"/>
      <c r="E315" s="511"/>
      <c r="F315" s="511"/>
      <c r="G315" s="511"/>
      <c r="H315" s="517"/>
      <c r="I315" s="511"/>
      <c r="J315" s="511"/>
      <c r="K315" s="511"/>
      <c r="L315" s="511"/>
      <c r="M315" s="511"/>
      <c r="N315" s="511"/>
      <c r="O315" s="511"/>
      <c r="P315" s="511"/>
      <c r="Q315" s="511"/>
      <c r="R315" s="511"/>
      <c r="S315" s="511"/>
      <c r="T315" s="511"/>
      <c r="U315" s="511"/>
      <c r="V315" s="511"/>
      <c r="W315" s="511"/>
      <c r="X315" s="511"/>
      <c r="Y315" s="511"/>
      <c r="Z315" s="511"/>
      <c r="AA315" s="511"/>
      <c r="AB315" s="511"/>
      <c r="AC315" s="511"/>
      <c r="AD315" s="511"/>
      <c r="AE315" s="511"/>
      <c r="AF315" s="511"/>
      <c r="AG315" s="511"/>
      <c r="AH315" s="511"/>
      <c r="AI315" s="511"/>
      <c r="AJ315" s="511"/>
      <c r="AK315" s="511"/>
      <c r="AL315" s="511"/>
      <c r="AM315" s="511"/>
      <c r="AN315" s="511"/>
      <c r="AO315" s="511"/>
      <c r="AP315" s="511"/>
      <c r="AQ315" s="511"/>
      <c r="AR315" s="511"/>
      <c r="AS315" s="511"/>
      <c r="AT315" s="511"/>
      <c r="AU315" s="511"/>
      <c r="AV315" s="511"/>
      <c r="AW315" s="511"/>
      <c r="AX315" s="511"/>
      <c r="AY315" s="511"/>
      <c r="AZ315" s="511"/>
      <c r="BA315" s="511"/>
    </row>
    <row r="316" spans="1:53" customFormat="1">
      <c r="A316" s="511"/>
      <c r="B316" s="511"/>
      <c r="C316" s="511"/>
      <c r="D316" s="511"/>
      <c r="E316" s="511"/>
      <c r="F316" s="511"/>
      <c r="G316" s="511"/>
      <c r="H316" s="517"/>
      <c r="I316" s="511"/>
      <c r="J316" s="511"/>
      <c r="K316" s="511"/>
      <c r="L316" s="511"/>
      <c r="M316" s="511"/>
      <c r="N316" s="511"/>
      <c r="O316" s="511"/>
      <c r="P316" s="511"/>
      <c r="Q316" s="511"/>
      <c r="R316" s="511"/>
      <c r="S316" s="511"/>
      <c r="T316" s="511"/>
      <c r="U316" s="511"/>
      <c r="V316" s="511"/>
      <c r="W316" s="511"/>
      <c r="X316" s="511"/>
      <c r="Y316" s="511"/>
      <c r="Z316" s="511"/>
      <c r="AA316" s="511"/>
      <c r="AB316" s="511"/>
      <c r="AC316" s="511"/>
      <c r="AD316" s="511"/>
      <c r="AE316" s="511"/>
      <c r="AF316" s="511"/>
      <c r="AG316" s="511"/>
      <c r="AH316" s="511"/>
      <c r="AI316" s="511"/>
      <c r="AJ316" s="511"/>
      <c r="AK316" s="511"/>
      <c r="AL316" s="511"/>
      <c r="AM316" s="511"/>
      <c r="AN316" s="511"/>
      <c r="AO316" s="511"/>
      <c r="AP316" s="511"/>
      <c r="AQ316" s="511"/>
      <c r="AR316" s="511"/>
      <c r="AS316" s="511"/>
      <c r="AT316" s="511"/>
      <c r="AU316" s="511"/>
      <c r="AV316" s="511"/>
      <c r="AW316" s="511"/>
      <c r="AX316" s="511"/>
      <c r="AY316" s="511"/>
      <c r="AZ316" s="511"/>
      <c r="BA316" s="511"/>
    </row>
    <row r="317" spans="1:53" customFormat="1">
      <c r="A317" s="511"/>
      <c r="B317" s="511"/>
      <c r="C317" s="511"/>
      <c r="D317" s="511"/>
      <c r="E317" s="511"/>
      <c r="F317" s="511"/>
      <c r="G317" s="511"/>
      <c r="H317" s="517"/>
      <c r="I317" s="511"/>
      <c r="J317" s="511"/>
      <c r="K317" s="511"/>
      <c r="L317" s="511"/>
      <c r="M317" s="511"/>
      <c r="N317" s="511"/>
      <c r="O317" s="511"/>
      <c r="P317" s="511"/>
      <c r="Q317" s="511"/>
      <c r="R317" s="511"/>
      <c r="S317" s="511"/>
      <c r="T317" s="511"/>
      <c r="U317" s="511"/>
      <c r="V317" s="511"/>
      <c r="W317" s="511"/>
      <c r="X317" s="511"/>
      <c r="Y317" s="511"/>
      <c r="Z317" s="511"/>
      <c r="AA317" s="511"/>
      <c r="AB317" s="511"/>
      <c r="AC317" s="511"/>
      <c r="AD317" s="511"/>
      <c r="AE317" s="511"/>
      <c r="AF317" s="511"/>
      <c r="AG317" s="511"/>
      <c r="AH317" s="511"/>
      <c r="AI317" s="511"/>
      <c r="AJ317" s="511"/>
      <c r="AK317" s="511"/>
      <c r="AL317" s="511"/>
      <c r="AM317" s="511"/>
      <c r="AN317" s="511"/>
      <c r="AO317" s="511"/>
      <c r="AP317" s="511"/>
      <c r="AQ317" s="511"/>
      <c r="AR317" s="511"/>
      <c r="AS317" s="511"/>
      <c r="AT317" s="511"/>
      <c r="AU317" s="511"/>
      <c r="AV317" s="511"/>
      <c r="AW317" s="511"/>
      <c r="AX317" s="511"/>
      <c r="AY317" s="511"/>
      <c r="AZ317" s="511"/>
      <c r="BA317" s="511"/>
    </row>
    <row r="318" spans="1:53" customFormat="1">
      <c r="A318" s="511"/>
      <c r="B318" s="511"/>
      <c r="C318" s="511"/>
      <c r="D318" s="511"/>
      <c r="E318" s="511"/>
      <c r="F318" s="511"/>
      <c r="G318" s="511"/>
      <c r="H318" s="517"/>
      <c r="I318" s="511"/>
      <c r="J318" s="511"/>
      <c r="K318" s="511"/>
      <c r="L318" s="511"/>
      <c r="M318" s="511"/>
      <c r="N318" s="511"/>
      <c r="O318" s="511"/>
      <c r="P318" s="511"/>
      <c r="Q318" s="511"/>
      <c r="R318" s="511"/>
      <c r="S318" s="511"/>
      <c r="T318" s="511"/>
      <c r="U318" s="511"/>
      <c r="V318" s="511"/>
      <c r="W318" s="511"/>
      <c r="X318" s="511"/>
      <c r="Y318" s="511"/>
      <c r="Z318" s="511"/>
      <c r="AA318" s="511"/>
      <c r="AB318" s="511"/>
      <c r="AC318" s="511"/>
      <c r="AD318" s="511"/>
      <c r="AE318" s="511"/>
      <c r="AF318" s="511"/>
      <c r="AG318" s="511"/>
      <c r="AH318" s="511"/>
      <c r="AI318" s="511"/>
      <c r="AJ318" s="511"/>
      <c r="AK318" s="511"/>
      <c r="AL318" s="511"/>
      <c r="AM318" s="511"/>
      <c r="AN318" s="511"/>
      <c r="AO318" s="511"/>
      <c r="AP318" s="511"/>
      <c r="AQ318" s="511"/>
      <c r="AR318" s="511"/>
      <c r="AS318" s="511"/>
      <c r="AT318" s="511"/>
      <c r="AU318" s="511"/>
      <c r="AV318" s="511"/>
      <c r="AW318" s="511"/>
      <c r="AX318" s="511"/>
      <c r="AY318" s="511"/>
      <c r="AZ318" s="511"/>
      <c r="BA318" s="511"/>
    </row>
    <row r="319" spans="1:53" customFormat="1">
      <c r="A319" s="511"/>
      <c r="B319" s="511"/>
      <c r="C319" s="511"/>
      <c r="D319" s="511"/>
      <c r="E319" s="511"/>
      <c r="F319" s="511"/>
      <c r="G319" s="511"/>
      <c r="H319" s="517"/>
      <c r="I319" s="511"/>
      <c r="J319" s="511"/>
      <c r="K319" s="511"/>
      <c r="L319" s="511"/>
      <c r="M319" s="511"/>
      <c r="N319" s="511"/>
      <c r="O319" s="511"/>
      <c r="P319" s="511"/>
      <c r="Q319" s="511"/>
      <c r="R319" s="511"/>
      <c r="S319" s="511"/>
      <c r="T319" s="511"/>
      <c r="U319" s="511"/>
      <c r="V319" s="511"/>
      <c r="W319" s="511"/>
      <c r="X319" s="511"/>
      <c r="Y319" s="511"/>
      <c r="Z319" s="511"/>
      <c r="AA319" s="511"/>
      <c r="AB319" s="511"/>
      <c r="AC319" s="511"/>
      <c r="AD319" s="511"/>
      <c r="AE319" s="511"/>
      <c r="AF319" s="511"/>
      <c r="AG319" s="511"/>
      <c r="AH319" s="511"/>
      <c r="AI319" s="511"/>
      <c r="AJ319" s="511"/>
      <c r="AK319" s="511"/>
      <c r="AL319" s="511"/>
      <c r="AM319" s="511"/>
      <c r="AN319" s="511"/>
      <c r="AO319" s="511"/>
      <c r="AP319" s="511"/>
      <c r="AQ319" s="511"/>
      <c r="AR319" s="511"/>
      <c r="AS319" s="511"/>
      <c r="AT319" s="511"/>
      <c r="AU319" s="511"/>
      <c r="AV319" s="511"/>
      <c r="AW319" s="511"/>
      <c r="AX319" s="511"/>
      <c r="AY319" s="511"/>
      <c r="AZ319" s="511"/>
      <c r="BA319" s="511"/>
    </row>
    <row r="320" spans="1:53" customFormat="1">
      <c r="A320" s="511"/>
      <c r="B320" s="511"/>
      <c r="C320" s="511"/>
      <c r="D320" s="511"/>
      <c r="E320" s="511"/>
      <c r="F320" s="511"/>
      <c r="G320" s="511"/>
      <c r="H320" s="517"/>
      <c r="I320" s="511"/>
      <c r="J320" s="511"/>
      <c r="K320" s="511"/>
      <c r="L320" s="511"/>
      <c r="M320" s="511"/>
      <c r="N320" s="511"/>
      <c r="O320" s="511"/>
      <c r="P320" s="511"/>
      <c r="Q320" s="511"/>
      <c r="R320" s="511"/>
      <c r="S320" s="511"/>
      <c r="T320" s="511"/>
      <c r="U320" s="511"/>
      <c r="V320" s="511"/>
      <c r="W320" s="511"/>
      <c r="X320" s="511"/>
      <c r="Y320" s="511"/>
      <c r="Z320" s="511"/>
      <c r="AA320" s="511"/>
      <c r="AB320" s="511"/>
      <c r="AC320" s="511"/>
      <c r="AD320" s="511"/>
      <c r="AE320" s="511"/>
      <c r="AF320" s="511"/>
      <c r="AG320" s="511"/>
      <c r="AH320" s="511"/>
      <c r="AI320" s="511"/>
      <c r="AJ320" s="511"/>
      <c r="AK320" s="511"/>
      <c r="AL320" s="511"/>
      <c r="AM320" s="511"/>
      <c r="AN320" s="511"/>
      <c r="AO320" s="511"/>
      <c r="AP320" s="511"/>
      <c r="AQ320" s="511"/>
      <c r="AR320" s="511"/>
      <c r="AS320" s="511"/>
      <c r="AT320" s="511"/>
      <c r="AU320" s="511"/>
      <c r="AV320" s="511"/>
      <c r="AW320" s="511"/>
      <c r="AX320" s="511"/>
      <c r="AY320" s="511"/>
      <c r="AZ320" s="511"/>
      <c r="BA320" s="511"/>
    </row>
    <row r="321" spans="1:53" customFormat="1">
      <c r="A321" s="511"/>
      <c r="B321" s="511"/>
      <c r="C321" s="511"/>
      <c r="D321" s="511"/>
      <c r="E321" s="511"/>
      <c r="F321" s="511"/>
      <c r="G321" s="511"/>
      <c r="H321" s="517"/>
      <c r="I321" s="511"/>
      <c r="J321" s="511"/>
      <c r="K321" s="511"/>
      <c r="L321" s="511"/>
      <c r="M321" s="511"/>
      <c r="N321" s="511"/>
      <c r="O321" s="511"/>
      <c r="P321" s="511"/>
      <c r="Q321" s="511"/>
      <c r="R321" s="511"/>
      <c r="S321" s="511"/>
      <c r="T321" s="511"/>
      <c r="U321" s="511"/>
      <c r="V321" s="511"/>
      <c r="W321" s="511"/>
      <c r="X321" s="511"/>
      <c r="Y321" s="511"/>
      <c r="Z321" s="511"/>
      <c r="AA321" s="511"/>
      <c r="AB321" s="511"/>
      <c r="AC321" s="511"/>
      <c r="AD321" s="511"/>
      <c r="AE321" s="511"/>
      <c r="AF321" s="511"/>
      <c r="AG321" s="511"/>
      <c r="AH321" s="511"/>
      <c r="AI321" s="511"/>
      <c r="AJ321" s="511"/>
      <c r="AK321" s="511"/>
      <c r="AL321" s="511"/>
      <c r="AM321" s="511"/>
      <c r="AN321" s="511"/>
      <c r="AO321" s="511"/>
      <c r="AP321" s="511"/>
      <c r="AQ321" s="511"/>
      <c r="AR321" s="511"/>
      <c r="AS321" s="511"/>
      <c r="AT321" s="511"/>
      <c r="AU321" s="511"/>
      <c r="AV321" s="511"/>
      <c r="AW321" s="511"/>
      <c r="AX321" s="511"/>
      <c r="AY321" s="511"/>
      <c r="AZ321" s="511"/>
      <c r="BA321" s="511"/>
    </row>
    <row r="322" spans="1:53" customFormat="1">
      <c r="A322" s="511"/>
      <c r="B322" s="511"/>
      <c r="C322" s="511"/>
      <c r="D322" s="511"/>
      <c r="E322" s="511"/>
      <c r="F322" s="511"/>
      <c r="G322" s="511"/>
      <c r="H322" s="517"/>
      <c r="I322" s="511"/>
      <c r="J322" s="511"/>
      <c r="K322" s="511"/>
      <c r="L322" s="511"/>
      <c r="M322" s="511"/>
      <c r="N322" s="511"/>
      <c r="O322" s="511"/>
      <c r="P322" s="511"/>
      <c r="Q322" s="511"/>
      <c r="R322" s="511"/>
      <c r="S322" s="511"/>
      <c r="T322" s="511"/>
      <c r="U322" s="511"/>
      <c r="V322" s="511"/>
      <c r="W322" s="511"/>
      <c r="X322" s="511"/>
      <c r="Y322" s="511"/>
      <c r="Z322" s="511"/>
      <c r="AA322" s="511"/>
      <c r="AB322" s="511"/>
      <c r="AC322" s="511"/>
      <c r="AD322" s="511"/>
      <c r="AE322" s="511"/>
      <c r="AF322" s="511"/>
      <c r="AG322" s="511"/>
      <c r="AH322" s="511"/>
      <c r="AI322" s="511"/>
      <c r="AJ322" s="511"/>
      <c r="AK322" s="511"/>
      <c r="AL322" s="511"/>
      <c r="AM322" s="511"/>
      <c r="AN322" s="511"/>
      <c r="AO322" s="511"/>
      <c r="AP322" s="511"/>
      <c r="AQ322" s="511"/>
      <c r="AR322" s="511"/>
      <c r="AS322" s="511"/>
      <c r="AT322" s="511"/>
      <c r="AU322" s="511"/>
      <c r="AV322" s="511"/>
      <c r="AW322" s="511"/>
      <c r="AX322" s="511"/>
      <c r="AY322" s="511"/>
      <c r="AZ322" s="511"/>
      <c r="BA322" s="511"/>
    </row>
    <row r="323" spans="1:53" customFormat="1">
      <c r="A323" s="511"/>
      <c r="B323" s="511"/>
      <c r="C323" s="511"/>
      <c r="D323" s="511"/>
      <c r="E323" s="511"/>
      <c r="F323" s="511"/>
      <c r="G323" s="511"/>
      <c r="H323" s="517"/>
      <c r="I323" s="511"/>
      <c r="J323" s="511"/>
      <c r="K323" s="511"/>
      <c r="L323" s="511"/>
      <c r="M323" s="511"/>
      <c r="N323" s="511"/>
      <c r="O323" s="511"/>
      <c r="P323" s="511"/>
      <c r="Q323" s="511"/>
      <c r="R323" s="511"/>
      <c r="S323" s="511"/>
      <c r="T323" s="511"/>
      <c r="U323" s="511"/>
      <c r="V323" s="511"/>
      <c r="W323" s="511"/>
      <c r="X323" s="511"/>
      <c r="Y323" s="511"/>
      <c r="Z323" s="511"/>
      <c r="AA323" s="511"/>
      <c r="AB323" s="511"/>
      <c r="AC323" s="511"/>
      <c r="AD323" s="511"/>
      <c r="AE323" s="511"/>
      <c r="AF323" s="511"/>
      <c r="AG323" s="511"/>
      <c r="AH323" s="511"/>
      <c r="AI323" s="511"/>
      <c r="AJ323" s="511"/>
      <c r="AK323" s="511"/>
      <c r="AL323" s="511"/>
      <c r="AM323" s="511"/>
      <c r="AN323" s="511"/>
      <c r="AO323" s="511"/>
      <c r="AP323" s="511"/>
      <c r="AQ323" s="511"/>
      <c r="AR323" s="511"/>
      <c r="AS323" s="511"/>
      <c r="AT323" s="511"/>
      <c r="AU323" s="511"/>
      <c r="AV323" s="511"/>
      <c r="AW323" s="511"/>
      <c r="AX323" s="511"/>
      <c r="AY323" s="511"/>
      <c r="AZ323" s="511"/>
      <c r="BA323" s="511"/>
    </row>
    <row r="324" spans="1:53" customFormat="1">
      <c r="A324" s="511"/>
      <c r="B324" s="511"/>
      <c r="C324" s="511"/>
      <c r="D324" s="511"/>
      <c r="E324" s="511"/>
      <c r="F324" s="511"/>
      <c r="G324" s="511"/>
      <c r="H324" s="517"/>
      <c r="I324" s="511"/>
      <c r="J324" s="511"/>
      <c r="K324" s="511"/>
      <c r="L324" s="511"/>
      <c r="M324" s="511"/>
      <c r="N324" s="511"/>
      <c r="O324" s="511"/>
      <c r="P324" s="511"/>
      <c r="Q324" s="511"/>
      <c r="R324" s="511"/>
      <c r="S324" s="511"/>
      <c r="T324" s="511"/>
      <c r="U324" s="511"/>
      <c r="V324" s="511"/>
      <c r="W324" s="511"/>
      <c r="X324" s="511"/>
      <c r="Y324" s="511"/>
      <c r="Z324" s="511"/>
      <c r="AA324" s="511"/>
      <c r="AB324" s="511"/>
      <c r="AC324" s="511"/>
      <c r="AD324" s="511"/>
      <c r="AE324" s="511"/>
      <c r="AF324" s="511"/>
      <c r="AG324" s="511"/>
      <c r="AH324" s="511"/>
      <c r="AI324" s="511"/>
      <c r="AJ324" s="511"/>
      <c r="AK324" s="511"/>
      <c r="AL324" s="511"/>
      <c r="AM324" s="511"/>
      <c r="AN324" s="511"/>
      <c r="AO324" s="511"/>
      <c r="AP324" s="511"/>
      <c r="AQ324" s="511"/>
      <c r="AR324" s="511"/>
      <c r="AS324" s="511"/>
      <c r="AT324" s="511"/>
      <c r="AU324" s="511"/>
      <c r="AV324" s="511"/>
      <c r="AW324" s="511"/>
      <c r="AX324" s="511"/>
      <c r="AY324" s="511"/>
      <c r="AZ324" s="511"/>
      <c r="BA324" s="511"/>
    </row>
    <row r="325" spans="1:53" customFormat="1">
      <c r="A325" s="511"/>
      <c r="B325" s="511"/>
      <c r="C325" s="511"/>
      <c r="D325" s="511"/>
      <c r="E325" s="511"/>
      <c r="F325" s="511"/>
      <c r="G325" s="511"/>
      <c r="H325" s="517"/>
      <c r="I325" s="511"/>
      <c r="J325" s="511"/>
      <c r="K325" s="511"/>
      <c r="L325" s="511"/>
      <c r="M325" s="511"/>
      <c r="N325" s="511"/>
      <c r="O325" s="511"/>
      <c r="P325" s="511"/>
      <c r="Q325" s="511"/>
      <c r="R325" s="511"/>
      <c r="S325" s="511"/>
      <c r="T325" s="511"/>
      <c r="U325" s="511"/>
      <c r="V325" s="511"/>
      <c r="W325" s="511"/>
      <c r="X325" s="511"/>
      <c r="Y325" s="511"/>
      <c r="Z325" s="511"/>
      <c r="AA325" s="511"/>
      <c r="AB325" s="511"/>
      <c r="AC325" s="511"/>
      <c r="AD325" s="511"/>
      <c r="AE325" s="511"/>
      <c r="AF325" s="511"/>
      <c r="AG325" s="511"/>
      <c r="AH325" s="511"/>
      <c r="AI325" s="511"/>
      <c r="AJ325" s="511"/>
      <c r="AK325" s="511"/>
      <c r="AL325" s="511"/>
      <c r="AM325" s="511"/>
      <c r="AN325" s="511"/>
      <c r="AO325" s="511"/>
      <c r="AP325" s="511"/>
      <c r="AQ325" s="511"/>
      <c r="AR325" s="511"/>
      <c r="AS325" s="511"/>
      <c r="AT325" s="511"/>
      <c r="AU325" s="511"/>
      <c r="AV325" s="511"/>
      <c r="AW325" s="511"/>
      <c r="AX325" s="511"/>
      <c r="AY325" s="511"/>
      <c r="AZ325" s="511"/>
      <c r="BA325" s="511"/>
    </row>
    <row r="326" spans="1:53" customFormat="1">
      <c r="A326" s="511"/>
      <c r="B326" s="511"/>
      <c r="C326" s="511"/>
      <c r="D326" s="511"/>
      <c r="E326" s="511"/>
      <c r="F326" s="511"/>
      <c r="G326" s="511"/>
      <c r="H326" s="517"/>
      <c r="I326" s="511"/>
      <c r="J326" s="511"/>
      <c r="K326" s="511"/>
      <c r="L326" s="511"/>
      <c r="M326" s="511"/>
      <c r="N326" s="511"/>
      <c r="O326" s="511"/>
      <c r="P326" s="511"/>
      <c r="Q326" s="511"/>
      <c r="R326" s="511"/>
      <c r="S326" s="511"/>
      <c r="T326" s="511"/>
      <c r="U326" s="511"/>
      <c r="V326" s="511"/>
      <c r="W326" s="511"/>
      <c r="X326" s="511"/>
      <c r="Y326" s="511"/>
      <c r="Z326" s="511"/>
      <c r="AA326" s="511"/>
      <c r="AB326" s="511"/>
      <c r="AC326" s="511"/>
      <c r="AD326" s="511"/>
      <c r="AE326" s="511"/>
      <c r="AF326" s="511"/>
      <c r="AG326" s="511"/>
      <c r="AH326" s="511"/>
      <c r="AI326" s="511"/>
      <c r="AJ326" s="511"/>
      <c r="AK326" s="511"/>
      <c r="AL326" s="511"/>
      <c r="AM326" s="511"/>
      <c r="AN326" s="511"/>
      <c r="AO326" s="511"/>
      <c r="AP326" s="511"/>
      <c r="AQ326" s="511"/>
      <c r="AR326" s="511"/>
      <c r="AS326" s="511"/>
      <c r="AT326" s="511"/>
      <c r="AU326" s="511"/>
      <c r="AV326" s="511"/>
      <c r="AW326" s="511"/>
      <c r="AX326" s="511"/>
      <c r="AY326" s="511"/>
      <c r="AZ326" s="511"/>
      <c r="BA326" s="511"/>
    </row>
    <row r="327" spans="1:53" customFormat="1">
      <c r="A327" s="511"/>
      <c r="B327" s="511"/>
      <c r="C327" s="511"/>
      <c r="D327" s="511"/>
      <c r="E327" s="511"/>
      <c r="F327" s="511"/>
      <c r="G327" s="511"/>
      <c r="H327" s="517"/>
      <c r="I327" s="511"/>
      <c r="J327" s="511"/>
      <c r="K327" s="511"/>
      <c r="L327" s="511"/>
      <c r="M327" s="511"/>
      <c r="N327" s="511"/>
      <c r="O327" s="511"/>
      <c r="P327" s="511"/>
      <c r="Q327" s="511"/>
      <c r="R327" s="511"/>
      <c r="S327" s="511"/>
      <c r="T327" s="511"/>
      <c r="U327" s="511"/>
      <c r="V327" s="511"/>
      <c r="W327" s="511"/>
      <c r="X327" s="511"/>
      <c r="Y327" s="511"/>
      <c r="Z327" s="511"/>
      <c r="AA327" s="511"/>
      <c r="AB327" s="511"/>
      <c r="AC327" s="511"/>
      <c r="AD327" s="511"/>
      <c r="AE327" s="511"/>
      <c r="AF327" s="511"/>
      <c r="AG327" s="511"/>
      <c r="AH327" s="511"/>
      <c r="AI327" s="511"/>
      <c r="AJ327" s="511"/>
      <c r="AK327" s="511"/>
      <c r="AL327" s="511"/>
      <c r="AM327" s="511"/>
      <c r="AN327" s="511"/>
      <c r="AO327" s="511"/>
      <c r="AP327" s="511"/>
      <c r="AQ327" s="511"/>
      <c r="AR327" s="511"/>
      <c r="AS327" s="511"/>
      <c r="AT327" s="511"/>
      <c r="AU327" s="511"/>
      <c r="AV327" s="511"/>
      <c r="AW327" s="511"/>
      <c r="AX327" s="511"/>
      <c r="AY327" s="511"/>
      <c r="AZ327" s="511"/>
      <c r="BA327" s="511"/>
    </row>
    <row r="328" spans="1:53" customFormat="1">
      <c r="A328" s="511"/>
      <c r="B328" s="511"/>
      <c r="C328" s="511"/>
      <c r="D328" s="511"/>
      <c r="E328" s="511"/>
      <c r="F328" s="511"/>
      <c r="G328" s="511"/>
      <c r="H328" s="517"/>
      <c r="I328" s="511"/>
      <c r="J328" s="511"/>
      <c r="K328" s="511"/>
      <c r="L328" s="511"/>
      <c r="M328" s="511"/>
      <c r="N328" s="511"/>
      <c r="O328" s="511"/>
      <c r="P328" s="511"/>
      <c r="Q328" s="511"/>
      <c r="R328" s="511"/>
      <c r="S328" s="511"/>
      <c r="T328" s="511"/>
      <c r="U328" s="511"/>
      <c r="V328" s="511"/>
      <c r="W328" s="511"/>
      <c r="X328" s="511"/>
      <c r="Y328" s="511"/>
      <c r="Z328" s="511"/>
      <c r="AA328" s="511"/>
      <c r="AB328" s="511"/>
      <c r="AC328" s="511"/>
      <c r="AD328" s="511"/>
      <c r="AE328" s="511"/>
      <c r="AF328" s="511"/>
      <c r="AG328" s="511"/>
      <c r="AH328" s="511"/>
      <c r="AI328" s="511"/>
      <c r="AJ328" s="511"/>
      <c r="AK328" s="511"/>
      <c r="AL328" s="511"/>
      <c r="AM328" s="511"/>
      <c r="AN328" s="511"/>
      <c r="AO328" s="511"/>
      <c r="AP328" s="511"/>
      <c r="AQ328" s="511"/>
      <c r="AR328" s="511"/>
      <c r="AS328" s="511"/>
      <c r="AT328" s="511"/>
      <c r="AU328" s="511"/>
      <c r="AV328" s="511"/>
      <c r="AW328" s="511"/>
      <c r="AX328" s="511"/>
      <c r="AY328" s="511"/>
      <c r="AZ328" s="511"/>
      <c r="BA328" s="511"/>
    </row>
    <row r="329" spans="1:53" customFormat="1">
      <c r="A329" s="511"/>
      <c r="B329" s="511"/>
      <c r="C329" s="511"/>
      <c r="D329" s="511"/>
      <c r="E329" s="511"/>
      <c r="F329" s="511"/>
      <c r="G329" s="511"/>
      <c r="H329" s="517"/>
      <c r="I329" s="511"/>
      <c r="J329" s="511"/>
      <c r="K329" s="511"/>
      <c r="L329" s="511"/>
      <c r="M329" s="511"/>
      <c r="N329" s="511"/>
      <c r="O329" s="511"/>
      <c r="P329" s="511"/>
      <c r="Q329" s="511"/>
      <c r="R329" s="511"/>
      <c r="S329" s="511"/>
      <c r="T329" s="511"/>
      <c r="U329" s="511"/>
      <c r="V329" s="511"/>
      <c r="W329" s="511"/>
      <c r="X329" s="511"/>
      <c r="Y329" s="511"/>
      <c r="Z329" s="511"/>
      <c r="AA329" s="511"/>
      <c r="AB329" s="511"/>
      <c r="AC329" s="511"/>
      <c r="AD329" s="511"/>
      <c r="AE329" s="511"/>
      <c r="AF329" s="511"/>
      <c r="AG329" s="511"/>
      <c r="AH329" s="511"/>
      <c r="AI329" s="511"/>
      <c r="AJ329" s="511"/>
      <c r="AK329" s="511"/>
      <c r="AL329" s="511"/>
      <c r="AM329" s="511"/>
      <c r="AN329" s="511"/>
      <c r="AO329" s="511"/>
      <c r="AP329" s="511"/>
      <c r="AQ329" s="511"/>
      <c r="AR329" s="511"/>
      <c r="AS329" s="511"/>
      <c r="AT329" s="511"/>
      <c r="AU329" s="511"/>
      <c r="AV329" s="511"/>
      <c r="AW329" s="511"/>
      <c r="AX329" s="511"/>
      <c r="AY329" s="511"/>
      <c r="AZ329" s="511"/>
      <c r="BA329" s="511"/>
    </row>
    <row r="330" spans="1:53" customFormat="1">
      <c r="A330" s="511"/>
      <c r="B330" s="511"/>
      <c r="C330" s="511"/>
      <c r="D330" s="511"/>
      <c r="E330" s="511"/>
      <c r="F330" s="511"/>
      <c r="G330" s="511"/>
      <c r="H330" s="517"/>
      <c r="I330" s="511"/>
      <c r="J330" s="511"/>
      <c r="K330" s="511"/>
      <c r="L330" s="511"/>
      <c r="M330" s="511"/>
      <c r="N330" s="511"/>
      <c r="O330" s="511"/>
      <c r="P330" s="511"/>
      <c r="Q330" s="511"/>
      <c r="R330" s="511"/>
      <c r="S330" s="511"/>
      <c r="T330" s="511"/>
      <c r="U330" s="511"/>
      <c r="V330" s="511"/>
      <c r="W330" s="511"/>
      <c r="X330" s="511"/>
      <c r="Y330" s="511"/>
      <c r="Z330" s="511"/>
      <c r="AA330" s="511"/>
      <c r="AB330" s="511"/>
      <c r="AC330" s="511"/>
      <c r="AD330" s="511"/>
      <c r="AE330" s="511"/>
      <c r="AF330" s="511"/>
      <c r="AG330" s="511"/>
      <c r="AH330" s="511"/>
      <c r="AI330" s="511"/>
      <c r="AJ330" s="511"/>
      <c r="AK330" s="511"/>
      <c r="AL330" s="511"/>
      <c r="AM330" s="511"/>
      <c r="AN330" s="511"/>
      <c r="AO330" s="511"/>
      <c r="AP330" s="511"/>
      <c r="AQ330" s="511"/>
      <c r="AR330" s="511"/>
      <c r="AS330" s="511"/>
      <c r="AT330" s="511"/>
      <c r="AU330" s="511"/>
      <c r="AV330" s="511"/>
      <c r="AW330" s="511"/>
      <c r="AX330" s="511"/>
      <c r="AY330" s="511"/>
      <c r="AZ330" s="511"/>
      <c r="BA330" s="511"/>
    </row>
    <row r="331" spans="1:53" customFormat="1">
      <c r="A331" s="511"/>
      <c r="B331" s="511"/>
      <c r="C331" s="511"/>
      <c r="D331" s="511"/>
      <c r="E331" s="511"/>
      <c r="F331" s="511"/>
      <c r="G331" s="511"/>
      <c r="H331" s="517"/>
      <c r="I331" s="511"/>
      <c r="J331" s="511"/>
      <c r="K331" s="511"/>
      <c r="L331" s="511"/>
      <c r="M331" s="511"/>
      <c r="N331" s="511"/>
      <c r="O331" s="511"/>
      <c r="P331" s="511"/>
      <c r="Q331" s="511"/>
      <c r="R331" s="511"/>
      <c r="S331" s="511"/>
      <c r="T331" s="511"/>
      <c r="U331" s="511"/>
      <c r="V331" s="511"/>
      <c r="W331" s="511"/>
      <c r="X331" s="511"/>
      <c r="Y331" s="511"/>
      <c r="Z331" s="511"/>
      <c r="AA331" s="511"/>
      <c r="AB331" s="511"/>
      <c r="AC331" s="511"/>
      <c r="AD331" s="511"/>
      <c r="AE331" s="511"/>
      <c r="AF331" s="511"/>
      <c r="AG331" s="511"/>
      <c r="AH331" s="511"/>
      <c r="AI331" s="511"/>
      <c r="AJ331" s="511"/>
      <c r="AK331" s="511"/>
      <c r="AL331" s="511"/>
      <c r="AM331" s="511"/>
      <c r="AN331" s="511"/>
      <c r="AO331" s="511"/>
      <c r="AP331" s="511"/>
      <c r="AQ331" s="511"/>
      <c r="AR331" s="511"/>
      <c r="AS331" s="511"/>
      <c r="AT331" s="511"/>
      <c r="AU331" s="511"/>
      <c r="AV331" s="511"/>
      <c r="AW331" s="511"/>
      <c r="AX331" s="511"/>
      <c r="AY331" s="511"/>
      <c r="AZ331" s="511"/>
      <c r="BA331" s="511"/>
    </row>
    <row r="332" spans="1:53" customFormat="1">
      <c r="A332" s="511"/>
      <c r="B332" s="511"/>
      <c r="C332" s="511"/>
      <c r="D332" s="511"/>
      <c r="E332" s="511"/>
      <c r="F332" s="511"/>
      <c r="G332" s="511"/>
      <c r="H332" s="517"/>
      <c r="I332" s="511"/>
      <c r="J332" s="511"/>
      <c r="K332" s="511"/>
      <c r="L332" s="511"/>
      <c r="M332" s="511"/>
      <c r="N332" s="511"/>
      <c r="O332" s="511"/>
      <c r="P332" s="511"/>
      <c r="Q332" s="511"/>
      <c r="R332" s="511"/>
      <c r="S332" s="511"/>
      <c r="T332" s="511"/>
      <c r="U332" s="511"/>
      <c r="V332" s="511"/>
      <c r="W332" s="511"/>
      <c r="X332" s="511"/>
      <c r="Y332" s="511"/>
      <c r="Z332" s="511"/>
      <c r="AA332" s="511"/>
      <c r="AB332" s="511"/>
      <c r="AC332" s="511"/>
      <c r="AD332" s="511"/>
      <c r="AE332" s="511"/>
      <c r="AF332" s="511"/>
      <c r="AG332" s="511"/>
      <c r="AH332" s="511"/>
      <c r="AI332" s="511"/>
      <c r="AJ332" s="511"/>
      <c r="AK332" s="511"/>
      <c r="AL332" s="511"/>
      <c r="AM332" s="511"/>
      <c r="AN332" s="511"/>
      <c r="AO332" s="511"/>
      <c r="AP332" s="511"/>
      <c r="AQ332" s="511"/>
      <c r="AR332" s="511"/>
      <c r="AS332" s="511"/>
      <c r="AT332" s="511"/>
      <c r="AU332" s="511"/>
      <c r="AV332" s="511"/>
      <c r="AW332" s="511"/>
      <c r="AX332" s="511"/>
      <c r="AY332" s="511"/>
      <c r="AZ332" s="511"/>
      <c r="BA332" s="511"/>
    </row>
    <row r="333" spans="1:53" customFormat="1">
      <c r="A333" s="511"/>
      <c r="B333" s="511"/>
      <c r="C333" s="511"/>
      <c r="D333" s="511"/>
      <c r="E333" s="511"/>
      <c r="F333" s="511"/>
      <c r="G333" s="511"/>
      <c r="H333" s="517"/>
      <c r="I333" s="511"/>
      <c r="J333" s="511"/>
      <c r="K333" s="511"/>
      <c r="L333" s="511"/>
      <c r="M333" s="511"/>
      <c r="N333" s="511"/>
      <c r="O333" s="511"/>
      <c r="P333" s="511"/>
      <c r="Q333" s="511"/>
      <c r="R333" s="511"/>
      <c r="S333" s="511"/>
      <c r="T333" s="511"/>
      <c r="U333" s="511"/>
      <c r="V333" s="511"/>
      <c r="W333" s="511"/>
      <c r="X333" s="511"/>
      <c r="Y333" s="511"/>
      <c r="Z333" s="511"/>
      <c r="AA333" s="511"/>
      <c r="AB333" s="511"/>
      <c r="AC333" s="511"/>
      <c r="AD333" s="511"/>
      <c r="AE333" s="511"/>
      <c r="AF333" s="511"/>
      <c r="AG333" s="511"/>
      <c r="AH333" s="511"/>
      <c r="AI333" s="511"/>
      <c r="AJ333" s="511"/>
      <c r="AK333" s="511"/>
      <c r="AL333" s="511"/>
      <c r="AM333" s="511"/>
      <c r="AN333" s="511"/>
      <c r="AO333" s="511"/>
      <c r="AP333" s="511"/>
      <c r="AQ333" s="511"/>
      <c r="AR333" s="511"/>
      <c r="AS333" s="511"/>
      <c r="AT333" s="511"/>
      <c r="AU333" s="511"/>
      <c r="AV333" s="511"/>
      <c r="AW333" s="511"/>
      <c r="AX333" s="511"/>
      <c r="AY333" s="511"/>
      <c r="AZ333" s="511"/>
      <c r="BA333" s="511"/>
    </row>
    <row r="334" spans="1:53" customFormat="1">
      <c r="A334" s="511"/>
      <c r="B334" s="511"/>
      <c r="C334" s="511"/>
      <c r="D334" s="511"/>
      <c r="E334" s="511"/>
      <c r="F334" s="511"/>
      <c r="G334" s="511"/>
      <c r="H334" s="517"/>
      <c r="I334" s="511"/>
      <c r="J334" s="511"/>
      <c r="K334" s="511"/>
      <c r="L334" s="511"/>
      <c r="M334" s="511"/>
      <c r="N334" s="511"/>
      <c r="O334" s="511"/>
      <c r="P334" s="511"/>
      <c r="Q334" s="511"/>
      <c r="R334" s="511"/>
      <c r="S334" s="511"/>
      <c r="T334" s="511"/>
      <c r="U334" s="511"/>
      <c r="V334" s="511"/>
      <c r="W334" s="511"/>
      <c r="X334" s="511"/>
      <c r="Y334" s="511"/>
      <c r="Z334" s="511"/>
      <c r="AA334" s="511"/>
      <c r="AB334" s="511"/>
      <c r="AC334" s="511"/>
      <c r="AD334" s="511"/>
      <c r="AE334" s="511"/>
      <c r="AF334" s="511"/>
      <c r="AG334" s="511"/>
      <c r="AH334" s="511"/>
      <c r="AI334" s="511"/>
      <c r="AJ334" s="511"/>
      <c r="AK334" s="511"/>
      <c r="AL334" s="511"/>
      <c r="AM334" s="511"/>
      <c r="AN334" s="511"/>
      <c r="AO334" s="511"/>
      <c r="AP334" s="511"/>
      <c r="AQ334" s="511"/>
      <c r="AR334" s="511"/>
      <c r="AS334" s="511"/>
      <c r="AT334" s="511"/>
      <c r="AU334" s="511"/>
      <c r="AV334" s="511"/>
      <c r="AW334" s="511"/>
      <c r="AX334" s="511"/>
      <c r="AY334" s="511"/>
      <c r="AZ334" s="511"/>
      <c r="BA334" s="511"/>
    </row>
    <row r="335" spans="1:53" customFormat="1">
      <c r="A335" s="511"/>
      <c r="B335" s="511"/>
      <c r="C335" s="511"/>
      <c r="D335" s="511"/>
      <c r="E335" s="511"/>
      <c r="F335" s="511"/>
      <c r="G335" s="511"/>
      <c r="H335" s="517"/>
      <c r="I335" s="511"/>
      <c r="J335" s="511"/>
      <c r="K335" s="511"/>
      <c r="L335" s="511"/>
      <c r="M335" s="511"/>
      <c r="N335" s="511"/>
      <c r="O335" s="511"/>
      <c r="P335" s="511"/>
      <c r="Q335" s="511"/>
      <c r="R335" s="511"/>
      <c r="S335" s="511"/>
      <c r="T335" s="511"/>
      <c r="U335" s="511"/>
      <c r="V335" s="511"/>
      <c r="W335" s="511"/>
      <c r="X335" s="511"/>
      <c r="Y335" s="511"/>
      <c r="Z335" s="511"/>
      <c r="AA335" s="511"/>
      <c r="AB335" s="511"/>
      <c r="AC335" s="511"/>
      <c r="AD335" s="511"/>
      <c r="AE335" s="511"/>
      <c r="AF335" s="511"/>
      <c r="AG335" s="511"/>
      <c r="AH335" s="511"/>
      <c r="AI335" s="511"/>
      <c r="AJ335" s="511"/>
      <c r="AK335" s="511"/>
      <c r="AL335" s="511"/>
      <c r="AM335" s="511"/>
      <c r="AN335" s="511"/>
      <c r="AO335" s="511"/>
      <c r="AP335" s="511"/>
      <c r="AQ335" s="511"/>
      <c r="AR335" s="511"/>
      <c r="AS335" s="511"/>
      <c r="AT335" s="511"/>
      <c r="AU335" s="511"/>
      <c r="AV335" s="511"/>
      <c r="AW335" s="511"/>
      <c r="AX335" s="511"/>
      <c r="AY335" s="511"/>
      <c r="AZ335" s="511"/>
      <c r="BA335" s="511"/>
    </row>
    <row r="336" spans="1:53" customFormat="1">
      <c r="A336" s="511"/>
      <c r="B336" s="511"/>
      <c r="C336" s="511"/>
      <c r="D336" s="511"/>
      <c r="E336" s="511"/>
      <c r="F336" s="511"/>
      <c r="G336" s="511"/>
      <c r="H336" s="517"/>
      <c r="I336" s="511"/>
      <c r="J336" s="511"/>
      <c r="K336" s="511"/>
      <c r="L336" s="511"/>
      <c r="M336" s="511"/>
      <c r="N336" s="511"/>
      <c r="O336" s="511"/>
      <c r="P336" s="511"/>
      <c r="Q336" s="511"/>
      <c r="R336" s="511"/>
      <c r="S336" s="511"/>
      <c r="T336" s="511"/>
      <c r="U336" s="511"/>
      <c r="V336" s="511"/>
      <c r="W336" s="511"/>
      <c r="X336" s="511"/>
      <c r="Y336" s="511"/>
      <c r="Z336" s="511"/>
      <c r="AA336" s="511"/>
      <c r="AB336" s="511"/>
      <c r="AC336" s="511"/>
      <c r="AD336" s="511"/>
      <c r="AE336" s="511"/>
      <c r="AF336" s="511"/>
      <c r="AG336" s="511"/>
      <c r="AH336" s="511"/>
      <c r="AI336" s="511"/>
      <c r="AJ336" s="511"/>
      <c r="AK336" s="511"/>
      <c r="AL336" s="511"/>
      <c r="AM336" s="511"/>
      <c r="AN336" s="511"/>
      <c r="AO336" s="511"/>
      <c r="AP336" s="511"/>
      <c r="AQ336" s="511"/>
      <c r="AR336" s="511"/>
      <c r="AS336" s="511"/>
      <c r="AT336" s="511"/>
      <c r="AU336" s="511"/>
      <c r="AV336" s="511"/>
      <c r="AW336" s="511"/>
      <c r="AX336" s="511"/>
      <c r="AY336" s="511"/>
      <c r="AZ336" s="511"/>
      <c r="BA336" s="511"/>
    </row>
    <row r="337" spans="1:53" customFormat="1">
      <c r="A337" s="511"/>
      <c r="B337" s="511"/>
      <c r="C337" s="511"/>
      <c r="D337" s="511"/>
      <c r="E337" s="511"/>
      <c r="F337" s="511"/>
      <c r="G337" s="511"/>
      <c r="H337" s="517"/>
      <c r="I337" s="511"/>
      <c r="J337" s="511"/>
      <c r="K337" s="511"/>
      <c r="L337" s="511"/>
      <c r="M337" s="511"/>
      <c r="N337" s="511"/>
      <c r="O337" s="511"/>
      <c r="P337" s="511"/>
      <c r="Q337" s="511"/>
      <c r="R337" s="511"/>
      <c r="S337" s="511"/>
      <c r="T337" s="511"/>
      <c r="U337" s="511"/>
      <c r="V337" s="511"/>
      <c r="W337" s="511"/>
      <c r="X337" s="511"/>
      <c r="Y337" s="511"/>
      <c r="Z337" s="511"/>
      <c r="AA337" s="511"/>
      <c r="AB337" s="511"/>
      <c r="AC337" s="511"/>
      <c r="AD337" s="511"/>
      <c r="AE337" s="511"/>
      <c r="AF337" s="511"/>
      <c r="AG337" s="511"/>
      <c r="AH337" s="511"/>
      <c r="AI337" s="511"/>
      <c r="AJ337" s="511"/>
      <c r="AK337" s="511"/>
      <c r="AL337" s="511"/>
      <c r="AM337" s="511"/>
      <c r="AN337" s="511"/>
      <c r="AO337" s="511"/>
      <c r="AP337" s="511"/>
      <c r="AQ337" s="511"/>
      <c r="AR337" s="511"/>
      <c r="AS337" s="511"/>
      <c r="AT337" s="511"/>
      <c r="AU337" s="511"/>
      <c r="AV337" s="511"/>
      <c r="AW337" s="511"/>
      <c r="AX337" s="511"/>
      <c r="AY337" s="511"/>
      <c r="AZ337" s="511"/>
      <c r="BA337" s="511"/>
    </row>
    <row r="338" spans="1:53" customFormat="1">
      <c r="A338" s="511"/>
      <c r="B338" s="511"/>
      <c r="C338" s="511"/>
      <c r="D338" s="511"/>
      <c r="E338" s="511"/>
      <c r="F338" s="511"/>
      <c r="G338" s="511"/>
      <c r="H338" s="517"/>
      <c r="I338" s="511"/>
      <c r="J338" s="511"/>
      <c r="K338" s="511"/>
      <c r="L338" s="511"/>
      <c r="M338" s="511"/>
      <c r="N338" s="511"/>
      <c r="O338" s="511"/>
      <c r="P338" s="511"/>
      <c r="Q338" s="511"/>
      <c r="R338" s="511"/>
      <c r="S338" s="511"/>
      <c r="T338" s="511"/>
      <c r="U338" s="511"/>
      <c r="V338" s="511"/>
      <c r="W338" s="511"/>
      <c r="X338" s="511"/>
      <c r="Y338" s="511"/>
      <c r="Z338" s="511"/>
      <c r="AA338" s="511"/>
      <c r="AB338" s="511"/>
      <c r="AC338" s="511"/>
      <c r="AD338" s="511"/>
      <c r="AE338" s="511"/>
      <c r="AF338" s="511"/>
      <c r="AG338" s="511"/>
      <c r="AH338" s="511"/>
      <c r="AI338" s="511"/>
      <c r="AJ338" s="511"/>
      <c r="AK338" s="511"/>
      <c r="AL338" s="511"/>
      <c r="AM338" s="511"/>
      <c r="AN338" s="511"/>
      <c r="AO338" s="511"/>
      <c r="AP338" s="511"/>
      <c r="AQ338" s="511"/>
      <c r="AR338" s="511"/>
      <c r="AS338" s="511"/>
      <c r="AT338" s="511"/>
      <c r="AU338" s="511"/>
      <c r="AV338" s="511"/>
      <c r="AW338" s="511"/>
      <c r="AX338" s="511"/>
      <c r="AY338" s="511"/>
      <c r="AZ338" s="511"/>
      <c r="BA338" s="511"/>
    </row>
    <row r="339" spans="1:53" customFormat="1">
      <c r="A339" s="511"/>
      <c r="B339" s="511"/>
      <c r="C339" s="511"/>
      <c r="D339" s="511"/>
      <c r="E339" s="511"/>
      <c r="F339" s="511"/>
      <c r="G339" s="511"/>
      <c r="H339" s="517"/>
      <c r="I339" s="511"/>
      <c r="J339" s="511"/>
      <c r="K339" s="511"/>
      <c r="L339" s="511"/>
      <c r="M339" s="511"/>
      <c r="N339" s="511"/>
      <c r="O339" s="511"/>
      <c r="P339" s="511"/>
      <c r="Q339" s="511"/>
      <c r="R339" s="511"/>
      <c r="S339" s="511"/>
      <c r="T339" s="511"/>
      <c r="U339" s="511"/>
      <c r="V339" s="511"/>
      <c r="W339" s="511"/>
      <c r="X339" s="511"/>
      <c r="Y339" s="511"/>
      <c r="Z339" s="511"/>
      <c r="AA339" s="511"/>
      <c r="AB339" s="511"/>
      <c r="AC339" s="511"/>
      <c r="AD339" s="511"/>
      <c r="AE339" s="511"/>
      <c r="AF339" s="511"/>
      <c r="AG339" s="511"/>
      <c r="AH339" s="511"/>
      <c r="AI339" s="511"/>
      <c r="AJ339" s="511"/>
      <c r="AK339" s="511"/>
      <c r="AL339" s="511"/>
      <c r="AM339" s="511"/>
      <c r="AN339" s="511"/>
      <c r="AO339" s="511"/>
      <c r="AP339" s="511"/>
      <c r="AQ339" s="511"/>
      <c r="AR339" s="511"/>
      <c r="AS339" s="511"/>
      <c r="AT339" s="511"/>
      <c r="AU339" s="511"/>
      <c r="AV339" s="511"/>
      <c r="AW339" s="511"/>
      <c r="AX339" s="511"/>
      <c r="AY339" s="511"/>
      <c r="AZ339" s="511"/>
      <c r="BA339" s="511"/>
    </row>
    <row r="340" spans="1:53" customFormat="1">
      <c r="A340" s="511"/>
      <c r="B340" s="511"/>
      <c r="C340" s="511"/>
      <c r="D340" s="511"/>
      <c r="E340" s="511"/>
      <c r="F340" s="511"/>
      <c r="G340" s="511"/>
      <c r="H340" s="517"/>
      <c r="I340" s="511"/>
      <c r="J340" s="511"/>
      <c r="K340" s="511"/>
      <c r="L340" s="511"/>
      <c r="M340" s="511"/>
      <c r="N340" s="511"/>
      <c r="O340" s="511"/>
      <c r="P340" s="511"/>
      <c r="Q340" s="511"/>
      <c r="R340" s="511"/>
      <c r="S340" s="511"/>
      <c r="T340" s="511"/>
      <c r="U340" s="511"/>
      <c r="V340" s="511"/>
      <c r="W340" s="511"/>
      <c r="X340" s="511"/>
      <c r="Y340" s="511"/>
      <c r="Z340" s="511"/>
      <c r="AA340" s="511"/>
      <c r="AB340" s="511"/>
      <c r="AC340" s="511"/>
      <c r="AD340" s="511"/>
      <c r="AE340" s="511"/>
      <c r="AF340" s="511"/>
      <c r="AG340" s="511"/>
      <c r="AH340" s="511"/>
      <c r="AI340" s="511"/>
      <c r="AJ340" s="511"/>
      <c r="AK340" s="511"/>
      <c r="AL340" s="511"/>
      <c r="AM340" s="511"/>
      <c r="AN340" s="511"/>
      <c r="AO340" s="511"/>
      <c r="AP340" s="511"/>
      <c r="AQ340" s="511"/>
      <c r="AR340" s="511"/>
      <c r="AS340" s="511"/>
      <c r="AT340" s="511"/>
      <c r="AU340" s="511"/>
      <c r="AV340" s="511"/>
      <c r="AW340" s="511"/>
      <c r="AX340" s="511"/>
      <c r="AY340" s="511"/>
      <c r="AZ340" s="511"/>
      <c r="BA340" s="511"/>
    </row>
    <row r="341" spans="1:53" customFormat="1">
      <c r="A341" s="511"/>
      <c r="B341" s="511"/>
      <c r="C341" s="511"/>
      <c r="D341" s="511"/>
      <c r="E341" s="511"/>
      <c r="F341" s="511"/>
      <c r="G341" s="511"/>
      <c r="H341" s="517"/>
      <c r="I341" s="511"/>
      <c r="J341" s="511"/>
      <c r="K341" s="511"/>
      <c r="L341" s="511"/>
      <c r="M341" s="511"/>
      <c r="N341" s="511"/>
      <c r="O341" s="511"/>
      <c r="P341" s="511"/>
      <c r="Q341" s="511"/>
      <c r="R341" s="511"/>
      <c r="S341" s="511"/>
      <c r="T341" s="511"/>
      <c r="U341" s="511"/>
      <c r="V341" s="511"/>
      <c r="W341" s="511"/>
      <c r="X341" s="511"/>
      <c r="Y341" s="511"/>
      <c r="Z341" s="511"/>
      <c r="AA341" s="511"/>
      <c r="AB341" s="511"/>
      <c r="AC341" s="511"/>
      <c r="AD341" s="511"/>
      <c r="AE341" s="511"/>
      <c r="AF341" s="511"/>
      <c r="AG341" s="511"/>
      <c r="AH341" s="511"/>
      <c r="AI341" s="511"/>
      <c r="AJ341" s="511"/>
      <c r="AK341" s="511"/>
      <c r="AL341" s="511"/>
      <c r="AM341" s="511"/>
      <c r="AN341" s="511"/>
      <c r="AO341" s="511"/>
      <c r="AP341" s="511"/>
      <c r="AQ341" s="511"/>
      <c r="AR341" s="511"/>
      <c r="AS341" s="511"/>
      <c r="AT341" s="511"/>
      <c r="AU341" s="511"/>
      <c r="AV341" s="511"/>
      <c r="AW341" s="511"/>
      <c r="AX341" s="511"/>
      <c r="AY341" s="511"/>
      <c r="AZ341" s="511"/>
      <c r="BA341" s="511"/>
    </row>
    <row r="342" spans="1:53" customFormat="1">
      <c r="A342" s="511"/>
      <c r="B342" s="511"/>
      <c r="C342" s="511"/>
      <c r="D342" s="511"/>
      <c r="E342" s="511"/>
      <c r="F342" s="511"/>
      <c r="G342" s="511"/>
      <c r="H342" s="517"/>
      <c r="I342" s="511"/>
      <c r="J342" s="511"/>
      <c r="K342" s="511"/>
      <c r="L342" s="511"/>
      <c r="M342" s="511"/>
      <c r="N342" s="511"/>
      <c r="O342" s="511"/>
      <c r="P342" s="511"/>
      <c r="Q342" s="511"/>
      <c r="R342" s="511"/>
      <c r="S342" s="511"/>
      <c r="T342" s="511"/>
      <c r="U342" s="511"/>
      <c r="V342" s="511"/>
      <c r="W342" s="511"/>
      <c r="X342" s="511"/>
      <c r="Y342" s="511"/>
      <c r="Z342" s="511"/>
      <c r="AA342" s="511"/>
      <c r="AB342" s="511"/>
      <c r="AC342" s="511"/>
      <c r="AD342" s="511"/>
      <c r="AE342" s="511"/>
      <c r="AF342" s="511"/>
      <c r="AG342" s="511"/>
      <c r="AH342" s="511"/>
      <c r="AI342" s="511"/>
      <c r="AJ342" s="511"/>
      <c r="AK342" s="511"/>
      <c r="AL342" s="511"/>
      <c r="AM342" s="511"/>
      <c r="AN342" s="511"/>
      <c r="AO342" s="511"/>
      <c r="AP342" s="511"/>
      <c r="AQ342" s="511"/>
      <c r="AR342" s="511"/>
      <c r="AS342" s="511"/>
      <c r="AT342" s="511"/>
      <c r="AU342" s="511"/>
      <c r="AV342" s="511"/>
      <c r="AW342" s="511"/>
      <c r="AX342" s="511"/>
      <c r="AY342" s="511"/>
      <c r="AZ342" s="511"/>
      <c r="BA342" s="511"/>
    </row>
    <row r="343" spans="1:53" customFormat="1">
      <c r="A343" s="511"/>
      <c r="B343" s="511"/>
      <c r="C343" s="511"/>
      <c r="D343" s="511"/>
      <c r="E343" s="511"/>
      <c r="F343" s="511"/>
      <c r="G343" s="511"/>
      <c r="H343" s="517"/>
      <c r="I343" s="511"/>
      <c r="J343" s="511"/>
      <c r="K343" s="511"/>
      <c r="L343" s="511"/>
      <c r="M343" s="511"/>
      <c r="N343" s="511"/>
      <c r="O343" s="511"/>
      <c r="P343" s="511"/>
      <c r="Q343" s="511"/>
      <c r="R343" s="511"/>
      <c r="S343" s="511"/>
      <c r="T343" s="511"/>
      <c r="U343" s="511"/>
      <c r="V343" s="511"/>
      <c r="W343" s="511"/>
      <c r="X343" s="511"/>
      <c r="Y343" s="511"/>
      <c r="Z343" s="511"/>
      <c r="AA343" s="511"/>
      <c r="AB343" s="511"/>
      <c r="AC343" s="511"/>
      <c r="AD343" s="511"/>
      <c r="AE343" s="511"/>
      <c r="AF343" s="511"/>
      <c r="AG343" s="511"/>
      <c r="AH343" s="511"/>
      <c r="AI343" s="511"/>
      <c r="AJ343" s="511"/>
      <c r="AK343" s="511"/>
      <c r="AL343" s="511"/>
      <c r="AM343" s="511"/>
      <c r="AN343" s="511"/>
      <c r="AO343" s="511"/>
      <c r="AP343" s="511"/>
      <c r="AQ343" s="511"/>
      <c r="AR343" s="511"/>
      <c r="AS343" s="511"/>
      <c r="AT343" s="511"/>
      <c r="AU343" s="511"/>
      <c r="AV343" s="511"/>
      <c r="AW343" s="511"/>
      <c r="AX343" s="511"/>
      <c r="AY343" s="511"/>
      <c r="AZ343" s="511"/>
      <c r="BA343" s="511"/>
    </row>
    <row r="344" spans="1:53" customFormat="1">
      <c r="A344" s="511"/>
      <c r="B344" s="511"/>
      <c r="C344" s="511"/>
      <c r="D344" s="511"/>
      <c r="E344" s="511"/>
      <c r="F344" s="511"/>
      <c r="G344" s="511"/>
      <c r="H344" s="517"/>
      <c r="I344" s="511"/>
      <c r="J344" s="511"/>
      <c r="K344" s="511"/>
      <c r="L344" s="511"/>
      <c r="M344" s="511"/>
      <c r="N344" s="511"/>
      <c r="O344" s="511"/>
      <c r="P344" s="511"/>
      <c r="Q344" s="511"/>
      <c r="R344" s="511"/>
      <c r="S344" s="511"/>
      <c r="T344" s="511"/>
      <c r="U344" s="511"/>
      <c r="V344" s="511"/>
      <c r="W344" s="511"/>
      <c r="X344" s="511"/>
      <c r="Y344" s="511"/>
      <c r="Z344" s="511"/>
      <c r="AA344" s="511"/>
      <c r="AB344" s="511"/>
      <c r="AC344" s="511"/>
      <c r="AD344" s="511"/>
      <c r="AE344" s="511"/>
      <c r="AF344" s="511"/>
      <c r="AG344" s="511"/>
      <c r="AH344" s="511"/>
      <c r="AI344" s="511"/>
      <c r="AJ344" s="511"/>
      <c r="AK344" s="511"/>
      <c r="AL344" s="511"/>
      <c r="AM344" s="511"/>
      <c r="AN344" s="511"/>
      <c r="AO344" s="511"/>
      <c r="AP344" s="511"/>
      <c r="AQ344" s="511"/>
      <c r="AR344" s="511"/>
      <c r="AS344" s="511"/>
      <c r="AT344" s="511"/>
      <c r="AU344" s="511"/>
      <c r="AV344" s="511"/>
      <c r="AW344" s="511"/>
      <c r="AX344" s="511"/>
      <c r="AY344" s="511"/>
      <c r="AZ344" s="511"/>
      <c r="BA344" s="511"/>
    </row>
    <row r="345" spans="1:53" customFormat="1">
      <c r="A345" s="511"/>
      <c r="B345" s="511"/>
      <c r="C345" s="511"/>
      <c r="D345" s="511"/>
      <c r="E345" s="511"/>
      <c r="F345" s="511"/>
      <c r="G345" s="511"/>
      <c r="H345" s="517"/>
      <c r="I345" s="511"/>
      <c r="J345" s="511"/>
      <c r="K345" s="511"/>
      <c r="L345" s="511"/>
      <c r="M345" s="511"/>
      <c r="N345" s="511"/>
      <c r="O345" s="511"/>
      <c r="P345" s="511"/>
      <c r="Q345" s="511"/>
      <c r="R345" s="511"/>
      <c r="S345" s="511"/>
      <c r="T345" s="511"/>
      <c r="U345" s="511"/>
      <c r="V345" s="511"/>
      <c r="W345" s="511"/>
      <c r="X345" s="511"/>
      <c r="Y345" s="511"/>
      <c r="Z345" s="511"/>
      <c r="AA345" s="511"/>
      <c r="AB345" s="511"/>
      <c r="AC345" s="511"/>
      <c r="AD345" s="511"/>
      <c r="AE345" s="511"/>
      <c r="AF345" s="511"/>
      <c r="AG345" s="511"/>
      <c r="AH345" s="511"/>
      <c r="AI345" s="511"/>
      <c r="AJ345" s="511"/>
      <c r="AK345" s="511"/>
      <c r="AL345" s="511"/>
      <c r="AM345" s="511"/>
      <c r="AN345" s="511"/>
      <c r="AO345" s="511"/>
      <c r="AP345" s="511"/>
      <c r="AQ345" s="511"/>
      <c r="AR345" s="511"/>
      <c r="AS345" s="511"/>
      <c r="AT345" s="511"/>
      <c r="AU345" s="511"/>
      <c r="AV345" s="511"/>
      <c r="AW345" s="511"/>
      <c r="AX345" s="511"/>
      <c r="AY345" s="511"/>
      <c r="AZ345" s="511"/>
      <c r="BA345" s="511"/>
    </row>
    <row r="346" spans="1:53" customFormat="1">
      <c r="A346" s="511"/>
      <c r="B346" s="511"/>
      <c r="C346" s="511"/>
      <c r="D346" s="511"/>
      <c r="E346" s="511"/>
      <c r="F346" s="511"/>
      <c r="G346" s="511"/>
      <c r="H346" s="517"/>
      <c r="I346" s="511"/>
      <c r="J346" s="511"/>
      <c r="K346" s="511"/>
      <c r="L346" s="511"/>
      <c r="M346" s="511"/>
      <c r="N346" s="511"/>
      <c r="O346" s="511"/>
      <c r="P346" s="511"/>
      <c r="Q346" s="511"/>
      <c r="R346" s="511"/>
      <c r="S346" s="511"/>
      <c r="T346" s="511"/>
      <c r="U346" s="511"/>
      <c r="V346" s="511"/>
      <c r="W346" s="511"/>
      <c r="X346" s="511"/>
      <c r="Y346" s="511"/>
      <c r="Z346" s="511"/>
      <c r="AA346" s="511"/>
      <c r="AB346" s="511"/>
      <c r="AC346" s="511"/>
      <c r="AD346" s="511"/>
      <c r="AE346" s="511"/>
      <c r="AF346" s="511"/>
      <c r="AG346" s="511"/>
      <c r="AH346" s="511"/>
      <c r="AI346" s="511"/>
      <c r="AJ346" s="511"/>
      <c r="AK346" s="511"/>
      <c r="AL346" s="511"/>
      <c r="AM346" s="511"/>
      <c r="AN346" s="511"/>
      <c r="AO346" s="511"/>
      <c r="AP346" s="511"/>
      <c r="AQ346" s="511"/>
      <c r="AR346" s="511"/>
      <c r="AS346" s="511"/>
      <c r="AT346" s="511"/>
      <c r="AU346" s="511"/>
      <c r="AV346" s="511"/>
      <c r="AW346" s="511"/>
      <c r="AX346" s="511"/>
      <c r="AY346" s="511"/>
      <c r="AZ346" s="511"/>
      <c r="BA346" s="511"/>
    </row>
    <row r="347" spans="1:53" customFormat="1">
      <c r="A347" s="511"/>
      <c r="B347" s="511"/>
      <c r="C347" s="511"/>
      <c r="D347" s="511"/>
      <c r="E347" s="511"/>
      <c r="F347" s="511"/>
      <c r="G347" s="511"/>
      <c r="H347" s="517"/>
      <c r="I347" s="511"/>
      <c r="J347" s="511"/>
      <c r="K347" s="511"/>
      <c r="L347" s="511"/>
      <c r="M347" s="511"/>
      <c r="N347" s="511"/>
      <c r="O347" s="511"/>
      <c r="P347" s="511"/>
      <c r="Q347" s="511"/>
      <c r="R347" s="511"/>
      <c r="S347" s="511"/>
      <c r="T347" s="511"/>
      <c r="U347" s="511"/>
      <c r="V347" s="511"/>
      <c r="W347" s="511"/>
      <c r="X347" s="511"/>
      <c r="Y347" s="511"/>
      <c r="Z347" s="511"/>
      <c r="AA347" s="511"/>
      <c r="AB347" s="511"/>
      <c r="AC347" s="511"/>
      <c r="AD347" s="511"/>
      <c r="AE347" s="511"/>
      <c r="AF347" s="511"/>
      <c r="AG347" s="511"/>
      <c r="AH347" s="511"/>
      <c r="AI347" s="511"/>
      <c r="AJ347" s="511"/>
      <c r="AK347" s="511"/>
      <c r="AL347" s="511"/>
      <c r="AM347" s="511"/>
      <c r="AN347" s="511"/>
      <c r="AO347" s="511"/>
      <c r="AP347" s="511"/>
      <c r="AQ347" s="511"/>
      <c r="AR347" s="511"/>
      <c r="AS347" s="511"/>
      <c r="AT347" s="511"/>
      <c r="AU347" s="511"/>
      <c r="AV347" s="511"/>
      <c r="AW347" s="511"/>
      <c r="AX347" s="511"/>
      <c r="AY347" s="511"/>
      <c r="AZ347" s="511"/>
      <c r="BA347" s="511"/>
    </row>
    <row r="348" spans="1:53" customFormat="1">
      <c r="A348" s="511"/>
      <c r="B348" s="511"/>
      <c r="C348" s="511"/>
      <c r="D348" s="511"/>
      <c r="E348" s="511"/>
      <c r="F348" s="511"/>
      <c r="G348" s="511"/>
      <c r="H348" s="517"/>
      <c r="I348" s="511"/>
      <c r="J348" s="511"/>
      <c r="K348" s="511"/>
      <c r="L348" s="511"/>
      <c r="M348" s="511"/>
      <c r="N348" s="511"/>
      <c r="O348" s="511"/>
      <c r="P348" s="511"/>
      <c r="Q348" s="511"/>
      <c r="R348" s="511"/>
      <c r="S348" s="511"/>
      <c r="T348" s="511"/>
      <c r="U348" s="511"/>
      <c r="V348" s="511"/>
      <c r="W348" s="511"/>
      <c r="X348" s="511"/>
      <c r="Y348" s="511"/>
      <c r="Z348" s="511"/>
      <c r="AA348" s="511"/>
      <c r="AB348" s="511"/>
      <c r="AC348" s="511"/>
      <c r="AD348" s="511"/>
      <c r="AE348" s="511"/>
      <c r="AF348" s="511"/>
      <c r="AG348" s="511"/>
      <c r="AH348" s="511"/>
      <c r="AI348" s="511"/>
      <c r="AJ348" s="511"/>
      <c r="AK348" s="511"/>
      <c r="AL348" s="511"/>
      <c r="AM348" s="511"/>
      <c r="AN348" s="511"/>
      <c r="AO348" s="511"/>
      <c r="AP348" s="511"/>
      <c r="AQ348" s="511"/>
      <c r="AR348" s="511"/>
      <c r="AS348" s="511"/>
      <c r="AT348" s="511"/>
      <c r="AU348" s="511"/>
      <c r="AV348" s="511"/>
      <c r="AW348" s="511"/>
      <c r="AX348" s="511"/>
      <c r="AY348" s="511"/>
      <c r="AZ348" s="511"/>
      <c r="BA348" s="511"/>
    </row>
    <row r="349" spans="1:53" customFormat="1">
      <c r="A349" s="511"/>
      <c r="B349" s="511"/>
      <c r="C349" s="511"/>
      <c r="D349" s="511"/>
      <c r="E349" s="511"/>
      <c r="F349" s="511"/>
      <c r="G349" s="511"/>
      <c r="H349" s="517"/>
      <c r="I349" s="511"/>
      <c r="J349" s="511"/>
      <c r="K349" s="511"/>
      <c r="L349" s="511"/>
      <c r="M349" s="511"/>
      <c r="N349" s="511"/>
      <c r="O349" s="511"/>
      <c r="P349" s="511"/>
      <c r="Q349" s="511"/>
      <c r="R349" s="511"/>
      <c r="S349" s="511"/>
      <c r="T349" s="511"/>
      <c r="U349" s="511"/>
      <c r="V349" s="511"/>
      <c r="W349" s="511"/>
      <c r="X349" s="511"/>
      <c r="Y349" s="511"/>
      <c r="Z349" s="511"/>
      <c r="AA349" s="511"/>
      <c r="AB349" s="511"/>
      <c r="AC349" s="511"/>
      <c r="AD349" s="511"/>
      <c r="AE349" s="511"/>
      <c r="AF349" s="511"/>
      <c r="AG349" s="511"/>
      <c r="AH349" s="511"/>
      <c r="AI349" s="511"/>
      <c r="AJ349" s="511"/>
      <c r="AK349" s="511"/>
      <c r="AL349" s="511"/>
      <c r="AM349" s="511"/>
      <c r="AN349" s="511"/>
      <c r="AO349" s="511"/>
      <c r="AP349" s="511"/>
      <c r="AQ349" s="511"/>
      <c r="AR349" s="511"/>
      <c r="AS349" s="511"/>
      <c r="AT349" s="511"/>
      <c r="AU349" s="511"/>
      <c r="AV349" s="511"/>
      <c r="AW349" s="511"/>
      <c r="AX349" s="511"/>
      <c r="AY349" s="511"/>
      <c r="AZ349" s="511"/>
      <c r="BA349" s="511"/>
    </row>
    <row r="350" spans="1:53" customFormat="1">
      <c r="A350" s="511"/>
      <c r="B350" s="511"/>
      <c r="C350" s="511"/>
      <c r="D350" s="511"/>
      <c r="E350" s="511"/>
      <c r="F350" s="511"/>
      <c r="G350" s="511"/>
      <c r="H350" s="517"/>
      <c r="I350" s="511"/>
      <c r="J350" s="511"/>
      <c r="K350" s="511"/>
      <c r="L350" s="511"/>
      <c r="M350" s="511"/>
      <c r="N350" s="511"/>
      <c r="O350" s="511"/>
      <c r="P350" s="511"/>
      <c r="Q350" s="511"/>
      <c r="R350" s="511"/>
      <c r="S350" s="511"/>
      <c r="T350" s="511"/>
      <c r="U350" s="511"/>
      <c r="V350" s="511"/>
      <c r="W350" s="511"/>
      <c r="X350" s="511"/>
      <c r="Y350" s="511"/>
      <c r="Z350" s="511"/>
      <c r="AA350" s="511"/>
      <c r="AB350" s="511"/>
      <c r="AC350" s="511"/>
      <c r="AD350" s="511"/>
      <c r="AE350" s="511"/>
      <c r="AF350" s="511"/>
      <c r="AG350" s="511"/>
      <c r="AH350" s="511"/>
      <c r="AI350" s="511"/>
      <c r="AJ350" s="511"/>
      <c r="AK350" s="511"/>
      <c r="AL350" s="511"/>
      <c r="AM350" s="511"/>
      <c r="AN350" s="511"/>
      <c r="AO350" s="511"/>
      <c r="AP350" s="511"/>
      <c r="AQ350" s="511"/>
      <c r="AR350" s="511"/>
      <c r="AS350" s="511"/>
      <c r="AT350" s="511"/>
      <c r="AU350" s="511"/>
      <c r="AV350" s="511"/>
      <c r="AW350" s="511"/>
      <c r="AX350" s="511"/>
      <c r="AY350" s="511"/>
      <c r="AZ350" s="511"/>
      <c r="BA350" s="511"/>
    </row>
    <row r="351" spans="1:53" customFormat="1">
      <c r="A351" s="511"/>
      <c r="B351" s="511"/>
      <c r="C351" s="511"/>
      <c r="D351" s="511"/>
      <c r="E351" s="511"/>
      <c r="F351" s="511"/>
      <c r="G351" s="511"/>
      <c r="H351" s="517"/>
      <c r="I351" s="511"/>
      <c r="J351" s="511"/>
      <c r="K351" s="511"/>
      <c r="L351" s="511"/>
      <c r="M351" s="511"/>
      <c r="N351" s="511"/>
      <c r="O351" s="511"/>
      <c r="P351" s="511"/>
      <c r="Q351" s="511"/>
      <c r="R351" s="511"/>
      <c r="S351" s="511"/>
      <c r="T351" s="511"/>
      <c r="U351" s="511"/>
      <c r="V351" s="511"/>
      <c r="W351" s="511"/>
      <c r="X351" s="511"/>
      <c r="Y351" s="511"/>
      <c r="Z351" s="511"/>
      <c r="AA351" s="511"/>
      <c r="AB351" s="511"/>
      <c r="AC351" s="511"/>
      <c r="AD351" s="511"/>
      <c r="AE351" s="511"/>
      <c r="AF351" s="511"/>
      <c r="AG351" s="511"/>
      <c r="AH351" s="511"/>
      <c r="AI351" s="511"/>
      <c r="AJ351" s="511"/>
      <c r="AK351" s="511"/>
      <c r="AL351" s="511"/>
      <c r="AM351" s="511"/>
      <c r="AN351" s="511"/>
      <c r="AO351" s="511"/>
      <c r="AP351" s="511"/>
      <c r="AQ351" s="511"/>
      <c r="AR351" s="511"/>
      <c r="AS351" s="511"/>
      <c r="AT351" s="511"/>
      <c r="AU351" s="511"/>
      <c r="AV351" s="511"/>
      <c r="AW351" s="511"/>
      <c r="AX351" s="511"/>
      <c r="AY351" s="511"/>
      <c r="AZ351" s="511"/>
      <c r="BA351" s="511"/>
    </row>
    <row r="352" spans="1:53" customFormat="1">
      <c r="A352" s="511"/>
      <c r="B352" s="511"/>
      <c r="C352" s="511"/>
      <c r="D352" s="511"/>
      <c r="E352" s="511"/>
      <c r="F352" s="511"/>
      <c r="G352" s="511"/>
      <c r="H352" s="517"/>
      <c r="I352" s="511"/>
      <c r="J352" s="511"/>
      <c r="K352" s="511"/>
      <c r="L352" s="511"/>
      <c r="M352" s="511"/>
      <c r="N352" s="511"/>
      <c r="O352" s="511"/>
      <c r="P352" s="511"/>
      <c r="Q352" s="511"/>
      <c r="R352" s="511"/>
      <c r="S352" s="511"/>
      <c r="T352" s="511"/>
      <c r="U352" s="511"/>
      <c r="V352" s="511"/>
      <c r="W352" s="511"/>
      <c r="X352" s="511"/>
      <c r="Y352" s="511"/>
      <c r="Z352" s="511"/>
      <c r="AA352" s="511"/>
      <c r="AB352" s="511"/>
      <c r="AC352" s="511"/>
      <c r="AD352" s="511"/>
      <c r="AE352" s="511"/>
      <c r="AF352" s="511"/>
      <c r="AG352" s="511"/>
      <c r="AH352" s="511"/>
      <c r="AI352" s="511"/>
      <c r="AJ352" s="511"/>
      <c r="AK352" s="511"/>
      <c r="AL352" s="511"/>
      <c r="AM352" s="511"/>
      <c r="AN352" s="511"/>
      <c r="AO352" s="511"/>
      <c r="AP352" s="511"/>
      <c r="AQ352" s="511"/>
      <c r="AR352" s="511"/>
      <c r="AS352" s="511"/>
      <c r="AT352" s="511"/>
      <c r="AU352" s="511"/>
      <c r="AV352" s="511"/>
      <c r="AW352" s="511"/>
      <c r="AX352" s="511"/>
      <c r="AY352" s="511"/>
      <c r="AZ352" s="511"/>
      <c r="BA352" s="511"/>
    </row>
    <row r="353" spans="1:53" customFormat="1">
      <c r="A353" s="511"/>
      <c r="B353" s="511"/>
      <c r="C353" s="511"/>
      <c r="D353" s="511"/>
      <c r="E353" s="511"/>
      <c r="F353" s="511"/>
      <c r="G353" s="511"/>
      <c r="H353" s="517"/>
      <c r="I353" s="511"/>
      <c r="J353" s="511"/>
      <c r="K353" s="511"/>
      <c r="L353" s="511"/>
      <c r="M353" s="511"/>
      <c r="N353" s="511"/>
      <c r="O353" s="511"/>
      <c r="P353" s="511"/>
      <c r="Q353" s="511"/>
      <c r="R353" s="511"/>
      <c r="S353" s="511"/>
      <c r="T353" s="511"/>
      <c r="U353" s="511"/>
      <c r="V353" s="511"/>
      <c r="W353" s="511"/>
      <c r="X353" s="511"/>
      <c r="Y353" s="511"/>
      <c r="Z353" s="511"/>
      <c r="AA353" s="511"/>
      <c r="AB353" s="511"/>
      <c r="AC353" s="511"/>
      <c r="AD353" s="511"/>
      <c r="AE353" s="511"/>
      <c r="AF353" s="511"/>
      <c r="AG353" s="511"/>
      <c r="AH353" s="511"/>
      <c r="AI353" s="511"/>
      <c r="AJ353" s="511"/>
      <c r="AK353" s="511"/>
      <c r="AL353" s="511"/>
      <c r="AM353" s="511"/>
      <c r="AN353" s="511"/>
      <c r="AO353" s="511"/>
      <c r="AP353" s="511"/>
      <c r="AQ353" s="511"/>
      <c r="AR353" s="511"/>
      <c r="AS353" s="511"/>
      <c r="AT353" s="511"/>
      <c r="AU353" s="511"/>
      <c r="AV353" s="511"/>
      <c r="AW353" s="511"/>
      <c r="AX353" s="511"/>
      <c r="AY353" s="511"/>
      <c r="AZ353" s="511"/>
      <c r="BA353" s="511"/>
    </row>
    <row r="354" spans="1:53" customFormat="1">
      <c r="A354" s="511"/>
      <c r="B354" s="511"/>
      <c r="C354" s="511"/>
      <c r="D354" s="511"/>
      <c r="E354" s="511"/>
      <c r="F354" s="511"/>
      <c r="G354" s="511"/>
      <c r="H354" s="517"/>
      <c r="I354" s="511"/>
      <c r="J354" s="511"/>
      <c r="K354" s="511"/>
      <c r="L354" s="511"/>
      <c r="M354" s="511"/>
      <c r="N354" s="511"/>
      <c r="O354" s="511"/>
      <c r="P354" s="511"/>
      <c r="Q354" s="511"/>
      <c r="R354" s="511"/>
      <c r="S354" s="511"/>
      <c r="T354" s="511"/>
      <c r="U354" s="511"/>
      <c r="V354" s="511"/>
      <c r="W354" s="511"/>
      <c r="X354" s="511"/>
      <c r="Y354" s="511"/>
      <c r="Z354" s="511"/>
      <c r="AA354" s="511"/>
      <c r="AB354" s="511"/>
      <c r="AC354" s="511"/>
      <c r="AD354" s="511"/>
      <c r="AE354" s="511"/>
      <c r="AF354" s="511"/>
      <c r="AG354" s="511"/>
      <c r="AH354" s="511"/>
      <c r="AI354" s="511"/>
      <c r="AJ354" s="511"/>
      <c r="AK354" s="511"/>
      <c r="AL354" s="511"/>
      <c r="AM354" s="511"/>
      <c r="AN354" s="511"/>
      <c r="AO354" s="511"/>
      <c r="AP354" s="511"/>
      <c r="AQ354" s="511"/>
      <c r="AR354" s="511"/>
      <c r="AS354" s="511"/>
      <c r="AT354" s="511"/>
      <c r="AU354" s="511"/>
      <c r="AV354" s="511"/>
      <c r="AW354" s="511"/>
      <c r="AX354" s="511"/>
      <c r="AY354" s="511"/>
      <c r="AZ354" s="511"/>
      <c r="BA354" s="511"/>
    </row>
    <row r="355" spans="1:53" customFormat="1">
      <c r="A355" s="511"/>
      <c r="B355" s="511"/>
      <c r="C355" s="511"/>
      <c r="D355" s="511"/>
      <c r="E355" s="511"/>
      <c r="F355" s="511"/>
      <c r="G355" s="511"/>
      <c r="H355" s="517"/>
      <c r="I355" s="511"/>
      <c r="J355" s="511"/>
      <c r="K355" s="511"/>
      <c r="L355" s="511"/>
      <c r="M355" s="511"/>
      <c r="N355" s="511"/>
      <c r="O355" s="511"/>
      <c r="P355" s="511"/>
      <c r="Q355" s="511"/>
      <c r="R355" s="511"/>
      <c r="S355" s="511"/>
      <c r="T355" s="511"/>
      <c r="U355" s="511"/>
      <c r="V355" s="511"/>
      <c r="W355" s="511"/>
      <c r="X355" s="511"/>
      <c r="Y355" s="511"/>
      <c r="Z355" s="511"/>
      <c r="AA355" s="511"/>
      <c r="AB355" s="511"/>
      <c r="AC355" s="511"/>
      <c r="AD355" s="511"/>
      <c r="AE355" s="511"/>
      <c r="AF355" s="511"/>
      <c r="AG355" s="511"/>
      <c r="AH355" s="511"/>
      <c r="AI355" s="511"/>
      <c r="AJ355" s="511"/>
      <c r="AK355" s="511"/>
      <c r="AL355" s="511"/>
      <c r="AM355" s="511"/>
      <c r="AN355" s="511"/>
      <c r="AO355" s="511"/>
      <c r="AP355" s="511"/>
      <c r="AQ355" s="511"/>
      <c r="AR355" s="511"/>
      <c r="AS355" s="511"/>
      <c r="AT355" s="511"/>
      <c r="AU355" s="511"/>
      <c r="AV355" s="511"/>
      <c r="AW355" s="511"/>
      <c r="AX355" s="511"/>
      <c r="AY355" s="511"/>
      <c r="AZ355" s="511"/>
      <c r="BA355" s="511"/>
    </row>
    <row r="356" spans="1:53" customFormat="1">
      <c r="A356" s="511"/>
      <c r="B356" s="511"/>
      <c r="C356" s="511"/>
      <c r="D356" s="511"/>
      <c r="E356" s="511"/>
      <c r="F356" s="511"/>
      <c r="G356" s="511"/>
      <c r="H356" s="517"/>
      <c r="I356" s="511"/>
      <c r="J356" s="511"/>
      <c r="K356" s="511"/>
      <c r="L356" s="511"/>
      <c r="M356" s="511"/>
      <c r="N356" s="511"/>
      <c r="O356" s="511"/>
      <c r="P356" s="511"/>
      <c r="Q356" s="511"/>
      <c r="R356" s="511"/>
      <c r="S356" s="511"/>
      <c r="T356" s="511"/>
      <c r="U356" s="511"/>
      <c r="V356" s="511"/>
      <c r="W356" s="511"/>
      <c r="X356" s="511"/>
      <c r="Y356" s="511"/>
      <c r="Z356" s="511"/>
      <c r="AA356" s="511"/>
      <c r="AB356" s="511"/>
      <c r="AC356" s="511"/>
      <c r="AD356" s="511"/>
      <c r="AE356" s="511"/>
      <c r="AF356" s="511"/>
      <c r="AG356" s="511"/>
      <c r="AH356" s="511"/>
      <c r="AI356" s="511"/>
      <c r="AJ356" s="511"/>
      <c r="AK356" s="511"/>
      <c r="AL356" s="511"/>
      <c r="AM356" s="511"/>
      <c r="AN356" s="511"/>
      <c r="AO356" s="511"/>
      <c r="AP356" s="511"/>
      <c r="AQ356" s="511"/>
      <c r="AR356" s="511"/>
      <c r="AS356" s="511"/>
      <c r="AT356" s="511"/>
      <c r="AU356" s="511"/>
      <c r="AV356" s="511"/>
      <c r="AW356" s="511"/>
      <c r="AX356" s="511"/>
      <c r="AY356" s="511"/>
      <c r="AZ356" s="511"/>
      <c r="BA356" s="511"/>
    </row>
    <row r="357" spans="1:53" customFormat="1">
      <c r="A357" s="511"/>
      <c r="B357" s="511"/>
      <c r="C357" s="511"/>
      <c r="D357" s="511"/>
      <c r="E357" s="511"/>
      <c r="F357" s="511"/>
      <c r="G357" s="511"/>
      <c r="H357" s="517"/>
      <c r="I357" s="511"/>
      <c r="J357" s="511"/>
      <c r="K357" s="511"/>
      <c r="L357" s="511"/>
      <c r="M357" s="511"/>
      <c r="N357" s="511"/>
      <c r="O357" s="511"/>
      <c r="P357" s="511"/>
      <c r="Q357" s="511"/>
      <c r="R357" s="511"/>
      <c r="S357" s="511"/>
      <c r="T357" s="511"/>
      <c r="U357" s="511"/>
      <c r="V357" s="511"/>
      <c r="W357" s="511"/>
      <c r="X357" s="511"/>
      <c r="Y357" s="511"/>
      <c r="Z357" s="511"/>
      <c r="AA357" s="511"/>
      <c r="AB357" s="511"/>
      <c r="AC357" s="511"/>
      <c r="AD357" s="511"/>
      <c r="AE357" s="511"/>
      <c r="AF357" s="511"/>
      <c r="AG357" s="511"/>
      <c r="AH357" s="511"/>
      <c r="AI357" s="511"/>
      <c r="AJ357" s="511"/>
      <c r="AK357" s="511"/>
      <c r="AL357" s="511"/>
      <c r="AM357" s="511"/>
      <c r="AN357" s="511"/>
      <c r="AO357" s="511"/>
      <c r="AP357" s="511"/>
      <c r="AQ357" s="511"/>
      <c r="AR357" s="511"/>
      <c r="AS357" s="511"/>
      <c r="AT357" s="511"/>
      <c r="AU357" s="511"/>
      <c r="AV357" s="511"/>
      <c r="AW357" s="511"/>
      <c r="AX357" s="511"/>
      <c r="AY357" s="511"/>
      <c r="AZ357" s="511"/>
      <c r="BA357" s="511"/>
    </row>
    <row r="358" spans="1:53" customFormat="1">
      <c r="A358" s="511"/>
      <c r="B358" s="511"/>
      <c r="C358" s="511"/>
      <c r="D358" s="511"/>
      <c r="E358" s="511"/>
      <c r="F358" s="511"/>
      <c r="G358" s="511"/>
      <c r="H358" s="517"/>
      <c r="I358" s="511"/>
      <c r="J358" s="511"/>
      <c r="K358" s="511"/>
      <c r="L358" s="511"/>
      <c r="M358" s="511"/>
      <c r="N358" s="511"/>
      <c r="O358" s="511"/>
      <c r="P358" s="511"/>
      <c r="Q358" s="511"/>
      <c r="R358" s="511"/>
      <c r="S358" s="511"/>
      <c r="T358" s="511"/>
      <c r="U358" s="511"/>
      <c r="V358" s="511"/>
      <c r="W358" s="511"/>
      <c r="X358" s="511"/>
      <c r="Y358" s="511"/>
      <c r="Z358" s="511"/>
      <c r="AA358" s="511"/>
      <c r="AB358" s="511"/>
      <c r="AC358" s="511"/>
      <c r="AD358" s="511"/>
      <c r="AE358" s="511"/>
      <c r="AF358" s="511"/>
      <c r="AG358" s="511"/>
      <c r="AH358" s="511"/>
      <c r="AI358" s="511"/>
      <c r="AJ358" s="511"/>
      <c r="AK358" s="511"/>
      <c r="AL358" s="511"/>
      <c r="AM358" s="511"/>
      <c r="AN358" s="511"/>
      <c r="AO358" s="511"/>
      <c r="AP358" s="511"/>
      <c r="AQ358" s="511"/>
      <c r="AR358" s="511"/>
      <c r="AS358" s="511"/>
      <c r="AT358" s="511"/>
      <c r="AU358" s="511"/>
      <c r="AV358" s="511"/>
      <c r="AW358" s="511"/>
      <c r="AX358" s="511"/>
      <c r="AY358" s="511"/>
      <c r="AZ358" s="511"/>
      <c r="BA358" s="511"/>
    </row>
    <row r="359" spans="1:53" customFormat="1">
      <c r="A359" s="511"/>
      <c r="B359" s="511"/>
      <c r="C359" s="511"/>
      <c r="D359" s="511"/>
      <c r="E359" s="511"/>
      <c r="F359" s="511"/>
      <c r="G359" s="511"/>
      <c r="H359" s="517"/>
      <c r="I359" s="511"/>
      <c r="J359" s="511"/>
      <c r="K359" s="511"/>
      <c r="L359" s="511"/>
      <c r="M359" s="511"/>
      <c r="N359" s="511"/>
      <c r="O359" s="511"/>
      <c r="P359" s="511"/>
      <c r="Q359" s="511"/>
      <c r="R359" s="511"/>
      <c r="S359" s="511"/>
      <c r="T359" s="511"/>
      <c r="U359" s="511"/>
      <c r="V359" s="511"/>
      <c r="W359" s="511"/>
      <c r="X359" s="511"/>
      <c r="Y359" s="511"/>
      <c r="Z359" s="511"/>
      <c r="AA359" s="511"/>
      <c r="AB359" s="511"/>
      <c r="AC359" s="511"/>
      <c r="AD359" s="511"/>
      <c r="AE359" s="511"/>
      <c r="AF359" s="511"/>
      <c r="AG359" s="511"/>
      <c r="AH359" s="511"/>
      <c r="AI359" s="511"/>
      <c r="AJ359" s="511"/>
      <c r="AK359" s="511"/>
      <c r="AL359" s="511"/>
      <c r="AM359" s="511"/>
      <c r="AN359" s="511"/>
      <c r="AO359" s="511"/>
      <c r="AP359" s="511"/>
      <c r="AQ359" s="511"/>
      <c r="AR359" s="511"/>
      <c r="AS359" s="511"/>
      <c r="AT359" s="511"/>
      <c r="AU359" s="511"/>
      <c r="AV359" s="511"/>
      <c r="AW359" s="511"/>
      <c r="AX359" s="511"/>
      <c r="AY359" s="511"/>
      <c r="AZ359" s="511"/>
      <c r="BA359" s="511"/>
    </row>
    <row r="360" spans="1:53" customFormat="1">
      <c r="A360" s="511"/>
      <c r="B360" s="511"/>
      <c r="C360" s="511"/>
      <c r="D360" s="511"/>
      <c r="E360" s="511"/>
      <c r="F360" s="511"/>
      <c r="G360" s="511"/>
      <c r="H360" s="517"/>
      <c r="I360" s="511"/>
      <c r="J360" s="511"/>
      <c r="K360" s="511"/>
      <c r="L360" s="511"/>
      <c r="M360" s="511"/>
      <c r="N360" s="511"/>
      <c r="O360" s="511"/>
      <c r="P360" s="511"/>
      <c r="Q360" s="511"/>
      <c r="R360" s="511"/>
      <c r="S360" s="511"/>
      <c r="T360" s="511"/>
      <c r="U360" s="511"/>
      <c r="V360" s="511"/>
      <c r="W360" s="511"/>
      <c r="X360" s="511"/>
      <c r="Y360" s="511"/>
      <c r="Z360" s="511"/>
      <c r="AA360" s="511"/>
      <c r="AB360" s="511"/>
      <c r="AC360" s="511"/>
      <c r="AD360" s="511"/>
      <c r="AE360" s="511"/>
      <c r="AF360" s="511"/>
      <c r="AG360" s="511"/>
      <c r="AH360" s="511"/>
      <c r="AI360" s="511"/>
      <c r="AJ360" s="511"/>
      <c r="AK360" s="511"/>
      <c r="AL360" s="511"/>
      <c r="AM360" s="511"/>
      <c r="AN360" s="511"/>
      <c r="AO360" s="511"/>
      <c r="AP360" s="511"/>
      <c r="AQ360" s="511"/>
      <c r="AR360" s="511"/>
      <c r="AS360" s="511"/>
      <c r="AT360" s="511"/>
      <c r="AU360" s="511"/>
      <c r="AV360" s="511"/>
      <c r="AW360" s="511"/>
      <c r="AX360" s="511"/>
      <c r="AY360" s="511"/>
      <c r="AZ360" s="511"/>
      <c r="BA360" s="511"/>
    </row>
    <row r="361" spans="1:53" customFormat="1">
      <c r="A361" s="511"/>
      <c r="B361" s="511"/>
      <c r="C361" s="511"/>
      <c r="D361" s="511"/>
      <c r="E361" s="511"/>
      <c r="F361" s="511"/>
      <c r="G361" s="511"/>
      <c r="H361" s="517"/>
      <c r="I361" s="511"/>
      <c r="J361" s="511"/>
      <c r="K361" s="511"/>
      <c r="L361" s="511"/>
      <c r="M361" s="511"/>
      <c r="N361" s="511"/>
      <c r="O361" s="511"/>
      <c r="P361" s="511"/>
      <c r="Q361" s="511"/>
      <c r="R361" s="511"/>
      <c r="S361" s="511"/>
      <c r="T361" s="511"/>
      <c r="U361" s="511"/>
      <c r="V361" s="511"/>
      <c r="W361" s="511"/>
      <c r="X361" s="511"/>
      <c r="Y361" s="511"/>
      <c r="Z361" s="511"/>
      <c r="AA361" s="511"/>
      <c r="AB361" s="511"/>
      <c r="AC361" s="511"/>
      <c r="AD361" s="511"/>
      <c r="AE361" s="511"/>
      <c r="AF361" s="511"/>
      <c r="AG361" s="511"/>
      <c r="AH361" s="511"/>
      <c r="AI361" s="511"/>
      <c r="AJ361" s="511"/>
      <c r="AK361" s="511"/>
      <c r="AL361" s="511"/>
      <c r="AM361" s="511"/>
      <c r="AN361" s="511"/>
      <c r="AO361" s="511"/>
      <c r="AP361" s="511"/>
      <c r="AQ361" s="511"/>
      <c r="AR361" s="511"/>
      <c r="AS361" s="511"/>
      <c r="AT361" s="511"/>
      <c r="AU361" s="511"/>
      <c r="AV361" s="511"/>
      <c r="AW361" s="511"/>
      <c r="AX361" s="511"/>
      <c r="AY361" s="511"/>
      <c r="AZ361" s="511"/>
      <c r="BA361" s="511"/>
    </row>
    <row r="362" spans="1:53" customFormat="1">
      <c r="A362" s="511"/>
      <c r="B362" s="511"/>
      <c r="C362" s="511"/>
      <c r="D362" s="511"/>
      <c r="E362" s="511"/>
      <c r="F362" s="511"/>
      <c r="G362" s="511"/>
      <c r="H362" s="517"/>
      <c r="I362" s="511"/>
      <c r="J362" s="511"/>
      <c r="K362" s="511"/>
      <c r="L362" s="511"/>
      <c r="M362" s="511"/>
      <c r="N362" s="511"/>
      <c r="O362" s="511"/>
      <c r="P362" s="511"/>
      <c r="Q362" s="511"/>
      <c r="R362" s="511"/>
      <c r="S362" s="511"/>
      <c r="T362" s="511"/>
      <c r="U362" s="511"/>
      <c r="V362" s="511"/>
      <c r="W362" s="511"/>
      <c r="X362" s="511"/>
      <c r="Y362" s="511"/>
      <c r="Z362" s="511"/>
      <c r="AA362" s="511"/>
      <c r="AB362" s="511"/>
      <c r="AC362" s="511"/>
      <c r="AD362" s="511"/>
      <c r="AE362" s="511"/>
      <c r="AF362" s="511"/>
      <c r="AG362" s="511"/>
      <c r="AH362" s="511"/>
      <c r="AI362" s="511"/>
      <c r="AJ362" s="511"/>
      <c r="AK362" s="511"/>
      <c r="AL362" s="511"/>
      <c r="AM362" s="511"/>
      <c r="AN362" s="511"/>
      <c r="AO362" s="511"/>
      <c r="AP362" s="511"/>
      <c r="AQ362" s="511"/>
      <c r="AR362" s="511"/>
      <c r="AS362" s="511"/>
      <c r="AT362" s="511"/>
      <c r="AU362" s="511"/>
      <c r="AV362" s="511"/>
      <c r="AW362" s="511"/>
      <c r="AX362" s="511"/>
      <c r="AY362" s="511"/>
      <c r="AZ362" s="511"/>
      <c r="BA362" s="511"/>
    </row>
    <row r="363" spans="1:53" customFormat="1">
      <c r="A363" s="511"/>
      <c r="B363" s="511"/>
      <c r="C363" s="511"/>
      <c r="D363" s="511"/>
      <c r="E363" s="511"/>
      <c r="F363" s="511"/>
      <c r="G363" s="511"/>
      <c r="H363" s="517"/>
      <c r="I363" s="511"/>
      <c r="J363" s="511"/>
      <c r="K363" s="511"/>
      <c r="L363" s="511"/>
      <c r="M363" s="511"/>
      <c r="N363" s="511"/>
      <c r="O363" s="511"/>
      <c r="P363" s="511"/>
      <c r="Q363" s="511"/>
      <c r="R363" s="511"/>
      <c r="S363" s="511"/>
      <c r="T363" s="511"/>
      <c r="U363" s="511"/>
      <c r="V363" s="511"/>
      <c r="W363" s="511"/>
      <c r="X363" s="511"/>
      <c r="Y363" s="511"/>
      <c r="Z363" s="511"/>
      <c r="AA363" s="511"/>
      <c r="AB363" s="511"/>
      <c r="AC363" s="511"/>
      <c r="AD363" s="511"/>
      <c r="AE363" s="511"/>
      <c r="AF363" s="511"/>
      <c r="AG363" s="511"/>
      <c r="AH363" s="511"/>
      <c r="AI363" s="511"/>
      <c r="AJ363" s="511"/>
      <c r="AK363" s="511"/>
      <c r="AL363" s="511"/>
      <c r="AM363" s="511"/>
      <c r="AN363" s="511"/>
      <c r="AO363" s="511"/>
      <c r="AP363" s="511"/>
      <c r="AQ363" s="511"/>
      <c r="AR363" s="511"/>
      <c r="AS363" s="511"/>
      <c r="AT363" s="511"/>
      <c r="AU363" s="511"/>
      <c r="AV363" s="511"/>
      <c r="AW363" s="511"/>
      <c r="AX363" s="511"/>
      <c r="AY363" s="511"/>
      <c r="AZ363" s="511"/>
      <c r="BA363" s="511"/>
    </row>
    <row r="364" spans="1:53" customFormat="1">
      <c r="A364" s="511"/>
      <c r="B364" s="511"/>
      <c r="C364" s="511"/>
      <c r="D364" s="511"/>
      <c r="E364" s="511"/>
      <c r="F364" s="511"/>
      <c r="G364" s="511"/>
      <c r="H364" s="517"/>
      <c r="I364" s="511"/>
      <c r="J364" s="511"/>
      <c r="K364" s="511"/>
      <c r="L364" s="511"/>
      <c r="M364" s="511"/>
      <c r="N364" s="511"/>
      <c r="O364" s="511"/>
      <c r="P364" s="511"/>
      <c r="Q364" s="511"/>
      <c r="R364" s="511"/>
      <c r="S364" s="511"/>
      <c r="T364" s="511"/>
      <c r="U364" s="511"/>
      <c r="V364" s="511"/>
      <c r="W364" s="511"/>
      <c r="X364" s="511"/>
      <c r="Y364" s="511"/>
      <c r="Z364" s="511"/>
      <c r="AA364" s="511"/>
      <c r="AB364" s="511"/>
      <c r="AC364" s="511"/>
      <c r="AD364" s="511"/>
      <c r="AE364" s="511"/>
      <c r="AF364" s="511"/>
      <c r="AG364" s="511"/>
      <c r="AH364" s="511"/>
      <c r="AI364" s="511"/>
      <c r="AJ364" s="511"/>
      <c r="AK364" s="511"/>
      <c r="AL364" s="511"/>
      <c r="AM364" s="511"/>
      <c r="AN364" s="511"/>
      <c r="AO364" s="511"/>
      <c r="AP364" s="511"/>
      <c r="AQ364" s="511"/>
      <c r="AR364" s="511"/>
      <c r="AS364" s="511"/>
      <c r="AT364" s="511"/>
      <c r="AU364" s="511"/>
      <c r="AV364" s="511"/>
      <c r="AW364" s="511"/>
      <c r="AX364" s="511"/>
      <c r="AY364" s="511"/>
      <c r="AZ364" s="511"/>
      <c r="BA364" s="511"/>
    </row>
    <row r="365" spans="1:53" customFormat="1">
      <c r="A365" s="511"/>
      <c r="B365" s="511"/>
      <c r="C365" s="511"/>
      <c r="D365" s="511"/>
      <c r="E365" s="511"/>
      <c r="F365" s="511"/>
      <c r="G365" s="511"/>
      <c r="H365" s="517"/>
      <c r="I365" s="511"/>
      <c r="J365" s="511"/>
      <c r="K365" s="511"/>
      <c r="L365" s="511"/>
      <c r="M365" s="511"/>
      <c r="N365" s="511"/>
      <c r="O365" s="511"/>
      <c r="P365" s="511"/>
      <c r="Q365" s="511"/>
      <c r="R365" s="511"/>
      <c r="S365" s="511"/>
      <c r="T365" s="511"/>
      <c r="U365" s="511"/>
      <c r="V365" s="511"/>
      <c r="W365" s="511"/>
      <c r="X365" s="511"/>
      <c r="Y365" s="511"/>
      <c r="Z365" s="511"/>
      <c r="AA365" s="511"/>
      <c r="AB365" s="511"/>
      <c r="AC365" s="511"/>
      <c r="AD365" s="511"/>
      <c r="AE365" s="511"/>
      <c r="AF365" s="511"/>
      <c r="AG365" s="511"/>
      <c r="AH365" s="511"/>
      <c r="AI365" s="511"/>
      <c r="AJ365" s="511"/>
      <c r="AK365" s="511"/>
      <c r="AL365" s="511"/>
      <c r="AM365" s="511"/>
      <c r="AN365" s="511"/>
      <c r="AO365" s="511"/>
      <c r="AP365" s="511"/>
      <c r="AQ365" s="511"/>
      <c r="AR365" s="511"/>
      <c r="AS365" s="511"/>
      <c r="AT365" s="511"/>
      <c r="AU365" s="511"/>
      <c r="AV365" s="511"/>
      <c r="AW365" s="511"/>
      <c r="AX365" s="511"/>
      <c r="AY365" s="511"/>
      <c r="AZ365" s="511"/>
      <c r="BA365" s="511"/>
    </row>
    <row r="366" spans="1:53" customFormat="1">
      <c r="A366" s="511"/>
      <c r="B366" s="511"/>
      <c r="C366" s="511"/>
      <c r="D366" s="511"/>
      <c r="E366" s="511"/>
      <c r="F366" s="511"/>
      <c r="G366" s="511"/>
      <c r="H366" s="517"/>
      <c r="I366" s="511"/>
      <c r="J366" s="511"/>
      <c r="K366" s="511"/>
      <c r="L366" s="511"/>
      <c r="M366" s="511"/>
      <c r="N366" s="511"/>
      <c r="O366" s="511"/>
      <c r="P366" s="511"/>
      <c r="Q366" s="511"/>
      <c r="R366" s="511"/>
      <c r="S366" s="511"/>
      <c r="T366" s="511"/>
      <c r="U366" s="511"/>
      <c r="V366" s="511"/>
      <c r="W366" s="511"/>
      <c r="X366" s="511"/>
      <c r="Y366" s="511"/>
      <c r="Z366" s="511"/>
      <c r="AA366" s="511"/>
      <c r="AB366" s="511"/>
      <c r="AC366" s="511"/>
      <c r="AD366" s="511"/>
      <c r="AE366" s="511"/>
      <c r="AF366" s="511"/>
      <c r="AG366" s="511"/>
      <c r="AH366" s="511"/>
      <c r="AI366" s="511"/>
      <c r="AJ366" s="511"/>
      <c r="AK366" s="511"/>
      <c r="AL366" s="511"/>
      <c r="AM366" s="511"/>
      <c r="AN366" s="511"/>
      <c r="AO366" s="511"/>
      <c r="AP366" s="511"/>
      <c r="AQ366" s="511"/>
      <c r="AR366" s="511"/>
      <c r="AS366" s="511"/>
      <c r="AT366" s="511"/>
      <c r="AU366" s="511"/>
      <c r="AV366" s="511"/>
      <c r="AW366" s="511"/>
      <c r="AX366" s="511"/>
      <c r="AY366" s="511"/>
      <c r="AZ366" s="511"/>
      <c r="BA366" s="511"/>
    </row>
    <row r="367" spans="1:53" customFormat="1">
      <c r="A367" s="511"/>
      <c r="B367" s="511"/>
      <c r="C367" s="511"/>
      <c r="D367" s="511"/>
      <c r="E367" s="511"/>
      <c r="F367" s="511"/>
      <c r="G367" s="511"/>
      <c r="H367" s="517"/>
      <c r="I367" s="511"/>
      <c r="J367" s="511"/>
      <c r="K367" s="511"/>
      <c r="L367" s="511"/>
      <c r="M367" s="511"/>
      <c r="N367" s="511"/>
      <c r="O367" s="511"/>
      <c r="P367" s="511"/>
      <c r="Q367" s="511"/>
      <c r="R367" s="511"/>
      <c r="S367" s="511"/>
      <c r="T367" s="511"/>
      <c r="U367" s="511"/>
      <c r="V367" s="511"/>
      <c r="W367" s="511"/>
      <c r="X367" s="511"/>
      <c r="Y367" s="511"/>
      <c r="Z367" s="511"/>
      <c r="AA367" s="511"/>
      <c r="AB367" s="511"/>
      <c r="AC367" s="511"/>
      <c r="AD367" s="511"/>
      <c r="AE367" s="511"/>
      <c r="AF367" s="511"/>
      <c r="AG367" s="511"/>
      <c r="AH367" s="511"/>
      <c r="AI367" s="511"/>
      <c r="AJ367" s="511"/>
      <c r="AK367" s="511"/>
      <c r="AL367" s="511"/>
      <c r="AM367" s="511"/>
      <c r="AN367" s="511"/>
      <c r="AO367" s="511"/>
      <c r="AP367" s="511"/>
      <c r="AQ367" s="511"/>
      <c r="AR367" s="511"/>
      <c r="AS367" s="511"/>
      <c r="AT367" s="511"/>
      <c r="AU367" s="511"/>
      <c r="AV367" s="511"/>
      <c r="AW367" s="511"/>
      <c r="AX367" s="511"/>
      <c r="AY367" s="511"/>
      <c r="AZ367" s="511"/>
      <c r="BA367" s="511"/>
    </row>
    <row r="368" spans="1:53" customFormat="1">
      <c r="A368" s="511"/>
      <c r="B368" s="511"/>
      <c r="C368" s="511"/>
      <c r="D368" s="511"/>
      <c r="E368" s="511"/>
      <c r="F368" s="511"/>
      <c r="G368" s="511"/>
      <c r="H368" s="517"/>
      <c r="I368" s="511"/>
      <c r="J368" s="511"/>
      <c r="K368" s="511"/>
      <c r="L368" s="511"/>
      <c r="M368" s="511"/>
      <c r="N368" s="511"/>
      <c r="O368" s="511"/>
      <c r="P368" s="511"/>
      <c r="Q368" s="511"/>
      <c r="R368" s="511"/>
      <c r="S368" s="511"/>
      <c r="T368" s="511"/>
      <c r="U368" s="511"/>
      <c r="V368" s="511"/>
      <c r="W368" s="511"/>
      <c r="X368" s="511"/>
      <c r="Y368" s="511"/>
      <c r="Z368" s="511"/>
      <c r="AA368" s="511"/>
      <c r="AB368" s="511"/>
      <c r="AC368" s="511"/>
      <c r="AD368" s="511"/>
      <c r="AE368" s="511"/>
      <c r="AF368" s="511"/>
      <c r="AG368" s="511"/>
      <c r="AH368" s="511"/>
      <c r="AI368" s="511"/>
      <c r="AJ368" s="511"/>
      <c r="AK368" s="511"/>
      <c r="AL368" s="511"/>
      <c r="AM368" s="511"/>
      <c r="AN368" s="511"/>
      <c r="AO368" s="511"/>
      <c r="AP368" s="511"/>
      <c r="AQ368" s="511"/>
      <c r="AR368" s="511"/>
      <c r="AS368" s="511"/>
      <c r="AT368" s="511"/>
      <c r="AU368" s="511"/>
      <c r="AV368" s="511"/>
      <c r="AW368" s="511"/>
      <c r="AX368" s="511"/>
      <c r="AY368" s="511"/>
      <c r="AZ368" s="511"/>
      <c r="BA368" s="511"/>
    </row>
    <row r="369" spans="1:53" customFormat="1">
      <c r="A369" s="511"/>
      <c r="B369" s="511"/>
      <c r="C369" s="511"/>
      <c r="D369" s="511"/>
      <c r="E369" s="511"/>
      <c r="F369" s="511"/>
      <c r="G369" s="511"/>
      <c r="H369" s="517"/>
      <c r="I369" s="511"/>
      <c r="J369" s="511"/>
      <c r="K369" s="511"/>
      <c r="L369" s="511"/>
      <c r="M369" s="511"/>
      <c r="N369" s="511"/>
      <c r="O369" s="511"/>
      <c r="P369" s="511"/>
      <c r="Q369" s="511"/>
      <c r="R369" s="511"/>
      <c r="S369" s="511"/>
      <c r="T369" s="511"/>
      <c r="U369" s="511"/>
      <c r="V369" s="511"/>
      <c r="W369" s="511"/>
      <c r="X369" s="511"/>
      <c r="Y369" s="511"/>
      <c r="Z369" s="511"/>
      <c r="AA369" s="511"/>
      <c r="AB369" s="511"/>
      <c r="AC369" s="511"/>
      <c r="AD369" s="511"/>
      <c r="AE369" s="511"/>
      <c r="AF369" s="511"/>
      <c r="AG369" s="511"/>
      <c r="AH369" s="511"/>
      <c r="AI369" s="511"/>
      <c r="AJ369" s="511"/>
      <c r="AK369" s="511"/>
      <c r="AL369" s="511"/>
      <c r="AM369" s="511"/>
      <c r="AN369" s="511"/>
      <c r="AO369" s="511"/>
      <c r="AP369" s="511"/>
      <c r="AQ369" s="511"/>
      <c r="AR369" s="511"/>
      <c r="AS369" s="511"/>
      <c r="AT369" s="511"/>
      <c r="AU369" s="511"/>
      <c r="AV369" s="511"/>
      <c r="AW369" s="511"/>
      <c r="AX369" s="511"/>
      <c r="AY369" s="511"/>
      <c r="AZ369" s="511"/>
      <c r="BA369" s="511"/>
    </row>
    <row r="370" spans="1:53" customFormat="1">
      <c r="A370" s="511"/>
      <c r="B370" s="511"/>
      <c r="C370" s="511"/>
      <c r="D370" s="511"/>
      <c r="E370" s="511"/>
      <c r="F370" s="511"/>
      <c r="G370" s="511"/>
      <c r="H370" s="517"/>
      <c r="I370" s="511"/>
      <c r="J370" s="511"/>
      <c r="K370" s="511"/>
      <c r="L370" s="511"/>
      <c r="M370" s="511"/>
      <c r="N370" s="511"/>
      <c r="O370" s="511"/>
      <c r="P370" s="511"/>
      <c r="Q370" s="511"/>
      <c r="R370" s="511"/>
      <c r="S370" s="511"/>
      <c r="T370" s="511"/>
      <c r="U370" s="511"/>
      <c r="V370" s="511"/>
      <c r="W370" s="511"/>
      <c r="X370" s="511"/>
      <c r="Y370" s="511"/>
      <c r="Z370" s="511"/>
      <c r="AA370" s="511"/>
      <c r="AB370" s="511"/>
      <c r="AC370" s="511"/>
      <c r="AD370" s="511"/>
      <c r="AE370" s="511"/>
      <c r="AF370" s="511"/>
      <c r="AG370" s="511"/>
      <c r="AH370" s="511"/>
      <c r="AI370" s="511"/>
      <c r="AJ370" s="511"/>
      <c r="AK370" s="511"/>
      <c r="AL370" s="511"/>
      <c r="AM370" s="511"/>
      <c r="AN370" s="511"/>
      <c r="AO370" s="511"/>
      <c r="AP370" s="511"/>
      <c r="AQ370" s="511"/>
      <c r="AR370" s="511"/>
      <c r="AS370" s="511"/>
      <c r="AT370" s="511"/>
      <c r="AU370" s="511"/>
      <c r="AV370" s="511"/>
      <c r="AW370" s="511"/>
      <c r="AX370" s="511"/>
      <c r="AY370" s="511"/>
      <c r="AZ370" s="511"/>
      <c r="BA370" s="511"/>
    </row>
    <row r="371" spans="1:53" customFormat="1">
      <c r="A371" s="511"/>
      <c r="B371" s="511"/>
      <c r="C371" s="511"/>
      <c r="D371" s="511"/>
      <c r="E371" s="511"/>
      <c r="F371" s="511"/>
      <c r="G371" s="511"/>
      <c r="H371" s="517"/>
      <c r="I371" s="511"/>
      <c r="J371" s="511"/>
      <c r="K371" s="511"/>
      <c r="L371" s="511"/>
      <c r="M371" s="511"/>
      <c r="N371" s="511"/>
      <c r="O371" s="511"/>
      <c r="P371" s="511"/>
      <c r="Q371" s="511"/>
      <c r="R371" s="511"/>
      <c r="S371" s="511"/>
      <c r="T371" s="511"/>
      <c r="U371" s="511"/>
      <c r="V371" s="511"/>
      <c r="W371" s="511"/>
      <c r="X371" s="511"/>
      <c r="Y371" s="511"/>
      <c r="Z371" s="511"/>
      <c r="AA371" s="511"/>
      <c r="AB371" s="511"/>
      <c r="AC371" s="511"/>
      <c r="AD371" s="511"/>
      <c r="AE371" s="511"/>
      <c r="AF371" s="511"/>
      <c r="AG371" s="511"/>
      <c r="AH371" s="511"/>
      <c r="AI371" s="511"/>
      <c r="AJ371" s="511"/>
      <c r="AK371" s="511"/>
      <c r="AL371" s="511"/>
      <c r="AM371" s="511"/>
      <c r="AN371" s="511"/>
      <c r="AO371" s="511"/>
      <c r="AP371" s="511"/>
      <c r="AQ371" s="511"/>
      <c r="AR371" s="511"/>
      <c r="AS371" s="511"/>
      <c r="AT371" s="511"/>
      <c r="AU371" s="511"/>
      <c r="AV371" s="511"/>
      <c r="AW371" s="511"/>
      <c r="AX371" s="511"/>
      <c r="AY371" s="511"/>
      <c r="AZ371" s="511"/>
      <c r="BA371" s="511"/>
    </row>
    <row r="372" spans="1:53" customFormat="1">
      <c r="A372" s="511"/>
      <c r="B372" s="511"/>
      <c r="C372" s="511"/>
      <c r="D372" s="511"/>
      <c r="E372" s="511"/>
      <c r="F372" s="511"/>
      <c r="G372" s="511"/>
      <c r="H372" s="517"/>
      <c r="I372" s="511"/>
      <c r="J372" s="511"/>
      <c r="K372" s="511"/>
      <c r="L372" s="511"/>
      <c r="M372" s="511"/>
      <c r="N372" s="511"/>
      <c r="O372" s="511"/>
      <c r="P372" s="511"/>
      <c r="Q372" s="511"/>
      <c r="R372" s="511"/>
      <c r="S372" s="511"/>
      <c r="T372" s="511"/>
      <c r="U372" s="511"/>
      <c r="V372" s="511"/>
      <c r="W372" s="511"/>
      <c r="X372" s="511"/>
      <c r="Y372" s="511"/>
      <c r="Z372" s="511"/>
      <c r="AA372" s="511"/>
      <c r="AB372" s="511"/>
      <c r="AC372" s="511"/>
      <c r="AD372" s="511"/>
      <c r="AE372" s="511"/>
      <c r="AF372" s="511"/>
      <c r="AG372" s="511"/>
      <c r="AH372" s="511"/>
      <c r="AI372" s="511"/>
      <c r="AJ372" s="511"/>
      <c r="AK372" s="511"/>
      <c r="AL372" s="511"/>
      <c r="AM372" s="511"/>
      <c r="AN372" s="511"/>
      <c r="AO372" s="511"/>
      <c r="AP372" s="511"/>
      <c r="AQ372" s="511"/>
      <c r="AR372" s="511"/>
      <c r="AS372" s="511"/>
      <c r="AT372" s="511"/>
      <c r="AU372" s="511"/>
      <c r="AV372" s="511"/>
      <c r="AW372" s="511"/>
      <c r="AX372" s="511"/>
      <c r="AY372" s="511"/>
      <c r="AZ372" s="511"/>
      <c r="BA372" s="511"/>
    </row>
    <row r="373" spans="1:53" customFormat="1">
      <c r="A373" s="511"/>
      <c r="B373" s="511"/>
      <c r="C373" s="511"/>
      <c r="D373" s="511"/>
      <c r="E373" s="511"/>
      <c r="F373" s="511"/>
      <c r="G373" s="511"/>
      <c r="H373" s="517"/>
      <c r="I373" s="511"/>
      <c r="J373" s="511"/>
      <c r="K373" s="511"/>
      <c r="L373" s="511"/>
      <c r="M373" s="511"/>
      <c r="N373" s="511"/>
      <c r="O373" s="511"/>
      <c r="P373" s="511"/>
      <c r="Q373" s="511"/>
      <c r="R373" s="511"/>
      <c r="S373" s="511"/>
      <c r="T373" s="511"/>
      <c r="U373" s="511"/>
      <c r="V373" s="511"/>
      <c r="W373" s="511"/>
      <c r="X373" s="511"/>
      <c r="Y373" s="511"/>
      <c r="Z373" s="511"/>
      <c r="AA373" s="511"/>
      <c r="AB373" s="511"/>
      <c r="AC373" s="511"/>
      <c r="AD373" s="511"/>
      <c r="AE373" s="511"/>
      <c r="AF373" s="511"/>
      <c r="AG373" s="511"/>
      <c r="AH373" s="511"/>
      <c r="AI373" s="511"/>
      <c r="AJ373" s="511"/>
      <c r="AK373" s="511"/>
      <c r="AL373" s="511"/>
      <c r="AM373" s="511"/>
      <c r="AN373" s="511"/>
      <c r="AO373" s="511"/>
      <c r="AP373" s="511"/>
      <c r="AQ373" s="511"/>
      <c r="AR373" s="511"/>
      <c r="AS373" s="511"/>
      <c r="AT373" s="511"/>
      <c r="AU373" s="511"/>
      <c r="AV373" s="511"/>
      <c r="AW373" s="511"/>
      <c r="AX373" s="511"/>
      <c r="AY373" s="511"/>
      <c r="AZ373" s="511"/>
      <c r="BA373" s="511"/>
    </row>
    <row r="374" spans="1:53" customFormat="1">
      <c r="A374" s="511"/>
      <c r="B374" s="511"/>
      <c r="C374" s="511"/>
      <c r="D374" s="511"/>
      <c r="E374" s="511"/>
      <c r="F374" s="511"/>
      <c r="G374" s="511"/>
      <c r="H374" s="517"/>
      <c r="I374" s="511"/>
      <c r="J374" s="511"/>
      <c r="K374" s="511"/>
      <c r="L374" s="511"/>
      <c r="M374" s="511"/>
      <c r="N374" s="511"/>
      <c r="O374" s="511"/>
      <c r="P374" s="511"/>
      <c r="Q374" s="511"/>
      <c r="R374" s="511"/>
      <c r="S374" s="511"/>
      <c r="T374" s="511"/>
      <c r="U374" s="511"/>
      <c r="V374" s="511"/>
      <c r="W374" s="511"/>
      <c r="X374" s="511"/>
      <c r="Y374" s="511"/>
      <c r="Z374" s="511"/>
      <c r="AA374" s="511"/>
      <c r="AB374" s="511"/>
      <c r="AC374" s="511"/>
      <c r="AD374" s="511"/>
      <c r="AE374" s="511"/>
      <c r="AF374" s="511"/>
      <c r="AG374" s="511"/>
      <c r="AH374" s="511"/>
      <c r="AI374" s="511"/>
      <c r="AJ374" s="511"/>
      <c r="AK374" s="511"/>
      <c r="AL374" s="511"/>
      <c r="AM374" s="511"/>
      <c r="AN374" s="511"/>
      <c r="AO374" s="511"/>
      <c r="AP374" s="511"/>
      <c r="AQ374" s="511"/>
      <c r="AR374" s="511"/>
      <c r="AS374" s="511"/>
      <c r="AT374" s="511"/>
      <c r="AU374" s="511"/>
      <c r="AV374" s="511"/>
      <c r="AW374" s="511"/>
      <c r="AX374" s="511"/>
      <c r="AY374" s="511"/>
      <c r="AZ374" s="511"/>
      <c r="BA374" s="511"/>
    </row>
    <row r="375" spans="1:53" customFormat="1">
      <c r="A375" s="511"/>
      <c r="B375" s="511"/>
      <c r="C375" s="511"/>
      <c r="D375" s="511"/>
      <c r="E375" s="511"/>
      <c r="F375" s="511"/>
      <c r="G375" s="511"/>
      <c r="H375" s="517"/>
      <c r="I375" s="511"/>
      <c r="J375" s="511"/>
      <c r="K375" s="511"/>
      <c r="L375" s="511"/>
      <c r="M375" s="511"/>
      <c r="N375" s="511"/>
      <c r="O375" s="511"/>
      <c r="P375" s="511"/>
      <c r="Q375" s="511"/>
      <c r="R375" s="511"/>
      <c r="S375" s="511"/>
      <c r="T375" s="511"/>
      <c r="U375" s="511"/>
      <c r="V375" s="511"/>
      <c r="W375" s="511"/>
      <c r="X375" s="511"/>
      <c r="Y375" s="511"/>
      <c r="Z375" s="511"/>
      <c r="AA375" s="511"/>
      <c r="AB375" s="511"/>
      <c r="AC375" s="511"/>
      <c r="AD375" s="511"/>
      <c r="AE375" s="511"/>
      <c r="AF375" s="511"/>
      <c r="AG375" s="511"/>
      <c r="AH375" s="511"/>
      <c r="AI375" s="511"/>
      <c r="AJ375" s="511"/>
      <c r="AK375" s="511"/>
      <c r="AL375" s="511"/>
      <c r="AM375" s="511"/>
      <c r="AN375" s="511"/>
      <c r="AO375" s="511"/>
      <c r="AP375" s="511"/>
      <c r="AQ375" s="511"/>
      <c r="AR375" s="511"/>
      <c r="AS375" s="511"/>
      <c r="AT375" s="511"/>
      <c r="AU375" s="511"/>
      <c r="AV375" s="511"/>
      <c r="AW375" s="511"/>
      <c r="AX375" s="511"/>
      <c r="AY375" s="511"/>
      <c r="AZ375" s="511"/>
      <c r="BA375" s="511"/>
    </row>
    <row r="376" spans="1:53" customFormat="1">
      <c r="A376" s="511"/>
      <c r="B376" s="511"/>
      <c r="C376" s="511"/>
      <c r="D376" s="511"/>
      <c r="E376" s="511"/>
      <c r="F376" s="511"/>
      <c r="G376" s="511"/>
      <c r="H376" s="517"/>
      <c r="I376" s="511"/>
      <c r="J376" s="511"/>
      <c r="K376" s="511"/>
      <c r="L376" s="511"/>
      <c r="M376" s="511"/>
      <c r="N376" s="511"/>
      <c r="O376" s="511"/>
      <c r="P376" s="511"/>
      <c r="Q376" s="511"/>
      <c r="R376" s="511"/>
      <c r="S376" s="511"/>
      <c r="T376" s="511"/>
      <c r="U376" s="511"/>
      <c r="V376" s="511"/>
      <c r="W376" s="511"/>
      <c r="X376" s="511"/>
      <c r="Y376" s="511"/>
      <c r="Z376" s="511"/>
      <c r="AA376" s="511"/>
      <c r="AB376" s="511"/>
      <c r="AC376" s="511"/>
      <c r="AD376" s="511"/>
      <c r="AE376" s="511"/>
      <c r="AF376" s="511"/>
      <c r="AG376" s="511"/>
      <c r="AH376" s="511"/>
      <c r="AI376" s="511"/>
      <c r="AJ376" s="511"/>
      <c r="AK376" s="511"/>
      <c r="AL376" s="511"/>
      <c r="AM376" s="511"/>
      <c r="AN376" s="511"/>
      <c r="AO376" s="511"/>
      <c r="AP376" s="511"/>
      <c r="AQ376" s="511"/>
      <c r="AR376" s="511"/>
      <c r="AS376" s="511"/>
      <c r="AT376" s="511"/>
      <c r="AU376" s="511"/>
      <c r="AV376" s="511"/>
      <c r="AW376" s="511"/>
      <c r="AX376" s="511"/>
      <c r="AY376" s="511"/>
      <c r="AZ376" s="511"/>
      <c r="BA376" s="511"/>
    </row>
    <row r="377" spans="1:53" customFormat="1">
      <c r="A377" s="511"/>
      <c r="B377" s="511"/>
      <c r="C377" s="511"/>
      <c r="D377" s="511"/>
      <c r="E377" s="511"/>
      <c r="F377" s="511"/>
      <c r="G377" s="511"/>
      <c r="H377" s="517"/>
      <c r="I377" s="511"/>
      <c r="J377" s="511"/>
      <c r="K377" s="511"/>
      <c r="L377" s="511"/>
      <c r="M377" s="511"/>
      <c r="N377" s="511"/>
      <c r="O377" s="511"/>
      <c r="P377" s="511"/>
      <c r="Q377" s="511"/>
      <c r="R377" s="511"/>
      <c r="S377" s="511"/>
      <c r="T377" s="511"/>
      <c r="U377" s="511"/>
      <c r="V377" s="511"/>
      <c r="W377" s="511"/>
      <c r="X377" s="511"/>
      <c r="Y377" s="511"/>
      <c r="Z377" s="511"/>
      <c r="AA377" s="511"/>
      <c r="AB377" s="511"/>
      <c r="AC377" s="511"/>
      <c r="AD377" s="511"/>
      <c r="AE377" s="511"/>
      <c r="AF377" s="511"/>
      <c r="AG377" s="511"/>
      <c r="AH377" s="511"/>
      <c r="AI377" s="511"/>
      <c r="AJ377" s="511"/>
      <c r="AK377" s="511"/>
      <c r="AL377" s="511"/>
      <c r="AM377" s="511"/>
      <c r="AN377" s="511"/>
      <c r="AO377" s="511"/>
      <c r="AP377" s="511"/>
      <c r="AQ377" s="511"/>
      <c r="AR377" s="511"/>
      <c r="AS377" s="511"/>
      <c r="AT377" s="511"/>
      <c r="AU377" s="511"/>
      <c r="AV377" s="511"/>
      <c r="AW377" s="511"/>
      <c r="AX377" s="511"/>
      <c r="AY377" s="511"/>
      <c r="AZ377" s="511"/>
      <c r="BA377" s="511"/>
    </row>
    <row r="378" spans="1:53" customFormat="1">
      <c r="A378" s="511"/>
      <c r="B378" s="511"/>
      <c r="C378" s="511"/>
      <c r="D378" s="511"/>
      <c r="E378" s="511"/>
      <c r="F378" s="511"/>
      <c r="G378" s="511"/>
      <c r="H378" s="517"/>
      <c r="I378" s="511"/>
      <c r="J378" s="511"/>
      <c r="K378" s="511"/>
      <c r="L378" s="511"/>
      <c r="M378" s="511"/>
      <c r="N378" s="511"/>
      <c r="O378" s="511"/>
      <c r="P378" s="511"/>
      <c r="Q378" s="511"/>
      <c r="R378" s="511"/>
      <c r="S378" s="511"/>
      <c r="T378" s="511"/>
      <c r="U378" s="511"/>
      <c r="V378" s="511"/>
      <c r="W378" s="511"/>
      <c r="X378" s="511"/>
      <c r="Y378" s="511"/>
      <c r="Z378" s="511"/>
      <c r="AA378" s="511"/>
      <c r="AB378" s="511"/>
      <c r="AC378" s="511"/>
      <c r="AD378" s="511"/>
      <c r="AE378" s="511"/>
      <c r="AF378" s="511"/>
      <c r="AG378" s="511"/>
      <c r="AH378" s="511"/>
      <c r="AI378" s="511"/>
      <c r="AJ378" s="511"/>
      <c r="AK378" s="511"/>
      <c r="AL378" s="511"/>
      <c r="AM378" s="511"/>
      <c r="AN378" s="511"/>
      <c r="AO378" s="511"/>
      <c r="AP378" s="511"/>
      <c r="AQ378" s="511"/>
      <c r="AR378" s="511"/>
      <c r="AS378" s="511"/>
      <c r="AT378" s="511"/>
      <c r="AU378" s="511"/>
      <c r="AV378" s="511"/>
      <c r="AW378" s="511"/>
      <c r="AX378" s="511"/>
      <c r="AY378" s="511"/>
      <c r="AZ378" s="511"/>
      <c r="BA378" s="511"/>
    </row>
    <row r="379" spans="1:53" customFormat="1">
      <c r="A379" s="511"/>
      <c r="B379" s="511"/>
      <c r="C379" s="511"/>
      <c r="D379" s="511"/>
      <c r="E379" s="511"/>
      <c r="F379" s="511"/>
      <c r="G379" s="511"/>
      <c r="H379" s="517"/>
      <c r="I379" s="511"/>
      <c r="J379" s="511"/>
      <c r="K379" s="511"/>
      <c r="L379" s="511"/>
      <c r="M379" s="511"/>
      <c r="N379" s="511"/>
      <c r="O379" s="511"/>
      <c r="P379" s="511"/>
      <c r="Q379" s="511"/>
      <c r="R379" s="511"/>
      <c r="S379" s="511"/>
      <c r="T379" s="511"/>
      <c r="U379" s="511"/>
      <c r="V379" s="511"/>
      <c r="W379" s="511"/>
      <c r="X379" s="511"/>
      <c r="Y379" s="511"/>
      <c r="Z379" s="511"/>
      <c r="AA379" s="511"/>
      <c r="AB379" s="511"/>
      <c r="AC379" s="511"/>
      <c r="AD379" s="511"/>
      <c r="AE379" s="511"/>
      <c r="AF379" s="511"/>
      <c r="AG379" s="511"/>
      <c r="AH379" s="511"/>
      <c r="AI379" s="511"/>
      <c r="AJ379" s="511"/>
      <c r="AK379" s="511"/>
      <c r="AL379" s="511"/>
      <c r="AM379" s="511"/>
      <c r="AN379" s="511"/>
      <c r="AO379" s="511"/>
      <c r="AP379" s="511"/>
      <c r="AQ379" s="511"/>
      <c r="AR379" s="511"/>
      <c r="AS379" s="511"/>
      <c r="AT379" s="511"/>
      <c r="AU379" s="511"/>
      <c r="AV379" s="511"/>
      <c r="AW379" s="511"/>
      <c r="AX379" s="511"/>
      <c r="AY379" s="511"/>
      <c r="AZ379" s="511"/>
      <c r="BA379" s="511"/>
    </row>
    <row r="380" spans="1:53" customFormat="1">
      <c r="A380" s="511"/>
      <c r="B380" s="511"/>
      <c r="C380" s="511"/>
      <c r="D380" s="511"/>
      <c r="E380" s="511"/>
      <c r="F380" s="511"/>
      <c r="G380" s="511"/>
      <c r="H380" s="517"/>
      <c r="I380" s="511"/>
      <c r="J380" s="511"/>
      <c r="K380" s="511"/>
      <c r="L380" s="511"/>
      <c r="M380" s="511"/>
      <c r="N380" s="511"/>
      <c r="O380" s="511"/>
      <c r="P380" s="511"/>
      <c r="Q380" s="511"/>
      <c r="R380" s="511"/>
      <c r="S380" s="511"/>
      <c r="T380" s="511"/>
      <c r="U380" s="511"/>
      <c r="V380" s="511"/>
      <c r="W380" s="511"/>
      <c r="X380" s="511"/>
      <c r="Y380" s="511"/>
      <c r="Z380" s="511"/>
      <c r="AA380" s="511"/>
      <c r="AB380" s="511"/>
      <c r="AC380" s="511"/>
      <c r="AD380" s="511"/>
      <c r="AE380" s="511"/>
      <c r="AF380" s="511"/>
      <c r="AG380" s="511"/>
      <c r="AH380" s="511"/>
      <c r="AI380" s="511"/>
      <c r="AJ380" s="511"/>
      <c r="AK380" s="511"/>
      <c r="AL380" s="511"/>
      <c r="AM380" s="511"/>
      <c r="AN380" s="511"/>
      <c r="AO380" s="511"/>
      <c r="AP380" s="511"/>
      <c r="AQ380" s="511"/>
      <c r="AR380" s="511"/>
      <c r="AS380" s="511"/>
      <c r="AT380" s="511"/>
      <c r="AU380" s="511"/>
      <c r="AV380" s="511"/>
      <c r="AW380" s="511"/>
      <c r="AX380" s="511"/>
      <c r="AY380" s="511"/>
      <c r="AZ380" s="511"/>
      <c r="BA380" s="511"/>
    </row>
    <row r="381" spans="1:53" customFormat="1">
      <c r="A381" s="511"/>
      <c r="B381" s="511"/>
      <c r="C381" s="511"/>
      <c r="D381" s="511"/>
      <c r="E381" s="511"/>
      <c r="F381" s="511"/>
      <c r="G381" s="511"/>
      <c r="H381" s="517"/>
      <c r="I381" s="511"/>
      <c r="J381" s="511"/>
      <c r="K381" s="511"/>
      <c r="L381" s="511"/>
      <c r="M381" s="511"/>
      <c r="N381" s="511"/>
      <c r="O381" s="511"/>
      <c r="P381" s="511"/>
      <c r="Q381" s="511"/>
      <c r="R381" s="511"/>
      <c r="S381" s="511"/>
      <c r="T381" s="511"/>
      <c r="U381" s="511"/>
      <c r="V381" s="511"/>
      <c r="W381" s="511"/>
      <c r="X381" s="511"/>
      <c r="Y381" s="511"/>
      <c r="Z381" s="511"/>
      <c r="AA381" s="511"/>
      <c r="AB381" s="511"/>
      <c r="AC381" s="511"/>
      <c r="AD381" s="511"/>
      <c r="AE381" s="511"/>
      <c r="AF381" s="511"/>
      <c r="AG381" s="511"/>
      <c r="AH381" s="511"/>
      <c r="AI381" s="511"/>
      <c r="AJ381" s="511"/>
      <c r="AK381" s="511"/>
      <c r="AL381" s="511"/>
      <c r="AM381" s="511"/>
      <c r="AN381" s="511"/>
      <c r="AO381" s="511"/>
      <c r="AP381" s="511"/>
      <c r="AQ381" s="511"/>
      <c r="AR381" s="511"/>
      <c r="AS381" s="511"/>
      <c r="AT381" s="511"/>
      <c r="AU381" s="511"/>
      <c r="AV381" s="511"/>
      <c r="AW381" s="511"/>
      <c r="AX381" s="511"/>
      <c r="AY381" s="511"/>
      <c r="AZ381" s="511"/>
      <c r="BA381" s="511"/>
    </row>
    <row r="382" spans="1:53" customFormat="1">
      <c r="A382" s="511"/>
      <c r="B382" s="511"/>
      <c r="C382" s="511"/>
      <c r="D382" s="511"/>
      <c r="E382" s="511"/>
      <c r="F382" s="511"/>
      <c r="G382" s="511"/>
      <c r="H382" s="517"/>
      <c r="I382" s="511"/>
      <c r="J382" s="511"/>
      <c r="K382" s="511"/>
      <c r="L382" s="511"/>
      <c r="M382" s="511"/>
      <c r="N382" s="511"/>
      <c r="O382" s="511"/>
      <c r="P382" s="511"/>
      <c r="Q382" s="511"/>
      <c r="R382" s="511"/>
      <c r="S382" s="511"/>
      <c r="T382" s="511"/>
      <c r="U382" s="511"/>
      <c r="V382" s="511"/>
      <c r="W382" s="511"/>
      <c r="X382" s="511"/>
      <c r="Y382" s="511"/>
      <c r="Z382" s="511"/>
      <c r="AA382" s="511"/>
      <c r="AB382" s="511"/>
      <c r="AC382" s="511"/>
      <c r="AD382" s="511"/>
      <c r="AE382" s="511"/>
      <c r="AF382" s="511"/>
      <c r="AG382" s="511"/>
      <c r="AH382" s="511"/>
      <c r="AI382" s="511"/>
      <c r="AJ382" s="511"/>
      <c r="AK382" s="511"/>
      <c r="AL382" s="511"/>
      <c r="AM382" s="511"/>
      <c r="AN382" s="511"/>
      <c r="AO382" s="511"/>
      <c r="AP382" s="511"/>
      <c r="AQ382" s="511"/>
      <c r="AR382" s="511"/>
      <c r="AS382" s="511"/>
      <c r="AT382" s="511"/>
      <c r="AU382" s="511"/>
      <c r="AV382" s="511"/>
      <c r="AW382" s="511"/>
      <c r="AX382" s="511"/>
      <c r="AY382" s="511"/>
      <c r="AZ382" s="511"/>
      <c r="BA382" s="511"/>
    </row>
    <row r="383" spans="1:53" customFormat="1">
      <c r="A383" s="511"/>
      <c r="B383" s="511"/>
      <c r="C383" s="511"/>
      <c r="D383" s="511"/>
      <c r="E383" s="511"/>
      <c r="F383" s="511"/>
      <c r="G383" s="511"/>
      <c r="H383" s="517"/>
      <c r="I383" s="511"/>
      <c r="J383" s="511"/>
      <c r="K383" s="511"/>
      <c r="L383" s="511"/>
      <c r="M383" s="511"/>
      <c r="N383" s="511"/>
      <c r="O383" s="511"/>
      <c r="P383" s="511"/>
      <c r="Q383" s="511"/>
      <c r="R383" s="511"/>
      <c r="S383" s="511"/>
      <c r="T383" s="511"/>
      <c r="U383" s="511"/>
      <c r="V383" s="511"/>
      <c r="W383" s="511"/>
      <c r="X383" s="511"/>
      <c r="Y383" s="511"/>
      <c r="Z383" s="511"/>
      <c r="AA383" s="511"/>
      <c r="AB383" s="511"/>
      <c r="AC383" s="511"/>
      <c r="AD383" s="511"/>
      <c r="AE383" s="511"/>
      <c r="AF383" s="511"/>
      <c r="AG383" s="511"/>
      <c r="AH383" s="511"/>
      <c r="AI383" s="511"/>
      <c r="AJ383" s="511"/>
      <c r="AK383" s="511"/>
      <c r="AL383" s="511"/>
      <c r="AM383" s="511"/>
      <c r="AN383" s="511"/>
      <c r="AO383" s="511"/>
      <c r="AP383" s="511"/>
      <c r="AQ383" s="511"/>
      <c r="AR383" s="511"/>
      <c r="AS383" s="511"/>
      <c r="AT383" s="511"/>
      <c r="AU383" s="511"/>
      <c r="AV383" s="511"/>
      <c r="AW383" s="511"/>
      <c r="AX383" s="511"/>
      <c r="AY383" s="511"/>
      <c r="AZ383" s="511"/>
      <c r="BA383" s="511"/>
    </row>
    <row r="384" spans="1:53" customFormat="1">
      <c r="A384" s="511"/>
      <c r="B384" s="511"/>
      <c r="C384" s="511"/>
      <c r="D384" s="511"/>
      <c r="E384" s="511"/>
      <c r="F384" s="511"/>
      <c r="G384" s="511"/>
      <c r="H384" s="517"/>
      <c r="I384" s="511"/>
      <c r="J384" s="511"/>
      <c r="K384" s="511"/>
      <c r="L384" s="511"/>
      <c r="M384" s="511"/>
      <c r="N384" s="511"/>
      <c r="O384" s="511"/>
      <c r="P384" s="511"/>
      <c r="Q384" s="511"/>
      <c r="R384" s="511"/>
      <c r="S384" s="511"/>
      <c r="T384" s="511"/>
      <c r="U384" s="511"/>
      <c r="V384" s="511"/>
      <c r="W384" s="511"/>
      <c r="X384" s="511"/>
      <c r="Y384" s="511"/>
      <c r="Z384" s="511"/>
      <c r="AA384" s="511"/>
      <c r="AB384" s="511"/>
      <c r="AC384" s="511"/>
      <c r="AD384" s="511"/>
      <c r="AE384" s="511"/>
      <c r="AF384" s="511"/>
      <c r="AG384" s="511"/>
      <c r="AH384" s="511"/>
      <c r="AI384" s="511"/>
      <c r="AJ384" s="511"/>
      <c r="AK384" s="511"/>
      <c r="AL384" s="511"/>
      <c r="AM384" s="511"/>
      <c r="AN384" s="511"/>
      <c r="AO384" s="511"/>
      <c r="AP384" s="511"/>
      <c r="AQ384" s="511"/>
      <c r="AR384" s="511"/>
      <c r="AS384" s="511"/>
      <c r="AT384" s="511"/>
      <c r="AU384" s="511"/>
      <c r="AV384" s="511"/>
      <c r="AW384" s="511"/>
      <c r="AX384" s="511"/>
      <c r="AY384" s="511"/>
      <c r="AZ384" s="511"/>
      <c r="BA384" s="511"/>
    </row>
    <row r="385" spans="1:53" customFormat="1">
      <c r="A385" s="511"/>
      <c r="B385" s="511"/>
      <c r="C385" s="511"/>
      <c r="D385" s="511"/>
      <c r="E385" s="511"/>
      <c r="F385" s="511"/>
      <c r="G385" s="511"/>
      <c r="H385" s="517"/>
      <c r="I385" s="511"/>
      <c r="J385" s="511"/>
      <c r="K385" s="511"/>
      <c r="L385" s="511"/>
      <c r="M385" s="511"/>
      <c r="N385" s="511"/>
      <c r="O385" s="511"/>
      <c r="P385" s="511"/>
      <c r="Q385" s="511"/>
      <c r="R385" s="511"/>
      <c r="S385" s="511"/>
      <c r="T385" s="511"/>
      <c r="U385" s="511"/>
      <c r="V385" s="511"/>
      <c r="W385" s="511"/>
      <c r="X385" s="511"/>
      <c r="Y385" s="511"/>
      <c r="Z385" s="511"/>
      <c r="AA385" s="511"/>
      <c r="AB385" s="511"/>
      <c r="AC385" s="511"/>
      <c r="AD385" s="511"/>
      <c r="AE385" s="511"/>
      <c r="AF385" s="511"/>
      <c r="AG385" s="511"/>
      <c r="AH385" s="511"/>
      <c r="AI385" s="511"/>
      <c r="AJ385" s="511"/>
      <c r="AK385" s="511"/>
      <c r="AL385" s="511"/>
      <c r="AM385" s="511"/>
      <c r="AN385" s="511"/>
      <c r="AO385" s="511"/>
      <c r="AP385" s="511"/>
      <c r="AQ385" s="511"/>
      <c r="AR385" s="511"/>
      <c r="AS385" s="511"/>
      <c r="AT385" s="511"/>
      <c r="AU385" s="511"/>
      <c r="AV385" s="511"/>
      <c r="AW385" s="511"/>
      <c r="AX385" s="511"/>
      <c r="AY385" s="511"/>
      <c r="AZ385" s="511"/>
      <c r="BA385" s="511"/>
    </row>
    <row r="386" spans="1:53" customFormat="1">
      <c r="A386" s="511"/>
      <c r="B386" s="511"/>
      <c r="C386" s="511"/>
      <c r="D386" s="511"/>
      <c r="E386" s="511"/>
      <c r="F386" s="511"/>
      <c r="G386" s="511"/>
      <c r="H386" s="517"/>
      <c r="I386" s="511"/>
      <c r="J386" s="511"/>
      <c r="K386" s="511"/>
      <c r="L386" s="511"/>
      <c r="M386" s="511"/>
      <c r="N386" s="511"/>
      <c r="O386" s="511"/>
      <c r="P386" s="511"/>
      <c r="Q386" s="511"/>
      <c r="R386" s="511"/>
      <c r="S386" s="511"/>
      <c r="T386" s="511"/>
      <c r="U386" s="511"/>
      <c r="V386" s="511"/>
      <c r="W386" s="511"/>
      <c r="X386" s="511"/>
      <c r="Y386" s="511"/>
      <c r="Z386" s="511"/>
      <c r="AA386" s="511"/>
      <c r="AB386" s="511"/>
      <c r="AC386" s="511"/>
      <c r="AD386" s="511"/>
      <c r="AE386" s="511"/>
      <c r="AF386" s="511"/>
      <c r="AG386" s="511"/>
      <c r="AH386" s="511"/>
      <c r="AI386" s="511"/>
      <c r="AJ386" s="511"/>
      <c r="AK386" s="511"/>
      <c r="AL386" s="511"/>
      <c r="AM386" s="511"/>
      <c r="AN386" s="511"/>
      <c r="AO386" s="511"/>
      <c r="AP386" s="511"/>
      <c r="AQ386" s="511"/>
      <c r="AR386" s="511"/>
      <c r="AS386" s="511"/>
      <c r="AT386" s="511"/>
      <c r="AU386" s="511"/>
      <c r="AV386" s="511"/>
      <c r="AW386" s="511"/>
      <c r="AX386" s="511"/>
      <c r="AY386" s="511"/>
      <c r="AZ386" s="511"/>
      <c r="BA386" s="511"/>
    </row>
    <row r="387" spans="1:53" customFormat="1">
      <c r="A387" s="511"/>
      <c r="B387" s="511"/>
      <c r="C387" s="511"/>
      <c r="D387" s="511"/>
      <c r="E387" s="511"/>
      <c r="F387" s="511"/>
      <c r="G387" s="511"/>
      <c r="H387" s="517"/>
      <c r="I387" s="511"/>
      <c r="J387" s="511"/>
      <c r="K387" s="511"/>
      <c r="L387" s="511"/>
      <c r="M387" s="511"/>
      <c r="N387" s="511"/>
      <c r="O387" s="511"/>
      <c r="P387" s="511"/>
      <c r="Q387" s="511"/>
      <c r="R387" s="511"/>
      <c r="S387" s="511"/>
      <c r="T387" s="511"/>
      <c r="U387" s="511"/>
      <c r="V387" s="511"/>
      <c r="W387" s="511"/>
      <c r="X387" s="511"/>
      <c r="Y387" s="511"/>
      <c r="Z387" s="511"/>
      <c r="AA387" s="511"/>
      <c r="AB387" s="511"/>
      <c r="AC387" s="511"/>
      <c r="AD387" s="511"/>
      <c r="AE387" s="511"/>
      <c r="AF387" s="511"/>
      <c r="AG387" s="511"/>
      <c r="AH387" s="511"/>
      <c r="AI387" s="511"/>
      <c r="AJ387" s="511"/>
      <c r="AK387" s="511"/>
      <c r="AL387" s="511"/>
      <c r="AM387" s="511"/>
      <c r="AN387" s="511"/>
      <c r="AO387" s="511"/>
      <c r="AP387" s="511"/>
      <c r="AQ387" s="511"/>
      <c r="AR387" s="511"/>
      <c r="AS387" s="511"/>
      <c r="AT387" s="511"/>
      <c r="AU387" s="511"/>
      <c r="AV387" s="511"/>
      <c r="AW387" s="511"/>
      <c r="AX387" s="511"/>
      <c r="AY387" s="511"/>
      <c r="AZ387" s="511"/>
      <c r="BA387" s="511"/>
    </row>
    <row r="388" spans="1:53" customFormat="1">
      <c r="A388" s="511"/>
      <c r="B388" s="511"/>
      <c r="C388" s="511"/>
      <c r="D388" s="511"/>
      <c r="E388" s="511"/>
      <c r="F388" s="511"/>
      <c r="G388" s="511"/>
      <c r="H388" s="517"/>
      <c r="I388" s="511"/>
      <c r="J388" s="511"/>
      <c r="K388" s="511"/>
      <c r="L388" s="511"/>
      <c r="M388" s="511"/>
      <c r="N388" s="511"/>
      <c r="O388" s="511"/>
      <c r="P388" s="511"/>
      <c r="Q388" s="511"/>
      <c r="R388" s="511"/>
      <c r="S388" s="511"/>
      <c r="T388" s="511"/>
      <c r="U388" s="511"/>
      <c r="V388" s="511"/>
      <c r="W388" s="511"/>
      <c r="X388" s="511"/>
      <c r="Y388" s="511"/>
      <c r="Z388" s="511"/>
      <c r="AA388" s="511"/>
      <c r="AB388" s="511"/>
      <c r="AC388" s="511"/>
      <c r="AD388" s="511"/>
      <c r="AE388" s="511"/>
      <c r="AF388" s="511"/>
      <c r="AG388" s="511"/>
      <c r="AH388" s="511"/>
      <c r="AI388" s="511"/>
      <c r="AJ388" s="511"/>
      <c r="AK388" s="511"/>
      <c r="AL388" s="511"/>
      <c r="AM388" s="511"/>
      <c r="AN388" s="511"/>
      <c r="AO388" s="511"/>
      <c r="AP388" s="511"/>
      <c r="AQ388" s="511"/>
      <c r="AR388" s="511"/>
      <c r="AS388" s="511"/>
      <c r="AT388" s="511"/>
      <c r="AU388" s="511"/>
      <c r="AV388" s="511"/>
      <c r="AW388" s="511"/>
      <c r="AX388" s="511"/>
      <c r="AY388" s="511"/>
      <c r="AZ388" s="511"/>
      <c r="BA388" s="511"/>
    </row>
    <row r="389" spans="1:53" customFormat="1">
      <c r="A389" s="511"/>
      <c r="B389" s="511"/>
      <c r="C389" s="511"/>
      <c r="D389" s="511"/>
      <c r="E389" s="511"/>
      <c r="F389" s="511"/>
      <c r="G389" s="511"/>
      <c r="H389" s="517"/>
      <c r="I389" s="511"/>
      <c r="J389" s="511"/>
      <c r="K389" s="511"/>
      <c r="L389" s="511"/>
      <c r="M389" s="511"/>
      <c r="N389" s="511"/>
      <c r="O389" s="511"/>
      <c r="P389" s="511"/>
      <c r="Q389" s="511"/>
      <c r="R389" s="511"/>
      <c r="S389" s="511"/>
      <c r="T389" s="511"/>
      <c r="U389" s="511"/>
      <c r="V389" s="511"/>
      <c r="W389" s="511"/>
      <c r="X389" s="511"/>
      <c r="Y389" s="511"/>
      <c r="Z389" s="511"/>
      <c r="AA389" s="511"/>
      <c r="AB389" s="511"/>
      <c r="AC389" s="511"/>
      <c r="AD389" s="511"/>
      <c r="AE389" s="511"/>
      <c r="AF389" s="511"/>
      <c r="AG389" s="511"/>
      <c r="AH389" s="511"/>
      <c r="AI389" s="511"/>
      <c r="AJ389" s="511"/>
      <c r="AK389" s="511"/>
      <c r="AL389" s="511"/>
      <c r="AM389" s="511"/>
      <c r="AN389" s="511"/>
      <c r="AO389" s="511"/>
      <c r="AP389" s="511"/>
      <c r="AQ389" s="511"/>
      <c r="AR389" s="511"/>
      <c r="AS389" s="511"/>
      <c r="AT389" s="511"/>
      <c r="AU389" s="511"/>
      <c r="AV389" s="511"/>
      <c r="AW389" s="511"/>
      <c r="AX389" s="511"/>
      <c r="AY389" s="511"/>
      <c r="AZ389" s="511"/>
      <c r="BA389" s="511"/>
    </row>
    <row r="390" spans="1:53" customFormat="1">
      <c r="A390" s="511"/>
      <c r="B390" s="511"/>
      <c r="C390" s="511"/>
      <c r="D390" s="511"/>
      <c r="E390" s="511"/>
      <c r="F390" s="511"/>
      <c r="G390" s="511"/>
      <c r="H390" s="517"/>
      <c r="I390" s="511"/>
      <c r="J390" s="511"/>
      <c r="K390" s="511"/>
      <c r="L390" s="511"/>
      <c r="M390" s="511"/>
      <c r="N390" s="511"/>
      <c r="O390" s="511"/>
      <c r="P390" s="511"/>
      <c r="Q390" s="511"/>
      <c r="R390" s="511"/>
      <c r="S390" s="511"/>
      <c r="T390" s="511"/>
      <c r="U390" s="511"/>
      <c r="V390" s="511"/>
      <c r="W390" s="511"/>
      <c r="X390" s="511"/>
      <c r="Y390" s="511"/>
      <c r="Z390" s="511"/>
      <c r="AA390" s="511"/>
      <c r="AB390" s="511"/>
      <c r="AC390" s="511"/>
      <c r="AD390" s="511"/>
      <c r="AE390" s="511"/>
      <c r="AF390" s="511"/>
      <c r="AG390" s="511"/>
      <c r="AH390" s="511"/>
      <c r="AI390" s="511"/>
      <c r="AJ390" s="511"/>
      <c r="AK390" s="511"/>
      <c r="AL390" s="511"/>
      <c r="AM390" s="511"/>
      <c r="AN390" s="511"/>
      <c r="AO390" s="511"/>
      <c r="AP390" s="511"/>
      <c r="AQ390" s="511"/>
      <c r="AR390" s="511"/>
      <c r="AS390" s="511"/>
      <c r="AT390" s="511"/>
      <c r="AU390" s="511"/>
      <c r="AV390" s="511"/>
      <c r="AW390" s="511"/>
      <c r="AX390" s="511"/>
      <c r="AY390" s="511"/>
      <c r="AZ390" s="511"/>
      <c r="BA390" s="511"/>
    </row>
    <row r="391" spans="1:53" customFormat="1">
      <c r="A391" s="511"/>
      <c r="B391" s="511"/>
      <c r="C391" s="511"/>
      <c r="D391" s="511"/>
      <c r="E391" s="511"/>
      <c r="F391" s="511"/>
      <c r="G391" s="511"/>
      <c r="H391" s="517"/>
      <c r="I391" s="511"/>
      <c r="J391" s="511"/>
      <c r="K391" s="511"/>
      <c r="L391" s="511"/>
      <c r="M391" s="511"/>
      <c r="N391" s="511"/>
      <c r="O391" s="511"/>
      <c r="P391" s="511"/>
      <c r="Q391" s="511"/>
      <c r="R391" s="511"/>
      <c r="S391" s="511"/>
      <c r="T391" s="511"/>
      <c r="U391" s="511"/>
      <c r="V391" s="511"/>
      <c r="W391" s="511"/>
      <c r="X391" s="511"/>
      <c r="Y391" s="511"/>
      <c r="Z391" s="511"/>
      <c r="AA391" s="511"/>
      <c r="AB391" s="511"/>
      <c r="AC391" s="511"/>
      <c r="AD391" s="511"/>
      <c r="AE391" s="511"/>
      <c r="AF391" s="511"/>
      <c r="AG391" s="511"/>
      <c r="AH391" s="511"/>
      <c r="AI391" s="511"/>
      <c r="AJ391" s="511"/>
      <c r="AK391" s="511"/>
      <c r="AL391" s="511"/>
      <c r="AM391" s="511"/>
      <c r="AN391" s="511"/>
      <c r="AO391" s="511"/>
      <c r="AP391" s="511"/>
      <c r="AQ391" s="511"/>
      <c r="AR391" s="511"/>
      <c r="AS391" s="511"/>
      <c r="AT391" s="511"/>
      <c r="AU391" s="511"/>
      <c r="AV391" s="511"/>
      <c r="AW391" s="511"/>
      <c r="AX391" s="511"/>
      <c r="AY391" s="511"/>
      <c r="AZ391" s="511"/>
      <c r="BA391" s="511"/>
    </row>
    <row r="392" spans="1:53" customFormat="1">
      <c r="A392" s="511"/>
      <c r="B392" s="511"/>
      <c r="C392" s="511"/>
      <c r="D392" s="511"/>
      <c r="E392" s="511"/>
      <c r="F392" s="511"/>
      <c r="G392" s="511"/>
      <c r="H392" s="517"/>
      <c r="I392" s="511"/>
      <c r="J392" s="511"/>
      <c r="K392" s="511"/>
      <c r="L392" s="511"/>
      <c r="M392" s="511"/>
      <c r="N392" s="511"/>
      <c r="O392" s="511"/>
      <c r="P392" s="511"/>
      <c r="Q392" s="511"/>
      <c r="R392" s="511"/>
      <c r="S392" s="511"/>
      <c r="T392" s="511"/>
      <c r="U392" s="511"/>
      <c r="V392" s="511"/>
      <c r="W392" s="511"/>
      <c r="X392" s="511"/>
      <c r="Y392" s="511"/>
      <c r="Z392" s="511"/>
      <c r="AA392" s="511"/>
      <c r="AB392" s="511"/>
      <c r="AC392" s="511"/>
      <c r="AD392" s="511"/>
      <c r="AE392" s="511"/>
      <c r="AF392" s="511"/>
      <c r="AG392" s="511"/>
      <c r="AH392" s="511"/>
      <c r="AI392" s="511"/>
      <c r="AJ392" s="511"/>
      <c r="AK392" s="511"/>
      <c r="AL392" s="511"/>
      <c r="AM392" s="511"/>
      <c r="AN392" s="511"/>
      <c r="AO392" s="511"/>
      <c r="AP392" s="511"/>
      <c r="AQ392" s="511"/>
      <c r="AR392" s="511"/>
      <c r="AS392" s="511"/>
      <c r="AT392" s="511"/>
      <c r="AU392" s="511"/>
      <c r="AV392" s="511"/>
      <c r="AW392" s="511"/>
      <c r="AX392" s="511"/>
      <c r="AY392" s="511"/>
      <c r="AZ392" s="511"/>
      <c r="BA392" s="511"/>
    </row>
    <row r="393" spans="1:53" customFormat="1">
      <c r="A393" s="511"/>
      <c r="B393" s="511"/>
      <c r="C393" s="511"/>
      <c r="D393" s="511"/>
      <c r="E393" s="511"/>
      <c r="F393" s="511"/>
      <c r="G393" s="511"/>
      <c r="H393" s="517"/>
      <c r="I393" s="511"/>
      <c r="J393" s="511"/>
      <c r="K393" s="511"/>
      <c r="L393" s="511"/>
      <c r="M393" s="511"/>
      <c r="N393" s="511"/>
      <c r="O393" s="511"/>
      <c r="P393" s="511"/>
      <c r="Q393" s="511"/>
      <c r="R393" s="511"/>
      <c r="S393" s="511"/>
      <c r="T393" s="511"/>
      <c r="U393" s="511"/>
      <c r="V393" s="511"/>
      <c r="W393" s="511"/>
      <c r="X393" s="511"/>
      <c r="Y393" s="511"/>
      <c r="Z393" s="511"/>
      <c r="AA393" s="511"/>
      <c r="AB393" s="511"/>
      <c r="AC393" s="511"/>
      <c r="AD393" s="511"/>
      <c r="AE393" s="511"/>
      <c r="AF393" s="511"/>
      <c r="AG393" s="511"/>
      <c r="AH393" s="511"/>
      <c r="AI393" s="511"/>
      <c r="AJ393" s="511"/>
      <c r="AK393" s="511"/>
      <c r="AL393" s="511"/>
      <c r="AM393" s="511"/>
      <c r="AN393" s="511"/>
      <c r="AO393" s="511"/>
      <c r="AP393" s="511"/>
      <c r="AQ393" s="511"/>
      <c r="AR393" s="511"/>
      <c r="AS393" s="511"/>
      <c r="AT393" s="511"/>
      <c r="AU393" s="511"/>
      <c r="AV393" s="511"/>
      <c r="AW393" s="511"/>
      <c r="AX393" s="511"/>
      <c r="AY393" s="511"/>
      <c r="AZ393" s="511"/>
      <c r="BA393" s="511"/>
    </row>
    <row r="394" spans="1:53" customFormat="1">
      <c r="A394" s="511"/>
      <c r="B394" s="511"/>
      <c r="C394" s="511"/>
      <c r="D394" s="511"/>
      <c r="E394" s="511"/>
      <c r="F394" s="511"/>
      <c r="G394" s="511"/>
      <c r="H394" s="517"/>
      <c r="I394" s="511"/>
      <c r="J394" s="511"/>
      <c r="K394" s="511"/>
      <c r="L394" s="511"/>
      <c r="M394" s="511"/>
      <c r="N394" s="511"/>
      <c r="O394" s="511"/>
      <c r="P394" s="511"/>
      <c r="Q394" s="511"/>
      <c r="R394" s="511"/>
      <c r="S394" s="511"/>
      <c r="T394" s="511"/>
      <c r="U394" s="511"/>
      <c r="V394" s="511"/>
      <c r="W394" s="511"/>
      <c r="X394" s="511"/>
      <c r="Y394" s="511"/>
      <c r="Z394" s="511"/>
      <c r="AA394" s="511"/>
      <c r="AB394" s="511"/>
      <c r="AC394" s="511"/>
      <c r="AD394" s="511"/>
      <c r="AE394" s="511"/>
      <c r="AF394" s="511"/>
      <c r="AG394" s="511"/>
      <c r="AH394" s="511"/>
      <c r="AI394" s="511"/>
      <c r="AJ394" s="511"/>
      <c r="AK394" s="511"/>
      <c r="AL394" s="511"/>
      <c r="AM394" s="511"/>
      <c r="AN394" s="511"/>
      <c r="AO394" s="511"/>
      <c r="AP394" s="511"/>
      <c r="AQ394" s="511"/>
      <c r="AR394" s="511"/>
      <c r="AS394" s="511"/>
      <c r="AT394" s="511"/>
      <c r="AU394" s="511"/>
      <c r="AV394" s="511"/>
      <c r="AW394" s="511"/>
      <c r="AX394" s="511"/>
      <c r="AY394" s="511"/>
      <c r="AZ394" s="511"/>
      <c r="BA394" s="511"/>
    </row>
    <row r="395" spans="1:53" customFormat="1">
      <c r="A395" s="511"/>
      <c r="B395" s="511"/>
      <c r="C395" s="511"/>
      <c r="D395" s="511"/>
      <c r="E395" s="511"/>
      <c r="F395" s="511"/>
      <c r="G395" s="511"/>
      <c r="H395" s="517"/>
      <c r="I395" s="511"/>
      <c r="J395" s="511"/>
      <c r="K395" s="511"/>
      <c r="L395" s="511"/>
      <c r="M395" s="511"/>
      <c r="N395" s="511"/>
      <c r="O395" s="511"/>
      <c r="P395" s="511"/>
      <c r="Q395" s="511"/>
      <c r="R395" s="511"/>
      <c r="S395" s="511"/>
      <c r="T395" s="511"/>
      <c r="U395" s="511"/>
      <c r="V395" s="511"/>
      <c r="W395" s="511"/>
      <c r="X395" s="511"/>
      <c r="Y395" s="511"/>
      <c r="Z395" s="511"/>
      <c r="AA395" s="511"/>
      <c r="AB395" s="511"/>
      <c r="AC395" s="511"/>
      <c r="AD395" s="511"/>
      <c r="AE395" s="511"/>
      <c r="AF395" s="511"/>
      <c r="AG395" s="511"/>
      <c r="AH395" s="511"/>
      <c r="AI395" s="511"/>
      <c r="AJ395" s="511"/>
      <c r="AK395" s="511"/>
      <c r="AL395" s="511"/>
      <c r="AM395" s="511"/>
      <c r="AN395" s="511"/>
      <c r="AO395" s="511"/>
      <c r="AP395" s="511"/>
      <c r="AQ395" s="511"/>
      <c r="AR395" s="511"/>
      <c r="AS395" s="511"/>
      <c r="AT395" s="511"/>
      <c r="AU395" s="511"/>
      <c r="AV395" s="511"/>
      <c r="AW395" s="511"/>
      <c r="AX395" s="511"/>
      <c r="AY395" s="511"/>
      <c r="AZ395" s="511"/>
      <c r="BA395" s="511"/>
    </row>
    <row r="396" spans="1:53" customFormat="1">
      <c r="A396" s="511"/>
      <c r="B396" s="511"/>
      <c r="C396" s="511"/>
      <c r="D396" s="511"/>
      <c r="E396" s="511"/>
      <c r="F396" s="511"/>
      <c r="G396" s="511"/>
      <c r="H396" s="517"/>
      <c r="I396" s="511"/>
      <c r="J396" s="511"/>
      <c r="K396" s="511"/>
      <c r="L396" s="511"/>
      <c r="M396" s="511"/>
      <c r="N396" s="511"/>
      <c r="O396" s="511"/>
      <c r="P396" s="511"/>
      <c r="Q396" s="511"/>
      <c r="R396" s="511"/>
      <c r="S396" s="511"/>
      <c r="T396" s="511"/>
      <c r="U396" s="511"/>
      <c r="V396" s="511"/>
      <c r="W396" s="511"/>
      <c r="X396" s="511"/>
      <c r="Y396" s="511"/>
      <c r="Z396" s="511"/>
      <c r="AA396" s="511"/>
      <c r="AB396" s="511"/>
      <c r="AC396" s="511"/>
      <c r="AD396" s="511"/>
      <c r="AE396" s="511"/>
      <c r="AF396" s="511"/>
      <c r="AG396" s="511"/>
      <c r="AH396" s="511"/>
      <c r="AI396" s="511"/>
      <c r="AJ396" s="511"/>
      <c r="AK396" s="511"/>
      <c r="AL396" s="511"/>
      <c r="AM396" s="511"/>
      <c r="AN396" s="511"/>
      <c r="AO396" s="511"/>
      <c r="AP396" s="511"/>
      <c r="AQ396" s="511"/>
      <c r="AR396" s="511"/>
      <c r="AS396" s="511"/>
      <c r="AT396" s="511"/>
      <c r="AU396" s="511"/>
      <c r="AV396" s="511"/>
      <c r="AW396" s="511"/>
      <c r="AX396" s="511"/>
      <c r="AY396" s="511"/>
      <c r="AZ396" s="511"/>
      <c r="BA396" s="511"/>
    </row>
    <row r="397" spans="1:53" customFormat="1">
      <c r="A397" s="511"/>
      <c r="B397" s="511"/>
      <c r="C397" s="511"/>
      <c r="D397" s="511"/>
      <c r="E397" s="511"/>
      <c r="F397" s="511"/>
      <c r="G397" s="511"/>
      <c r="H397" s="517"/>
      <c r="I397" s="511"/>
      <c r="J397" s="511"/>
      <c r="K397" s="511"/>
      <c r="L397" s="511"/>
      <c r="M397" s="511"/>
      <c r="N397" s="511"/>
      <c r="O397" s="511"/>
      <c r="P397" s="511"/>
      <c r="Q397" s="511"/>
      <c r="R397" s="511"/>
      <c r="S397" s="511"/>
      <c r="T397" s="511"/>
      <c r="U397" s="511"/>
      <c r="V397" s="511"/>
      <c r="W397" s="511"/>
      <c r="X397" s="511"/>
      <c r="Y397" s="511"/>
      <c r="Z397" s="511"/>
      <c r="AA397" s="511"/>
      <c r="AB397" s="511"/>
      <c r="AC397" s="511"/>
      <c r="AD397" s="511"/>
      <c r="AE397" s="511"/>
      <c r="AF397" s="511"/>
      <c r="AG397" s="511"/>
      <c r="AH397" s="511"/>
      <c r="AI397" s="511"/>
      <c r="AJ397" s="511"/>
      <c r="AK397" s="511"/>
      <c r="AL397" s="511"/>
      <c r="AM397" s="511"/>
      <c r="AN397" s="511"/>
      <c r="AO397" s="511"/>
      <c r="AP397" s="511"/>
      <c r="AQ397" s="511"/>
      <c r="AR397" s="511"/>
      <c r="AS397" s="511"/>
      <c r="AT397" s="511"/>
      <c r="AU397" s="511"/>
      <c r="AV397" s="511"/>
      <c r="AW397" s="511"/>
      <c r="AX397" s="511"/>
      <c r="AY397" s="511"/>
      <c r="AZ397" s="511"/>
      <c r="BA397" s="511"/>
    </row>
    <row r="398" spans="1:53" customFormat="1">
      <c r="A398" s="511"/>
      <c r="B398" s="511"/>
      <c r="C398" s="511"/>
      <c r="D398" s="511"/>
      <c r="E398" s="511"/>
      <c r="F398" s="511"/>
      <c r="G398" s="511"/>
      <c r="H398" s="517"/>
      <c r="I398" s="511"/>
      <c r="J398" s="511"/>
      <c r="K398" s="511"/>
      <c r="L398" s="511"/>
      <c r="M398" s="511"/>
      <c r="N398" s="511"/>
      <c r="O398" s="511"/>
      <c r="P398" s="511"/>
      <c r="Q398" s="511"/>
      <c r="R398" s="511"/>
      <c r="S398" s="511"/>
      <c r="T398" s="511"/>
      <c r="U398" s="511"/>
      <c r="V398" s="511"/>
      <c r="W398" s="511"/>
      <c r="X398" s="511"/>
      <c r="Y398" s="511"/>
      <c r="Z398" s="511"/>
      <c r="AA398" s="511"/>
      <c r="AB398" s="511"/>
      <c r="AC398" s="511"/>
      <c r="AD398" s="511"/>
      <c r="AE398" s="511"/>
      <c r="AF398" s="511"/>
      <c r="AG398" s="511"/>
      <c r="AH398" s="511"/>
      <c r="AI398" s="511"/>
      <c r="AJ398" s="511"/>
      <c r="AK398" s="511"/>
      <c r="AL398" s="511"/>
      <c r="AM398" s="511"/>
      <c r="AN398" s="511"/>
      <c r="AO398" s="511"/>
      <c r="AP398" s="511"/>
      <c r="AQ398" s="511"/>
      <c r="AR398" s="511"/>
      <c r="AS398" s="511"/>
      <c r="AT398" s="511"/>
      <c r="AU398" s="511"/>
      <c r="AV398" s="511"/>
      <c r="AW398" s="511"/>
      <c r="AX398" s="511"/>
      <c r="AY398" s="511"/>
      <c r="AZ398" s="511"/>
      <c r="BA398" s="511"/>
    </row>
    <row r="399" spans="1:53" customFormat="1">
      <c r="A399" s="511"/>
      <c r="B399" s="511"/>
      <c r="C399" s="511"/>
      <c r="D399" s="511"/>
      <c r="E399" s="511"/>
      <c r="F399" s="511"/>
      <c r="G399" s="511"/>
      <c r="H399" s="517"/>
      <c r="I399" s="511"/>
      <c r="J399" s="511"/>
      <c r="K399" s="511"/>
      <c r="L399" s="511"/>
      <c r="M399" s="511"/>
      <c r="N399" s="511"/>
      <c r="O399" s="511"/>
      <c r="P399" s="511"/>
      <c r="Q399" s="511"/>
      <c r="R399" s="511"/>
      <c r="S399" s="511"/>
      <c r="T399" s="511"/>
      <c r="U399" s="511"/>
      <c r="V399" s="511"/>
      <c r="W399" s="511"/>
      <c r="X399" s="511"/>
      <c r="Y399" s="511"/>
      <c r="Z399" s="511"/>
      <c r="AA399" s="511"/>
      <c r="AB399" s="511"/>
      <c r="AC399" s="511"/>
      <c r="AD399" s="511"/>
      <c r="AE399" s="511"/>
      <c r="AF399" s="511"/>
      <c r="AG399" s="511"/>
      <c r="AH399" s="511"/>
      <c r="AI399" s="511"/>
      <c r="AJ399" s="511"/>
      <c r="AK399" s="511"/>
      <c r="AL399" s="511"/>
      <c r="AM399" s="511"/>
      <c r="AN399" s="511"/>
      <c r="AO399" s="511"/>
      <c r="AP399" s="511"/>
      <c r="AQ399" s="511"/>
      <c r="AR399" s="511"/>
      <c r="AS399" s="511"/>
      <c r="AT399" s="511"/>
      <c r="AU399" s="511"/>
      <c r="AV399" s="511"/>
      <c r="AW399" s="511"/>
      <c r="AX399" s="511"/>
      <c r="AY399" s="511"/>
      <c r="AZ399" s="511"/>
      <c r="BA399" s="511"/>
    </row>
    <row r="400" spans="1:53" customFormat="1">
      <c r="A400" s="511"/>
      <c r="B400" s="511"/>
      <c r="C400" s="511"/>
      <c r="D400" s="511"/>
      <c r="E400" s="511"/>
      <c r="F400" s="511"/>
      <c r="G400" s="511"/>
      <c r="H400" s="517"/>
      <c r="I400" s="511"/>
      <c r="J400" s="511"/>
      <c r="K400" s="511"/>
      <c r="L400" s="511"/>
      <c r="M400" s="511"/>
      <c r="N400" s="511"/>
      <c r="O400" s="511"/>
      <c r="P400" s="511"/>
      <c r="Q400" s="511"/>
      <c r="R400" s="511"/>
      <c r="S400" s="511"/>
      <c r="T400" s="511"/>
      <c r="U400" s="511"/>
      <c r="V400" s="511"/>
      <c r="W400" s="511"/>
      <c r="X400" s="511"/>
      <c r="Y400" s="511"/>
      <c r="Z400" s="511"/>
      <c r="AA400" s="511"/>
      <c r="AB400" s="511"/>
      <c r="AC400" s="511"/>
      <c r="AD400" s="511"/>
      <c r="AE400" s="511"/>
      <c r="AF400" s="511"/>
      <c r="AG400" s="511"/>
      <c r="AH400" s="511"/>
      <c r="AI400" s="511"/>
      <c r="AJ400" s="511"/>
      <c r="AK400" s="511"/>
      <c r="AL400" s="511"/>
      <c r="AM400" s="511"/>
      <c r="AN400" s="511"/>
      <c r="AO400" s="511"/>
      <c r="AP400" s="511"/>
      <c r="AQ400" s="511"/>
      <c r="AR400" s="511"/>
      <c r="AS400" s="511"/>
      <c r="AT400" s="511"/>
      <c r="AU400" s="511"/>
      <c r="AV400" s="511"/>
      <c r="AW400" s="511"/>
      <c r="AX400" s="511"/>
      <c r="AY400" s="511"/>
      <c r="AZ400" s="511"/>
      <c r="BA400" s="511"/>
    </row>
    <row r="401" spans="1:53" customFormat="1">
      <c r="A401" s="511"/>
      <c r="B401" s="511"/>
      <c r="C401" s="511"/>
      <c r="D401" s="511"/>
      <c r="E401" s="511"/>
      <c r="F401" s="511"/>
      <c r="G401" s="511"/>
      <c r="H401" s="517"/>
      <c r="I401" s="511"/>
      <c r="J401" s="511"/>
      <c r="K401" s="511"/>
      <c r="L401" s="511"/>
      <c r="M401" s="511"/>
      <c r="N401" s="511"/>
      <c r="O401" s="511"/>
      <c r="P401" s="511"/>
      <c r="Q401" s="511"/>
      <c r="R401" s="511"/>
      <c r="S401" s="511"/>
      <c r="T401" s="511"/>
      <c r="U401" s="511"/>
      <c r="V401" s="511"/>
      <c r="W401" s="511"/>
      <c r="X401" s="511"/>
      <c r="Y401" s="511"/>
      <c r="Z401" s="511"/>
      <c r="AA401" s="511"/>
      <c r="AB401" s="511"/>
      <c r="AC401" s="511"/>
      <c r="AD401" s="511"/>
      <c r="AE401" s="511"/>
      <c r="AF401" s="511"/>
      <c r="AG401" s="511"/>
      <c r="AH401" s="511"/>
      <c r="AI401" s="511"/>
      <c r="AJ401" s="511"/>
      <c r="AK401" s="511"/>
      <c r="AL401" s="511"/>
      <c r="AM401" s="511"/>
      <c r="AN401" s="511"/>
      <c r="AO401" s="511"/>
      <c r="AP401" s="511"/>
      <c r="AQ401" s="511"/>
      <c r="AR401" s="511"/>
      <c r="AS401" s="511"/>
      <c r="AT401" s="511"/>
      <c r="AU401" s="511"/>
      <c r="AV401" s="511"/>
      <c r="AW401" s="511"/>
      <c r="AX401" s="511"/>
      <c r="AY401" s="511"/>
      <c r="AZ401" s="511"/>
      <c r="BA401" s="511"/>
    </row>
    <row r="402" spans="1:53" customFormat="1">
      <c r="A402" s="511"/>
      <c r="B402" s="511"/>
      <c r="C402" s="511"/>
      <c r="D402" s="511"/>
      <c r="E402" s="511"/>
      <c r="F402" s="511"/>
      <c r="G402" s="511"/>
      <c r="H402" s="517"/>
      <c r="I402" s="511"/>
      <c r="J402" s="511"/>
      <c r="K402" s="511"/>
      <c r="L402" s="511"/>
      <c r="M402" s="511"/>
      <c r="N402" s="511"/>
      <c r="O402" s="511"/>
      <c r="P402" s="511"/>
      <c r="Q402" s="511"/>
      <c r="R402" s="511"/>
      <c r="S402" s="511"/>
      <c r="T402" s="511"/>
      <c r="U402" s="511"/>
      <c r="V402" s="511"/>
      <c r="W402" s="511"/>
      <c r="X402" s="511"/>
      <c r="Y402" s="511"/>
      <c r="Z402" s="511"/>
      <c r="AA402" s="511"/>
      <c r="AB402" s="511"/>
      <c r="AC402" s="511"/>
      <c r="AD402" s="511"/>
      <c r="AE402" s="511"/>
      <c r="AF402" s="511"/>
      <c r="AG402" s="511"/>
      <c r="AH402" s="511"/>
      <c r="AI402" s="511"/>
      <c r="AJ402" s="511"/>
      <c r="AK402" s="511"/>
      <c r="AL402" s="511"/>
      <c r="AM402" s="511"/>
      <c r="AN402" s="511"/>
      <c r="AO402" s="511"/>
      <c r="AP402" s="511"/>
      <c r="AQ402" s="511"/>
      <c r="AR402" s="511"/>
      <c r="AS402" s="511"/>
      <c r="AT402" s="511"/>
      <c r="AU402" s="511"/>
      <c r="AV402" s="511"/>
      <c r="AW402" s="511"/>
      <c r="AX402" s="511"/>
      <c r="AY402" s="511"/>
      <c r="AZ402" s="511"/>
      <c r="BA402" s="511"/>
    </row>
    <row r="403" spans="1:53" customFormat="1">
      <c r="A403" s="511"/>
      <c r="B403" s="511"/>
      <c r="C403" s="511"/>
      <c r="D403" s="511"/>
      <c r="E403" s="511"/>
      <c r="F403" s="511"/>
      <c r="G403" s="511"/>
      <c r="H403" s="517"/>
      <c r="I403" s="511"/>
      <c r="J403" s="511"/>
      <c r="K403" s="511"/>
      <c r="L403" s="511"/>
      <c r="M403" s="511"/>
      <c r="N403" s="511"/>
      <c r="O403" s="511"/>
      <c r="P403" s="511"/>
      <c r="Q403" s="511"/>
      <c r="R403" s="511"/>
      <c r="S403" s="511"/>
      <c r="T403" s="511"/>
      <c r="U403" s="511"/>
      <c r="V403" s="511"/>
      <c r="W403" s="511"/>
      <c r="X403" s="511"/>
      <c r="Y403" s="511"/>
      <c r="Z403" s="511"/>
      <c r="AA403" s="511"/>
      <c r="AB403" s="511"/>
      <c r="AC403" s="511"/>
      <c r="AD403" s="511"/>
      <c r="AE403" s="511"/>
      <c r="AF403" s="511"/>
      <c r="AG403" s="511"/>
      <c r="AH403" s="511"/>
      <c r="AI403" s="511"/>
      <c r="AJ403" s="511"/>
      <c r="AK403" s="511"/>
      <c r="AL403" s="511"/>
      <c r="AM403" s="511"/>
      <c r="AN403" s="511"/>
      <c r="AO403" s="511"/>
      <c r="AP403" s="511"/>
      <c r="AQ403" s="511"/>
      <c r="AR403" s="511"/>
      <c r="AS403" s="511"/>
      <c r="AT403" s="511"/>
      <c r="AU403" s="511"/>
      <c r="AV403" s="511"/>
      <c r="AW403" s="511"/>
      <c r="AX403" s="511"/>
      <c r="AY403" s="511"/>
      <c r="AZ403" s="511"/>
      <c r="BA403" s="511"/>
    </row>
    <row r="404" spans="1:53" customFormat="1">
      <c r="A404" s="511"/>
      <c r="B404" s="511"/>
      <c r="C404" s="511"/>
      <c r="D404" s="511"/>
      <c r="E404" s="511"/>
      <c r="F404" s="511"/>
      <c r="G404" s="511"/>
      <c r="H404" s="517"/>
      <c r="I404" s="511"/>
      <c r="J404" s="511"/>
      <c r="K404" s="511"/>
      <c r="L404" s="511"/>
      <c r="M404" s="511"/>
      <c r="N404" s="511"/>
      <c r="O404" s="511"/>
      <c r="P404" s="511"/>
      <c r="Q404" s="511"/>
      <c r="R404" s="511"/>
      <c r="S404" s="511"/>
      <c r="T404" s="511"/>
      <c r="U404" s="511"/>
      <c r="V404" s="511"/>
      <c r="W404" s="511"/>
      <c r="X404" s="511"/>
      <c r="Y404" s="511"/>
      <c r="Z404" s="511"/>
      <c r="AA404" s="511"/>
      <c r="AB404" s="511"/>
      <c r="AC404" s="511"/>
      <c r="AD404" s="511"/>
      <c r="AE404" s="511"/>
      <c r="AF404" s="511"/>
      <c r="AG404" s="511"/>
      <c r="AH404" s="511"/>
      <c r="AI404" s="511"/>
      <c r="AJ404" s="511"/>
      <c r="AK404" s="511"/>
      <c r="AL404" s="511"/>
      <c r="AM404" s="511"/>
      <c r="AN404" s="511"/>
      <c r="AO404" s="511"/>
      <c r="AP404" s="511"/>
      <c r="AQ404" s="511"/>
      <c r="AR404" s="511"/>
      <c r="AS404" s="511"/>
      <c r="AT404" s="511"/>
      <c r="AU404" s="511"/>
      <c r="AV404" s="511"/>
      <c r="AW404" s="511"/>
      <c r="AX404" s="511"/>
      <c r="AY404" s="511"/>
      <c r="AZ404" s="511"/>
      <c r="BA404" s="511"/>
    </row>
    <row r="405" spans="1:53" customFormat="1">
      <c r="A405" s="511"/>
      <c r="B405" s="511"/>
      <c r="C405" s="511"/>
      <c r="D405" s="511"/>
      <c r="E405" s="511"/>
      <c r="F405" s="511"/>
      <c r="G405" s="511"/>
      <c r="H405" s="517"/>
      <c r="I405" s="511"/>
      <c r="J405" s="511"/>
      <c r="K405" s="511"/>
      <c r="L405" s="511"/>
      <c r="M405" s="511"/>
      <c r="N405" s="511"/>
      <c r="O405" s="511"/>
      <c r="P405" s="511"/>
      <c r="Q405" s="511"/>
      <c r="R405" s="511"/>
      <c r="S405" s="511"/>
      <c r="T405" s="511"/>
      <c r="U405" s="511"/>
      <c r="V405" s="511"/>
      <c r="W405" s="511"/>
      <c r="X405" s="511"/>
      <c r="Y405" s="511"/>
      <c r="Z405" s="511"/>
      <c r="AA405" s="511"/>
      <c r="AB405" s="511"/>
      <c r="AC405" s="511"/>
      <c r="AD405" s="511"/>
      <c r="AE405" s="511"/>
      <c r="AF405" s="511"/>
      <c r="AG405" s="511"/>
      <c r="AH405" s="511"/>
      <c r="AI405" s="511"/>
      <c r="AJ405" s="511"/>
      <c r="AK405" s="511"/>
      <c r="AL405" s="511"/>
      <c r="AM405" s="511"/>
      <c r="AN405" s="511"/>
      <c r="AO405" s="511"/>
      <c r="AP405" s="511"/>
      <c r="AQ405" s="511"/>
      <c r="AR405" s="511"/>
      <c r="AS405" s="511"/>
      <c r="AT405" s="511"/>
      <c r="AU405" s="511"/>
      <c r="AV405" s="511"/>
      <c r="AW405" s="511"/>
      <c r="AX405" s="511"/>
      <c r="AY405" s="511"/>
      <c r="AZ405" s="511"/>
      <c r="BA405" s="511"/>
    </row>
    <row r="406" spans="1:53" customFormat="1">
      <c r="A406" s="511"/>
      <c r="B406" s="511"/>
      <c r="C406" s="511"/>
      <c r="D406" s="511"/>
      <c r="E406" s="511"/>
      <c r="F406" s="511"/>
      <c r="G406" s="511"/>
      <c r="H406" s="517"/>
      <c r="I406" s="511"/>
      <c r="J406" s="511"/>
      <c r="K406" s="511"/>
      <c r="L406" s="511"/>
      <c r="M406" s="511"/>
      <c r="N406" s="511"/>
      <c r="O406" s="511"/>
      <c r="P406" s="511"/>
      <c r="Q406" s="511"/>
      <c r="R406" s="511"/>
      <c r="S406" s="511"/>
      <c r="T406" s="511"/>
      <c r="U406" s="511"/>
      <c r="V406" s="511"/>
      <c r="W406" s="511"/>
      <c r="X406" s="511"/>
      <c r="Y406" s="511"/>
      <c r="Z406" s="511"/>
      <c r="AA406" s="511"/>
      <c r="AB406" s="511"/>
      <c r="AC406" s="511"/>
      <c r="AD406" s="511"/>
      <c r="AE406" s="511"/>
      <c r="AF406" s="511"/>
      <c r="AG406" s="511"/>
      <c r="AH406" s="511"/>
      <c r="AI406" s="511"/>
      <c r="AJ406" s="511"/>
      <c r="AK406" s="511"/>
      <c r="AL406" s="511"/>
      <c r="AM406" s="511"/>
      <c r="AN406" s="511"/>
      <c r="AO406" s="511"/>
      <c r="AP406" s="511"/>
      <c r="AQ406" s="511"/>
      <c r="AR406" s="511"/>
      <c r="AS406" s="511"/>
      <c r="AT406" s="511"/>
      <c r="AU406" s="511"/>
      <c r="AV406" s="511"/>
      <c r="AW406" s="511"/>
      <c r="AX406" s="511"/>
      <c r="AY406" s="511"/>
      <c r="AZ406" s="511"/>
      <c r="BA406" s="511"/>
    </row>
    <row r="407" spans="1:53" customFormat="1">
      <c r="A407" s="511"/>
      <c r="B407" s="511"/>
      <c r="C407" s="511"/>
      <c r="D407" s="511"/>
      <c r="E407" s="511"/>
      <c r="F407" s="511"/>
      <c r="G407" s="511"/>
      <c r="H407" s="517"/>
      <c r="I407" s="511"/>
      <c r="J407" s="511"/>
      <c r="K407" s="511"/>
      <c r="L407" s="511"/>
      <c r="M407" s="511"/>
      <c r="N407" s="511"/>
      <c r="O407" s="511"/>
      <c r="P407" s="511"/>
      <c r="Q407" s="511"/>
      <c r="R407" s="511"/>
      <c r="S407" s="511"/>
      <c r="T407" s="511"/>
      <c r="U407" s="511"/>
      <c r="V407" s="511"/>
      <c r="W407" s="511"/>
      <c r="X407" s="511"/>
      <c r="Y407" s="511"/>
      <c r="Z407" s="511"/>
      <c r="AA407" s="511"/>
      <c r="AB407" s="511"/>
      <c r="AC407" s="511"/>
      <c r="AD407" s="511"/>
      <c r="AE407" s="511"/>
      <c r="AF407" s="511"/>
      <c r="AG407" s="511"/>
      <c r="AH407" s="511"/>
      <c r="AI407" s="511"/>
      <c r="AJ407" s="511"/>
      <c r="AK407" s="511"/>
      <c r="AL407" s="511"/>
      <c r="AM407" s="511"/>
      <c r="AN407" s="511"/>
      <c r="AO407" s="511"/>
      <c r="AP407" s="511"/>
      <c r="AQ407" s="511"/>
      <c r="AR407" s="511"/>
      <c r="AS407" s="511"/>
      <c r="AT407" s="511"/>
      <c r="AU407" s="511"/>
      <c r="AV407" s="511"/>
      <c r="AW407" s="511"/>
      <c r="AX407" s="511"/>
      <c r="AY407" s="511"/>
      <c r="AZ407" s="511"/>
      <c r="BA407" s="511"/>
    </row>
    <row r="408" spans="1:53" customFormat="1">
      <c r="A408" s="511"/>
      <c r="B408" s="511"/>
      <c r="C408" s="511"/>
      <c r="D408" s="511"/>
      <c r="E408" s="511"/>
      <c r="F408" s="511"/>
      <c r="G408" s="511"/>
      <c r="H408" s="517"/>
      <c r="I408" s="511"/>
      <c r="J408" s="511"/>
      <c r="K408" s="511"/>
      <c r="L408" s="511"/>
      <c r="M408" s="511"/>
      <c r="N408" s="511"/>
      <c r="O408" s="511"/>
      <c r="P408" s="511"/>
      <c r="Q408" s="511"/>
      <c r="R408" s="511"/>
      <c r="S408" s="511"/>
      <c r="T408" s="511"/>
      <c r="U408" s="511"/>
      <c r="V408" s="511"/>
      <c r="W408" s="511"/>
      <c r="X408" s="511"/>
      <c r="Y408" s="511"/>
      <c r="Z408" s="511"/>
      <c r="AA408" s="511"/>
      <c r="AB408" s="511"/>
      <c r="AC408" s="511"/>
      <c r="AD408" s="511"/>
      <c r="AE408" s="511"/>
      <c r="AF408" s="511"/>
      <c r="AG408" s="511"/>
      <c r="AH408" s="511"/>
      <c r="AI408" s="511"/>
      <c r="AJ408" s="511"/>
      <c r="AK408" s="511"/>
      <c r="AL408" s="511"/>
      <c r="AM408" s="511"/>
      <c r="AN408" s="511"/>
      <c r="AO408" s="511"/>
      <c r="AP408" s="511"/>
      <c r="AQ408" s="511"/>
      <c r="AR408" s="511"/>
      <c r="AS408" s="511"/>
      <c r="AT408" s="511"/>
      <c r="AU408" s="511"/>
      <c r="AV408" s="511"/>
      <c r="AW408" s="511"/>
      <c r="AX408" s="511"/>
      <c r="AY408" s="511"/>
      <c r="AZ408" s="511"/>
      <c r="BA408" s="511"/>
    </row>
    <row r="409" spans="1:53" customFormat="1">
      <c r="A409" s="511"/>
      <c r="B409" s="511"/>
      <c r="C409" s="511"/>
      <c r="D409" s="511"/>
      <c r="E409" s="511"/>
      <c r="F409" s="511"/>
      <c r="G409" s="511"/>
      <c r="H409" s="517"/>
      <c r="I409" s="511"/>
      <c r="J409" s="511"/>
      <c r="K409" s="511"/>
      <c r="L409" s="511"/>
      <c r="M409" s="511"/>
      <c r="N409" s="511"/>
      <c r="O409" s="511"/>
      <c r="P409" s="511"/>
      <c r="Q409" s="511"/>
      <c r="R409" s="511"/>
      <c r="S409" s="511"/>
      <c r="T409" s="511"/>
      <c r="U409" s="511"/>
      <c r="V409" s="511"/>
      <c r="W409" s="511"/>
      <c r="X409" s="511"/>
      <c r="Y409" s="511"/>
      <c r="Z409" s="511"/>
      <c r="AA409" s="511"/>
      <c r="AB409" s="511"/>
      <c r="AC409" s="511"/>
      <c r="AD409" s="511"/>
      <c r="AE409" s="511"/>
      <c r="AF409" s="511"/>
      <c r="AG409" s="511"/>
      <c r="AH409" s="511"/>
      <c r="AI409" s="511"/>
      <c r="AJ409" s="511"/>
      <c r="AK409" s="511"/>
      <c r="AL409" s="511"/>
      <c r="AM409" s="511"/>
      <c r="AN409" s="511"/>
      <c r="AO409" s="511"/>
      <c r="AP409" s="511"/>
      <c r="AQ409" s="511"/>
      <c r="AR409" s="511"/>
      <c r="AS409" s="511"/>
      <c r="AT409" s="511"/>
      <c r="AU409" s="511"/>
      <c r="AV409" s="511"/>
      <c r="AW409" s="511"/>
      <c r="AX409" s="511"/>
      <c r="AY409" s="511"/>
      <c r="AZ409" s="511"/>
      <c r="BA409" s="511"/>
    </row>
    <row r="410" spans="1:53" customFormat="1">
      <c r="A410" s="511"/>
      <c r="B410" s="511"/>
      <c r="C410" s="511"/>
      <c r="D410" s="511"/>
      <c r="E410" s="511"/>
      <c r="F410" s="511"/>
      <c r="G410" s="511"/>
      <c r="H410" s="517"/>
      <c r="I410" s="511"/>
      <c r="J410" s="511"/>
      <c r="K410" s="511"/>
      <c r="L410" s="511"/>
      <c r="M410" s="511"/>
      <c r="N410" s="511"/>
      <c r="O410" s="511"/>
      <c r="P410" s="511"/>
      <c r="Q410" s="511"/>
      <c r="R410" s="511"/>
      <c r="S410" s="511"/>
      <c r="T410" s="511"/>
      <c r="U410" s="511"/>
      <c r="V410" s="511"/>
      <c r="W410" s="511"/>
      <c r="X410" s="511"/>
      <c r="Y410" s="511"/>
      <c r="Z410" s="511"/>
      <c r="AA410" s="511"/>
      <c r="AB410" s="511"/>
      <c r="AC410" s="511"/>
      <c r="AD410" s="511"/>
      <c r="AE410" s="511"/>
      <c r="AF410" s="511"/>
      <c r="AG410" s="511"/>
      <c r="AH410" s="511"/>
      <c r="AI410" s="511"/>
      <c r="AJ410" s="511"/>
      <c r="AK410" s="511"/>
      <c r="AL410" s="511"/>
      <c r="AM410" s="511"/>
      <c r="AN410" s="511"/>
      <c r="AO410" s="511"/>
      <c r="AP410" s="511"/>
      <c r="AQ410" s="511"/>
      <c r="AR410" s="511"/>
      <c r="AS410" s="511"/>
      <c r="AT410" s="511"/>
      <c r="AU410" s="511"/>
      <c r="AV410" s="511"/>
      <c r="AW410" s="511"/>
      <c r="AX410" s="511"/>
      <c r="AY410" s="511"/>
      <c r="AZ410" s="511"/>
      <c r="BA410" s="511"/>
    </row>
    <row r="411" spans="1:53" customFormat="1">
      <c r="A411" s="511"/>
      <c r="B411" s="511"/>
      <c r="C411" s="511"/>
      <c r="D411" s="511"/>
      <c r="E411" s="511"/>
      <c r="F411" s="511"/>
      <c r="G411" s="511"/>
      <c r="H411" s="517"/>
      <c r="I411" s="511"/>
      <c r="J411" s="511"/>
      <c r="K411" s="511"/>
      <c r="L411" s="511"/>
      <c r="M411" s="511"/>
      <c r="N411" s="511"/>
      <c r="O411" s="511"/>
      <c r="P411" s="511"/>
      <c r="Q411" s="511"/>
      <c r="R411" s="511"/>
      <c r="S411" s="511"/>
      <c r="T411" s="511"/>
      <c r="U411" s="511"/>
      <c r="V411" s="511"/>
      <c r="W411" s="511"/>
      <c r="X411" s="511"/>
      <c r="Y411" s="511"/>
      <c r="Z411" s="511"/>
      <c r="AA411" s="511"/>
      <c r="AB411" s="511"/>
      <c r="AC411" s="511"/>
      <c r="AD411" s="511"/>
      <c r="AE411" s="511"/>
      <c r="AF411" s="511"/>
      <c r="AG411" s="511"/>
      <c r="AH411" s="511"/>
      <c r="AI411" s="511"/>
      <c r="AJ411" s="511"/>
      <c r="AK411" s="511"/>
      <c r="AL411" s="511"/>
      <c r="AM411" s="511"/>
      <c r="AN411" s="511"/>
      <c r="AO411" s="511"/>
      <c r="AP411" s="511"/>
      <c r="AQ411" s="511"/>
      <c r="AR411" s="511"/>
      <c r="AS411" s="511"/>
      <c r="AT411" s="511"/>
      <c r="AU411" s="511"/>
      <c r="AV411" s="511"/>
      <c r="AW411" s="511"/>
      <c r="AX411" s="511"/>
      <c r="AY411" s="511"/>
      <c r="AZ411" s="511"/>
      <c r="BA411" s="511"/>
    </row>
    <row r="412" spans="1:53" customFormat="1">
      <c r="A412" s="511"/>
      <c r="B412" s="511"/>
      <c r="C412" s="511"/>
      <c r="D412" s="511"/>
      <c r="E412" s="511"/>
      <c r="F412" s="511"/>
      <c r="G412" s="511"/>
      <c r="H412" s="517"/>
      <c r="I412" s="511"/>
      <c r="J412" s="511"/>
      <c r="K412" s="511"/>
      <c r="L412" s="511"/>
      <c r="M412" s="511"/>
      <c r="N412" s="511"/>
      <c r="O412" s="511"/>
      <c r="P412" s="511"/>
      <c r="Q412" s="511"/>
      <c r="R412" s="511"/>
      <c r="S412" s="511"/>
      <c r="T412" s="511"/>
      <c r="U412" s="511"/>
      <c r="V412" s="511"/>
      <c r="W412" s="511"/>
      <c r="X412" s="511"/>
      <c r="Y412" s="511"/>
      <c r="Z412" s="511"/>
      <c r="AA412" s="511"/>
      <c r="AB412" s="511"/>
      <c r="AC412" s="511"/>
      <c r="AD412" s="511"/>
      <c r="AE412" s="511"/>
      <c r="AF412" s="511"/>
      <c r="AG412" s="511"/>
      <c r="AH412" s="511"/>
      <c r="AI412" s="511"/>
      <c r="AJ412" s="511"/>
      <c r="AK412" s="511"/>
      <c r="AL412" s="511"/>
      <c r="AM412" s="511"/>
      <c r="AN412" s="511"/>
      <c r="AO412" s="511"/>
      <c r="AP412" s="511"/>
      <c r="AQ412" s="511"/>
      <c r="AR412" s="511"/>
      <c r="AS412" s="511"/>
      <c r="AT412" s="511"/>
      <c r="AU412" s="511"/>
      <c r="AV412" s="511"/>
      <c r="AW412" s="511"/>
      <c r="AX412" s="511"/>
      <c r="AY412" s="511"/>
      <c r="AZ412" s="511"/>
      <c r="BA412" s="511"/>
    </row>
    <row r="413" spans="1:53" customFormat="1">
      <c r="A413" s="511"/>
      <c r="B413" s="511"/>
      <c r="C413" s="511"/>
      <c r="D413" s="511"/>
      <c r="E413" s="511"/>
      <c r="F413" s="511"/>
      <c r="G413" s="511"/>
      <c r="H413" s="517"/>
      <c r="I413" s="511"/>
      <c r="J413" s="511"/>
      <c r="K413" s="511"/>
      <c r="L413" s="511"/>
      <c r="M413" s="511"/>
      <c r="N413" s="511"/>
      <c r="O413" s="511"/>
      <c r="P413" s="511"/>
      <c r="Q413" s="511"/>
      <c r="R413" s="511"/>
      <c r="S413" s="511"/>
      <c r="T413" s="511"/>
      <c r="U413" s="511"/>
      <c r="V413" s="511"/>
      <c r="W413" s="511"/>
      <c r="X413" s="511"/>
      <c r="Y413" s="511"/>
      <c r="Z413" s="511"/>
      <c r="AA413" s="511"/>
      <c r="AB413" s="511"/>
      <c r="AC413" s="511"/>
      <c r="AD413" s="511"/>
      <c r="AE413" s="511"/>
      <c r="AF413" s="511"/>
      <c r="AG413" s="511"/>
      <c r="AH413" s="511"/>
      <c r="AI413" s="511"/>
      <c r="AJ413" s="511"/>
      <c r="AK413" s="511"/>
      <c r="AL413" s="511"/>
      <c r="AM413" s="511"/>
      <c r="AN413" s="511"/>
      <c r="AO413" s="511"/>
      <c r="AP413" s="511"/>
      <c r="AQ413" s="511"/>
      <c r="AR413" s="511"/>
      <c r="AS413" s="511"/>
      <c r="AT413" s="511"/>
      <c r="AU413" s="511"/>
      <c r="AV413" s="511"/>
      <c r="AW413" s="511"/>
      <c r="AX413" s="511"/>
      <c r="AY413" s="511"/>
      <c r="AZ413" s="511"/>
      <c r="BA413" s="511"/>
    </row>
    <row r="414" spans="1:53" customFormat="1">
      <c r="A414" s="511"/>
      <c r="B414" s="511"/>
      <c r="C414" s="511"/>
      <c r="D414" s="511"/>
      <c r="E414" s="511"/>
      <c r="F414" s="511"/>
      <c r="G414" s="511"/>
      <c r="H414" s="517"/>
      <c r="I414" s="511"/>
      <c r="J414" s="511"/>
      <c r="K414" s="511"/>
      <c r="L414" s="511"/>
      <c r="M414" s="511"/>
      <c r="N414" s="511"/>
      <c r="O414" s="511"/>
      <c r="P414" s="511"/>
      <c r="Q414" s="511"/>
      <c r="R414" s="511"/>
      <c r="S414" s="511"/>
      <c r="T414" s="511"/>
      <c r="U414" s="511"/>
      <c r="V414" s="511"/>
      <c r="W414" s="511"/>
      <c r="X414" s="511"/>
      <c r="Y414" s="511"/>
      <c r="Z414" s="511"/>
      <c r="AA414" s="511"/>
      <c r="AB414" s="511"/>
      <c r="AC414" s="511"/>
      <c r="AD414" s="511"/>
      <c r="AE414" s="511"/>
      <c r="AF414" s="511"/>
      <c r="AG414" s="511"/>
      <c r="AH414" s="511"/>
      <c r="AI414" s="511"/>
      <c r="AJ414" s="511"/>
      <c r="AK414" s="511"/>
      <c r="AL414" s="511"/>
      <c r="AM414" s="511"/>
      <c r="AN414" s="511"/>
      <c r="AO414" s="511"/>
      <c r="AP414" s="511"/>
      <c r="AQ414" s="511"/>
      <c r="AR414" s="511"/>
      <c r="AS414" s="511"/>
      <c r="AT414" s="511"/>
      <c r="AU414" s="511"/>
      <c r="AV414" s="511"/>
      <c r="AW414" s="511"/>
      <c r="AX414" s="511"/>
      <c r="AY414" s="511"/>
      <c r="AZ414" s="511"/>
      <c r="BA414" s="511"/>
    </row>
    <row r="415" spans="1:53" customFormat="1">
      <c r="A415" s="511"/>
      <c r="B415" s="511"/>
      <c r="C415" s="511"/>
      <c r="D415" s="511"/>
      <c r="E415" s="511"/>
      <c r="F415" s="511"/>
      <c r="G415" s="511"/>
      <c r="H415" s="517"/>
      <c r="I415" s="511"/>
      <c r="J415" s="511"/>
      <c r="K415" s="511"/>
      <c r="L415" s="511"/>
      <c r="M415" s="511"/>
      <c r="N415" s="511"/>
      <c r="O415" s="511"/>
      <c r="P415" s="511"/>
      <c r="Q415" s="511"/>
      <c r="R415" s="511"/>
      <c r="S415" s="511"/>
      <c r="T415" s="511"/>
      <c r="U415" s="511"/>
      <c r="V415" s="511"/>
      <c r="W415" s="511"/>
      <c r="X415" s="511"/>
      <c r="Y415" s="511"/>
      <c r="Z415" s="511"/>
      <c r="AA415" s="511"/>
      <c r="AB415" s="511"/>
      <c r="AC415" s="511"/>
      <c r="AD415" s="511"/>
      <c r="AE415" s="511"/>
      <c r="AF415" s="511"/>
      <c r="AG415" s="511"/>
      <c r="AH415" s="511"/>
      <c r="AI415" s="511"/>
      <c r="AJ415" s="511"/>
      <c r="AK415" s="511"/>
      <c r="AL415" s="511"/>
      <c r="AM415" s="511"/>
      <c r="AN415" s="511"/>
      <c r="AO415" s="511"/>
      <c r="AP415" s="511"/>
      <c r="AQ415" s="511"/>
      <c r="AR415" s="511"/>
      <c r="AS415" s="511"/>
      <c r="AT415" s="511"/>
      <c r="AU415" s="511"/>
      <c r="AV415" s="511"/>
      <c r="AW415" s="511"/>
      <c r="AX415" s="511"/>
      <c r="AY415" s="511"/>
      <c r="AZ415" s="511"/>
      <c r="BA415" s="511"/>
    </row>
    <row r="416" spans="1:53" customFormat="1">
      <c r="A416" s="511"/>
      <c r="B416" s="511"/>
      <c r="C416" s="511"/>
      <c r="D416" s="511"/>
      <c r="E416" s="511"/>
      <c r="F416" s="511"/>
      <c r="G416" s="511"/>
      <c r="H416" s="517"/>
      <c r="I416" s="511"/>
      <c r="J416" s="511"/>
      <c r="K416" s="511"/>
      <c r="L416" s="511"/>
      <c r="M416" s="511"/>
      <c r="N416" s="511"/>
      <c r="O416" s="511"/>
      <c r="P416" s="511"/>
      <c r="Q416" s="511"/>
      <c r="R416" s="511"/>
      <c r="S416" s="511"/>
      <c r="T416" s="511"/>
      <c r="U416" s="511"/>
      <c r="V416" s="511"/>
      <c r="W416" s="511"/>
      <c r="X416" s="511"/>
      <c r="Y416" s="511"/>
      <c r="Z416" s="511"/>
      <c r="AA416" s="511"/>
      <c r="AB416" s="511"/>
      <c r="AC416" s="511"/>
      <c r="AD416" s="511"/>
      <c r="AE416" s="511"/>
      <c r="AF416" s="511"/>
      <c r="AG416" s="511"/>
      <c r="AH416" s="511"/>
      <c r="AI416" s="511"/>
      <c r="AJ416" s="511"/>
      <c r="AK416" s="511"/>
      <c r="AL416" s="511"/>
      <c r="AM416" s="511"/>
      <c r="AN416" s="511"/>
      <c r="AO416" s="511"/>
      <c r="AP416" s="511"/>
      <c r="AQ416" s="511"/>
      <c r="AR416" s="511"/>
      <c r="AS416" s="511"/>
      <c r="AT416" s="511"/>
      <c r="AU416" s="511"/>
      <c r="AV416" s="511"/>
      <c r="AW416" s="511"/>
      <c r="AX416" s="511"/>
      <c r="AY416" s="511"/>
      <c r="AZ416" s="511"/>
      <c r="BA416" s="511"/>
    </row>
    <row r="417" spans="1:53" customFormat="1">
      <c r="A417" s="511"/>
      <c r="B417" s="511"/>
      <c r="C417" s="511"/>
      <c r="D417" s="511"/>
      <c r="E417" s="511"/>
      <c r="F417" s="511"/>
      <c r="G417" s="511"/>
      <c r="H417" s="517"/>
      <c r="I417" s="511"/>
      <c r="J417" s="511"/>
      <c r="K417" s="511"/>
      <c r="L417" s="511"/>
      <c r="M417" s="511"/>
      <c r="N417" s="511"/>
      <c r="O417" s="511"/>
      <c r="P417" s="511"/>
      <c r="Q417" s="511"/>
      <c r="R417" s="511"/>
      <c r="S417" s="511"/>
      <c r="T417" s="511"/>
      <c r="U417" s="511"/>
      <c r="V417" s="511"/>
      <c r="W417" s="511"/>
      <c r="X417" s="511"/>
      <c r="Y417" s="511"/>
      <c r="Z417" s="511"/>
      <c r="AA417" s="511"/>
      <c r="AB417" s="511"/>
      <c r="AC417" s="511"/>
      <c r="AD417" s="511"/>
      <c r="AE417" s="511"/>
      <c r="AF417" s="511"/>
      <c r="AG417" s="511"/>
      <c r="AH417" s="511"/>
      <c r="AI417" s="511"/>
      <c r="AJ417" s="511"/>
      <c r="AK417" s="511"/>
      <c r="AL417" s="511"/>
      <c r="AM417" s="511"/>
      <c r="AN417" s="511"/>
      <c r="AO417" s="511"/>
      <c r="AP417" s="511"/>
      <c r="AQ417" s="511"/>
      <c r="AR417" s="511"/>
      <c r="AS417" s="511"/>
      <c r="AT417" s="511"/>
      <c r="AU417" s="511"/>
      <c r="AV417" s="511"/>
      <c r="AW417" s="511"/>
      <c r="AX417" s="511"/>
      <c r="AY417" s="511"/>
      <c r="AZ417" s="511"/>
      <c r="BA417" s="511"/>
    </row>
    <row r="418" spans="1:53" customFormat="1">
      <c r="A418" s="511"/>
      <c r="B418" s="511"/>
      <c r="C418" s="511"/>
      <c r="D418" s="511"/>
      <c r="E418" s="511"/>
      <c r="F418" s="511"/>
      <c r="G418" s="511"/>
      <c r="H418" s="517"/>
      <c r="I418" s="511"/>
      <c r="J418" s="511"/>
      <c r="K418" s="511"/>
      <c r="L418" s="511"/>
      <c r="M418" s="511"/>
      <c r="N418" s="511"/>
      <c r="O418" s="511"/>
      <c r="P418" s="511"/>
      <c r="Q418" s="511"/>
      <c r="R418" s="511"/>
      <c r="S418" s="511"/>
      <c r="T418" s="511"/>
      <c r="U418" s="511"/>
      <c r="V418" s="511"/>
      <c r="W418" s="511"/>
      <c r="X418" s="511"/>
      <c r="Y418" s="511"/>
      <c r="Z418" s="511"/>
      <c r="AA418" s="511"/>
      <c r="AB418" s="511"/>
      <c r="AC418" s="511"/>
      <c r="AD418" s="511"/>
      <c r="AE418" s="511"/>
      <c r="AF418" s="511"/>
      <c r="AG418" s="511"/>
      <c r="AH418" s="511"/>
      <c r="AI418" s="511"/>
      <c r="AJ418" s="511"/>
      <c r="AK418" s="511"/>
      <c r="AL418" s="511"/>
      <c r="AM418" s="511"/>
      <c r="AN418" s="511"/>
      <c r="AO418" s="511"/>
      <c r="AP418" s="511"/>
      <c r="AQ418" s="511"/>
      <c r="AR418" s="511"/>
      <c r="AS418" s="511"/>
      <c r="AT418" s="511"/>
      <c r="AU418" s="511"/>
      <c r="AV418" s="511"/>
      <c r="AW418" s="511"/>
      <c r="AX418" s="511"/>
      <c r="AY418" s="511"/>
      <c r="AZ418" s="511"/>
      <c r="BA418" s="511"/>
    </row>
    <row r="419" spans="1:53" customFormat="1">
      <c r="A419" s="511"/>
      <c r="B419" s="511"/>
      <c r="C419" s="511"/>
      <c r="D419" s="511"/>
      <c r="E419" s="511"/>
      <c r="F419" s="511"/>
      <c r="G419" s="511"/>
      <c r="H419" s="517"/>
      <c r="I419" s="511"/>
      <c r="J419" s="511"/>
      <c r="K419" s="511"/>
      <c r="L419" s="511"/>
      <c r="M419" s="511"/>
      <c r="N419" s="511"/>
      <c r="O419" s="511"/>
      <c r="P419" s="511"/>
      <c r="Q419" s="511"/>
      <c r="R419" s="511"/>
      <c r="S419" s="511"/>
      <c r="T419" s="511"/>
      <c r="U419" s="511"/>
      <c r="V419" s="511"/>
      <c r="W419" s="511"/>
      <c r="X419" s="511"/>
      <c r="Y419" s="511"/>
      <c r="Z419" s="511"/>
      <c r="AA419" s="511"/>
      <c r="AB419" s="511"/>
      <c r="AC419" s="511"/>
      <c r="AD419" s="511"/>
      <c r="AE419" s="511"/>
      <c r="AF419" s="511"/>
      <c r="AG419" s="511"/>
      <c r="AH419" s="511"/>
      <c r="AI419" s="511"/>
      <c r="AJ419" s="511"/>
      <c r="AK419" s="511"/>
      <c r="AL419" s="511"/>
      <c r="AM419" s="511"/>
      <c r="AN419" s="511"/>
      <c r="AO419" s="511"/>
      <c r="AP419" s="511"/>
      <c r="AQ419" s="511"/>
      <c r="AR419" s="511"/>
      <c r="AS419" s="511"/>
      <c r="AT419" s="511"/>
      <c r="AU419" s="511"/>
      <c r="AV419" s="511"/>
      <c r="AW419" s="511"/>
      <c r="AX419" s="511"/>
      <c r="AY419" s="511"/>
      <c r="AZ419" s="511"/>
      <c r="BA419" s="511"/>
    </row>
    <row r="420" spans="1:53" customFormat="1">
      <c r="A420" s="511"/>
      <c r="B420" s="511"/>
      <c r="C420" s="511"/>
      <c r="D420" s="511"/>
      <c r="E420" s="511"/>
      <c r="F420" s="511"/>
      <c r="G420" s="511"/>
      <c r="H420" s="517"/>
      <c r="I420" s="511"/>
      <c r="J420" s="511"/>
      <c r="K420" s="511"/>
      <c r="L420" s="511"/>
      <c r="M420" s="511"/>
      <c r="N420" s="511"/>
      <c r="O420" s="511"/>
      <c r="P420" s="511"/>
      <c r="Q420" s="511"/>
      <c r="R420" s="511"/>
      <c r="S420" s="511"/>
      <c r="T420" s="511"/>
      <c r="U420" s="511"/>
      <c r="V420" s="511"/>
      <c r="W420" s="511"/>
      <c r="X420" s="511"/>
      <c r="Y420" s="511"/>
      <c r="Z420" s="511"/>
      <c r="AA420" s="511"/>
      <c r="AB420" s="511"/>
      <c r="AC420" s="511"/>
      <c r="AD420" s="511"/>
      <c r="AE420" s="511"/>
      <c r="AF420" s="511"/>
      <c r="AG420" s="511"/>
      <c r="AH420" s="511"/>
      <c r="AI420" s="511"/>
      <c r="AJ420" s="511"/>
      <c r="AK420" s="511"/>
      <c r="AL420" s="511"/>
      <c r="AM420" s="511"/>
      <c r="AN420" s="511"/>
      <c r="AO420" s="511"/>
      <c r="AP420" s="511"/>
      <c r="AQ420" s="511"/>
      <c r="AR420" s="511"/>
      <c r="AS420" s="511"/>
      <c r="AT420" s="511"/>
      <c r="AU420" s="511"/>
      <c r="AV420" s="511"/>
      <c r="AW420" s="511"/>
      <c r="AX420" s="511"/>
      <c r="AY420" s="511"/>
      <c r="AZ420" s="511"/>
      <c r="BA420" s="511"/>
    </row>
    <row r="421" spans="1:53" customFormat="1">
      <c r="A421" s="511"/>
      <c r="B421" s="511"/>
      <c r="C421" s="511"/>
      <c r="D421" s="511"/>
      <c r="E421" s="511"/>
      <c r="F421" s="511"/>
      <c r="G421" s="511"/>
      <c r="H421" s="517"/>
      <c r="I421" s="511"/>
      <c r="J421" s="511"/>
      <c r="K421" s="511"/>
      <c r="L421" s="511"/>
      <c r="M421" s="511"/>
      <c r="N421" s="511"/>
      <c r="O421" s="511"/>
      <c r="P421" s="511"/>
      <c r="Q421" s="511"/>
      <c r="R421" s="511"/>
      <c r="S421" s="511"/>
      <c r="T421" s="511"/>
      <c r="U421" s="511"/>
      <c r="V421" s="511"/>
      <c r="W421" s="511"/>
      <c r="X421" s="511"/>
      <c r="Y421" s="511"/>
      <c r="Z421" s="511"/>
      <c r="AA421" s="511"/>
      <c r="AB421" s="511"/>
      <c r="AC421" s="511"/>
      <c r="AD421" s="511"/>
      <c r="AE421" s="511"/>
      <c r="AF421" s="511"/>
      <c r="AG421" s="511"/>
      <c r="AH421" s="511"/>
      <c r="AI421" s="511"/>
      <c r="AJ421" s="511"/>
      <c r="AK421" s="511"/>
      <c r="AL421" s="511"/>
      <c r="AM421" s="511"/>
      <c r="AN421" s="511"/>
      <c r="AO421" s="511"/>
      <c r="AP421" s="511"/>
      <c r="AQ421" s="511"/>
      <c r="AR421" s="511"/>
      <c r="AS421" s="511"/>
      <c r="AT421" s="511"/>
      <c r="AU421" s="511"/>
      <c r="AV421" s="511"/>
      <c r="AW421" s="511"/>
      <c r="AX421" s="511"/>
      <c r="AY421" s="511"/>
      <c r="AZ421" s="511"/>
      <c r="BA421" s="511"/>
    </row>
    <row r="422" spans="1:53" customFormat="1">
      <c r="A422" s="511"/>
      <c r="B422" s="511"/>
      <c r="C422" s="511"/>
      <c r="D422" s="511"/>
      <c r="E422" s="511"/>
      <c r="F422" s="511"/>
      <c r="G422" s="511"/>
      <c r="H422" s="517"/>
      <c r="I422" s="511"/>
      <c r="J422" s="511"/>
      <c r="K422" s="511"/>
      <c r="L422" s="511"/>
      <c r="M422" s="511"/>
      <c r="N422" s="511"/>
      <c r="O422" s="511"/>
      <c r="P422" s="511"/>
      <c r="Q422" s="511"/>
      <c r="R422" s="511"/>
      <c r="S422" s="511"/>
      <c r="T422" s="511"/>
      <c r="U422" s="511"/>
      <c r="V422" s="511"/>
      <c r="W422" s="511"/>
      <c r="X422" s="511"/>
      <c r="Y422" s="511"/>
      <c r="Z422" s="511"/>
      <c r="AA422" s="511"/>
      <c r="AB422" s="511"/>
      <c r="AC422" s="511"/>
      <c r="AD422" s="511"/>
      <c r="AE422" s="511"/>
      <c r="AF422" s="511"/>
      <c r="AG422" s="511"/>
      <c r="AH422" s="511"/>
      <c r="AI422" s="511"/>
      <c r="AJ422" s="511"/>
      <c r="AK422" s="511"/>
      <c r="AL422" s="511"/>
      <c r="AM422" s="511"/>
      <c r="AN422" s="511"/>
      <c r="AO422" s="511"/>
      <c r="AP422" s="511"/>
      <c r="AQ422" s="511"/>
      <c r="AR422" s="511"/>
      <c r="AS422" s="511"/>
      <c r="AT422" s="511"/>
      <c r="AU422" s="511"/>
      <c r="AV422" s="511"/>
      <c r="AW422" s="511"/>
      <c r="AX422" s="511"/>
      <c r="AY422" s="511"/>
      <c r="AZ422" s="511"/>
      <c r="BA422" s="511"/>
    </row>
    <row r="423" spans="1:53" customFormat="1">
      <c r="A423" s="511"/>
      <c r="B423" s="511"/>
      <c r="C423" s="511"/>
      <c r="D423" s="511"/>
      <c r="E423" s="511"/>
      <c r="F423" s="511"/>
      <c r="G423" s="511"/>
      <c r="H423" s="517"/>
      <c r="I423" s="511"/>
      <c r="J423" s="511"/>
      <c r="K423" s="511"/>
      <c r="L423" s="511"/>
      <c r="M423" s="511"/>
      <c r="N423" s="511"/>
      <c r="O423" s="511"/>
      <c r="P423" s="511"/>
      <c r="Q423" s="511"/>
      <c r="R423" s="511"/>
      <c r="S423" s="511"/>
      <c r="T423" s="511"/>
      <c r="U423" s="511"/>
      <c r="V423" s="511"/>
      <c r="W423" s="511"/>
      <c r="X423" s="511"/>
      <c r="Y423" s="511"/>
      <c r="Z423" s="511"/>
      <c r="AA423" s="511"/>
      <c r="AB423" s="511"/>
      <c r="AC423" s="511"/>
      <c r="AD423" s="511"/>
      <c r="AE423" s="511"/>
      <c r="AF423" s="511"/>
      <c r="AG423" s="511"/>
      <c r="AH423" s="511"/>
      <c r="AI423" s="511"/>
      <c r="AJ423" s="511"/>
      <c r="AK423" s="511"/>
      <c r="AL423" s="511"/>
      <c r="AM423" s="511"/>
      <c r="AN423" s="511"/>
      <c r="AO423" s="511"/>
      <c r="AP423" s="511"/>
      <c r="AQ423" s="511"/>
      <c r="AR423" s="511"/>
      <c r="AS423" s="511"/>
      <c r="AT423" s="511"/>
      <c r="AU423" s="511"/>
      <c r="AV423" s="511"/>
      <c r="AW423" s="511"/>
      <c r="AX423" s="511"/>
      <c r="AY423" s="511"/>
      <c r="AZ423" s="511"/>
      <c r="BA423" s="511"/>
    </row>
    <row r="424" spans="1:53" customFormat="1">
      <c r="A424" s="511"/>
      <c r="B424" s="511"/>
      <c r="C424" s="511"/>
      <c r="D424" s="511"/>
      <c r="E424" s="511"/>
      <c r="F424" s="511"/>
      <c r="G424" s="511"/>
      <c r="H424" s="517"/>
      <c r="I424" s="511"/>
      <c r="J424" s="511"/>
      <c r="K424" s="511"/>
      <c r="L424" s="511"/>
      <c r="M424" s="511"/>
      <c r="N424" s="511"/>
      <c r="O424" s="511"/>
      <c r="P424" s="511"/>
      <c r="Q424" s="511"/>
      <c r="R424" s="511"/>
      <c r="S424" s="511"/>
      <c r="T424" s="511"/>
      <c r="U424" s="511"/>
      <c r="V424" s="511"/>
      <c r="W424" s="511"/>
      <c r="X424" s="511"/>
      <c r="Y424" s="511"/>
      <c r="Z424" s="511"/>
      <c r="AA424" s="511"/>
      <c r="AB424" s="511"/>
      <c r="AC424" s="511"/>
      <c r="AD424" s="511"/>
      <c r="AE424" s="511"/>
      <c r="AF424" s="511"/>
      <c r="AG424" s="511"/>
      <c r="AH424" s="511"/>
      <c r="AI424" s="511"/>
      <c r="AJ424" s="511"/>
      <c r="AK424" s="511"/>
      <c r="AL424" s="511"/>
      <c r="AM424" s="511"/>
      <c r="AN424" s="511"/>
      <c r="AO424" s="511"/>
      <c r="AP424" s="511"/>
      <c r="AQ424" s="511"/>
      <c r="AR424" s="511"/>
      <c r="AS424" s="511"/>
      <c r="AT424" s="511"/>
      <c r="AU424" s="511"/>
      <c r="AV424" s="511"/>
      <c r="AW424" s="511"/>
      <c r="AX424" s="511"/>
      <c r="AY424" s="511"/>
      <c r="AZ424" s="511"/>
      <c r="BA424" s="511"/>
    </row>
    <row r="425" spans="1:53" customFormat="1">
      <c r="A425" s="511"/>
      <c r="B425" s="511"/>
      <c r="C425" s="511"/>
      <c r="D425" s="511"/>
      <c r="E425" s="511"/>
      <c r="F425" s="511"/>
      <c r="G425" s="511"/>
      <c r="H425" s="517"/>
      <c r="I425" s="511"/>
      <c r="J425" s="511"/>
      <c r="K425" s="511"/>
      <c r="L425" s="511"/>
      <c r="M425" s="511"/>
      <c r="N425" s="511"/>
      <c r="O425" s="511"/>
      <c r="P425" s="511"/>
      <c r="Q425" s="511"/>
      <c r="R425" s="511"/>
      <c r="S425" s="511"/>
      <c r="T425" s="511"/>
      <c r="U425" s="511"/>
      <c r="V425" s="511"/>
      <c r="W425" s="511"/>
      <c r="X425" s="511"/>
      <c r="Y425" s="511"/>
      <c r="Z425" s="511"/>
      <c r="AA425" s="511"/>
      <c r="AB425" s="511"/>
      <c r="AC425" s="511"/>
      <c r="AD425" s="511"/>
      <c r="AE425" s="511"/>
      <c r="AF425" s="511"/>
      <c r="AG425" s="511"/>
      <c r="AH425" s="511"/>
      <c r="AI425" s="511"/>
      <c r="AJ425" s="511"/>
      <c r="AK425" s="511"/>
      <c r="AL425" s="511"/>
      <c r="AM425" s="511"/>
      <c r="AN425" s="511"/>
      <c r="AO425" s="511"/>
      <c r="AP425" s="511"/>
      <c r="AQ425" s="511"/>
      <c r="AR425" s="511"/>
      <c r="AS425" s="511"/>
      <c r="AT425" s="511"/>
      <c r="AU425" s="511"/>
      <c r="AV425" s="511"/>
      <c r="AW425" s="511"/>
      <c r="AX425" s="511"/>
      <c r="AY425" s="511"/>
      <c r="AZ425" s="511"/>
      <c r="BA425" s="511"/>
    </row>
    <row r="426" spans="1:53" customFormat="1">
      <c r="A426" s="511"/>
      <c r="B426" s="511"/>
      <c r="C426" s="511"/>
      <c r="D426" s="511"/>
      <c r="E426" s="511"/>
      <c r="F426" s="511"/>
      <c r="G426" s="511"/>
      <c r="H426" s="517"/>
      <c r="I426" s="511"/>
      <c r="J426" s="511"/>
      <c r="K426" s="511"/>
      <c r="L426" s="511"/>
      <c r="M426" s="511"/>
      <c r="N426" s="511"/>
      <c r="O426" s="511"/>
      <c r="P426" s="511"/>
      <c r="Q426" s="511"/>
      <c r="R426" s="511"/>
      <c r="S426" s="511"/>
      <c r="T426" s="511"/>
      <c r="U426" s="511"/>
      <c r="V426" s="511"/>
      <c r="W426" s="511"/>
      <c r="X426" s="511"/>
      <c r="Y426" s="511"/>
      <c r="Z426" s="511"/>
      <c r="AA426" s="511"/>
      <c r="AB426" s="511"/>
      <c r="AC426" s="511"/>
      <c r="AD426" s="511"/>
      <c r="AE426" s="511"/>
      <c r="AF426" s="511"/>
      <c r="AG426" s="511"/>
      <c r="AH426" s="511"/>
      <c r="AI426" s="511"/>
      <c r="AJ426" s="511"/>
      <c r="AK426" s="511"/>
      <c r="AL426" s="511"/>
      <c r="AM426" s="511"/>
      <c r="AN426" s="511"/>
      <c r="AO426" s="511"/>
      <c r="AP426" s="511"/>
      <c r="AQ426" s="511"/>
      <c r="AR426" s="511"/>
      <c r="AS426" s="511"/>
      <c r="AT426" s="511"/>
      <c r="AU426" s="511"/>
      <c r="AV426" s="511"/>
      <c r="AW426" s="511"/>
      <c r="AX426" s="511"/>
      <c r="AY426" s="511"/>
      <c r="AZ426" s="511"/>
      <c r="BA426" s="511"/>
    </row>
    <row r="427" spans="1:53" customFormat="1">
      <c r="A427" s="511"/>
      <c r="B427" s="511"/>
      <c r="C427" s="511"/>
      <c r="D427" s="511"/>
      <c r="E427" s="511"/>
      <c r="F427" s="511"/>
      <c r="G427" s="511"/>
      <c r="H427" s="517"/>
      <c r="I427" s="511"/>
      <c r="J427" s="511"/>
      <c r="K427" s="511"/>
      <c r="L427" s="511"/>
      <c r="M427" s="511"/>
      <c r="N427" s="511"/>
      <c r="O427" s="511"/>
      <c r="P427" s="511"/>
      <c r="Q427" s="511"/>
      <c r="R427" s="511"/>
      <c r="S427" s="511"/>
      <c r="T427" s="511"/>
      <c r="U427" s="511"/>
      <c r="V427" s="511"/>
      <c r="W427" s="511"/>
      <c r="X427" s="511"/>
      <c r="Y427" s="511"/>
      <c r="Z427" s="511"/>
      <c r="AA427" s="511"/>
      <c r="AB427" s="511"/>
      <c r="AC427" s="511"/>
      <c r="AD427" s="511"/>
      <c r="AE427" s="511"/>
      <c r="AF427" s="511"/>
      <c r="AG427" s="511"/>
      <c r="AH427" s="511"/>
      <c r="AI427" s="511"/>
      <c r="AJ427" s="511"/>
      <c r="AK427" s="511"/>
      <c r="AL427" s="511"/>
      <c r="AM427" s="511"/>
      <c r="AN427" s="511"/>
      <c r="AO427" s="511"/>
      <c r="AP427" s="511"/>
      <c r="AQ427" s="511"/>
      <c r="AR427" s="511"/>
      <c r="AS427" s="511"/>
      <c r="AT427" s="511"/>
      <c r="AU427" s="511"/>
      <c r="AV427" s="511"/>
      <c r="AW427" s="511"/>
      <c r="AX427" s="511"/>
      <c r="AY427" s="511"/>
      <c r="AZ427" s="511"/>
      <c r="BA427" s="511"/>
    </row>
    <row r="428" spans="1:53" customFormat="1">
      <c r="A428" s="511"/>
      <c r="B428" s="511"/>
      <c r="C428" s="511"/>
      <c r="D428" s="511"/>
      <c r="E428" s="511"/>
      <c r="F428" s="511"/>
      <c r="G428" s="511"/>
      <c r="H428" s="517"/>
      <c r="I428" s="511"/>
      <c r="J428" s="511"/>
      <c r="K428" s="511"/>
      <c r="L428" s="511"/>
      <c r="M428" s="511"/>
      <c r="N428" s="511"/>
      <c r="O428" s="511"/>
      <c r="P428" s="511"/>
      <c r="Q428" s="511"/>
      <c r="R428" s="511"/>
      <c r="S428" s="511"/>
      <c r="T428" s="511"/>
      <c r="U428" s="511"/>
      <c r="V428" s="511"/>
      <c r="W428" s="511"/>
      <c r="X428" s="511"/>
      <c r="Y428" s="511"/>
      <c r="Z428" s="511"/>
      <c r="AA428" s="511"/>
      <c r="AB428" s="511"/>
      <c r="AC428" s="511"/>
      <c r="AD428" s="511"/>
      <c r="AE428" s="511"/>
      <c r="AF428" s="511"/>
      <c r="AG428" s="511"/>
      <c r="AH428" s="511"/>
      <c r="AI428" s="511"/>
      <c r="AJ428" s="511"/>
      <c r="AK428" s="511"/>
      <c r="AL428" s="511"/>
      <c r="AM428" s="511"/>
      <c r="AN428" s="511"/>
      <c r="AO428" s="511"/>
      <c r="AP428" s="511"/>
      <c r="AQ428" s="511"/>
      <c r="AR428" s="511"/>
      <c r="AS428" s="511"/>
      <c r="AT428" s="511"/>
      <c r="AU428" s="511"/>
      <c r="AV428" s="511"/>
      <c r="AW428" s="511"/>
      <c r="AX428" s="511"/>
      <c r="AY428" s="511"/>
      <c r="AZ428" s="511"/>
      <c r="BA428" s="511"/>
    </row>
    <row r="429" spans="1:53" customFormat="1">
      <c r="A429" s="511"/>
      <c r="B429" s="511"/>
      <c r="C429" s="511"/>
      <c r="D429" s="511"/>
      <c r="E429" s="511"/>
      <c r="F429" s="511"/>
      <c r="G429" s="511"/>
      <c r="H429" s="517"/>
      <c r="I429" s="511"/>
      <c r="J429" s="511"/>
      <c r="K429" s="511"/>
      <c r="L429" s="511"/>
      <c r="M429" s="511"/>
      <c r="N429" s="511"/>
      <c r="O429" s="511"/>
      <c r="P429" s="511"/>
      <c r="Q429" s="511"/>
      <c r="R429" s="511"/>
      <c r="S429" s="511"/>
      <c r="T429" s="511"/>
      <c r="U429" s="511"/>
      <c r="V429" s="511"/>
      <c r="W429" s="511"/>
      <c r="X429" s="511"/>
      <c r="Y429" s="511"/>
      <c r="Z429" s="511"/>
      <c r="AA429" s="511"/>
      <c r="AB429" s="511"/>
      <c r="AC429" s="511"/>
      <c r="AD429" s="511"/>
      <c r="AE429" s="511"/>
      <c r="AF429" s="511"/>
      <c r="AG429" s="511"/>
      <c r="AH429" s="511"/>
      <c r="AI429" s="511"/>
      <c r="AJ429" s="511"/>
      <c r="AK429" s="511"/>
      <c r="AL429" s="511"/>
      <c r="AM429" s="511"/>
      <c r="AN429" s="511"/>
      <c r="AO429" s="511"/>
      <c r="AP429" s="511"/>
      <c r="AQ429" s="511"/>
      <c r="AR429" s="511"/>
      <c r="AS429" s="511"/>
      <c r="AT429" s="511"/>
      <c r="AU429" s="511"/>
      <c r="AV429" s="511"/>
      <c r="AW429" s="511"/>
      <c r="AX429" s="511"/>
      <c r="AY429" s="511"/>
      <c r="AZ429" s="511"/>
      <c r="BA429" s="511"/>
    </row>
    <row r="430" spans="1:53" customFormat="1">
      <c r="A430" s="511"/>
      <c r="B430" s="511"/>
      <c r="C430" s="511"/>
      <c r="D430" s="511"/>
      <c r="E430" s="511"/>
      <c r="F430" s="511"/>
      <c r="G430" s="511"/>
      <c r="H430" s="517"/>
      <c r="I430" s="511"/>
      <c r="J430" s="511"/>
      <c r="K430" s="511"/>
      <c r="L430" s="511"/>
      <c r="M430" s="511"/>
      <c r="N430" s="511"/>
      <c r="O430" s="511"/>
      <c r="P430" s="511"/>
      <c r="Q430" s="511"/>
      <c r="R430" s="511"/>
      <c r="S430" s="511"/>
      <c r="T430" s="511"/>
      <c r="U430" s="511"/>
      <c r="V430" s="511"/>
      <c r="W430" s="511"/>
      <c r="X430" s="511"/>
      <c r="Y430" s="511"/>
      <c r="Z430" s="511"/>
      <c r="AA430" s="511"/>
      <c r="AB430" s="511"/>
      <c r="AC430" s="511"/>
      <c r="AD430" s="511"/>
      <c r="AE430" s="511"/>
      <c r="AF430" s="511"/>
      <c r="AG430" s="511"/>
      <c r="AH430" s="511"/>
      <c r="AI430" s="511"/>
      <c r="AJ430" s="511"/>
      <c r="AK430" s="511"/>
      <c r="AL430" s="511"/>
      <c r="AM430" s="511"/>
      <c r="AN430" s="511"/>
      <c r="AO430" s="511"/>
      <c r="AP430" s="511"/>
      <c r="AQ430" s="511"/>
      <c r="AR430" s="511"/>
      <c r="AS430" s="511"/>
      <c r="AT430" s="511"/>
      <c r="AU430" s="511"/>
      <c r="AV430" s="511"/>
      <c r="AW430" s="511"/>
      <c r="AX430" s="511"/>
      <c r="AY430" s="511"/>
      <c r="AZ430" s="511"/>
      <c r="BA430" s="511"/>
    </row>
    <row r="431" spans="1:53" customFormat="1">
      <c r="A431" s="511"/>
      <c r="B431" s="511"/>
      <c r="C431" s="511"/>
      <c r="D431" s="511"/>
      <c r="E431" s="511"/>
      <c r="F431" s="511"/>
      <c r="G431" s="511"/>
      <c r="H431" s="517"/>
      <c r="I431" s="511"/>
      <c r="J431" s="511"/>
      <c r="K431" s="511"/>
      <c r="L431" s="511"/>
      <c r="M431" s="511"/>
      <c r="N431" s="511"/>
      <c r="O431" s="511"/>
      <c r="P431" s="511"/>
      <c r="Q431" s="511"/>
      <c r="R431" s="511"/>
      <c r="S431" s="511"/>
      <c r="T431" s="511"/>
      <c r="U431" s="511"/>
      <c r="V431" s="511"/>
      <c r="W431" s="511"/>
      <c r="X431" s="511"/>
      <c r="Y431" s="511"/>
      <c r="Z431" s="511"/>
      <c r="AA431" s="511"/>
      <c r="AB431" s="511"/>
      <c r="AC431" s="511"/>
      <c r="AD431" s="511"/>
      <c r="AE431" s="511"/>
      <c r="AF431" s="511"/>
      <c r="AG431" s="511"/>
      <c r="AH431" s="511"/>
      <c r="AI431" s="511"/>
      <c r="AJ431" s="511"/>
      <c r="AK431" s="511"/>
      <c r="AL431" s="511"/>
      <c r="AM431" s="511"/>
      <c r="AN431" s="511"/>
      <c r="AO431" s="511"/>
      <c r="AP431" s="511"/>
      <c r="AQ431" s="511"/>
      <c r="AR431" s="511"/>
      <c r="AS431" s="511"/>
      <c r="AT431" s="511"/>
      <c r="AU431" s="511"/>
      <c r="AV431" s="511"/>
      <c r="AW431" s="511"/>
      <c r="AX431" s="511"/>
      <c r="AY431" s="511"/>
      <c r="AZ431" s="511"/>
      <c r="BA431" s="511"/>
    </row>
    <row r="432" spans="1:53" customFormat="1">
      <c r="A432" s="511"/>
      <c r="B432" s="511"/>
      <c r="C432" s="511"/>
      <c r="D432" s="511"/>
      <c r="E432" s="511"/>
      <c r="F432" s="511"/>
      <c r="G432" s="511"/>
      <c r="H432" s="517"/>
      <c r="I432" s="511"/>
      <c r="J432" s="511"/>
      <c r="K432" s="511"/>
      <c r="L432" s="511"/>
      <c r="M432" s="511"/>
      <c r="N432" s="511"/>
      <c r="O432" s="511"/>
      <c r="P432" s="511"/>
      <c r="Q432" s="511"/>
      <c r="R432" s="511"/>
      <c r="S432" s="511"/>
      <c r="T432" s="511"/>
      <c r="U432" s="511"/>
      <c r="V432" s="511"/>
      <c r="W432" s="511"/>
      <c r="X432" s="511"/>
      <c r="Y432" s="511"/>
      <c r="Z432" s="511"/>
      <c r="AA432" s="511"/>
      <c r="AB432" s="511"/>
      <c r="AC432" s="511"/>
      <c r="AD432" s="511"/>
      <c r="AE432" s="511"/>
      <c r="AF432" s="511"/>
      <c r="AG432" s="511"/>
      <c r="AH432" s="511"/>
      <c r="AI432" s="511"/>
      <c r="AJ432" s="511"/>
      <c r="AK432" s="511"/>
      <c r="AL432" s="511"/>
      <c r="AM432" s="511"/>
      <c r="AN432" s="511"/>
      <c r="AO432" s="511"/>
      <c r="AP432" s="511"/>
      <c r="AQ432" s="511"/>
      <c r="AR432" s="511"/>
      <c r="AS432" s="511"/>
      <c r="AT432" s="511"/>
      <c r="AU432" s="511"/>
      <c r="AV432" s="511"/>
      <c r="AW432" s="511"/>
      <c r="AX432" s="511"/>
      <c r="AY432" s="511"/>
      <c r="AZ432" s="511"/>
      <c r="BA432" s="511"/>
    </row>
    <row r="433" spans="1:53" customFormat="1">
      <c r="A433" s="511"/>
      <c r="B433" s="511"/>
      <c r="C433" s="511"/>
      <c r="D433" s="511"/>
      <c r="E433" s="511"/>
      <c r="F433" s="511"/>
      <c r="G433" s="511"/>
      <c r="H433" s="517"/>
      <c r="I433" s="511"/>
      <c r="J433" s="511"/>
      <c r="K433" s="511"/>
      <c r="L433" s="511"/>
      <c r="M433" s="511"/>
      <c r="N433" s="511"/>
      <c r="O433" s="511"/>
      <c r="P433" s="511"/>
      <c r="Q433" s="511"/>
      <c r="R433" s="511"/>
      <c r="S433" s="511"/>
      <c r="T433" s="511"/>
      <c r="U433" s="511"/>
      <c r="V433" s="511"/>
      <c r="W433" s="511"/>
      <c r="X433" s="511"/>
      <c r="Y433" s="511"/>
      <c r="Z433" s="511"/>
      <c r="AA433" s="511"/>
      <c r="AB433" s="511"/>
      <c r="AC433" s="511"/>
      <c r="AD433" s="511"/>
      <c r="AE433" s="511"/>
      <c r="AF433" s="511"/>
      <c r="AG433" s="511"/>
      <c r="AH433" s="511"/>
      <c r="AI433" s="511"/>
      <c r="AJ433" s="511"/>
      <c r="AK433" s="511"/>
      <c r="AL433" s="511"/>
      <c r="AM433" s="511"/>
      <c r="AN433" s="511"/>
      <c r="AO433" s="511"/>
      <c r="AP433" s="511"/>
      <c r="AQ433" s="511"/>
      <c r="AR433" s="511"/>
      <c r="AS433" s="511"/>
      <c r="AT433" s="511"/>
      <c r="AU433" s="511"/>
      <c r="AV433" s="511"/>
      <c r="AW433" s="511"/>
      <c r="AX433" s="511"/>
      <c r="AY433" s="511"/>
      <c r="AZ433" s="511"/>
      <c r="BA433" s="511"/>
    </row>
    <row r="434" spans="1:53" customFormat="1">
      <c r="A434" s="511"/>
      <c r="B434" s="511"/>
      <c r="C434" s="511"/>
      <c r="D434" s="511"/>
      <c r="E434" s="511"/>
      <c r="F434" s="511"/>
      <c r="G434" s="511"/>
      <c r="H434" s="517"/>
      <c r="I434" s="511"/>
      <c r="J434" s="511"/>
      <c r="K434" s="511"/>
      <c r="L434" s="511"/>
      <c r="M434" s="511"/>
      <c r="N434" s="511"/>
      <c r="O434" s="511"/>
      <c r="P434" s="511"/>
      <c r="Q434" s="511"/>
      <c r="R434" s="511"/>
      <c r="S434" s="511"/>
      <c r="T434" s="511"/>
      <c r="U434" s="511"/>
      <c r="V434" s="511"/>
      <c r="W434" s="511"/>
      <c r="X434" s="511"/>
      <c r="Y434" s="511"/>
      <c r="Z434" s="511"/>
      <c r="AA434" s="511"/>
      <c r="AB434" s="511"/>
      <c r="AC434" s="511"/>
      <c r="AD434" s="511"/>
      <c r="AE434" s="511"/>
      <c r="AF434" s="511"/>
      <c r="AG434" s="511"/>
      <c r="AH434" s="511"/>
      <c r="AI434" s="511"/>
      <c r="AJ434" s="511"/>
      <c r="AK434" s="511"/>
      <c r="AL434" s="511"/>
      <c r="AM434" s="511"/>
      <c r="AN434" s="511"/>
      <c r="AO434" s="511"/>
      <c r="AP434" s="511"/>
      <c r="AQ434" s="511"/>
      <c r="AR434" s="511"/>
      <c r="AS434" s="511"/>
      <c r="AT434" s="511"/>
      <c r="AU434" s="511"/>
      <c r="AV434" s="511"/>
      <c r="AW434" s="511"/>
      <c r="AX434" s="511"/>
      <c r="AY434" s="511"/>
      <c r="AZ434" s="511"/>
      <c r="BA434" s="511"/>
    </row>
    <row r="435" spans="1:53" customFormat="1">
      <c r="A435" s="511"/>
      <c r="B435" s="511"/>
      <c r="C435" s="511"/>
      <c r="D435" s="511"/>
      <c r="E435" s="511"/>
      <c r="F435" s="511"/>
      <c r="G435" s="511"/>
      <c r="H435" s="517"/>
      <c r="I435" s="511"/>
      <c r="J435" s="511"/>
      <c r="K435" s="511"/>
      <c r="L435" s="511"/>
      <c r="M435" s="511"/>
      <c r="N435" s="511"/>
      <c r="O435" s="511"/>
      <c r="P435" s="511"/>
      <c r="Q435" s="511"/>
      <c r="R435" s="511"/>
      <c r="S435" s="511"/>
      <c r="T435" s="511"/>
      <c r="U435" s="511"/>
      <c r="V435" s="511"/>
      <c r="W435" s="511"/>
      <c r="X435" s="511"/>
      <c r="Y435" s="511"/>
      <c r="Z435" s="511"/>
      <c r="AA435" s="511"/>
      <c r="AB435" s="511"/>
      <c r="AC435" s="511"/>
      <c r="AD435" s="511"/>
      <c r="AE435" s="511"/>
      <c r="AF435" s="511"/>
      <c r="AG435" s="511"/>
      <c r="AH435" s="511"/>
      <c r="AI435" s="511"/>
      <c r="AJ435" s="511"/>
      <c r="AK435" s="511"/>
      <c r="AL435" s="511"/>
      <c r="AM435" s="511"/>
      <c r="AN435" s="511"/>
      <c r="AO435" s="511"/>
      <c r="AP435" s="511"/>
      <c r="AQ435" s="511"/>
      <c r="AR435" s="511"/>
      <c r="AS435" s="511"/>
      <c r="AT435" s="511"/>
      <c r="AU435" s="511"/>
      <c r="AV435" s="511"/>
      <c r="AW435" s="511"/>
      <c r="AX435" s="511"/>
      <c r="AY435" s="511"/>
      <c r="AZ435" s="511"/>
      <c r="BA435" s="511"/>
    </row>
    <row r="436" spans="1:53" customFormat="1">
      <c r="A436" s="511"/>
      <c r="B436" s="511"/>
      <c r="C436" s="511"/>
      <c r="D436" s="511"/>
      <c r="E436" s="511"/>
      <c r="F436" s="511"/>
      <c r="G436" s="511"/>
      <c r="H436" s="517"/>
      <c r="I436" s="511"/>
      <c r="J436" s="511"/>
      <c r="K436" s="511"/>
      <c r="L436" s="511"/>
      <c r="M436" s="511"/>
      <c r="N436" s="511"/>
      <c r="O436" s="511"/>
      <c r="P436" s="511"/>
      <c r="Q436" s="511"/>
      <c r="R436" s="511"/>
      <c r="S436" s="511"/>
      <c r="T436" s="511"/>
      <c r="U436" s="511"/>
      <c r="V436" s="511"/>
      <c r="W436" s="511"/>
      <c r="X436" s="511"/>
      <c r="Y436" s="511"/>
      <c r="Z436" s="511"/>
      <c r="AA436" s="511"/>
      <c r="AB436" s="511"/>
      <c r="AC436" s="511"/>
      <c r="AD436" s="511"/>
      <c r="AE436" s="511"/>
      <c r="AF436" s="511"/>
      <c r="AG436" s="511"/>
      <c r="AH436" s="511"/>
      <c r="AI436" s="511"/>
      <c r="AJ436" s="511"/>
      <c r="AK436" s="511"/>
      <c r="AL436" s="511"/>
      <c r="AM436" s="511"/>
      <c r="AN436" s="511"/>
      <c r="AO436" s="511"/>
      <c r="AP436" s="511"/>
      <c r="AQ436" s="511"/>
      <c r="AR436" s="511"/>
      <c r="AS436" s="511"/>
      <c r="AT436" s="511"/>
      <c r="AU436" s="511"/>
      <c r="AV436" s="511"/>
      <c r="AW436" s="511"/>
      <c r="AX436" s="511"/>
      <c r="AY436" s="511"/>
      <c r="AZ436" s="511"/>
      <c r="BA436" s="511"/>
    </row>
    <row r="437" spans="1:53" customFormat="1">
      <c r="A437" s="511"/>
      <c r="B437" s="511"/>
      <c r="C437" s="511"/>
      <c r="D437" s="511"/>
      <c r="E437" s="511"/>
      <c r="F437" s="511"/>
      <c r="G437" s="511"/>
      <c r="H437" s="517"/>
      <c r="I437" s="511"/>
      <c r="J437" s="511"/>
      <c r="K437" s="511"/>
      <c r="L437" s="511"/>
      <c r="M437" s="511"/>
      <c r="N437" s="511"/>
      <c r="O437" s="511"/>
      <c r="P437" s="511"/>
      <c r="Q437" s="511"/>
      <c r="R437" s="511"/>
      <c r="S437" s="511"/>
      <c r="T437" s="511"/>
      <c r="U437" s="511"/>
      <c r="V437" s="511"/>
      <c r="W437" s="511"/>
      <c r="X437" s="511"/>
      <c r="Y437" s="511"/>
      <c r="Z437" s="511"/>
      <c r="AA437" s="511"/>
      <c r="AB437" s="511"/>
      <c r="AC437" s="511"/>
      <c r="AD437" s="511"/>
      <c r="AE437" s="511"/>
      <c r="AF437" s="511"/>
      <c r="AG437" s="511"/>
      <c r="AH437" s="511"/>
      <c r="AI437" s="511"/>
      <c r="AJ437" s="511"/>
      <c r="AK437" s="511"/>
      <c r="AL437" s="511"/>
      <c r="AM437" s="511"/>
      <c r="AN437" s="511"/>
      <c r="AO437" s="511"/>
      <c r="AP437" s="511"/>
      <c r="AQ437" s="511"/>
      <c r="AR437" s="511"/>
      <c r="AS437" s="511"/>
      <c r="AT437" s="511"/>
      <c r="AU437" s="511"/>
      <c r="AV437" s="511"/>
      <c r="AW437" s="511"/>
      <c r="AX437" s="511"/>
      <c r="AY437" s="511"/>
      <c r="AZ437" s="511"/>
      <c r="BA437" s="511"/>
    </row>
    <row r="438" spans="1:53" customFormat="1">
      <c r="A438" s="511"/>
      <c r="B438" s="511"/>
      <c r="C438" s="511"/>
      <c r="D438" s="511"/>
      <c r="E438" s="511"/>
      <c r="F438" s="511"/>
      <c r="G438" s="511"/>
      <c r="H438" s="517"/>
      <c r="I438" s="511"/>
      <c r="J438" s="511"/>
      <c r="K438" s="511"/>
      <c r="L438" s="511"/>
      <c r="M438" s="511"/>
      <c r="N438" s="511"/>
      <c r="O438" s="511"/>
      <c r="P438" s="511"/>
      <c r="Q438" s="511"/>
      <c r="R438" s="511"/>
      <c r="S438" s="511"/>
      <c r="T438" s="511"/>
      <c r="U438" s="511"/>
      <c r="V438" s="511"/>
      <c r="W438" s="511"/>
      <c r="X438" s="511"/>
      <c r="Y438" s="511"/>
      <c r="Z438" s="511"/>
      <c r="AA438" s="511"/>
      <c r="AB438" s="511"/>
      <c r="AC438" s="511"/>
      <c r="AD438" s="511"/>
      <c r="AE438" s="511"/>
      <c r="AF438" s="511"/>
      <c r="AG438" s="511"/>
      <c r="AH438" s="511"/>
      <c r="AI438" s="511"/>
      <c r="AJ438" s="511"/>
      <c r="AK438" s="511"/>
      <c r="AL438" s="511"/>
      <c r="AM438" s="511"/>
      <c r="AN438" s="511"/>
      <c r="AO438" s="511"/>
      <c r="AP438" s="511"/>
      <c r="AQ438" s="511"/>
      <c r="AR438" s="511"/>
      <c r="AS438" s="511"/>
      <c r="AT438" s="511"/>
      <c r="AU438" s="511"/>
      <c r="AV438" s="511"/>
      <c r="AW438" s="511"/>
      <c r="AX438" s="511"/>
      <c r="AY438" s="511"/>
      <c r="AZ438" s="511"/>
      <c r="BA438" s="511"/>
    </row>
    <row r="439" spans="1:53" customFormat="1">
      <c r="A439" s="511"/>
      <c r="B439" s="511"/>
      <c r="C439" s="511"/>
      <c r="D439" s="511"/>
      <c r="E439" s="511"/>
      <c r="F439" s="511"/>
      <c r="G439" s="511"/>
      <c r="H439" s="517"/>
      <c r="I439" s="511"/>
      <c r="J439" s="511"/>
      <c r="K439" s="511"/>
      <c r="L439" s="511"/>
      <c r="M439" s="511"/>
      <c r="N439" s="511"/>
      <c r="O439" s="511"/>
      <c r="P439" s="511"/>
      <c r="Q439" s="511"/>
      <c r="R439" s="511"/>
      <c r="S439" s="511"/>
      <c r="T439" s="511"/>
      <c r="U439" s="511"/>
      <c r="V439" s="511"/>
      <c r="W439" s="511"/>
      <c r="X439" s="511"/>
      <c r="Y439" s="511"/>
      <c r="Z439" s="511"/>
      <c r="AA439" s="511"/>
      <c r="AB439" s="511"/>
      <c r="AC439" s="511"/>
      <c r="AD439" s="511"/>
      <c r="AE439" s="511"/>
      <c r="AF439" s="511"/>
      <c r="AG439" s="511"/>
      <c r="AH439" s="511"/>
      <c r="AI439" s="511"/>
      <c r="AJ439" s="511"/>
      <c r="AK439" s="511"/>
      <c r="AL439" s="511"/>
      <c r="AM439" s="511"/>
      <c r="AN439" s="511"/>
      <c r="AO439" s="511"/>
      <c r="AP439" s="511"/>
      <c r="AQ439" s="511"/>
      <c r="AR439" s="511"/>
      <c r="AS439" s="511"/>
      <c r="AT439" s="511"/>
      <c r="AU439" s="511"/>
      <c r="AV439" s="511"/>
      <c r="AW439" s="511"/>
      <c r="AX439" s="511"/>
      <c r="AY439" s="511"/>
      <c r="AZ439" s="511"/>
      <c r="BA439" s="511"/>
    </row>
    <row r="440" spans="1:53" customFormat="1">
      <c r="A440" s="511"/>
      <c r="B440" s="511"/>
      <c r="C440" s="511"/>
      <c r="D440" s="511"/>
      <c r="E440" s="511"/>
      <c r="F440" s="511"/>
      <c r="G440" s="511"/>
      <c r="H440" s="517"/>
      <c r="I440" s="511"/>
      <c r="J440" s="511"/>
      <c r="K440" s="511"/>
      <c r="L440" s="511"/>
      <c r="M440" s="511"/>
      <c r="N440" s="511"/>
      <c r="O440" s="511"/>
      <c r="P440" s="511"/>
      <c r="Q440" s="511"/>
      <c r="R440" s="511"/>
      <c r="S440" s="511"/>
      <c r="T440" s="511"/>
      <c r="U440" s="511"/>
      <c r="V440" s="511"/>
      <c r="W440" s="511"/>
      <c r="X440" s="511"/>
      <c r="Y440" s="511"/>
      <c r="Z440" s="511"/>
      <c r="AA440" s="511"/>
      <c r="AB440" s="511"/>
      <c r="AC440" s="511"/>
      <c r="AD440" s="511"/>
      <c r="AE440" s="511"/>
      <c r="AF440" s="511"/>
      <c r="AG440" s="511"/>
      <c r="AH440" s="511"/>
      <c r="AI440" s="511"/>
      <c r="AJ440" s="511"/>
      <c r="AK440" s="511"/>
      <c r="AL440" s="511"/>
      <c r="AM440" s="511"/>
      <c r="AN440" s="511"/>
      <c r="AO440" s="511"/>
      <c r="AP440" s="511"/>
      <c r="AQ440" s="511"/>
      <c r="AR440" s="511"/>
      <c r="AS440" s="511"/>
      <c r="AT440" s="511"/>
      <c r="AU440" s="511"/>
      <c r="AV440" s="511"/>
      <c r="AW440" s="511"/>
      <c r="AX440" s="511"/>
      <c r="AY440" s="511"/>
      <c r="AZ440" s="511"/>
      <c r="BA440" s="511"/>
    </row>
    <row r="441" spans="1:53" customFormat="1">
      <c r="A441" s="511"/>
      <c r="B441" s="511"/>
      <c r="C441" s="511"/>
      <c r="D441" s="511"/>
      <c r="E441" s="511"/>
      <c r="F441" s="511"/>
      <c r="G441" s="511"/>
      <c r="H441" s="517"/>
      <c r="I441" s="511"/>
      <c r="J441" s="511"/>
      <c r="K441" s="511"/>
      <c r="L441" s="511"/>
      <c r="M441" s="511"/>
      <c r="N441" s="511"/>
      <c r="O441" s="511"/>
      <c r="P441" s="511"/>
      <c r="Q441" s="511"/>
      <c r="R441" s="511"/>
      <c r="S441" s="511"/>
      <c r="T441" s="511"/>
      <c r="U441" s="511"/>
      <c r="V441" s="511"/>
      <c r="W441" s="511"/>
      <c r="X441" s="511"/>
      <c r="Y441" s="511"/>
      <c r="Z441" s="511"/>
      <c r="AA441" s="511"/>
      <c r="AB441" s="511"/>
      <c r="AC441" s="511"/>
      <c r="AD441" s="511"/>
      <c r="AE441" s="511"/>
      <c r="AF441" s="511"/>
      <c r="AG441" s="511"/>
      <c r="AH441" s="511"/>
      <c r="AI441" s="511"/>
      <c r="AJ441" s="511"/>
      <c r="AK441" s="511"/>
      <c r="AL441" s="511"/>
      <c r="AM441" s="511"/>
      <c r="AN441" s="511"/>
      <c r="AO441" s="511"/>
      <c r="AP441" s="511"/>
      <c r="AQ441" s="511"/>
      <c r="AR441" s="511"/>
      <c r="AS441" s="511"/>
      <c r="AT441" s="511"/>
      <c r="AU441" s="511"/>
      <c r="AV441" s="511"/>
      <c r="AW441" s="511"/>
      <c r="AX441" s="511"/>
      <c r="AY441" s="511"/>
      <c r="AZ441" s="511"/>
      <c r="BA441" s="511"/>
    </row>
    <row r="442" spans="1:53" customFormat="1">
      <c r="A442" s="511"/>
      <c r="B442" s="511"/>
      <c r="C442" s="511"/>
      <c r="D442" s="511"/>
      <c r="E442" s="511"/>
      <c r="F442" s="511"/>
      <c r="G442" s="511"/>
      <c r="H442" s="517"/>
      <c r="I442" s="511"/>
      <c r="J442" s="511"/>
      <c r="K442" s="511"/>
      <c r="L442" s="511"/>
      <c r="M442" s="511"/>
      <c r="N442" s="511"/>
      <c r="O442" s="511"/>
      <c r="P442" s="511"/>
      <c r="Q442" s="511"/>
      <c r="R442" s="511"/>
      <c r="S442" s="511"/>
      <c r="T442" s="511"/>
      <c r="U442" s="511"/>
      <c r="V442" s="511"/>
      <c r="W442" s="511"/>
      <c r="X442" s="511"/>
      <c r="Y442" s="511"/>
      <c r="Z442" s="511"/>
      <c r="AA442" s="511"/>
      <c r="AB442" s="511"/>
      <c r="AC442" s="511"/>
      <c r="AD442" s="511"/>
      <c r="AE442" s="511"/>
      <c r="AF442" s="511"/>
      <c r="AG442" s="511"/>
      <c r="AH442" s="511"/>
      <c r="AI442" s="511"/>
      <c r="AJ442" s="511"/>
      <c r="AK442" s="511"/>
      <c r="AL442" s="511"/>
      <c r="AM442" s="511"/>
      <c r="AN442" s="511"/>
      <c r="AO442" s="511"/>
      <c r="AP442" s="511"/>
      <c r="AQ442" s="511"/>
      <c r="AR442" s="511"/>
      <c r="AS442" s="511"/>
      <c r="AT442" s="511"/>
      <c r="AU442" s="511"/>
      <c r="AV442" s="511"/>
      <c r="AW442" s="511"/>
      <c r="AX442" s="511"/>
      <c r="AY442" s="511"/>
      <c r="AZ442" s="511"/>
      <c r="BA442" s="511"/>
    </row>
    <row r="443" spans="1:53" customFormat="1">
      <c r="A443" s="511"/>
      <c r="B443" s="511"/>
      <c r="C443" s="511"/>
      <c r="D443" s="511"/>
      <c r="E443" s="511"/>
      <c r="F443" s="511"/>
      <c r="G443" s="511"/>
      <c r="H443" s="517"/>
      <c r="I443" s="511"/>
      <c r="J443" s="511"/>
      <c r="K443" s="511"/>
      <c r="L443" s="511"/>
      <c r="M443" s="511"/>
      <c r="N443" s="511"/>
      <c r="O443" s="511"/>
      <c r="P443" s="511"/>
      <c r="Q443" s="511"/>
      <c r="R443" s="511"/>
      <c r="S443" s="511"/>
      <c r="T443" s="511"/>
      <c r="U443" s="511"/>
      <c r="V443" s="511"/>
      <c r="W443" s="511"/>
      <c r="X443" s="511"/>
      <c r="Y443" s="511"/>
      <c r="Z443" s="511"/>
      <c r="AA443" s="511"/>
      <c r="AB443" s="511"/>
      <c r="AC443" s="511"/>
      <c r="AD443" s="511"/>
      <c r="AE443" s="511"/>
      <c r="AF443" s="511"/>
      <c r="AG443" s="511"/>
      <c r="AH443" s="511"/>
      <c r="AI443" s="511"/>
      <c r="AJ443" s="511"/>
      <c r="AK443" s="511"/>
      <c r="AL443" s="511"/>
      <c r="AM443" s="511"/>
      <c r="AN443" s="511"/>
      <c r="AO443" s="511"/>
      <c r="AP443" s="511"/>
      <c r="AQ443" s="511"/>
      <c r="AR443" s="511"/>
      <c r="AS443" s="511"/>
      <c r="AT443" s="511"/>
      <c r="AU443" s="511"/>
      <c r="AV443" s="511"/>
      <c r="AW443" s="511"/>
      <c r="AX443" s="511"/>
      <c r="AY443" s="511"/>
      <c r="AZ443" s="511"/>
      <c r="BA443" s="511"/>
    </row>
    <row r="444" spans="1:53" customFormat="1">
      <c r="A444" s="511"/>
      <c r="B444" s="511"/>
      <c r="C444" s="511"/>
      <c r="D444" s="511"/>
      <c r="E444" s="511"/>
      <c r="F444" s="511"/>
      <c r="G444" s="511"/>
      <c r="H444" s="517"/>
      <c r="I444" s="511"/>
      <c r="J444" s="511"/>
      <c r="K444" s="511"/>
      <c r="L444" s="511"/>
      <c r="M444" s="511"/>
      <c r="N444" s="511"/>
      <c r="O444" s="511"/>
      <c r="P444" s="511"/>
      <c r="Q444" s="511"/>
      <c r="R444" s="511"/>
      <c r="S444" s="511"/>
      <c r="T444" s="511"/>
      <c r="U444" s="511"/>
      <c r="V444" s="511"/>
      <c r="W444" s="511"/>
      <c r="X444" s="511"/>
      <c r="Y444" s="511"/>
      <c r="Z444" s="511"/>
      <c r="AA444" s="511"/>
      <c r="AB444" s="511"/>
      <c r="AC444" s="511"/>
      <c r="AD444" s="511"/>
      <c r="AE444" s="511"/>
      <c r="AF444" s="511"/>
      <c r="AG444" s="511"/>
      <c r="AH444" s="511"/>
      <c r="AI444" s="511"/>
      <c r="AJ444" s="511"/>
      <c r="AK444" s="511"/>
      <c r="AL444" s="511"/>
      <c r="AM444" s="511"/>
      <c r="AN444" s="511"/>
      <c r="AO444" s="511"/>
      <c r="AP444" s="511"/>
      <c r="AQ444" s="511"/>
      <c r="AR444" s="511"/>
      <c r="AS444" s="511"/>
      <c r="AT444" s="511"/>
      <c r="AU444" s="511"/>
      <c r="AV444" s="511"/>
      <c r="AW444" s="511"/>
      <c r="AX444" s="511"/>
      <c r="AY444" s="511"/>
      <c r="AZ444" s="511"/>
      <c r="BA444" s="511"/>
    </row>
    <row r="445" spans="1:53" customFormat="1">
      <c r="A445" s="511"/>
      <c r="B445" s="511"/>
      <c r="C445" s="511"/>
      <c r="D445" s="511"/>
      <c r="E445" s="511"/>
      <c r="F445" s="511"/>
      <c r="G445" s="511"/>
      <c r="H445" s="517"/>
      <c r="I445" s="511"/>
      <c r="J445" s="511"/>
      <c r="K445" s="511"/>
      <c r="L445" s="511"/>
      <c r="M445" s="511"/>
      <c r="N445" s="511"/>
      <c r="O445" s="511"/>
      <c r="P445" s="511"/>
      <c r="Q445" s="511"/>
      <c r="R445" s="511"/>
      <c r="S445" s="511"/>
      <c r="T445" s="511"/>
      <c r="U445" s="511"/>
      <c r="V445" s="511"/>
      <c r="W445" s="511"/>
      <c r="X445" s="511"/>
      <c r="Y445" s="511"/>
      <c r="Z445" s="511"/>
      <c r="AA445" s="511"/>
      <c r="AB445" s="511"/>
      <c r="AC445" s="511"/>
      <c r="AD445" s="511"/>
      <c r="AE445" s="511"/>
      <c r="AF445" s="511"/>
      <c r="AG445" s="511"/>
      <c r="AH445" s="511"/>
      <c r="AI445" s="511"/>
      <c r="AJ445" s="511"/>
      <c r="AK445" s="511"/>
      <c r="AL445" s="511"/>
      <c r="AM445" s="511"/>
      <c r="AN445" s="511"/>
      <c r="AO445" s="511"/>
      <c r="AP445" s="511"/>
      <c r="AQ445" s="511"/>
      <c r="AR445" s="511"/>
      <c r="AS445" s="511"/>
      <c r="AT445" s="511"/>
      <c r="AU445" s="511"/>
      <c r="AV445" s="511"/>
      <c r="AW445" s="511"/>
      <c r="AX445" s="511"/>
      <c r="AY445" s="511"/>
      <c r="AZ445" s="511"/>
      <c r="BA445" s="511"/>
    </row>
    <row r="446" spans="1:53" customFormat="1">
      <c r="A446" s="511"/>
      <c r="B446" s="511"/>
      <c r="C446" s="511"/>
      <c r="D446" s="511"/>
      <c r="E446" s="511"/>
      <c r="F446" s="511"/>
      <c r="G446" s="511"/>
      <c r="H446" s="517"/>
      <c r="I446" s="511"/>
      <c r="J446" s="511"/>
      <c r="K446" s="511"/>
      <c r="L446" s="511"/>
      <c r="M446" s="511"/>
      <c r="N446" s="511"/>
      <c r="O446" s="511"/>
      <c r="P446" s="511"/>
      <c r="Q446" s="511"/>
      <c r="R446" s="511"/>
      <c r="S446" s="511"/>
      <c r="T446" s="511"/>
      <c r="U446" s="511"/>
      <c r="V446" s="511"/>
      <c r="W446" s="511"/>
      <c r="X446" s="511"/>
      <c r="Y446" s="511"/>
      <c r="Z446" s="511"/>
      <c r="AA446" s="511"/>
      <c r="AB446" s="511"/>
      <c r="AC446" s="511"/>
      <c r="AD446" s="511"/>
      <c r="AE446" s="511"/>
      <c r="AF446" s="511"/>
      <c r="AG446" s="511"/>
      <c r="AH446" s="511"/>
      <c r="AI446" s="511"/>
      <c r="AJ446" s="511"/>
      <c r="AK446" s="511"/>
      <c r="AL446" s="511"/>
      <c r="AM446" s="511"/>
      <c r="AN446" s="511"/>
      <c r="AO446" s="511"/>
      <c r="AP446" s="511"/>
      <c r="AQ446" s="511"/>
      <c r="AR446" s="511"/>
      <c r="AS446" s="511"/>
      <c r="AT446" s="511"/>
      <c r="AU446" s="511"/>
      <c r="AV446" s="511"/>
      <c r="AW446" s="511"/>
      <c r="AX446" s="511"/>
      <c r="AY446" s="511"/>
      <c r="AZ446" s="511"/>
      <c r="BA446" s="511"/>
    </row>
    <row r="447" spans="1:53" customFormat="1">
      <c r="A447" s="511"/>
      <c r="B447" s="511"/>
      <c r="C447" s="511"/>
      <c r="D447" s="511"/>
      <c r="E447" s="511"/>
      <c r="F447" s="511"/>
      <c r="G447" s="511"/>
      <c r="H447" s="517"/>
      <c r="I447" s="511"/>
      <c r="J447" s="511"/>
      <c r="K447" s="511"/>
      <c r="L447" s="511"/>
      <c r="M447" s="511"/>
      <c r="N447" s="511"/>
      <c r="O447" s="511"/>
      <c r="P447" s="511"/>
      <c r="Q447" s="511"/>
      <c r="R447" s="511"/>
      <c r="S447" s="511"/>
      <c r="T447" s="511"/>
      <c r="U447" s="511"/>
      <c r="V447" s="511"/>
      <c r="W447" s="511"/>
      <c r="X447" s="511"/>
      <c r="Y447" s="511"/>
      <c r="Z447" s="511"/>
      <c r="AA447" s="511"/>
      <c r="AB447" s="511"/>
      <c r="AC447" s="511"/>
      <c r="AD447" s="511"/>
      <c r="AE447" s="511"/>
      <c r="AF447" s="511"/>
      <c r="AG447" s="511"/>
      <c r="AH447" s="511"/>
      <c r="AI447" s="511"/>
      <c r="AJ447" s="511"/>
      <c r="AK447" s="511"/>
      <c r="AL447" s="511"/>
      <c r="AM447" s="511"/>
      <c r="AN447" s="511"/>
      <c r="AO447" s="511"/>
      <c r="AP447" s="511"/>
      <c r="AQ447" s="511"/>
      <c r="AR447" s="511"/>
      <c r="AS447" s="511"/>
      <c r="AT447" s="511"/>
      <c r="AU447" s="511"/>
      <c r="AV447" s="511"/>
      <c r="AW447" s="511"/>
      <c r="AX447" s="511"/>
      <c r="AY447" s="511"/>
      <c r="AZ447" s="511"/>
      <c r="BA447" s="511"/>
    </row>
    <row r="448" spans="1:53" customFormat="1">
      <c r="A448" s="511"/>
      <c r="B448" s="511"/>
      <c r="C448" s="511"/>
      <c r="D448" s="511"/>
      <c r="E448" s="511"/>
      <c r="F448" s="511"/>
      <c r="G448" s="511"/>
      <c r="H448" s="517"/>
      <c r="I448" s="511"/>
      <c r="J448" s="511"/>
      <c r="K448" s="511"/>
      <c r="L448" s="511"/>
      <c r="M448" s="511"/>
      <c r="N448" s="511"/>
      <c r="O448" s="511"/>
      <c r="P448" s="511"/>
      <c r="Q448" s="511"/>
      <c r="R448" s="511"/>
      <c r="S448" s="511"/>
      <c r="T448" s="511"/>
      <c r="U448" s="511"/>
      <c r="V448" s="511"/>
      <c r="W448" s="511"/>
      <c r="X448" s="511"/>
      <c r="Y448" s="511"/>
      <c r="Z448" s="511"/>
      <c r="AA448" s="511"/>
      <c r="AB448" s="511"/>
      <c r="AC448" s="511"/>
      <c r="AD448" s="511"/>
      <c r="AE448" s="511"/>
      <c r="AF448" s="511"/>
      <c r="AG448" s="511"/>
      <c r="AH448" s="511"/>
      <c r="AI448" s="511"/>
      <c r="AJ448" s="511"/>
      <c r="AK448" s="511"/>
      <c r="AL448" s="511"/>
      <c r="AM448" s="511"/>
      <c r="AN448" s="511"/>
      <c r="AO448" s="511"/>
      <c r="AP448" s="511"/>
      <c r="AQ448" s="511"/>
      <c r="AR448" s="511"/>
      <c r="AS448" s="511"/>
      <c r="AT448" s="511"/>
      <c r="AU448" s="511"/>
      <c r="AV448" s="511"/>
      <c r="AW448" s="511"/>
      <c r="AX448" s="511"/>
      <c r="AY448" s="511"/>
      <c r="AZ448" s="511"/>
      <c r="BA448" s="511"/>
    </row>
    <row r="449" spans="1:53" customFormat="1">
      <c r="A449" s="511"/>
      <c r="B449" s="511"/>
      <c r="C449" s="511"/>
      <c r="D449" s="511"/>
      <c r="E449" s="511"/>
      <c r="F449" s="511"/>
      <c r="G449" s="511"/>
      <c r="H449" s="517"/>
      <c r="I449" s="511"/>
      <c r="J449" s="511"/>
      <c r="K449" s="511"/>
      <c r="L449" s="511"/>
      <c r="M449" s="511"/>
      <c r="N449" s="511"/>
      <c r="O449" s="511"/>
      <c r="P449" s="511"/>
      <c r="Q449" s="511"/>
      <c r="R449" s="511"/>
      <c r="S449" s="511"/>
      <c r="T449" s="511"/>
      <c r="U449" s="511"/>
      <c r="V449" s="511"/>
      <c r="W449" s="511"/>
      <c r="X449" s="511"/>
      <c r="Y449" s="511"/>
      <c r="Z449" s="511"/>
      <c r="AA449" s="511"/>
      <c r="AB449" s="511"/>
      <c r="AC449" s="511"/>
      <c r="AD449" s="511"/>
      <c r="AE449" s="511"/>
      <c r="AF449" s="511"/>
      <c r="AG449" s="511"/>
      <c r="AH449" s="511"/>
      <c r="AI449" s="511"/>
      <c r="AJ449" s="511"/>
      <c r="AK449" s="511"/>
      <c r="AL449" s="511"/>
      <c r="AM449" s="511"/>
      <c r="AN449" s="511"/>
      <c r="AO449" s="511"/>
      <c r="AP449" s="511"/>
      <c r="AQ449" s="511"/>
      <c r="AR449" s="511"/>
      <c r="AS449" s="511"/>
      <c r="AT449" s="511"/>
      <c r="AU449" s="511"/>
      <c r="AV449" s="511"/>
      <c r="AW449" s="511"/>
      <c r="AX449" s="511"/>
      <c r="AY449" s="511"/>
      <c r="AZ449" s="511"/>
      <c r="BA449" s="511"/>
    </row>
    <row r="450" spans="1:53" customFormat="1">
      <c r="A450" s="511"/>
      <c r="B450" s="511"/>
      <c r="C450" s="511"/>
      <c r="D450" s="511"/>
      <c r="E450" s="511"/>
      <c r="F450" s="511"/>
      <c r="G450" s="511"/>
      <c r="H450" s="517"/>
      <c r="I450" s="511"/>
      <c r="J450" s="511"/>
      <c r="K450" s="511"/>
      <c r="L450" s="511"/>
      <c r="M450" s="511"/>
      <c r="N450" s="511"/>
      <c r="O450" s="511"/>
      <c r="P450" s="511"/>
      <c r="Q450" s="511"/>
      <c r="R450" s="511"/>
      <c r="S450" s="511"/>
      <c r="T450" s="511"/>
      <c r="U450" s="511"/>
      <c r="V450" s="511"/>
      <c r="W450" s="511"/>
      <c r="X450" s="511"/>
      <c r="Y450" s="511"/>
      <c r="Z450" s="511"/>
      <c r="AA450" s="511"/>
      <c r="AB450" s="511"/>
      <c r="AC450" s="511"/>
      <c r="AD450" s="511"/>
      <c r="AE450" s="511"/>
      <c r="AF450" s="511"/>
      <c r="AG450" s="511"/>
      <c r="AH450" s="511"/>
      <c r="AI450" s="511"/>
      <c r="AJ450" s="511"/>
      <c r="AK450" s="511"/>
      <c r="AL450" s="511"/>
      <c r="AM450" s="511"/>
      <c r="AN450" s="511"/>
      <c r="AO450" s="511"/>
      <c r="AP450" s="511"/>
      <c r="AQ450" s="511"/>
      <c r="AR450" s="511"/>
      <c r="AS450" s="511"/>
      <c r="AT450" s="511"/>
      <c r="AU450" s="511"/>
      <c r="AV450" s="511"/>
      <c r="AW450" s="511"/>
      <c r="AX450" s="511"/>
      <c r="AY450" s="511"/>
      <c r="AZ450" s="511"/>
      <c r="BA450" s="511"/>
    </row>
    <row r="451" spans="1:53" customFormat="1">
      <c r="A451" s="511"/>
      <c r="B451" s="511"/>
      <c r="C451" s="511"/>
      <c r="D451" s="511"/>
      <c r="E451" s="511"/>
      <c r="F451" s="511"/>
      <c r="G451" s="511"/>
      <c r="H451" s="517"/>
      <c r="I451" s="511"/>
      <c r="J451" s="511"/>
      <c r="K451" s="511"/>
      <c r="L451" s="511"/>
      <c r="M451" s="511"/>
      <c r="N451" s="511"/>
      <c r="O451" s="511"/>
      <c r="P451" s="511"/>
      <c r="Q451" s="511"/>
      <c r="R451" s="511"/>
      <c r="S451" s="511"/>
      <c r="T451" s="511"/>
      <c r="U451" s="511"/>
      <c r="V451" s="511"/>
      <c r="W451" s="511"/>
      <c r="X451" s="511"/>
      <c r="Y451" s="511"/>
      <c r="Z451" s="511"/>
      <c r="AA451" s="511"/>
      <c r="AB451" s="511"/>
      <c r="AC451" s="511"/>
      <c r="AD451" s="511"/>
      <c r="AE451" s="511"/>
      <c r="AF451" s="511"/>
      <c r="AG451" s="511"/>
      <c r="AH451" s="511"/>
      <c r="AI451" s="511"/>
      <c r="AJ451" s="511"/>
      <c r="AK451" s="511"/>
      <c r="AL451" s="511"/>
      <c r="AM451" s="511"/>
      <c r="AN451" s="511"/>
      <c r="AO451" s="511"/>
      <c r="AP451" s="511"/>
      <c r="AQ451" s="511"/>
      <c r="AR451" s="511"/>
      <c r="AS451" s="511"/>
      <c r="AT451" s="511"/>
      <c r="AU451" s="511"/>
      <c r="AV451" s="511"/>
      <c r="AW451" s="511"/>
      <c r="AX451" s="511"/>
      <c r="AY451" s="511"/>
      <c r="AZ451" s="511"/>
      <c r="BA451" s="511"/>
    </row>
    <row r="452" spans="1:53" customFormat="1">
      <c r="A452" s="511"/>
      <c r="B452" s="511"/>
      <c r="C452" s="511"/>
      <c r="D452" s="511"/>
      <c r="E452" s="511"/>
      <c r="F452" s="511"/>
      <c r="G452" s="511"/>
      <c r="H452" s="517"/>
      <c r="I452" s="511"/>
      <c r="J452" s="511"/>
      <c r="K452" s="511"/>
      <c r="L452" s="511"/>
      <c r="M452" s="511"/>
      <c r="N452" s="511"/>
      <c r="O452" s="511"/>
      <c r="P452" s="511"/>
      <c r="Q452" s="511"/>
      <c r="R452" s="511"/>
      <c r="S452" s="511"/>
      <c r="T452" s="511"/>
      <c r="U452" s="511"/>
      <c r="V452" s="511"/>
      <c r="W452" s="511"/>
      <c r="X452" s="511"/>
      <c r="Y452" s="511"/>
      <c r="Z452" s="511"/>
      <c r="AA452" s="511"/>
      <c r="AB452" s="511"/>
      <c r="AC452" s="511"/>
      <c r="AD452" s="511"/>
      <c r="AE452" s="511"/>
      <c r="AF452" s="511"/>
      <c r="AG452" s="511"/>
      <c r="AH452" s="511"/>
      <c r="AI452" s="511"/>
      <c r="AJ452" s="511"/>
      <c r="AK452" s="511"/>
      <c r="AL452" s="511"/>
      <c r="AM452" s="511"/>
      <c r="AN452" s="511"/>
      <c r="AO452" s="511"/>
      <c r="AP452" s="511"/>
      <c r="AQ452" s="511"/>
      <c r="AR452" s="511"/>
      <c r="AS452" s="511"/>
      <c r="AT452" s="511"/>
      <c r="AU452" s="511"/>
      <c r="AV452" s="511"/>
      <c r="AW452" s="511"/>
      <c r="AX452" s="511"/>
      <c r="AY452" s="511"/>
      <c r="AZ452" s="511"/>
      <c r="BA452" s="511"/>
    </row>
    <row r="453" spans="1:53" customFormat="1">
      <c r="A453" s="511"/>
      <c r="B453" s="511"/>
      <c r="C453" s="511"/>
      <c r="D453" s="511"/>
      <c r="E453" s="511"/>
      <c r="F453" s="511"/>
      <c r="G453" s="511"/>
      <c r="H453" s="517"/>
      <c r="I453" s="511"/>
      <c r="J453" s="511"/>
      <c r="K453" s="511"/>
      <c r="L453" s="511"/>
      <c r="M453" s="511"/>
      <c r="N453" s="511"/>
      <c r="O453" s="511"/>
      <c r="P453" s="511"/>
      <c r="Q453" s="511"/>
      <c r="R453" s="511"/>
      <c r="S453" s="511"/>
      <c r="T453" s="511"/>
      <c r="U453" s="511"/>
      <c r="V453" s="511"/>
      <c r="W453" s="511"/>
      <c r="X453" s="511"/>
      <c r="Y453" s="511"/>
      <c r="Z453" s="511"/>
      <c r="AA453" s="511"/>
      <c r="AB453" s="511"/>
      <c r="AC453" s="511"/>
      <c r="AD453" s="511"/>
      <c r="AE453" s="511"/>
      <c r="AF453" s="511"/>
      <c r="AG453" s="511"/>
      <c r="AH453" s="511"/>
      <c r="AI453" s="511"/>
      <c r="AJ453" s="511"/>
      <c r="AK453" s="511"/>
      <c r="AL453" s="511"/>
      <c r="AM453" s="511"/>
      <c r="AN453" s="511"/>
      <c r="AO453" s="511"/>
      <c r="AP453" s="511"/>
      <c r="AQ453" s="511"/>
      <c r="AR453" s="511"/>
      <c r="AS453" s="511"/>
      <c r="AT453" s="511"/>
      <c r="AU453" s="511"/>
      <c r="AV453" s="511"/>
      <c r="AW453" s="511"/>
      <c r="AX453" s="511"/>
      <c r="AY453" s="511"/>
      <c r="AZ453" s="511"/>
      <c r="BA453" s="511"/>
    </row>
    <row r="454" spans="1:53" customFormat="1">
      <c r="A454" s="511"/>
      <c r="B454" s="511"/>
      <c r="C454" s="511"/>
      <c r="D454" s="511"/>
      <c r="E454" s="511"/>
      <c r="F454" s="511"/>
      <c r="G454" s="511"/>
      <c r="H454" s="517"/>
      <c r="I454" s="511"/>
      <c r="J454" s="511"/>
      <c r="K454" s="511"/>
      <c r="L454" s="511"/>
      <c r="M454" s="511"/>
      <c r="N454" s="511"/>
      <c r="O454" s="511"/>
      <c r="P454" s="511"/>
      <c r="Q454" s="511"/>
      <c r="R454" s="511"/>
      <c r="S454" s="511"/>
      <c r="T454" s="511"/>
      <c r="U454" s="511"/>
      <c r="V454" s="511"/>
      <c r="W454" s="511"/>
      <c r="X454" s="511"/>
      <c r="Y454" s="511"/>
      <c r="Z454" s="511"/>
      <c r="AA454" s="511"/>
      <c r="AB454" s="511"/>
      <c r="AC454" s="511"/>
      <c r="AD454" s="511"/>
      <c r="AE454" s="511"/>
      <c r="AF454" s="511"/>
      <c r="AG454" s="511"/>
      <c r="AH454" s="511"/>
      <c r="AI454" s="511"/>
      <c r="AJ454" s="511"/>
      <c r="AK454" s="511"/>
      <c r="AL454" s="511"/>
      <c r="AM454" s="511"/>
      <c r="AN454" s="511"/>
      <c r="AO454" s="511"/>
      <c r="AP454" s="511"/>
      <c r="AQ454" s="511"/>
      <c r="AR454" s="511"/>
      <c r="AS454" s="511"/>
      <c r="AT454" s="511"/>
      <c r="AU454" s="511"/>
      <c r="AV454" s="511"/>
      <c r="AW454" s="511"/>
      <c r="AX454" s="511"/>
      <c r="AY454" s="511"/>
      <c r="AZ454" s="511"/>
      <c r="BA454" s="511"/>
    </row>
    <row r="455" spans="1:53" customFormat="1">
      <c r="A455" s="511"/>
      <c r="B455" s="511"/>
      <c r="C455" s="511"/>
      <c r="D455" s="511"/>
      <c r="E455" s="511"/>
      <c r="F455" s="511"/>
      <c r="G455" s="511"/>
      <c r="H455" s="517"/>
      <c r="I455" s="511"/>
      <c r="J455" s="511"/>
      <c r="K455" s="511"/>
      <c r="L455" s="511"/>
      <c r="M455" s="511"/>
      <c r="N455" s="511"/>
      <c r="O455" s="511"/>
      <c r="P455" s="511"/>
      <c r="Q455" s="511"/>
      <c r="R455" s="511"/>
      <c r="S455" s="511"/>
      <c r="T455" s="511"/>
      <c r="U455" s="511"/>
      <c r="V455" s="511"/>
      <c r="W455" s="511"/>
      <c r="X455" s="511"/>
      <c r="Y455" s="511"/>
      <c r="Z455" s="511"/>
      <c r="AA455" s="511"/>
      <c r="AB455" s="511"/>
      <c r="AC455" s="511"/>
      <c r="AD455" s="511"/>
      <c r="AE455" s="511"/>
      <c r="AF455" s="511"/>
      <c r="AG455" s="511"/>
      <c r="AH455" s="511"/>
      <c r="AI455" s="511"/>
      <c r="AJ455" s="511"/>
      <c r="AK455" s="511"/>
      <c r="AL455" s="511"/>
      <c r="AM455" s="511"/>
      <c r="AN455" s="511"/>
      <c r="AO455" s="511"/>
      <c r="AP455" s="511"/>
      <c r="AQ455" s="511"/>
      <c r="AR455" s="511"/>
      <c r="AS455" s="511"/>
      <c r="AT455" s="511"/>
      <c r="AU455" s="511"/>
      <c r="AV455" s="511"/>
      <c r="AW455" s="511"/>
      <c r="AX455" s="511"/>
      <c r="AY455" s="511"/>
      <c r="AZ455" s="511"/>
      <c r="BA455" s="511"/>
    </row>
    <row r="456" spans="1:53" customFormat="1">
      <c r="A456" s="511"/>
      <c r="B456" s="511"/>
      <c r="C456" s="511"/>
      <c r="D456" s="511"/>
      <c r="E456" s="511"/>
      <c r="F456" s="511"/>
      <c r="G456" s="511"/>
      <c r="H456" s="517"/>
      <c r="I456" s="511"/>
      <c r="J456" s="511"/>
      <c r="K456" s="511"/>
      <c r="L456" s="511"/>
      <c r="M456" s="511"/>
      <c r="N456" s="511"/>
      <c r="O456" s="511"/>
      <c r="P456" s="511"/>
      <c r="Q456" s="511"/>
      <c r="R456" s="511"/>
      <c r="S456" s="511"/>
      <c r="T456" s="511"/>
      <c r="U456" s="511"/>
      <c r="V456" s="511"/>
      <c r="W456" s="511"/>
      <c r="X456" s="511"/>
      <c r="Y456" s="511"/>
      <c r="Z456" s="511"/>
      <c r="AA456" s="511"/>
      <c r="AB456" s="511"/>
      <c r="AC456" s="511"/>
      <c r="AD456" s="511"/>
      <c r="AE456" s="511"/>
      <c r="AF456" s="511"/>
      <c r="AG456" s="511"/>
      <c r="AH456" s="511"/>
      <c r="AI456" s="511"/>
      <c r="AJ456" s="511"/>
      <c r="AK456" s="511"/>
      <c r="AL456" s="511"/>
      <c r="AM456" s="511"/>
      <c r="AN456" s="511"/>
      <c r="AO456" s="511"/>
      <c r="AP456" s="511"/>
      <c r="AQ456" s="511"/>
      <c r="AR456" s="511"/>
      <c r="AS456" s="511"/>
      <c r="AT456" s="511"/>
      <c r="AU456" s="511"/>
      <c r="AV456" s="511"/>
      <c r="AW456" s="511"/>
      <c r="AX456" s="511"/>
      <c r="AY456" s="511"/>
      <c r="AZ456" s="511"/>
      <c r="BA456" s="511"/>
    </row>
    <row r="457" spans="1:53" customFormat="1">
      <c r="A457" s="511"/>
      <c r="B457" s="511"/>
      <c r="C457" s="511"/>
      <c r="D457" s="511"/>
      <c r="E457" s="511"/>
      <c r="F457" s="511"/>
      <c r="G457" s="511"/>
      <c r="H457" s="517"/>
      <c r="I457" s="511"/>
      <c r="J457" s="511"/>
      <c r="K457" s="511"/>
      <c r="L457" s="511"/>
      <c r="M457" s="511"/>
      <c r="N457" s="511"/>
      <c r="O457" s="511"/>
      <c r="P457" s="511"/>
      <c r="Q457" s="511"/>
      <c r="R457" s="511"/>
      <c r="S457" s="511"/>
      <c r="T457" s="511"/>
      <c r="U457" s="511"/>
      <c r="V457" s="511"/>
      <c r="W457" s="511"/>
      <c r="X457" s="511"/>
      <c r="Y457" s="511"/>
      <c r="Z457" s="511"/>
      <c r="AA457" s="511"/>
      <c r="AB457" s="511"/>
      <c r="AC457" s="511"/>
      <c r="AD457" s="511"/>
      <c r="AE457" s="511"/>
      <c r="AF457" s="511"/>
      <c r="AG457" s="511"/>
      <c r="AH457" s="511"/>
      <c r="AI457" s="511"/>
      <c r="AJ457" s="511"/>
      <c r="AK457" s="511"/>
      <c r="AL457" s="511"/>
      <c r="AM457" s="511"/>
      <c r="AN457" s="511"/>
      <c r="AO457" s="511"/>
      <c r="AP457" s="511"/>
      <c r="AQ457" s="511"/>
      <c r="AR457" s="511"/>
      <c r="AS457" s="511"/>
      <c r="AT457" s="511"/>
      <c r="AU457" s="511"/>
      <c r="AV457" s="511"/>
      <c r="AW457" s="511"/>
      <c r="AX457" s="511"/>
      <c r="AY457" s="511"/>
      <c r="AZ457" s="511"/>
      <c r="BA457" s="511"/>
    </row>
    <row r="458" spans="1:53" customFormat="1">
      <c r="A458" s="511"/>
      <c r="B458" s="511"/>
      <c r="C458" s="511"/>
      <c r="D458" s="511"/>
      <c r="E458" s="511"/>
      <c r="F458" s="511"/>
      <c r="G458" s="511"/>
      <c r="H458" s="517"/>
      <c r="I458" s="511"/>
      <c r="J458" s="511"/>
      <c r="K458" s="511"/>
      <c r="L458" s="511"/>
      <c r="M458" s="511"/>
      <c r="N458" s="511"/>
      <c r="O458" s="511"/>
      <c r="P458" s="511"/>
      <c r="Q458" s="511"/>
      <c r="R458" s="511"/>
      <c r="S458" s="511"/>
      <c r="T458" s="511"/>
      <c r="U458" s="511"/>
      <c r="V458" s="511"/>
      <c r="W458" s="511"/>
      <c r="X458" s="511"/>
      <c r="Y458" s="511"/>
      <c r="Z458" s="511"/>
      <c r="AA458" s="511"/>
      <c r="AB458" s="511"/>
      <c r="AC458" s="511"/>
      <c r="AD458" s="511"/>
      <c r="AE458" s="511"/>
      <c r="AF458" s="511"/>
      <c r="AG458" s="511"/>
      <c r="AH458" s="511"/>
      <c r="AI458" s="511"/>
      <c r="AJ458" s="511"/>
      <c r="AK458" s="511"/>
      <c r="AL458" s="511"/>
      <c r="AM458" s="511"/>
      <c r="AN458" s="511"/>
      <c r="AO458" s="511"/>
      <c r="AP458" s="511"/>
      <c r="AQ458" s="511"/>
      <c r="AR458" s="511"/>
      <c r="AS458" s="511"/>
      <c r="AT458" s="511"/>
      <c r="AU458" s="511"/>
      <c r="AV458" s="511"/>
      <c r="AW458" s="511"/>
      <c r="AX458" s="511"/>
      <c r="AY458" s="511"/>
      <c r="AZ458" s="511"/>
      <c r="BA458" s="511"/>
    </row>
    <row r="459" spans="1:53" customFormat="1">
      <c r="A459" s="511"/>
      <c r="B459" s="511"/>
      <c r="C459" s="511"/>
      <c r="D459" s="511"/>
      <c r="E459" s="511"/>
      <c r="F459" s="511"/>
      <c r="G459" s="511"/>
      <c r="H459" s="517"/>
      <c r="I459" s="511"/>
      <c r="J459" s="511"/>
      <c r="K459" s="511"/>
      <c r="L459" s="511"/>
      <c r="M459" s="511"/>
      <c r="N459" s="511"/>
      <c r="O459" s="511"/>
      <c r="P459" s="511"/>
      <c r="Q459" s="511"/>
      <c r="R459" s="511"/>
      <c r="S459" s="511"/>
      <c r="T459" s="511"/>
      <c r="U459" s="511"/>
      <c r="V459" s="511"/>
      <c r="W459" s="511"/>
      <c r="X459" s="511"/>
      <c r="Y459" s="511"/>
      <c r="Z459" s="511"/>
      <c r="AA459" s="511"/>
      <c r="AB459" s="511"/>
      <c r="AC459" s="511"/>
      <c r="AD459" s="511"/>
      <c r="AE459" s="511"/>
      <c r="AF459" s="511"/>
      <c r="AG459" s="511"/>
      <c r="AH459" s="511"/>
      <c r="AI459" s="511"/>
      <c r="AJ459" s="511"/>
      <c r="AK459" s="511"/>
      <c r="AL459" s="511"/>
      <c r="AM459" s="511"/>
      <c r="AN459" s="511"/>
      <c r="AO459" s="511"/>
      <c r="AP459" s="511"/>
      <c r="AQ459" s="511"/>
      <c r="AR459" s="511"/>
      <c r="AS459" s="511"/>
      <c r="AT459" s="511"/>
      <c r="AU459" s="511"/>
      <c r="AV459" s="511"/>
      <c r="AW459" s="511"/>
      <c r="AX459" s="511"/>
      <c r="AY459" s="511"/>
      <c r="AZ459" s="511"/>
      <c r="BA459" s="511"/>
    </row>
    <row r="460" spans="1:53" customFormat="1">
      <c r="A460" s="511"/>
      <c r="B460" s="511"/>
      <c r="C460" s="511"/>
      <c r="D460" s="511"/>
      <c r="E460" s="511"/>
      <c r="F460" s="511"/>
      <c r="G460" s="511"/>
      <c r="H460" s="517"/>
      <c r="I460" s="511"/>
      <c r="J460" s="511"/>
      <c r="K460" s="511"/>
      <c r="L460" s="511"/>
      <c r="M460" s="511"/>
      <c r="N460" s="511"/>
      <c r="O460" s="511"/>
      <c r="P460" s="511"/>
      <c r="Q460" s="511"/>
      <c r="R460" s="511"/>
      <c r="S460" s="511"/>
      <c r="T460" s="511"/>
      <c r="U460" s="511"/>
      <c r="V460" s="511"/>
      <c r="W460" s="511"/>
      <c r="X460" s="511"/>
      <c r="Y460" s="511"/>
      <c r="Z460" s="511"/>
      <c r="AA460" s="511"/>
      <c r="AB460" s="511"/>
      <c r="AC460" s="511"/>
      <c r="AD460" s="511"/>
      <c r="AE460" s="511"/>
      <c r="AF460" s="511"/>
      <c r="AG460" s="511"/>
      <c r="AH460" s="511"/>
      <c r="AI460" s="511"/>
      <c r="AJ460" s="511"/>
      <c r="AK460" s="511"/>
      <c r="AL460" s="511"/>
      <c r="AM460" s="511"/>
      <c r="AN460" s="511"/>
      <c r="AO460" s="511"/>
      <c r="AP460" s="511"/>
      <c r="AQ460" s="511"/>
      <c r="AR460" s="511"/>
      <c r="AS460" s="511"/>
      <c r="AT460" s="511"/>
      <c r="AU460" s="511"/>
      <c r="AV460" s="511"/>
      <c r="AW460" s="511"/>
      <c r="AX460" s="511"/>
      <c r="AY460" s="511"/>
      <c r="AZ460" s="511"/>
      <c r="BA460" s="511"/>
    </row>
    <row r="461" spans="1:53" customFormat="1">
      <c r="A461" s="511"/>
      <c r="B461" s="511"/>
      <c r="C461" s="511"/>
      <c r="D461" s="511"/>
      <c r="E461" s="511"/>
      <c r="F461" s="511"/>
      <c r="G461" s="511"/>
      <c r="H461" s="517"/>
      <c r="I461" s="511"/>
      <c r="J461" s="511"/>
      <c r="K461" s="511"/>
      <c r="L461" s="511"/>
      <c r="M461" s="511"/>
      <c r="N461" s="511"/>
      <c r="O461" s="511"/>
      <c r="P461" s="511"/>
      <c r="Q461" s="511"/>
      <c r="R461" s="511"/>
      <c r="S461" s="511"/>
      <c r="T461" s="511"/>
      <c r="U461" s="511"/>
      <c r="V461" s="511"/>
      <c r="W461" s="511"/>
      <c r="X461" s="511"/>
      <c r="Y461" s="511"/>
      <c r="Z461" s="511"/>
      <c r="AA461" s="511"/>
      <c r="AB461" s="511"/>
      <c r="AC461" s="511"/>
      <c r="AD461" s="511"/>
      <c r="AE461" s="511"/>
      <c r="AF461" s="511"/>
      <c r="AG461" s="511"/>
      <c r="AH461" s="511"/>
      <c r="AI461" s="511"/>
      <c r="AJ461" s="511"/>
      <c r="AK461" s="511"/>
      <c r="AL461" s="511"/>
      <c r="AM461" s="511"/>
      <c r="AN461" s="511"/>
      <c r="AO461" s="511"/>
      <c r="AP461" s="511"/>
      <c r="AQ461" s="511"/>
      <c r="AR461" s="511"/>
      <c r="AS461" s="511"/>
      <c r="AT461" s="511"/>
      <c r="AU461" s="511"/>
      <c r="AV461" s="511"/>
      <c r="AW461" s="511"/>
      <c r="AX461" s="511"/>
      <c r="AY461" s="511"/>
      <c r="AZ461" s="511"/>
      <c r="BA461" s="511"/>
    </row>
    <row r="462" spans="1:53" customFormat="1">
      <c r="A462" s="511"/>
      <c r="B462" s="511"/>
      <c r="C462" s="511"/>
      <c r="D462" s="511"/>
      <c r="E462" s="511"/>
      <c r="F462" s="511"/>
      <c r="G462" s="511"/>
      <c r="H462" s="517"/>
      <c r="I462" s="511"/>
      <c r="J462" s="511"/>
      <c r="K462" s="511"/>
      <c r="L462" s="511"/>
      <c r="M462" s="511"/>
      <c r="N462" s="511"/>
      <c r="O462" s="511"/>
      <c r="P462" s="511"/>
      <c r="Q462" s="511"/>
      <c r="R462" s="511"/>
      <c r="S462" s="511"/>
      <c r="T462" s="511"/>
      <c r="U462" s="511"/>
      <c r="V462" s="511"/>
      <c r="W462" s="511"/>
      <c r="X462" s="511"/>
      <c r="Y462" s="511"/>
      <c r="Z462" s="511"/>
      <c r="AA462" s="511"/>
      <c r="AB462" s="511"/>
      <c r="AC462" s="511"/>
      <c r="AD462" s="511"/>
      <c r="AE462" s="511"/>
      <c r="AF462" s="511"/>
      <c r="AG462" s="511"/>
      <c r="AH462" s="511"/>
      <c r="AI462" s="511"/>
      <c r="AJ462" s="511"/>
      <c r="AK462" s="511"/>
      <c r="AL462" s="511"/>
      <c r="AM462" s="511"/>
      <c r="AN462" s="511"/>
      <c r="AO462" s="511"/>
      <c r="AP462" s="511"/>
      <c r="AQ462" s="511"/>
      <c r="AR462" s="511"/>
      <c r="AS462" s="511"/>
      <c r="AT462" s="511"/>
      <c r="AU462" s="511"/>
      <c r="AV462" s="511"/>
      <c r="AW462" s="511"/>
      <c r="AX462" s="511"/>
      <c r="AY462" s="511"/>
      <c r="AZ462" s="511"/>
      <c r="BA462" s="511"/>
    </row>
    <row r="463" spans="1:53" customFormat="1">
      <c r="A463" s="511"/>
      <c r="B463" s="511"/>
      <c r="C463" s="511"/>
      <c r="D463" s="511"/>
      <c r="E463" s="511"/>
      <c r="F463" s="511"/>
      <c r="G463" s="511"/>
      <c r="H463" s="517"/>
      <c r="I463" s="511"/>
      <c r="J463" s="511"/>
      <c r="K463" s="511"/>
      <c r="L463" s="511"/>
      <c r="M463" s="511"/>
      <c r="N463" s="511"/>
      <c r="O463" s="511"/>
      <c r="P463" s="511"/>
      <c r="Q463" s="511"/>
      <c r="R463" s="511"/>
      <c r="S463" s="511"/>
      <c r="T463" s="511"/>
      <c r="U463" s="511"/>
      <c r="V463" s="511"/>
      <c r="W463" s="511"/>
      <c r="X463" s="511"/>
      <c r="Y463" s="511"/>
      <c r="Z463" s="511"/>
      <c r="AA463" s="511"/>
      <c r="AB463" s="511"/>
      <c r="AC463" s="511"/>
      <c r="AD463" s="511"/>
      <c r="AE463" s="511"/>
      <c r="AF463" s="511"/>
      <c r="AG463" s="511"/>
      <c r="AH463" s="511"/>
      <c r="AI463" s="511"/>
      <c r="AJ463" s="511"/>
      <c r="AK463" s="511"/>
      <c r="AL463" s="511"/>
      <c r="AM463" s="511"/>
      <c r="AN463" s="511"/>
      <c r="AO463" s="511"/>
      <c r="AP463" s="511"/>
      <c r="AQ463" s="511"/>
      <c r="AR463" s="511"/>
      <c r="AS463" s="511"/>
      <c r="AT463" s="511"/>
      <c r="AU463" s="511"/>
      <c r="AV463" s="511"/>
      <c r="AW463" s="511"/>
      <c r="AX463" s="511"/>
      <c r="AY463" s="511"/>
      <c r="AZ463" s="511"/>
      <c r="BA463" s="511"/>
    </row>
    <row r="464" spans="1:53" customFormat="1">
      <c r="A464" s="511"/>
      <c r="B464" s="511"/>
      <c r="C464" s="511"/>
      <c r="D464" s="511"/>
      <c r="E464" s="511"/>
      <c r="F464" s="511"/>
      <c r="G464" s="511"/>
      <c r="H464" s="517"/>
      <c r="I464" s="511"/>
      <c r="J464" s="511"/>
      <c r="K464" s="511"/>
      <c r="L464" s="511"/>
      <c r="M464" s="511"/>
      <c r="N464" s="511"/>
      <c r="O464" s="511"/>
      <c r="P464" s="511"/>
      <c r="Q464" s="511"/>
      <c r="R464" s="511"/>
      <c r="S464" s="511"/>
      <c r="T464" s="511"/>
      <c r="U464" s="511"/>
      <c r="V464" s="511"/>
      <c r="W464" s="511"/>
      <c r="X464" s="511"/>
      <c r="Y464" s="511"/>
      <c r="Z464" s="511"/>
      <c r="AA464" s="511"/>
      <c r="AB464" s="511"/>
      <c r="AC464" s="511"/>
      <c r="AD464" s="511"/>
      <c r="AE464" s="511"/>
      <c r="AF464" s="511"/>
      <c r="AG464" s="511"/>
      <c r="AH464" s="511"/>
      <c r="AI464" s="511"/>
      <c r="AJ464" s="511"/>
      <c r="AK464" s="511"/>
      <c r="AL464" s="511"/>
      <c r="AM464" s="511"/>
      <c r="AN464" s="511"/>
      <c r="AO464" s="511"/>
      <c r="AP464" s="511"/>
      <c r="AQ464" s="511"/>
      <c r="AR464" s="511"/>
      <c r="AS464" s="511"/>
      <c r="AT464" s="511"/>
      <c r="AU464" s="511"/>
      <c r="AV464" s="511"/>
      <c r="AW464" s="511"/>
      <c r="AX464" s="511"/>
      <c r="AY464" s="511"/>
      <c r="AZ464" s="511"/>
      <c r="BA464" s="511"/>
    </row>
    <row r="465" spans="1:53" customFormat="1">
      <c r="A465" s="511"/>
      <c r="B465" s="511"/>
      <c r="C465" s="511"/>
      <c r="D465" s="511"/>
      <c r="E465" s="511"/>
      <c r="F465" s="511"/>
      <c r="G465" s="511"/>
      <c r="H465" s="517"/>
      <c r="I465" s="511"/>
      <c r="J465" s="511"/>
      <c r="K465" s="511"/>
      <c r="L465" s="511"/>
      <c r="M465" s="511"/>
      <c r="N465" s="511"/>
      <c r="O465" s="511"/>
      <c r="P465" s="511"/>
      <c r="Q465" s="511"/>
      <c r="R465" s="511"/>
      <c r="S465" s="511"/>
      <c r="T465" s="511"/>
      <c r="U465" s="511"/>
      <c r="V465" s="511"/>
      <c r="W465" s="511"/>
      <c r="X465" s="511"/>
      <c r="Y465" s="511"/>
      <c r="Z465" s="511"/>
      <c r="AA465" s="511"/>
      <c r="AB465" s="511"/>
      <c r="AC465" s="511"/>
      <c r="AD465" s="511"/>
      <c r="AE465" s="511"/>
      <c r="AF465" s="511"/>
      <c r="AG465" s="511"/>
      <c r="AH465" s="511"/>
      <c r="AI465" s="511"/>
      <c r="AJ465" s="511"/>
      <c r="AK465" s="511"/>
      <c r="AL465" s="511"/>
      <c r="AM465" s="511"/>
      <c r="AN465" s="511"/>
      <c r="AO465" s="511"/>
      <c r="AP465" s="511"/>
      <c r="AQ465" s="511"/>
      <c r="AR465" s="511"/>
      <c r="AS465" s="511"/>
      <c r="AT465" s="511"/>
      <c r="AU465" s="511"/>
      <c r="AV465" s="511"/>
      <c r="AW465" s="511"/>
      <c r="AX465" s="511"/>
      <c r="AY465" s="511"/>
      <c r="AZ465" s="511"/>
      <c r="BA465" s="511"/>
    </row>
    <row r="466" spans="1:53" customFormat="1">
      <c r="A466" s="511"/>
      <c r="B466" s="511"/>
      <c r="C466" s="511"/>
      <c r="D466" s="511"/>
      <c r="E466" s="511"/>
      <c r="F466" s="511"/>
      <c r="G466" s="511"/>
      <c r="H466" s="517"/>
      <c r="I466" s="511"/>
      <c r="J466" s="511"/>
      <c r="K466" s="511"/>
      <c r="L466" s="511"/>
      <c r="M466" s="511"/>
      <c r="N466" s="511"/>
      <c r="O466" s="511"/>
      <c r="P466" s="511"/>
      <c r="Q466" s="511"/>
      <c r="R466" s="511"/>
      <c r="S466" s="511"/>
      <c r="T466" s="511"/>
      <c r="U466" s="511"/>
      <c r="V466" s="511"/>
      <c r="W466" s="511"/>
      <c r="X466" s="511"/>
      <c r="Y466" s="511"/>
      <c r="Z466" s="511"/>
      <c r="AA466" s="511"/>
      <c r="AB466" s="511"/>
      <c r="AC466" s="511"/>
      <c r="AD466" s="511"/>
      <c r="AE466" s="511"/>
      <c r="AF466" s="511"/>
      <c r="AG466" s="511"/>
      <c r="AH466" s="511"/>
      <c r="AI466" s="511"/>
      <c r="AJ466" s="511"/>
      <c r="AK466" s="511"/>
      <c r="AL466" s="511"/>
      <c r="AM466" s="511"/>
      <c r="AN466" s="511"/>
      <c r="AO466" s="511"/>
      <c r="AP466" s="511"/>
      <c r="AQ466" s="511"/>
      <c r="AR466" s="511"/>
      <c r="AS466" s="511"/>
      <c r="AT466" s="511"/>
      <c r="AU466" s="511"/>
      <c r="AV466" s="511"/>
      <c r="AW466" s="511"/>
      <c r="AX466" s="511"/>
      <c r="AY466" s="511"/>
      <c r="AZ466" s="511"/>
      <c r="BA466" s="511"/>
    </row>
    <row r="467" spans="1:53" customFormat="1">
      <c r="A467" s="511"/>
      <c r="B467" s="511"/>
      <c r="C467" s="511"/>
      <c r="D467" s="511"/>
      <c r="E467" s="511"/>
      <c r="F467" s="511"/>
      <c r="G467" s="511"/>
      <c r="H467" s="517"/>
      <c r="I467" s="511"/>
      <c r="J467" s="511"/>
      <c r="K467" s="511"/>
      <c r="L467" s="511"/>
      <c r="M467" s="511"/>
      <c r="N467" s="511"/>
      <c r="O467" s="511"/>
      <c r="P467" s="511"/>
      <c r="Q467" s="511"/>
      <c r="R467" s="511"/>
      <c r="S467" s="511"/>
      <c r="T467" s="511"/>
      <c r="U467" s="511"/>
      <c r="V467" s="511"/>
      <c r="W467" s="511"/>
      <c r="X467" s="511"/>
      <c r="Y467" s="511"/>
      <c r="Z467" s="511"/>
      <c r="AA467" s="511"/>
      <c r="AB467" s="511"/>
      <c r="AC467" s="511"/>
      <c r="AD467" s="511"/>
      <c r="AE467" s="511"/>
      <c r="AF467" s="511"/>
      <c r="AG467" s="511"/>
      <c r="AH467" s="511"/>
      <c r="AI467" s="511"/>
      <c r="AJ467" s="511"/>
      <c r="AK467" s="511"/>
      <c r="AL467" s="511"/>
      <c r="AM467" s="511"/>
      <c r="AN467" s="511"/>
      <c r="AO467" s="511"/>
      <c r="AP467" s="511"/>
      <c r="AQ467" s="511"/>
      <c r="AR467" s="511"/>
      <c r="AS467" s="511"/>
      <c r="AT467" s="511"/>
      <c r="AU467" s="511"/>
      <c r="AV467" s="511"/>
      <c r="AW467" s="511"/>
      <c r="AX467" s="511"/>
      <c r="AY467" s="511"/>
      <c r="AZ467" s="511"/>
      <c r="BA467" s="511"/>
    </row>
    <row r="468" spans="1:53" customFormat="1">
      <c r="A468" s="511"/>
      <c r="B468" s="511"/>
      <c r="C468" s="511"/>
      <c r="D468" s="511"/>
      <c r="E468" s="511"/>
      <c r="F468" s="511"/>
      <c r="G468" s="511"/>
      <c r="H468" s="517"/>
      <c r="I468" s="511"/>
      <c r="J468" s="511"/>
      <c r="K468" s="511"/>
      <c r="L468" s="511"/>
      <c r="M468" s="511"/>
      <c r="N468" s="511"/>
      <c r="O468" s="511"/>
      <c r="P468" s="511"/>
      <c r="Q468" s="511"/>
      <c r="R468" s="511"/>
      <c r="S468" s="511"/>
      <c r="T468" s="511"/>
      <c r="U468" s="511"/>
      <c r="V468" s="511"/>
      <c r="W468" s="511"/>
      <c r="X468" s="511"/>
      <c r="Y468" s="511"/>
      <c r="Z468" s="511"/>
      <c r="AA468" s="511"/>
      <c r="AB468" s="511"/>
      <c r="AC468" s="511"/>
      <c r="AD468" s="511"/>
      <c r="AE468" s="511"/>
      <c r="AF468" s="511"/>
      <c r="AG468" s="511"/>
      <c r="AH468" s="511"/>
      <c r="AI468" s="511"/>
      <c r="AJ468" s="511"/>
      <c r="AK468" s="511"/>
      <c r="AL468" s="511"/>
      <c r="AM468" s="511"/>
      <c r="AN468" s="511"/>
      <c r="AO468" s="511"/>
      <c r="AP468" s="511"/>
      <c r="AQ468" s="511"/>
      <c r="AR468" s="511"/>
      <c r="AS468" s="511"/>
      <c r="AT468" s="511"/>
      <c r="AU468" s="511"/>
      <c r="AV468" s="511"/>
      <c r="AW468" s="511"/>
      <c r="AX468" s="511"/>
      <c r="AY468" s="511"/>
      <c r="AZ468" s="511"/>
      <c r="BA468" s="511"/>
    </row>
    <row r="469" spans="1:53" customFormat="1">
      <c r="A469" s="511"/>
      <c r="B469" s="511"/>
      <c r="C469" s="511"/>
      <c r="D469" s="511"/>
      <c r="E469" s="511"/>
      <c r="F469" s="511"/>
      <c r="G469" s="511"/>
      <c r="H469" s="517"/>
      <c r="I469" s="511"/>
      <c r="J469" s="511"/>
      <c r="K469" s="511"/>
      <c r="L469" s="511"/>
      <c r="M469" s="511"/>
      <c r="N469" s="511"/>
      <c r="O469" s="511"/>
      <c r="P469" s="511"/>
      <c r="Q469" s="511"/>
      <c r="R469" s="511"/>
      <c r="S469" s="511"/>
      <c r="T469" s="511"/>
      <c r="U469" s="511"/>
      <c r="V469" s="511"/>
      <c r="W469" s="511"/>
      <c r="X469" s="511"/>
      <c r="Y469" s="511"/>
      <c r="Z469" s="511"/>
      <c r="AA469" s="511"/>
      <c r="AB469" s="511"/>
      <c r="AC469" s="511"/>
      <c r="AD469" s="511"/>
      <c r="AE469" s="511"/>
      <c r="AF469" s="511"/>
      <c r="AG469" s="511"/>
      <c r="AH469" s="511"/>
      <c r="AI469" s="511"/>
      <c r="AJ469" s="511"/>
      <c r="AK469" s="511"/>
      <c r="AL469" s="511"/>
      <c r="AM469" s="511"/>
      <c r="AN469" s="511"/>
      <c r="AO469" s="511"/>
      <c r="AP469" s="511"/>
      <c r="AQ469" s="511"/>
      <c r="AR469" s="511"/>
      <c r="AS469" s="511"/>
      <c r="AT469" s="511"/>
      <c r="AU469" s="511"/>
      <c r="AV469" s="511"/>
      <c r="AW469" s="511"/>
      <c r="AX469" s="511"/>
      <c r="AY469" s="511"/>
      <c r="AZ469" s="511"/>
      <c r="BA469" s="511"/>
    </row>
    <row r="470" spans="1:53" customFormat="1">
      <c r="A470" s="511"/>
      <c r="B470" s="511"/>
      <c r="C470" s="511"/>
      <c r="D470" s="511"/>
      <c r="E470" s="511"/>
      <c r="F470" s="511"/>
      <c r="G470" s="511"/>
      <c r="H470" s="517"/>
      <c r="I470" s="511"/>
      <c r="J470" s="511"/>
      <c r="K470" s="511"/>
      <c r="L470" s="511"/>
      <c r="M470" s="511"/>
      <c r="N470" s="511"/>
      <c r="O470" s="511"/>
      <c r="P470" s="511"/>
      <c r="Q470" s="511"/>
      <c r="R470" s="511"/>
      <c r="S470" s="511"/>
      <c r="T470" s="511"/>
      <c r="U470" s="511"/>
      <c r="V470" s="511"/>
      <c r="W470" s="511"/>
      <c r="X470" s="511"/>
      <c r="Y470" s="511"/>
      <c r="Z470" s="511"/>
      <c r="AA470" s="511"/>
      <c r="AB470" s="511"/>
      <c r="AC470" s="511"/>
      <c r="AD470" s="511"/>
      <c r="AE470" s="511"/>
      <c r="AF470" s="511"/>
      <c r="AG470" s="511"/>
      <c r="AH470" s="511"/>
      <c r="AI470" s="511"/>
      <c r="AJ470" s="511"/>
      <c r="AK470" s="511"/>
      <c r="AL470" s="511"/>
      <c r="AM470" s="511"/>
      <c r="AN470" s="511"/>
      <c r="AO470" s="511"/>
      <c r="AP470" s="511"/>
      <c r="AQ470" s="511"/>
      <c r="AR470" s="511"/>
      <c r="AS470" s="511"/>
      <c r="AT470" s="511"/>
      <c r="AU470" s="511"/>
      <c r="AV470" s="511"/>
      <c r="AW470" s="511"/>
      <c r="AX470" s="511"/>
      <c r="AY470" s="511"/>
      <c r="AZ470" s="511"/>
      <c r="BA470" s="511"/>
    </row>
    <row r="471" spans="1:53" customFormat="1">
      <c r="A471" s="511"/>
      <c r="B471" s="511"/>
      <c r="C471" s="511"/>
      <c r="D471" s="511"/>
      <c r="E471" s="511"/>
      <c r="F471" s="511"/>
      <c r="G471" s="511"/>
      <c r="H471" s="517"/>
      <c r="I471" s="511"/>
      <c r="J471" s="511"/>
      <c r="K471" s="511"/>
      <c r="L471" s="511"/>
      <c r="M471" s="511"/>
      <c r="N471" s="511"/>
      <c r="O471" s="511"/>
      <c r="P471" s="511"/>
      <c r="Q471" s="511"/>
      <c r="R471" s="511"/>
      <c r="S471" s="511"/>
      <c r="T471" s="511"/>
      <c r="U471" s="511"/>
      <c r="V471" s="511"/>
      <c r="W471" s="511"/>
      <c r="X471" s="511"/>
      <c r="Y471" s="511"/>
      <c r="Z471" s="511"/>
      <c r="AA471" s="511"/>
      <c r="AB471" s="511"/>
      <c r="AC471" s="511"/>
      <c r="AD471" s="511"/>
      <c r="AE471" s="511"/>
      <c r="AF471" s="511"/>
      <c r="AG471" s="511"/>
      <c r="AH471" s="511"/>
      <c r="AI471" s="511"/>
      <c r="AJ471" s="511"/>
      <c r="AK471" s="511"/>
      <c r="AL471" s="511"/>
      <c r="AM471" s="511"/>
      <c r="AN471" s="511"/>
      <c r="AO471" s="511"/>
      <c r="AP471" s="511"/>
      <c r="AQ471" s="511"/>
      <c r="AR471" s="511"/>
      <c r="AS471" s="511"/>
      <c r="AT471" s="511"/>
      <c r="AU471" s="511"/>
      <c r="AV471" s="511"/>
      <c r="AW471" s="511"/>
      <c r="AX471" s="511"/>
      <c r="AY471" s="511"/>
      <c r="AZ471" s="511"/>
      <c r="BA471" s="511"/>
    </row>
    <row r="472" spans="1:53" customFormat="1">
      <c r="A472" s="511"/>
      <c r="B472" s="511"/>
      <c r="C472" s="511"/>
      <c r="D472" s="511"/>
      <c r="E472" s="511"/>
      <c r="F472" s="511"/>
      <c r="G472" s="511"/>
      <c r="H472" s="517"/>
      <c r="I472" s="511"/>
      <c r="J472" s="511"/>
      <c r="K472" s="511"/>
      <c r="L472" s="511"/>
      <c r="M472" s="511"/>
      <c r="N472" s="511"/>
      <c r="O472" s="511"/>
      <c r="P472" s="511"/>
      <c r="Q472" s="511"/>
      <c r="R472" s="511"/>
      <c r="S472" s="511"/>
      <c r="T472" s="511"/>
      <c r="U472" s="511"/>
      <c r="V472" s="511"/>
      <c r="W472" s="511"/>
      <c r="X472" s="511"/>
      <c r="Y472" s="511"/>
      <c r="Z472" s="511"/>
      <c r="AA472" s="511"/>
      <c r="AB472" s="511"/>
      <c r="AC472" s="511"/>
      <c r="AD472" s="511"/>
      <c r="AE472" s="511"/>
      <c r="AF472" s="511"/>
      <c r="AG472" s="511"/>
      <c r="AH472" s="511"/>
      <c r="AI472" s="511"/>
      <c r="AJ472" s="511"/>
      <c r="AK472" s="511"/>
      <c r="AL472" s="511"/>
      <c r="AM472" s="511"/>
      <c r="AN472" s="511"/>
      <c r="AO472" s="511"/>
      <c r="AP472" s="511"/>
      <c r="AQ472" s="511"/>
      <c r="AR472" s="511"/>
      <c r="AS472" s="511"/>
      <c r="AT472" s="511"/>
      <c r="AU472" s="511"/>
      <c r="AV472" s="511"/>
      <c r="AW472" s="511"/>
      <c r="AX472" s="511"/>
      <c r="AY472" s="511"/>
      <c r="AZ472" s="511"/>
      <c r="BA472" s="511"/>
    </row>
    <row r="473" spans="1:53" customFormat="1">
      <c r="A473" s="511"/>
      <c r="B473" s="511"/>
      <c r="C473" s="511"/>
      <c r="D473" s="511"/>
      <c r="E473" s="511"/>
      <c r="F473" s="511"/>
      <c r="G473" s="511"/>
      <c r="H473" s="517"/>
      <c r="I473" s="511"/>
      <c r="J473" s="511"/>
      <c r="K473" s="511"/>
      <c r="L473" s="511"/>
      <c r="M473" s="511"/>
      <c r="N473" s="511"/>
      <c r="O473" s="511"/>
      <c r="P473" s="511"/>
      <c r="Q473" s="511"/>
      <c r="R473" s="511"/>
      <c r="S473" s="511"/>
      <c r="T473" s="511"/>
      <c r="U473" s="511"/>
      <c r="V473" s="511"/>
      <c r="W473" s="511"/>
      <c r="X473" s="511"/>
      <c r="Y473" s="511"/>
      <c r="Z473" s="511"/>
      <c r="AA473" s="511"/>
      <c r="AB473" s="511"/>
      <c r="AC473" s="511"/>
      <c r="AD473" s="511"/>
      <c r="AE473" s="511"/>
      <c r="AF473" s="511"/>
      <c r="AG473" s="511"/>
      <c r="AH473" s="511"/>
      <c r="AI473" s="511"/>
      <c r="AJ473" s="511"/>
      <c r="AK473" s="511"/>
      <c r="AL473" s="511"/>
      <c r="AM473" s="511"/>
      <c r="AN473" s="511"/>
      <c r="AO473" s="511"/>
      <c r="AP473" s="511"/>
      <c r="AQ473" s="511"/>
      <c r="AR473" s="511"/>
      <c r="AS473" s="511"/>
      <c r="AT473" s="511"/>
      <c r="AU473" s="511"/>
      <c r="AV473" s="511"/>
      <c r="AW473" s="511"/>
      <c r="AX473" s="511"/>
      <c r="AY473" s="511"/>
      <c r="AZ473" s="511"/>
      <c r="BA473" s="511"/>
    </row>
    <row r="474" spans="1:53" customFormat="1">
      <c r="A474" s="511"/>
      <c r="B474" s="511"/>
      <c r="C474" s="511"/>
      <c r="D474" s="511"/>
      <c r="E474" s="511"/>
      <c r="F474" s="511"/>
      <c r="G474" s="511"/>
      <c r="H474" s="517"/>
      <c r="I474" s="511"/>
      <c r="J474" s="511"/>
      <c r="K474" s="511"/>
      <c r="L474" s="511"/>
      <c r="M474" s="511"/>
      <c r="N474" s="511"/>
      <c r="O474" s="511"/>
      <c r="P474" s="511"/>
      <c r="Q474" s="511"/>
      <c r="R474" s="511"/>
      <c r="S474" s="511"/>
      <c r="T474" s="511"/>
      <c r="U474" s="511"/>
      <c r="V474" s="511"/>
      <c r="W474" s="511"/>
      <c r="X474" s="511"/>
      <c r="Y474" s="511"/>
      <c r="Z474" s="511"/>
      <c r="AA474" s="511"/>
      <c r="AB474" s="511"/>
      <c r="AC474" s="511"/>
      <c r="AD474" s="511"/>
      <c r="AE474" s="511"/>
      <c r="AF474" s="511"/>
      <c r="AG474" s="511"/>
      <c r="AH474" s="511"/>
      <c r="AI474" s="511"/>
      <c r="AJ474" s="511"/>
      <c r="AK474" s="511"/>
      <c r="AL474" s="511"/>
      <c r="AM474" s="511"/>
      <c r="AN474" s="511"/>
      <c r="AO474" s="511"/>
      <c r="AP474" s="511"/>
      <c r="AQ474" s="511"/>
      <c r="AR474" s="511"/>
      <c r="AS474" s="511"/>
      <c r="AT474" s="511"/>
      <c r="AU474" s="511"/>
      <c r="AV474" s="511"/>
      <c r="AW474" s="511"/>
      <c r="AX474" s="511"/>
      <c r="AY474" s="511"/>
      <c r="AZ474" s="511"/>
      <c r="BA474" s="511"/>
    </row>
    <row r="475" spans="1:53" customFormat="1">
      <c r="A475" s="511"/>
      <c r="B475" s="511"/>
      <c r="C475" s="511"/>
      <c r="D475" s="511"/>
      <c r="E475" s="511"/>
      <c r="F475" s="511"/>
      <c r="G475" s="511"/>
      <c r="H475" s="517"/>
      <c r="I475" s="511"/>
      <c r="J475" s="511"/>
      <c r="K475" s="511"/>
      <c r="L475" s="511"/>
      <c r="M475" s="511"/>
      <c r="N475" s="511"/>
      <c r="O475" s="511"/>
      <c r="P475" s="511"/>
      <c r="Q475" s="511"/>
      <c r="R475" s="511"/>
      <c r="S475" s="511"/>
      <c r="T475" s="511"/>
      <c r="U475" s="511"/>
      <c r="V475" s="511"/>
      <c r="W475" s="511"/>
      <c r="X475" s="511"/>
      <c r="Y475" s="511"/>
      <c r="Z475" s="511"/>
      <c r="AA475" s="511"/>
      <c r="AB475" s="511"/>
      <c r="AC475" s="511"/>
      <c r="AD475" s="511"/>
      <c r="AE475" s="511"/>
      <c r="AF475" s="511"/>
      <c r="AG475" s="511"/>
      <c r="AH475" s="511"/>
      <c r="AI475" s="511"/>
      <c r="AJ475" s="511"/>
      <c r="AK475" s="511"/>
      <c r="AL475" s="511"/>
      <c r="AM475" s="511"/>
      <c r="AN475" s="511"/>
      <c r="AO475" s="511"/>
      <c r="AP475" s="511"/>
      <c r="AQ475" s="511"/>
      <c r="AR475" s="511"/>
      <c r="AS475" s="511"/>
      <c r="AT475" s="511"/>
      <c r="AU475" s="511"/>
      <c r="AV475" s="511"/>
      <c r="AW475" s="511"/>
      <c r="AX475" s="511"/>
      <c r="AY475" s="511"/>
      <c r="AZ475" s="511"/>
      <c r="BA475" s="511"/>
    </row>
    <row r="476" spans="1:53" customFormat="1">
      <c r="A476" s="511"/>
      <c r="B476" s="511"/>
      <c r="C476" s="511"/>
      <c r="D476" s="511"/>
      <c r="E476" s="511"/>
      <c r="F476" s="511"/>
      <c r="G476" s="511"/>
      <c r="H476" s="517"/>
      <c r="I476" s="511"/>
      <c r="J476" s="511"/>
      <c r="K476" s="511"/>
      <c r="L476" s="511"/>
      <c r="M476" s="511"/>
      <c r="N476" s="511"/>
      <c r="O476" s="511"/>
      <c r="P476" s="511"/>
      <c r="Q476" s="511"/>
      <c r="R476" s="511"/>
      <c r="S476" s="511"/>
      <c r="T476" s="511"/>
      <c r="U476" s="511"/>
      <c r="V476" s="511"/>
      <c r="W476" s="511"/>
      <c r="X476" s="511"/>
      <c r="Y476" s="511"/>
      <c r="Z476" s="511"/>
      <c r="AA476" s="511"/>
      <c r="AB476" s="511"/>
      <c r="AC476" s="511"/>
      <c r="AD476" s="511"/>
      <c r="AE476" s="511"/>
      <c r="AF476" s="511"/>
      <c r="AG476" s="511"/>
      <c r="AH476" s="511"/>
      <c r="AI476" s="511"/>
      <c r="AJ476" s="511"/>
      <c r="AK476" s="511"/>
      <c r="AL476" s="511"/>
      <c r="AM476" s="511"/>
      <c r="AN476" s="511"/>
      <c r="AO476" s="511"/>
      <c r="AP476" s="511"/>
      <c r="AQ476" s="511"/>
      <c r="AR476" s="511"/>
      <c r="AS476" s="511"/>
      <c r="AT476" s="511"/>
      <c r="AU476" s="511"/>
      <c r="AV476" s="511"/>
      <c r="AW476" s="511"/>
      <c r="AX476" s="511"/>
      <c r="AY476" s="511"/>
      <c r="AZ476" s="511"/>
      <c r="BA476" s="511"/>
    </row>
    <row r="477" spans="1:53" customFormat="1">
      <c r="A477" s="511"/>
      <c r="B477" s="511"/>
      <c r="C477" s="511"/>
      <c r="D477" s="511"/>
      <c r="E477" s="511"/>
      <c r="F477" s="511"/>
      <c r="G477" s="511"/>
      <c r="H477" s="517"/>
      <c r="I477" s="511"/>
      <c r="J477" s="511"/>
      <c r="K477" s="511"/>
      <c r="L477" s="511"/>
      <c r="M477" s="511"/>
      <c r="N477" s="511"/>
      <c r="O477" s="511"/>
      <c r="P477" s="511"/>
      <c r="Q477" s="511"/>
      <c r="R477" s="511"/>
      <c r="S477" s="511"/>
      <c r="T477" s="511"/>
      <c r="U477" s="511"/>
      <c r="V477" s="511"/>
      <c r="W477" s="511"/>
      <c r="X477" s="511"/>
      <c r="Y477" s="511"/>
      <c r="Z477" s="511"/>
      <c r="AA477" s="511"/>
      <c r="AB477" s="511"/>
      <c r="AC477" s="511"/>
      <c r="AD477" s="511"/>
      <c r="AE477" s="511"/>
      <c r="AF477" s="511"/>
      <c r="AG477" s="511"/>
      <c r="AH477" s="511"/>
      <c r="AI477" s="511"/>
      <c r="AJ477" s="511"/>
      <c r="AK477" s="511"/>
      <c r="AL477" s="511"/>
      <c r="AM477" s="511"/>
      <c r="AN477" s="511"/>
      <c r="AO477" s="511"/>
      <c r="AP477" s="511"/>
      <c r="AQ477" s="511"/>
      <c r="AR477" s="511"/>
      <c r="AS477" s="511"/>
      <c r="AT477" s="511"/>
      <c r="AU477" s="511"/>
      <c r="AV477" s="511"/>
      <c r="AW477" s="511"/>
      <c r="AX477" s="511"/>
      <c r="AY477" s="511"/>
      <c r="AZ477" s="511"/>
      <c r="BA477" s="511"/>
    </row>
    <row r="478" spans="1:53" customFormat="1">
      <c r="A478" s="511"/>
      <c r="B478" s="511"/>
      <c r="C478" s="511"/>
      <c r="D478" s="511"/>
      <c r="E478" s="511"/>
      <c r="F478" s="511"/>
      <c r="G478" s="511"/>
      <c r="H478" s="517"/>
      <c r="I478" s="511"/>
      <c r="J478" s="511"/>
      <c r="K478" s="511"/>
      <c r="L478" s="511"/>
      <c r="M478" s="511"/>
      <c r="N478" s="511"/>
      <c r="O478" s="511"/>
      <c r="P478" s="511"/>
      <c r="Q478" s="511"/>
      <c r="R478" s="511"/>
      <c r="S478" s="511"/>
      <c r="T478" s="511"/>
      <c r="U478" s="511"/>
      <c r="V478" s="511"/>
      <c r="W478" s="511"/>
      <c r="X478" s="511"/>
      <c r="Y478" s="511"/>
      <c r="Z478" s="511"/>
      <c r="AA478" s="511"/>
      <c r="AB478" s="511"/>
      <c r="AC478" s="511"/>
      <c r="AD478" s="511"/>
      <c r="AE478" s="511"/>
      <c r="AF478" s="511"/>
      <c r="AG478" s="511"/>
      <c r="AH478" s="511"/>
      <c r="AI478" s="511"/>
      <c r="AJ478" s="511"/>
      <c r="AK478" s="511"/>
      <c r="AL478" s="511"/>
      <c r="AM478" s="511"/>
      <c r="AN478" s="511"/>
      <c r="AO478" s="511"/>
      <c r="AP478" s="511"/>
      <c r="AQ478" s="511"/>
      <c r="AR478" s="511"/>
      <c r="AS478" s="511"/>
      <c r="AT478" s="511"/>
      <c r="AU478" s="511"/>
      <c r="AV478" s="511"/>
      <c r="AW478" s="511"/>
      <c r="AX478" s="511"/>
      <c r="AY478" s="511"/>
      <c r="AZ478" s="511"/>
      <c r="BA478" s="511"/>
    </row>
    <row r="479" spans="1:53" customFormat="1">
      <c r="A479" s="511"/>
      <c r="B479" s="511"/>
      <c r="C479" s="511"/>
      <c r="D479" s="511"/>
      <c r="E479" s="511"/>
      <c r="F479" s="511"/>
      <c r="G479" s="511"/>
      <c r="H479" s="517"/>
      <c r="I479" s="511"/>
      <c r="J479" s="511"/>
      <c r="K479" s="511"/>
      <c r="L479" s="511"/>
      <c r="M479" s="511"/>
      <c r="N479" s="511"/>
      <c r="O479" s="511"/>
      <c r="P479" s="511"/>
      <c r="Q479" s="511"/>
      <c r="R479" s="511"/>
      <c r="S479" s="511"/>
      <c r="T479" s="511"/>
      <c r="U479" s="511"/>
      <c r="V479" s="511"/>
      <c r="W479" s="511"/>
      <c r="X479" s="511"/>
      <c r="Y479" s="511"/>
      <c r="Z479" s="511"/>
      <c r="AA479" s="511"/>
      <c r="AB479" s="511"/>
      <c r="AC479" s="511"/>
      <c r="AD479" s="511"/>
      <c r="AE479" s="511"/>
      <c r="AF479" s="511"/>
      <c r="AG479" s="511"/>
      <c r="AH479" s="511"/>
      <c r="AI479" s="511"/>
      <c r="AJ479" s="511"/>
      <c r="AK479" s="511"/>
      <c r="AL479" s="511"/>
      <c r="AM479" s="511"/>
      <c r="AN479" s="511"/>
      <c r="AO479" s="511"/>
      <c r="AP479" s="511"/>
      <c r="AQ479" s="511"/>
      <c r="AR479" s="511"/>
      <c r="AS479" s="511"/>
      <c r="AT479" s="511"/>
      <c r="AU479" s="511"/>
      <c r="AV479" s="511"/>
      <c r="AW479" s="511"/>
      <c r="AX479" s="511"/>
      <c r="AY479" s="511"/>
      <c r="AZ479" s="511"/>
      <c r="BA479" s="511"/>
    </row>
    <row r="480" spans="1:53" customFormat="1">
      <c r="A480" s="511"/>
      <c r="B480" s="511"/>
      <c r="C480" s="511"/>
      <c r="D480" s="511"/>
      <c r="E480" s="511"/>
      <c r="F480" s="511"/>
      <c r="G480" s="511"/>
      <c r="H480" s="517"/>
      <c r="I480" s="511"/>
      <c r="J480" s="511"/>
      <c r="K480" s="511"/>
      <c r="L480" s="511"/>
      <c r="M480" s="511"/>
      <c r="N480" s="511"/>
      <c r="O480" s="511"/>
      <c r="P480" s="511"/>
      <c r="Q480" s="511"/>
      <c r="R480" s="511"/>
      <c r="S480" s="511"/>
      <c r="T480" s="511"/>
      <c r="U480" s="511"/>
      <c r="V480" s="511"/>
      <c r="W480" s="511"/>
      <c r="X480" s="511"/>
      <c r="Y480" s="511"/>
      <c r="Z480" s="511"/>
      <c r="AA480" s="511"/>
      <c r="AB480" s="511"/>
      <c r="AC480" s="511"/>
      <c r="AD480" s="511"/>
      <c r="AE480" s="511"/>
      <c r="AF480" s="511"/>
      <c r="AG480" s="511"/>
      <c r="AH480" s="511"/>
      <c r="AI480" s="511"/>
      <c r="AJ480" s="511"/>
      <c r="AK480" s="511"/>
      <c r="AL480" s="511"/>
      <c r="AM480" s="511"/>
      <c r="AN480" s="511"/>
      <c r="AO480" s="511"/>
      <c r="AP480" s="511"/>
      <c r="AQ480" s="511"/>
      <c r="AR480" s="511"/>
      <c r="AS480" s="511"/>
      <c r="AT480" s="511"/>
      <c r="AU480" s="511"/>
      <c r="AV480" s="511"/>
      <c r="AW480" s="511"/>
      <c r="AX480" s="511"/>
      <c r="AY480" s="511"/>
      <c r="AZ480" s="511"/>
      <c r="BA480" s="511"/>
    </row>
    <row r="481" spans="1:53" customFormat="1">
      <c r="A481" s="511"/>
      <c r="B481" s="511"/>
      <c r="C481" s="511"/>
      <c r="D481" s="511"/>
      <c r="E481" s="511"/>
      <c r="F481" s="511"/>
      <c r="G481" s="511"/>
      <c r="H481" s="517"/>
      <c r="I481" s="511"/>
      <c r="J481" s="511"/>
      <c r="K481" s="511"/>
      <c r="L481" s="511"/>
      <c r="M481" s="511"/>
      <c r="N481" s="511"/>
      <c r="O481" s="511"/>
      <c r="P481" s="511"/>
      <c r="Q481" s="511"/>
      <c r="R481" s="511"/>
      <c r="S481" s="511"/>
      <c r="T481" s="511"/>
      <c r="U481" s="511"/>
      <c r="V481" s="511"/>
      <c r="W481" s="511"/>
      <c r="X481" s="511"/>
      <c r="Y481" s="511"/>
      <c r="Z481" s="511"/>
      <c r="AA481" s="511"/>
      <c r="AB481" s="511"/>
      <c r="AC481" s="511"/>
      <c r="AD481" s="511"/>
      <c r="AE481" s="511"/>
      <c r="AF481" s="511"/>
      <c r="AG481" s="511"/>
      <c r="AH481" s="511"/>
      <c r="AI481" s="511"/>
      <c r="AJ481" s="511"/>
      <c r="AK481" s="511"/>
      <c r="AL481" s="511"/>
      <c r="AM481" s="511"/>
      <c r="AN481" s="511"/>
      <c r="AO481" s="511"/>
      <c r="AP481" s="511"/>
      <c r="AQ481" s="511"/>
      <c r="AR481" s="511"/>
      <c r="AS481" s="511"/>
      <c r="AT481" s="511"/>
      <c r="AU481" s="511"/>
      <c r="AV481" s="511"/>
      <c r="AW481" s="511"/>
      <c r="AX481" s="511"/>
      <c r="AY481" s="511"/>
      <c r="AZ481" s="511"/>
      <c r="BA481" s="511"/>
    </row>
    <row r="482" spans="1:53" customFormat="1">
      <c r="A482" s="511"/>
      <c r="B482" s="511"/>
      <c r="C482" s="511"/>
      <c r="D482" s="511"/>
      <c r="E482" s="511"/>
      <c r="F482" s="511"/>
      <c r="G482" s="511"/>
      <c r="H482" s="517"/>
      <c r="I482" s="511"/>
      <c r="J482" s="511"/>
      <c r="K482" s="511"/>
      <c r="L482" s="511"/>
      <c r="M482" s="511"/>
      <c r="N482" s="511"/>
      <c r="O482" s="511"/>
      <c r="P482" s="511"/>
      <c r="Q482" s="511"/>
      <c r="R482" s="511"/>
      <c r="S482" s="511"/>
      <c r="T482" s="511"/>
      <c r="U482" s="511"/>
      <c r="V482" s="511"/>
      <c r="W482" s="511"/>
      <c r="X482" s="511"/>
      <c r="Y482" s="511"/>
      <c r="Z482" s="511"/>
      <c r="AA482" s="511"/>
      <c r="AB482" s="511"/>
      <c r="AC482" s="511"/>
      <c r="AD482" s="511"/>
      <c r="AE482" s="511"/>
      <c r="AF482" s="511"/>
      <c r="AG482" s="511"/>
      <c r="AH482" s="511"/>
      <c r="AI482" s="511"/>
      <c r="AJ482" s="511"/>
      <c r="AK482" s="511"/>
      <c r="AL482" s="511"/>
      <c r="AM482" s="511"/>
      <c r="AN482" s="511"/>
      <c r="AO482" s="511"/>
      <c r="AP482" s="511"/>
      <c r="AQ482" s="511"/>
      <c r="AR482" s="511"/>
      <c r="AS482" s="511"/>
      <c r="AT482" s="511"/>
      <c r="AU482" s="511"/>
      <c r="AV482" s="511"/>
      <c r="AW482" s="511"/>
      <c r="AX482" s="511"/>
      <c r="AY482" s="511"/>
      <c r="AZ482" s="511"/>
      <c r="BA482" s="511"/>
    </row>
    <row r="483" spans="1:53" customFormat="1">
      <c r="A483" s="511"/>
      <c r="B483" s="511"/>
      <c r="C483" s="511"/>
      <c r="D483" s="511"/>
      <c r="E483" s="511"/>
      <c r="F483" s="511"/>
      <c r="G483" s="511"/>
      <c r="H483" s="517"/>
      <c r="I483" s="511"/>
      <c r="J483" s="511"/>
      <c r="K483" s="511"/>
      <c r="L483" s="511"/>
      <c r="M483" s="511"/>
      <c r="N483" s="511"/>
      <c r="O483" s="511"/>
      <c r="P483" s="511"/>
      <c r="Q483" s="511"/>
      <c r="R483" s="511"/>
      <c r="S483" s="511"/>
      <c r="T483" s="511"/>
      <c r="U483" s="511"/>
      <c r="V483" s="511"/>
      <c r="W483" s="511"/>
      <c r="X483" s="511"/>
      <c r="Y483" s="511"/>
      <c r="Z483" s="511"/>
      <c r="AA483" s="511"/>
      <c r="AB483" s="511"/>
      <c r="AC483" s="511"/>
      <c r="AD483" s="511"/>
      <c r="AE483" s="511"/>
      <c r="AF483" s="511"/>
      <c r="AG483" s="511"/>
      <c r="AH483" s="511"/>
      <c r="AI483" s="511"/>
      <c r="AJ483" s="511"/>
      <c r="AK483" s="511"/>
      <c r="AL483" s="511"/>
      <c r="AM483" s="511"/>
      <c r="AN483" s="511"/>
      <c r="AO483" s="511"/>
      <c r="AP483" s="511"/>
      <c r="AQ483" s="511"/>
      <c r="AR483" s="511"/>
      <c r="AS483" s="511"/>
      <c r="AT483" s="511"/>
      <c r="AU483" s="511"/>
      <c r="AV483" s="511"/>
      <c r="AW483" s="511"/>
      <c r="AX483" s="511"/>
      <c r="AY483" s="511"/>
      <c r="AZ483" s="511"/>
      <c r="BA483" s="511"/>
    </row>
    <row r="484" spans="1:53" customFormat="1">
      <c r="A484" s="511"/>
      <c r="B484" s="511"/>
      <c r="C484" s="511"/>
      <c r="D484" s="511"/>
      <c r="E484" s="511"/>
      <c r="F484" s="511"/>
      <c r="G484" s="511"/>
      <c r="H484" s="517"/>
      <c r="I484" s="511"/>
      <c r="J484" s="511"/>
      <c r="K484" s="511"/>
      <c r="L484" s="511"/>
      <c r="M484" s="511"/>
      <c r="N484" s="511"/>
      <c r="O484" s="511"/>
      <c r="P484" s="511"/>
      <c r="Q484" s="511"/>
      <c r="R484" s="511"/>
      <c r="S484" s="511"/>
      <c r="T484" s="511"/>
      <c r="U484" s="511"/>
      <c r="V484" s="511"/>
      <c r="W484" s="511"/>
      <c r="X484" s="511"/>
      <c r="Y484" s="511"/>
      <c r="Z484" s="511"/>
      <c r="AA484" s="511"/>
      <c r="AB484" s="511"/>
      <c r="AC484" s="511"/>
      <c r="AD484" s="511"/>
      <c r="AE484" s="511"/>
      <c r="AF484" s="511"/>
      <c r="AG484" s="511"/>
      <c r="AH484" s="511"/>
      <c r="AI484" s="511"/>
      <c r="AJ484" s="511"/>
      <c r="AK484" s="511"/>
      <c r="AL484" s="511"/>
      <c r="AM484" s="511"/>
      <c r="AN484" s="511"/>
      <c r="AO484" s="511"/>
      <c r="AP484" s="511"/>
      <c r="AQ484" s="511"/>
      <c r="AR484" s="511"/>
      <c r="AS484" s="511"/>
      <c r="AT484" s="511"/>
      <c r="AU484" s="511"/>
      <c r="AV484" s="511"/>
      <c r="AW484" s="511"/>
      <c r="AX484" s="511"/>
      <c r="AY484" s="511"/>
      <c r="AZ484" s="511"/>
      <c r="BA484" s="511"/>
    </row>
    <row r="485" spans="1:53" customFormat="1">
      <c r="A485" s="511"/>
      <c r="B485" s="511"/>
      <c r="C485" s="511"/>
      <c r="D485" s="511"/>
      <c r="E485" s="511"/>
      <c r="F485" s="511"/>
      <c r="G485" s="511"/>
      <c r="H485" s="517"/>
      <c r="I485" s="511"/>
      <c r="J485" s="511"/>
      <c r="K485" s="511"/>
      <c r="L485" s="511"/>
      <c r="M485" s="511"/>
      <c r="N485" s="511"/>
      <c r="O485" s="511"/>
      <c r="P485" s="511"/>
      <c r="Q485" s="511"/>
      <c r="R485" s="511"/>
      <c r="S485" s="511"/>
      <c r="T485" s="511"/>
      <c r="U485" s="511"/>
      <c r="V485" s="511"/>
      <c r="W485" s="511"/>
      <c r="X485" s="511"/>
      <c r="Y485" s="511"/>
      <c r="Z485" s="511"/>
      <c r="AA485" s="511"/>
      <c r="AB485" s="511"/>
      <c r="AC485" s="511"/>
      <c r="AD485" s="511"/>
      <c r="AE485" s="511"/>
      <c r="AF485" s="511"/>
      <c r="AG485" s="511"/>
      <c r="AH485" s="511"/>
      <c r="AI485" s="511"/>
      <c r="AJ485" s="511"/>
      <c r="AK485" s="511"/>
      <c r="AL485" s="511"/>
      <c r="AM485" s="511"/>
      <c r="AN485" s="511"/>
      <c r="AO485" s="511"/>
      <c r="AP485" s="511"/>
      <c r="AQ485" s="511"/>
      <c r="AR485" s="511"/>
      <c r="AS485" s="511"/>
      <c r="AT485" s="511"/>
      <c r="AU485" s="511"/>
      <c r="AV485" s="511"/>
      <c r="AW485" s="511"/>
      <c r="AX485" s="511"/>
      <c r="AY485" s="511"/>
      <c r="AZ485" s="511"/>
      <c r="BA485" s="511"/>
    </row>
    <row r="486" spans="1:53" customFormat="1">
      <c r="A486" s="511"/>
      <c r="B486" s="511"/>
      <c r="C486" s="511"/>
      <c r="D486" s="511"/>
      <c r="E486" s="511"/>
      <c r="F486" s="511"/>
      <c r="G486" s="511"/>
      <c r="H486" s="517"/>
      <c r="I486" s="511"/>
      <c r="J486" s="511"/>
      <c r="K486" s="511"/>
      <c r="L486" s="511"/>
      <c r="M486" s="511"/>
      <c r="N486" s="511"/>
      <c r="O486" s="511"/>
      <c r="P486" s="511"/>
      <c r="Q486" s="511"/>
      <c r="R486" s="511"/>
      <c r="S486" s="511"/>
      <c r="T486" s="511"/>
      <c r="U486" s="511"/>
      <c r="V486" s="511"/>
      <c r="W486" s="511"/>
      <c r="X486" s="511"/>
      <c r="Y486" s="511"/>
      <c r="Z486" s="511"/>
      <c r="AA486" s="511"/>
      <c r="AB486" s="511"/>
      <c r="AC486" s="511"/>
      <c r="AD486" s="511"/>
      <c r="AE486" s="511"/>
      <c r="AF486" s="511"/>
      <c r="AG486" s="511"/>
      <c r="AH486" s="511"/>
      <c r="AI486" s="511"/>
      <c r="AJ486" s="511"/>
      <c r="AK486" s="511"/>
      <c r="AL486" s="511"/>
      <c r="AM486" s="511"/>
      <c r="AN486" s="511"/>
      <c r="AO486" s="511"/>
      <c r="AP486" s="511"/>
      <c r="AQ486" s="511"/>
      <c r="AR486" s="511"/>
      <c r="AS486" s="511"/>
      <c r="AT486" s="511"/>
      <c r="AU486" s="511"/>
      <c r="AV486" s="511"/>
      <c r="AW486" s="511"/>
      <c r="AX486" s="511"/>
      <c r="AY486" s="511"/>
      <c r="AZ486" s="511"/>
      <c r="BA486" s="511"/>
    </row>
    <row r="487" spans="1:53" customFormat="1">
      <c r="A487" s="511"/>
      <c r="B487" s="511"/>
      <c r="C487" s="511"/>
      <c r="D487" s="511"/>
      <c r="E487" s="511"/>
      <c r="F487" s="511"/>
      <c r="G487" s="511"/>
      <c r="H487" s="517"/>
      <c r="I487" s="511"/>
      <c r="J487" s="511"/>
      <c r="K487" s="511"/>
      <c r="L487" s="511"/>
      <c r="M487" s="511"/>
      <c r="N487" s="511"/>
      <c r="O487" s="511"/>
      <c r="P487" s="511"/>
      <c r="Q487" s="511"/>
      <c r="R487" s="511"/>
      <c r="S487" s="511"/>
      <c r="T487" s="511"/>
      <c r="U487" s="511"/>
      <c r="V487" s="511"/>
      <c r="W487" s="511"/>
      <c r="X487" s="511"/>
      <c r="Y487" s="511"/>
      <c r="Z487" s="511"/>
      <c r="AA487" s="511"/>
      <c r="AB487" s="511"/>
      <c r="AC487" s="511"/>
      <c r="AD487" s="511"/>
      <c r="AE487" s="511"/>
      <c r="AF487" s="511"/>
      <c r="AG487" s="511"/>
      <c r="AH487" s="511"/>
      <c r="AI487" s="511"/>
      <c r="AJ487" s="511"/>
      <c r="AK487" s="511"/>
      <c r="AL487" s="511"/>
      <c r="AM487" s="511"/>
      <c r="AN487" s="511"/>
      <c r="AO487" s="511"/>
      <c r="AP487" s="511"/>
      <c r="AQ487" s="511"/>
      <c r="AR487" s="511"/>
      <c r="AS487" s="511"/>
      <c r="AT487" s="511"/>
      <c r="AU487" s="511"/>
      <c r="AV487" s="511"/>
      <c r="AW487" s="511"/>
      <c r="AX487" s="511"/>
      <c r="AY487" s="511"/>
      <c r="AZ487" s="511"/>
      <c r="BA487" s="511"/>
    </row>
    <row r="488" spans="1:53" customFormat="1">
      <c r="A488" s="511"/>
      <c r="B488" s="511"/>
      <c r="C488" s="511"/>
      <c r="D488" s="511"/>
      <c r="E488" s="511"/>
      <c r="F488" s="511"/>
      <c r="G488" s="511"/>
      <c r="H488" s="517"/>
      <c r="I488" s="511"/>
      <c r="J488" s="511"/>
      <c r="K488" s="511"/>
      <c r="L488" s="511"/>
      <c r="M488" s="511"/>
      <c r="N488" s="511"/>
      <c r="O488" s="511"/>
      <c r="P488" s="511"/>
      <c r="Q488" s="511"/>
      <c r="R488" s="511"/>
      <c r="S488" s="511"/>
      <c r="T488" s="511"/>
      <c r="U488" s="511"/>
      <c r="V488" s="511"/>
      <c r="W488" s="511"/>
      <c r="X488" s="511"/>
      <c r="Y488" s="511"/>
      <c r="Z488" s="511"/>
      <c r="AA488" s="511"/>
      <c r="AB488" s="511"/>
      <c r="AC488" s="511"/>
      <c r="AD488" s="511"/>
      <c r="AE488" s="511"/>
      <c r="AF488" s="511"/>
      <c r="AG488" s="511"/>
      <c r="AH488" s="511"/>
      <c r="AI488" s="511"/>
      <c r="AJ488" s="511"/>
      <c r="AK488" s="511"/>
      <c r="AL488" s="511"/>
      <c r="AM488" s="511"/>
      <c r="AN488" s="511"/>
      <c r="AO488" s="511"/>
      <c r="AP488" s="511"/>
      <c r="AQ488" s="511"/>
      <c r="AR488" s="511"/>
      <c r="AS488" s="511"/>
      <c r="AT488" s="511"/>
      <c r="AU488" s="511"/>
      <c r="AV488" s="511"/>
      <c r="AW488" s="511"/>
      <c r="AX488" s="511"/>
      <c r="AY488" s="511"/>
      <c r="AZ488" s="511"/>
      <c r="BA488" s="511"/>
    </row>
    <row r="489" spans="1:53" customFormat="1">
      <c r="A489" s="511"/>
      <c r="B489" s="511"/>
      <c r="C489" s="511"/>
      <c r="D489" s="511"/>
      <c r="E489" s="511"/>
      <c r="F489" s="511"/>
      <c r="G489" s="511"/>
      <c r="H489" s="517"/>
      <c r="I489" s="511"/>
      <c r="J489" s="511"/>
      <c r="K489" s="511"/>
      <c r="L489" s="511"/>
      <c r="M489" s="511"/>
      <c r="N489" s="511"/>
      <c r="O489" s="511"/>
      <c r="P489" s="511"/>
      <c r="Q489" s="511"/>
      <c r="R489" s="511"/>
      <c r="S489" s="511"/>
      <c r="T489" s="511"/>
      <c r="U489" s="511"/>
      <c r="V489" s="511"/>
      <c r="W489" s="511"/>
      <c r="X489" s="511"/>
      <c r="Y489" s="511"/>
      <c r="Z489" s="511"/>
      <c r="AA489" s="511"/>
      <c r="AB489" s="511"/>
      <c r="AC489" s="511"/>
      <c r="AD489" s="511"/>
      <c r="AE489" s="511"/>
      <c r="AF489" s="511"/>
      <c r="AG489" s="511"/>
      <c r="AH489" s="511"/>
      <c r="AI489" s="511"/>
      <c r="AJ489" s="511"/>
      <c r="AK489" s="511"/>
      <c r="AL489" s="511"/>
      <c r="AM489" s="511"/>
      <c r="AN489" s="511"/>
      <c r="AO489" s="511"/>
      <c r="AP489" s="511"/>
      <c r="AQ489" s="511"/>
      <c r="AR489" s="511"/>
      <c r="AS489" s="511"/>
      <c r="AT489" s="511"/>
      <c r="AU489" s="511"/>
      <c r="AV489" s="511"/>
      <c r="AW489" s="511"/>
      <c r="AX489" s="511"/>
      <c r="AY489" s="511"/>
      <c r="AZ489" s="511"/>
      <c r="BA489" s="511"/>
    </row>
    <row r="490" spans="1:53" customFormat="1">
      <c r="A490" s="511"/>
      <c r="B490" s="511"/>
      <c r="C490" s="511"/>
      <c r="D490" s="511"/>
      <c r="E490" s="511"/>
      <c r="F490" s="511"/>
      <c r="G490" s="511"/>
      <c r="H490" s="517"/>
      <c r="I490" s="511"/>
      <c r="J490" s="511"/>
      <c r="K490" s="511"/>
      <c r="L490" s="511"/>
      <c r="M490" s="511"/>
      <c r="N490" s="511"/>
      <c r="O490" s="511"/>
      <c r="P490" s="511"/>
      <c r="Q490" s="511"/>
      <c r="R490" s="511"/>
      <c r="S490" s="511"/>
      <c r="T490" s="511"/>
      <c r="U490" s="511"/>
      <c r="V490" s="511"/>
      <c r="W490" s="511"/>
      <c r="X490" s="511"/>
      <c r="Y490" s="511"/>
      <c r="Z490" s="511"/>
      <c r="AA490" s="511"/>
      <c r="AB490" s="511"/>
      <c r="AC490" s="511"/>
      <c r="AD490" s="511"/>
      <c r="AE490" s="511"/>
      <c r="AF490" s="511"/>
      <c r="AG490" s="511"/>
      <c r="AH490" s="511"/>
      <c r="AI490" s="511"/>
      <c r="AJ490" s="511"/>
      <c r="AK490" s="511"/>
      <c r="AL490" s="511"/>
      <c r="AM490" s="511"/>
      <c r="AN490" s="511"/>
      <c r="AO490" s="511"/>
      <c r="AP490" s="511"/>
      <c r="AQ490" s="511"/>
      <c r="AR490" s="511"/>
      <c r="AS490" s="511"/>
      <c r="AT490" s="511"/>
      <c r="AU490" s="511"/>
      <c r="AV490" s="511"/>
      <c r="AW490" s="511"/>
      <c r="AX490" s="511"/>
      <c r="AY490" s="511"/>
      <c r="AZ490" s="511"/>
      <c r="BA490" s="511"/>
    </row>
    <row r="491" spans="1:53" customFormat="1">
      <c r="A491" s="511"/>
      <c r="B491" s="511"/>
      <c r="C491" s="511"/>
      <c r="D491" s="511"/>
      <c r="E491" s="511"/>
      <c r="F491" s="511"/>
      <c r="G491" s="511"/>
      <c r="H491" s="517"/>
      <c r="I491" s="511"/>
      <c r="J491" s="511"/>
      <c r="K491" s="511"/>
      <c r="L491" s="511"/>
      <c r="M491" s="511"/>
      <c r="N491" s="511"/>
      <c r="O491" s="511"/>
      <c r="P491" s="511"/>
      <c r="Q491" s="511"/>
      <c r="R491" s="511"/>
      <c r="S491" s="511"/>
      <c r="T491" s="511"/>
      <c r="U491" s="511"/>
      <c r="V491" s="511"/>
      <c r="W491" s="511"/>
      <c r="X491" s="511"/>
      <c r="Y491" s="511"/>
      <c r="Z491" s="511"/>
      <c r="AA491" s="511"/>
      <c r="AB491" s="511"/>
      <c r="AC491" s="511"/>
      <c r="AD491" s="511"/>
      <c r="AE491" s="511"/>
      <c r="AF491" s="511"/>
      <c r="AG491" s="511"/>
      <c r="AH491" s="511"/>
      <c r="AI491" s="511"/>
      <c r="AJ491" s="511"/>
      <c r="AK491" s="511"/>
      <c r="AL491" s="511"/>
      <c r="AM491" s="511"/>
      <c r="AN491" s="511"/>
      <c r="AO491" s="511"/>
      <c r="AP491" s="511"/>
      <c r="AQ491" s="511"/>
      <c r="AR491" s="511"/>
      <c r="AS491" s="511"/>
      <c r="AT491" s="511"/>
      <c r="AU491" s="511"/>
      <c r="AV491" s="511"/>
      <c r="AW491" s="511"/>
      <c r="AX491" s="511"/>
      <c r="AY491" s="511"/>
      <c r="AZ491" s="511"/>
      <c r="BA491" s="511"/>
    </row>
    <row r="492" spans="1:53" customFormat="1">
      <c r="A492" s="511"/>
      <c r="B492" s="511"/>
      <c r="C492" s="511"/>
      <c r="D492" s="511"/>
      <c r="E492" s="511"/>
      <c r="F492" s="511"/>
      <c r="G492" s="511"/>
      <c r="H492" s="517"/>
      <c r="I492" s="511"/>
      <c r="J492" s="511"/>
      <c r="K492" s="511"/>
      <c r="L492" s="511"/>
      <c r="M492" s="511"/>
      <c r="N492" s="511"/>
      <c r="O492" s="511"/>
      <c r="P492" s="511"/>
      <c r="Q492" s="511"/>
      <c r="R492" s="511"/>
      <c r="S492" s="511"/>
      <c r="T492" s="511"/>
      <c r="U492" s="511"/>
      <c r="V492" s="511"/>
      <c r="W492" s="511"/>
      <c r="X492" s="511"/>
      <c r="Y492" s="511"/>
      <c r="Z492" s="511"/>
      <c r="AA492" s="511"/>
      <c r="AB492" s="511"/>
      <c r="AC492" s="511"/>
      <c r="AD492" s="511"/>
      <c r="AE492" s="511"/>
      <c r="AF492" s="511"/>
      <c r="AG492" s="511"/>
      <c r="AH492" s="511"/>
      <c r="AI492" s="511"/>
      <c r="AJ492" s="511"/>
      <c r="AK492" s="511"/>
      <c r="AL492" s="511"/>
      <c r="AM492" s="511"/>
      <c r="AN492" s="511"/>
      <c r="AO492" s="511"/>
      <c r="AP492" s="511"/>
      <c r="AQ492" s="511"/>
      <c r="AR492" s="511"/>
      <c r="AS492" s="511"/>
      <c r="AT492" s="511"/>
      <c r="AU492" s="511"/>
      <c r="AV492" s="511"/>
      <c r="AW492" s="511"/>
      <c r="AX492" s="511"/>
      <c r="AY492" s="511"/>
      <c r="AZ492" s="511"/>
      <c r="BA492" s="511"/>
    </row>
    <row r="493" spans="1:53" customFormat="1">
      <c r="A493" s="511"/>
      <c r="B493" s="511"/>
      <c r="C493" s="511"/>
      <c r="D493" s="511"/>
      <c r="E493" s="511"/>
      <c r="F493" s="511"/>
      <c r="G493" s="511"/>
      <c r="H493" s="517"/>
      <c r="I493" s="511"/>
      <c r="J493" s="511"/>
      <c r="K493" s="511"/>
      <c r="L493" s="511"/>
      <c r="M493" s="511"/>
      <c r="N493" s="511"/>
      <c r="O493" s="511"/>
      <c r="P493" s="511"/>
      <c r="Q493" s="511"/>
      <c r="R493" s="511"/>
      <c r="S493" s="511"/>
      <c r="T493" s="511"/>
      <c r="U493" s="511"/>
      <c r="V493" s="511"/>
      <c r="W493" s="511"/>
      <c r="X493" s="511"/>
      <c r="Y493" s="511"/>
      <c r="Z493" s="511"/>
      <c r="AA493" s="511"/>
      <c r="AB493" s="511"/>
      <c r="AC493" s="511"/>
      <c r="AD493" s="511"/>
      <c r="AE493" s="511"/>
      <c r="AF493" s="511"/>
      <c r="AG493" s="511"/>
      <c r="AH493" s="511"/>
      <c r="AI493" s="511"/>
      <c r="AJ493" s="511"/>
      <c r="AK493" s="511"/>
      <c r="AL493" s="511"/>
      <c r="AM493" s="511"/>
      <c r="AN493" s="511"/>
      <c r="AO493" s="511"/>
      <c r="AP493" s="511"/>
      <c r="AQ493" s="511"/>
      <c r="AR493" s="511"/>
      <c r="AS493" s="511"/>
      <c r="AT493" s="511"/>
      <c r="AU493" s="511"/>
      <c r="AV493" s="511"/>
      <c r="AW493" s="511"/>
      <c r="AX493" s="511"/>
      <c r="AY493" s="511"/>
      <c r="AZ493" s="511"/>
      <c r="BA493" s="511"/>
    </row>
    <row r="494" spans="1:53" customFormat="1">
      <c r="A494" s="511"/>
      <c r="B494" s="511"/>
      <c r="C494" s="511"/>
      <c r="D494" s="511"/>
      <c r="E494" s="511"/>
      <c r="F494" s="511"/>
      <c r="G494" s="511"/>
      <c r="H494" s="517"/>
      <c r="I494" s="511"/>
      <c r="J494" s="511"/>
      <c r="K494" s="511"/>
      <c r="L494" s="511"/>
      <c r="M494" s="511"/>
      <c r="N494" s="511"/>
      <c r="O494" s="511"/>
      <c r="P494" s="511"/>
      <c r="Q494" s="511"/>
      <c r="R494" s="511"/>
      <c r="S494" s="511"/>
      <c r="T494" s="511"/>
      <c r="U494" s="511"/>
      <c r="V494" s="511"/>
      <c r="W494" s="511"/>
      <c r="X494" s="511"/>
      <c r="Y494" s="511"/>
      <c r="Z494" s="511"/>
      <c r="AA494" s="511"/>
      <c r="AB494" s="511"/>
      <c r="AC494" s="511"/>
      <c r="AD494" s="511"/>
      <c r="AE494" s="511"/>
      <c r="AF494" s="511"/>
      <c r="AG494" s="511"/>
      <c r="AH494" s="511"/>
      <c r="AI494" s="511"/>
      <c r="AJ494" s="511"/>
      <c r="AK494" s="511"/>
      <c r="AL494" s="511"/>
      <c r="AM494" s="511"/>
      <c r="AN494" s="511"/>
      <c r="AO494" s="511"/>
      <c r="AP494" s="511"/>
      <c r="AQ494" s="511"/>
      <c r="AR494" s="511"/>
      <c r="AS494" s="511"/>
      <c r="AT494" s="511"/>
      <c r="AU494" s="511"/>
      <c r="AV494" s="511"/>
      <c r="AW494" s="511"/>
      <c r="AX494" s="511"/>
      <c r="AY494" s="511"/>
      <c r="AZ494" s="511"/>
      <c r="BA494" s="511"/>
    </row>
    <row r="495" spans="1:53" customFormat="1">
      <c r="A495" s="511"/>
      <c r="B495" s="511"/>
      <c r="C495" s="511"/>
      <c r="D495" s="511"/>
      <c r="E495" s="511"/>
      <c r="F495" s="511"/>
      <c r="G495" s="511"/>
      <c r="H495" s="517"/>
      <c r="I495" s="511"/>
      <c r="J495" s="511"/>
      <c r="K495" s="511"/>
      <c r="L495" s="511"/>
      <c r="M495" s="511"/>
      <c r="N495" s="511"/>
      <c r="O495" s="511"/>
      <c r="P495" s="511"/>
      <c r="Q495" s="511"/>
      <c r="R495" s="511"/>
      <c r="S495" s="511"/>
      <c r="T495" s="511"/>
      <c r="U495" s="511"/>
      <c r="V495" s="511"/>
      <c r="W495" s="511"/>
      <c r="X495" s="511"/>
      <c r="Y495" s="511"/>
      <c r="Z495" s="511"/>
      <c r="AA495" s="511"/>
      <c r="AB495" s="511"/>
      <c r="AC495" s="511"/>
      <c r="AD495" s="511"/>
      <c r="AE495" s="511"/>
      <c r="AF495" s="511"/>
      <c r="AG495" s="511"/>
      <c r="AH495" s="511"/>
      <c r="AI495" s="511"/>
      <c r="AJ495" s="511"/>
      <c r="AK495" s="511"/>
      <c r="AL495" s="511"/>
      <c r="AM495" s="511"/>
      <c r="AN495" s="511"/>
      <c r="AO495" s="511"/>
      <c r="AP495" s="511"/>
      <c r="AQ495" s="511"/>
      <c r="AR495" s="511"/>
      <c r="AS495" s="511"/>
      <c r="AT495" s="511"/>
      <c r="AU495" s="511"/>
      <c r="AV495" s="511"/>
      <c r="AW495" s="511"/>
      <c r="AX495" s="511"/>
      <c r="AY495" s="511"/>
      <c r="AZ495" s="511"/>
      <c r="BA495" s="511"/>
    </row>
    <row r="496" spans="1:53" customFormat="1">
      <c r="A496" s="511"/>
      <c r="B496" s="511"/>
      <c r="C496" s="511"/>
      <c r="D496" s="511"/>
      <c r="E496" s="511"/>
      <c r="F496" s="511"/>
      <c r="G496" s="511"/>
      <c r="H496" s="517"/>
      <c r="I496" s="511"/>
      <c r="J496" s="511"/>
      <c r="K496" s="511"/>
      <c r="L496" s="511"/>
      <c r="M496" s="511"/>
      <c r="N496" s="511"/>
      <c r="O496" s="511"/>
      <c r="P496" s="511"/>
      <c r="Q496" s="511"/>
      <c r="R496" s="511"/>
      <c r="S496" s="511"/>
      <c r="T496" s="511"/>
      <c r="U496" s="511"/>
      <c r="V496" s="511"/>
      <c r="W496" s="511"/>
      <c r="X496" s="511"/>
      <c r="Y496" s="511"/>
      <c r="Z496" s="511"/>
      <c r="AA496" s="511"/>
      <c r="AB496" s="511"/>
      <c r="AC496" s="511"/>
      <c r="AD496" s="511"/>
      <c r="AE496" s="511"/>
      <c r="AF496" s="511"/>
      <c r="AG496" s="511"/>
      <c r="AH496" s="511"/>
      <c r="AI496" s="511"/>
      <c r="AJ496" s="511"/>
      <c r="AK496" s="511"/>
      <c r="AL496" s="511"/>
      <c r="AM496" s="511"/>
      <c r="AN496" s="511"/>
      <c r="AO496" s="511"/>
      <c r="AP496" s="511"/>
      <c r="AQ496" s="511"/>
      <c r="AR496" s="511"/>
      <c r="AS496" s="511"/>
      <c r="AT496" s="511"/>
      <c r="AU496" s="511"/>
      <c r="AV496" s="511"/>
      <c r="AW496" s="511"/>
      <c r="AX496" s="511"/>
      <c r="AY496" s="511"/>
      <c r="AZ496" s="511"/>
      <c r="BA496" s="511"/>
    </row>
    <row r="497" spans="1:53" customFormat="1">
      <c r="A497" s="511"/>
      <c r="B497" s="511"/>
      <c r="C497" s="511"/>
      <c r="D497" s="511"/>
      <c r="E497" s="511"/>
      <c r="F497" s="511"/>
      <c r="G497" s="511"/>
      <c r="H497" s="517"/>
      <c r="I497" s="511"/>
      <c r="J497" s="511"/>
      <c r="K497" s="511"/>
      <c r="L497" s="511"/>
      <c r="M497" s="511"/>
      <c r="N497" s="511"/>
      <c r="O497" s="511"/>
      <c r="P497" s="511"/>
      <c r="Q497" s="511"/>
      <c r="R497" s="511"/>
      <c r="S497" s="511"/>
      <c r="T497" s="511"/>
      <c r="U497" s="511"/>
      <c r="V497" s="511"/>
      <c r="W497" s="511"/>
      <c r="X497" s="511"/>
      <c r="Y497" s="511"/>
      <c r="Z497" s="511"/>
      <c r="AA497" s="511"/>
      <c r="AB497" s="511"/>
      <c r="AC497" s="511"/>
      <c r="AD497" s="511"/>
      <c r="AE497" s="511"/>
      <c r="AF497" s="511"/>
      <c r="AG497" s="511"/>
      <c r="AH497" s="511"/>
      <c r="AI497" s="511"/>
      <c r="AJ497" s="511"/>
      <c r="AK497" s="511"/>
      <c r="AL497" s="511"/>
      <c r="AM497" s="511"/>
      <c r="AN497" s="511"/>
      <c r="AO497" s="511"/>
      <c r="AP497" s="511"/>
      <c r="AQ497" s="511"/>
      <c r="AR497" s="511"/>
      <c r="AS497" s="511"/>
      <c r="AT497" s="511"/>
      <c r="AU497" s="511"/>
      <c r="AV497" s="511"/>
      <c r="AW497" s="511"/>
      <c r="AX497" s="511"/>
      <c r="AY497" s="511"/>
      <c r="AZ497" s="511"/>
      <c r="BA497" s="511"/>
    </row>
    <row r="498" spans="1:53" customFormat="1">
      <c r="A498" s="511"/>
      <c r="B498" s="511"/>
      <c r="C498" s="511"/>
      <c r="D498" s="511"/>
      <c r="E498" s="511"/>
      <c r="F498" s="511"/>
      <c r="G498" s="511"/>
      <c r="H498" s="517"/>
      <c r="I498" s="511"/>
      <c r="J498" s="511"/>
      <c r="K498" s="511"/>
      <c r="L498" s="511"/>
      <c r="M498" s="511"/>
      <c r="N498" s="511"/>
      <c r="O498" s="511"/>
      <c r="P498" s="511"/>
      <c r="Q498" s="511"/>
      <c r="R498" s="511"/>
      <c r="S498" s="511"/>
      <c r="T498" s="511"/>
      <c r="U498" s="511"/>
      <c r="V498" s="511"/>
      <c r="W498" s="511"/>
      <c r="X498" s="511"/>
      <c r="Y498" s="511"/>
      <c r="Z498" s="511"/>
      <c r="AA498" s="511"/>
      <c r="AB498" s="511"/>
      <c r="AC498" s="511"/>
      <c r="AD498" s="511"/>
      <c r="AE498" s="511"/>
      <c r="AF498" s="511"/>
      <c r="AG498" s="511"/>
      <c r="AH498" s="511"/>
      <c r="AI498" s="511"/>
      <c r="AJ498" s="511"/>
      <c r="AK498" s="511"/>
      <c r="AL498" s="511"/>
      <c r="AM498" s="511"/>
      <c r="AN498" s="511"/>
      <c r="AO498" s="511"/>
      <c r="AP498" s="511"/>
      <c r="AQ498" s="511"/>
      <c r="AR498" s="511"/>
      <c r="AS498" s="511"/>
      <c r="AT498" s="511"/>
      <c r="AU498" s="511"/>
      <c r="AV498" s="511"/>
      <c r="AW498" s="511"/>
      <c r="AX498" s="511"/>
      <c r="AY498" s="511"/>
      <c r="AZ498" s="511"/>
      <c r="BA498" s="511"/>
    </row>
    <row r="499" spans="1:53" customFormat="1">
      <c r="A499" s="511"/>
      <c r="B499" s="511"/>
      <c r="C499" s="511"/>
      <c r="D499" s="511"/>
      <c r="E499" s="511"/>
      <c r="F499" s="511"/>
      <c r="G499" s="511"/>
      <c r="H499" s="517"/>
      <c r="I499" s="511"/>
      <c r="J499" s="511"/>
      <c r="K499" s="511"/>
      <c r="L499" s="511"/>
      <c r="M499" s="511"/>
      <c r="N499" s="511"/>
      <c r="O499" s="511"/>
      <c r="P499" s="511"/>
      <c r="Q499" s="511"/>
      <c r="R499" s="511"/>
      <c r="S499" s="511"/>
      <c r="T499" s="511"/>
      <c r="U499" s="511"/>
      <c r="V499" s="511"/>
      <c r="W499" s="511"/>
      <c r="X499" s="511"/>
      <c r="Y499" s="511"/>
      <c r="Z499" s="511"/>
      <c r="AA499" s="511"/>
      <c r="AB499" s="511"/>
      <c r="AC499" s="511"/>
      <c r="AD499" s="511"/>
      <c r="AE499" s="511"/>
      <c r="AF499" s="511"/>
      <c r="AG499" s="511"/>
      <c r="AH499" s="511"/>
      <c r="AI499" s="511"/>
      <c r="AJ499" s="511"/>
      <c r="AK499" s="511"/>
      <c r="AL499" s="511"/>
      <c r="AM499" s="511"/>
      <c r="AN499" s="511"/>
      <c r="AO499" s="511"/>
      <c r="AP499" s="511"/>
      <c r="AQ499" s="511"/>
      <c r="AR499" s="511"/>
      <c r="AS499" s="511"/>
      <c r="AT499" s="511"/>
      <c r="AU499" s="511"/>
      <c r="AV499" s="511"/>
      <c r="AW499" s="511"/>
      <c r="AX499" s="511"/>
      <c r="AY499" s="511"/>
      <c r="AZ499" s="511"/>
      <c r="BA499" s="511"/>
    </row>
    <row r="500" spans="1:53" customFormat="1">
      <c r="A500" s="511"/>
      <c r="B500" s="511"/>
      <c r="C500" s="511"/>
      <c r="D500" s="511"/>
      <c r="E500" s="511"/>
      <c r="F500" s="511"/>
      <c r="G500" s="511"/>
      <c r="H500" s="517"/>
      <c r="I500" s="511"/>
      <c r="J500" s="511"/>
      <c r="K500" s="511"/>
      <c r="L500" s="511"/>
      <c r="M500" s="511"/>
      <c r="N500" s="511"/>
      <c r="O500" s="511"/>
      <c r="P500" s="511"/>
      <c r="Q500" s="511"/>
      <c r="R500" s="511"/>
      <c r="S500" s="511"/>
      <c r="T500" s="511"/>
      <c r="U500" s="511"/>
      <c r="V500" s="511"/>
      <c r="W500" s="511"/>
      <c r="X500" s="511"/>
      <c r="Y500" s="511"/>
      <c r="Z500" s="511"/>
      <c r="AA500" s="511"/>
      <c r="AB500" s="511"/>
      <c r="AC500" s="511"/>
      <c r="AD500" s="511"/>
      <c r="AE500" s="511"/>
      <c r="AF500" s="511"/>
      <c r="AG500" s="511"/>
      <c r="AH500" s="511"/>
      <c r="AI500" s="511"/>
      <c r="AJ500" s="511"/>
      <c r="AK500" s="511"/>
      <c r="AL500" s="511"/>
      <c r="AM500" s="511"/>
      <c r="AN500" s="511"/>
      <c r="AO500" s="511"/>
      <c r="AP500" s="511"/>
      <c r="AQ500" s="511"/>
      <c r="AR500" s="511"/>
      <c r="AS500" s="511"/>
      <c r="AT500" s="511"/>
      <c r="AU500" s="511"/>
      <c r="AV500" s="511"/>
      <c r="AW500" s="511"/>
      <c r="AX500" s="511"/>
      <c r="AY500" s="511"/>
      <c r="AZ500" s="511"/>
      <c r="BA500" s="511"/>
    </row>
    <row r="501" spans="1:53" customFormat="1">
      <c r="A501" s="511"/>
      <c r="B501" s="511"/>
      <c r="C501" s="511"/>
      <c r="D501" s="511"/>
      <c r="E501" s="511"/>
      <c r="F501" s="511"/>
      <c r="G501" s="511"/>
      <c r="H501" s="517"/>
      <c r="I501" s="511"/>
      <c r="J501" s="511"/>
      <c r="K501" s="511"/>
      <c r="L501" s="511"/>
      <c r="M501" s="511"/>
      <c r="N501" s="511"/>
      <c r="O501" s="511"/>
      <c r="P501" s="511"/>
      <c r="Q501" s="511"/>
      <c r="R501" s="511"/>
      <c r="S501" s="511"/>
      <c r="T501" s="511"/>
      <c r="U501" s="511"/>
      <c r="V501" s="511"/>
      <c r="W501" s="511"/>
      <c r="X501" s="511"/>
      <c r="Y501" s="511"/>
      <c r="Z501" s="511"/>
      <c r="AA501" s="511"/>
      <c r="AB501" s="511"/>
      <c r="AC501" s="511"/>
      <c r="AD501" s="511"/>
      <c r="AE501" s="511"/>
      <c r="AF501" s="511"/>
      <c r="AG501" s="511"/>
      <c r="AH501" s="511"/>
      <c r="AI501" s="511"/>
      <c r="AJ501" s="511"/>
      <c r="AK501" s="511"/>
      <c r="AL501" s="511"/>
      <c r="AM501" s="511"/>
      <c r="AN501" s="511"/>
      <c r="AO501" s="511"/>
      <c r="AP501" s="511"/>
      <c r="AQ501" s="511"/>
      <c r="AR501" s="511"/>
      <c r="AS501" s="511"/>
      <c r="AT501" s="511"/>
      <c r="AU501" s="511"/>
      <c r="AV501" s="511"/>
      <c r="AW501" s="511"/>
      <c r="AX501" s="511"/>
      <c r="AY501" s="511"/>
      <c r="AZ501" s="511"/>
      <c r="BA501" s="511"/>
    </row>
    <row r="502" spans="1:53" customFormat="1">
      <c r="A502" s="511"/>
      <c r="B502" s="511"/>
      <c r="C502" s="511"/>
      <c r="D502" s="511"/>
      <c r="E502" s="511"/>
      <c r="F502" s="511"/>
      <c r="G502" s="511"/>
      <c r="H502" s="517"/>
      <c r="I502" s="511"/>
      <c r="J502" s="511"/>
      <c r="K502" s="511"/>
      <c r="L502" s="511"/>
      <c r="M502" s="511"/>
      <c r="N502" s="511"/>
      <c r="O502" s="511"/>
      <c r="P502" s="511"/>
      <c r="Q502" s="511"/>
      <c r="R502" s="511"/>
      <c r="S502" s="511"/>
      <c r="T502" s="511"/>
      <c r="U502" s="511"/>
      <c r="V502" s="511"/>
      <c r="W502" s="511"/>
      <c r="X502" s="511"/>
      <c r="Y502" s="511"/>
      <c r="Z502" s="511"/>
      <c r="AA502" s="511"/>
      <c r="AB502" s="511"/>
      <c r="AC502" s="511"/>
      <c r="AD502" s="511"/>
      <c r="AE502" s="511"/>
      <c r="AF502" s="511"/>
      <c r="AG502" s="511"/>
      <c r="AH502" s="511"/>
      <c r="AI502" s="511"/>
      <c r="AJ502" s="511"/>
      <c r="AK502" s="511"/>
      <c r="AL502" s="511"/>
      <c r="AM502" s="511"/>
      <c r="AN502" s="511"/>
      <c r="AO502" s="511"/>
      <c r="AP502" s="511"/>
      <c r="AQ502" s="511"/>
      <c r="AR502" s="511"/>
      <c r="AS502" s="511"/>
      <c r="AT502" s="511"/>
      <c r="AU502" s="511"/>
      <c r="AV502" s="511"/>
      <c r="AW502" s="511"/>
      <c r="AX502" s="511"/>
      <c r="AY502" s="511"/>
      <c r="AZ502" s="511"/>
      <c r="BA502" s="511"/>
    </row>
    <row r="503" spans="1:53" customFormat="1">
      <c r="A503" s="511"/>
      <c r="B503" s="511"/>
      <c r="C503" s="511"/>
      <c r="D503" s="511"/>
      <c r="E503" s="511"/>
      <c r="F503" s="511"/>
      <c r="G503" s="511"/>
      <c r="H503" s="517"/>
      <c r="I503" s="511"/>
      <c r="J503" s="511"/>
      <c r="K503" s="511"/>
      <c r="L503" s="511"/>
      <c r="M503" s="511"/>
      <c r="N503" s="511"/>
      <c r="O503" s="511"/>
      <c r="P503" s="511"/>
      <c r="Q503" s="511"/>
      <c r="R503" s="511"/>
      <c r="S503" s="511"/>
      <c r="T503" s="511"/>
      <c r="U503" s="511"/>
      <c r="V503" s="511"/>
      <c r="W503" s="511"/>
      <c r="X503" s="511"/>
      <c r="Y503" s="511"/>
      <c r="Z503" s="511"/>
      <c r="AA503" s="511"/>
      <c r="AB503" s="511"/>
      <c r="AC503" s="511"/>
      <c r="AD503" s="511"/>
      <c r="AE503" s="511"/>
      <c r="AF503" s="511"/>
      <c r="AG503" s="511"/>
      <c r="AH503" s="511"/>
      <c r="AI503" s="511"/>
      <c r="AJ503" s="511"/>
      <c r="AK503" s="511"/>
      <c r="AL503" s="511"/>
      <c r="AM503" s="511"/>
      <c r="AN503" s="511"/>
      <c r="AO503" s="511"/>
      <c r="AP503" s="511"/>
      <c r="AQ503" s="511"/>
      <c r="AR503" s="511"/>
      <c r="AS503" s="511"/>
      <c r="AT503" s="511"/>
      <c r="AU503" s="511"/>
      <c r="AV503" s="511"/>
      <c r="AW503" s="511"/>
      <c r="AX503" s="511"/>
      <c r="AY503" s="511"/>
      <c r="AZ503" s="511"/>
      <c r="BA503" s="511"/>
    </row>
    <row r="504" spans="1:53" customFormat="1">
      <c r="A504" s="511"/>
      <c r="B504" s="511"/>
      <c r="C504" s="511"/>
      <c r="D504" s="511"/>
      <c r="E504" s="511"/>
      <c r="F504" s="511"/>
      <c r="G504" s="511"/>
      <c r="H504" s="517"/>
      <c r="I504" s="511"/>
      <c r="J504" s="511"/>
      <c r="K504" s="511"/>
      <c r="L504" s="511"/>
      <c r="M504" s="511"/>
      <c r="N504" s="511"/>
      <c r="O504" s="511"/>
      <c r="P504" s="511"/>
      <c r="Q504" s="511"/>
      <c r="R504" s="511"/>
      <c r="S504" s="511"/>
      <c r="T504" s="511"/>
      <c r="U504" s="511"/>
      <c r="V504" s="511"/>
      <c r="W504" s="511"/>
      <c r="X504" s="511"/>
      <c r="Y504" s="511"/>
      <c r="Z504" s="511"/>
      <c r="AA504" s="511"/>
      <c r="AB504" s="511"/>
      <c r="AC504" s="511"/>
      <c r="AD504" s="511"/>
      <c r="AE504" s="511"/>
      <c r="AF504" s="511"/>
      <c r="AG504" s="511"/>
      <c r="AH504" s="511"/>
      <c r="AI504" s="511"/>
      <c r="AJ504" s="511"/>
      <c r="AK504" s="511"/>
      <c r="AL504" s="511"/>
      <c r="AM504" s="511"/>
      <c r="AN504" s="511"/>
      <c r="AO504" s="511"/>
      <c r="AP504" s="511"/>
      <c r="AQ504" s="511"/>
      <c r="AR504" s="511"/>
      <c r="AS504" s="511"/>
      <c r="AT504" s="511"/>
      <c r="AU504" s="511"/>
      <c r="AV504" s="511"/>
      <c r="AW504" s="511"/>
      <c r="AX504" s="511"/>
      <c r="AY504" s="511"/>
      <c r="AZ504" s="511"/>
      <c r="BA504" s="511"/>
    </row>
    <row r="505" spans="1:53" customFormat="1">
      <c r="A505" s="511"/>
      <c r="B505" s="511"/>
      <c r="C505" s="511"/>
      <c r="D505" s="511"/>
      <c r="E505" s="511"/>
      <c r="F505" s="511"/>
      <c r="G505" s="511"/>
      <c r="H505" s="517"/>
      <c r="I505" s="511"/>
      <c r="J505" s="511"/>
      <c r="K505" s="511"/>
      <c r="L505" s="511"/>
      <c r="M505" s="511"/>
      <c r="N505" s="511"/>
      <c r="O505" s="511"/>
      <c r="P505" s="511"/>
      <c r="Q505" s="511"/>
      <c r="R505" s="511"/>
      <c r="S505" s="511"/>
      <c r="T505" s="511"/>
      <c r="U505" s="511"/>
      <c r="V505" s="511"/>
      <c r="W505" s="511"/>
      <c r="X505" s="511"/>
      <c r="Y505" s="511"/>
      <c r="Z505" s="511"/>
      <c r="AA505" s="511"/>
      <c r="AB505" s="511"/>
      <c r="AC505" s="511"/>
      <c r="AD505" s="511"/>
      <c r="AE505" s="511"/>
      <c r="AF505" s="511"/>
      <c r="AG505" s="511"/>
      <c r="AH505" s="511"/>
      <c r="AI505" s="511"/>
      <c r="AJ505" s="511"/>
      <c r="AK505" s="511"/>
      <c r="AL505" s="511"/>
      <c r="AM505" s="511"/>
      <c r="AN505" s="511"/>
      <c r="AO505" s="511"/>
      <c r="AP505" s="511"/>
      <c r="AQ505" s="511"/>
      <c r="AR505" s="511"/>
      <c r="AS505" s="511"/>
      <c r="AT505" s="511"/>
      <c r="AU505" s="511"/>
      <c r="AV505" s="511"/>
      <c r="AW505" s="511"/>
      <c r="AX505" s="511"/>
      <c r="AY505" s="511"/>
      <c r="AZ505" s="511"/>
      <c r="BA505" s="511"/>
    </row>
    <row r="506" spans="1:53" customFormat="1">
      <c r="A506" s="511"/>
      <c r="B506" s="511"/>
      <c r="C506" s="511"/>
      <c r="D506" s="511"/>
      <c r="E506" s="511"/>
      <c r="F506" s="511"/>
      <c r="G506" s="511"/>
      <c r="H506" s="517"/>
      <c r="I506" s="511"/>
      <c r="J506" s="511"/>
      <c r="K506" s="511"/>
      <c r="L506" s="511"/>
      <c r="M506" s="511"/>
      <c r="N506" s="511"/>
      <c r="O506" s="511"/>
      <c r="P506" s="511"/>
      <c r="Q506" s="511"/>
      <c r="R506" s="511"/>
      <c r="S506" s="511"/>
      <c r="T506" s="511"/>
      <c r="U506" s="511"/>
      <c r="V506" s="511"/>
      <c r="W506" s="511"/>
      <c r="X506" s="511"/>
      <c r="Y506" s="511"/>
      <c r="Z506" s="511"/>
      <c r="AA506" s="511"/>
      <c r="AB506" s="511"/>
      <c r="AC506" s="511"/>
      <c r="AD506" s="511"/>
      <c r="AE506" s="511"/>
      <c r="AF506" s="511"/>
      <c r="AG506" s="511"/>
      <c r="AH506" s="511"/>
      <c r="AI506" s="511"/>
      <c r="AJ506" s="511"/>
      <c r="AK506" s="511"/>
      <c r="AL506" s="511"/>
      <c r="AM506" s="511"/>
      <c r="AN506" s="511"/>
      <c r="AO506" s="511"/>
      <c r="AP506" s="511"/>
      <c r="AQ506" s="511"/>
      <c r="AR506" s="511"/>
      <c r="AS506" s="511"/>
      <c r="AT506" s="511"/>
      <c r="AU506" s="511"/>
      <c r="AV506" s="511"/>
      <c r="AW506" s="511"/>
      <c r="AX506" s="511"/>
      <c r="AY506" s="511"/>
      <c r="AZ506" s="511"/>
      <c r="BA506" s="511"/>
    </row>
    <row r="507" spans="1:53" customFormat="1">
      <c r="A507" s="511"/>
      <c r="B507" s="511"/>
      <c r="C507" s="511"/>
      <c r="D507" s="511"/>
      <c r="E507" s="511"/>
      <c r="F507" s="511"/>
      <c r="G507" s="511"/>
      <c r="H507" s="517"/>
      <c r="I507" s="511"/>
      <c r="J507" s="511"/>
      <c r="K507" s="511"/>
      <c r="L507" s="511"/>
      <c r="M507" s="511"/>
      <c r="N507" s="511"/>
      <c r="O507" s="511"/>
      <c r="P507" s="511"/>
      <c r="Q507" s="511"/>
      <c r="R507" s="511"/>
      <c r="S507" s="511"/>
      <c r="T507" s="511"/>
      <c r="U507" s="511"/>
      <c r="V507" s="511"/>
      <c r="W507" s="511"/>
      <c r="X507" s="511"/>
      <c r="Y507" s="511"/>
      <c r="Z507" s="511"/>
      <c r="AA507" s="511"/>
      <c r="AB507" s="511"/>
      <c r="AC507" s="511"/>
      <c r="AD507" s="511"/>
      <c r="AE507" s="511"/>
      <c r="AF507" s="511"/>
      <c r="AG507" s="511"/>
      <c r="AH507" s="511"/>
      <c r="AI507" s="511"/>
      <c r="AJ507" s="511"/>
      <c r="AK507" s="511"/>
      <c r="AL507" s="511"/>
      <c r="AM507" s="511"/>
      <c r="AN507" s="511"/>
      <c r="AO507" s="511"/>
      <c r="AP507" s="511"/>
      <c r="AQ507" s="511"/>
      <c r="AR507" s="511"/>
      <c r="AS507" s="511"/>
      <c r="AT507" s="511"/>
      <c r="AU507" s="511"/>
      <c r="AV507" s="511"/>
      <c r="AW507" s="511"/>
      <c r="AX507" s="511"/>
      <c r="AY507" s="511"/>
      <c r="AZ507" s="511"/>
      <c r="BA507" s="511"/>
    </row>
    <row r="508" spans="1:53" customFormat="1">
      <c r="A508" s="511"/>
      <c r="B508" s="511"/>
      <c r="C508" s="511"/>
      <c r="D508" s="511"/>
      <c r="E508" s="511"/>
      <c r="F508" s="511"/>
      <c r="G508" s="511"/>
      <c r="H508" s="517"/>
      <c r="I508" s="511"/>
      <c r="J508" s="511"/>
      <c r="K508" s="511"/>
      <c r="L508" s="511"/>
      <c r="M508" s="511"/>
      <c r="N508" s="511"/>
      <c r="O508" s="511"/>
      <c r="P508" s="511"/>
      <c r="Q508" s="511"/>
      <c r="R508" s="511"/>
      <c r="S508" s="511"/>
      <c r="T508" s="511"/>
      <c r="U508" s="511"/>
      <c r="V508" s="511"/>
      <c r="W508" s="511"/>
      <c r="X508" s="511"/>
      <c r="Y508" s="511"/>
      <c r="Z508" s="511"/>
      <c r="AA508" s="511"/>
      <c r="AB508" s="511"/>
      <c r="AC508" s="511"/>
      <c r="AD508" s="511"/>
      <c r="AE508" s="511"/>
      <c r="AF508" s="511"/>
      <c r="AG508" s="511"/>
      <c r="AH508" s="511"/>
      <c r="AI508" s="511"/>
      <c r="AJ508" s="511"/>
      <c r="AK508" s="511"/>
      <c r="AL508" s="511"/>
      <c r="AM508" s="511"/>
      <c r="AN508" s="511"/>
      <c r="AO508" s="511"/>
      <c r="AP508" s="511"/>
      <c r="AQ508" s="511"/>
      <c r="AR508" s="511"/>
      <c r="AS508" s="511"/>
      <c r="AT508" s="511"/>
      <c r="AU508" s="511"/>
      <c r="AV508" s="511"/>
      <c r="AW508" s="511"/>
      <c r="AX508" s="511"/>
      <c r="AY508" s="511"/>
      <c r="AZ508" s="511"/>
      <c r="BA508" s="511"/>
    </row>
    <row r="509" spans="1:53" customFormat="1">
      <c r="A509" s="511"/>
      <c r="B509" s="511"/>
      <c r="C509" s="511"/>
      <c r="D509" s="511"/>
      <c r="E509" s="511"/>
      <c r="F509" s="511"/>
      <c r="G509" s="511"/>
      <c r="H509" s="517"/>
      <c r="I509" s="511"/>
      <c r="J509" s="511"/>
      <c r="K509" s="511"/>
      <c r="L509" s="511"/>
      <c r="M509" s="511"/>
      <c r="N509" s="511"/>
      <c r="O509" s="511"/>
      <c r="P509" s="511"/>
      <c r="Q509" s="511"/>
      <c r="R509" s="511"/>
      <c r="S509" s="511"/>
      <c r="T509" s="511"/>
      <c r="U509" s="511"/>
      <c r="V509" s="511"/>
      <c r="W509" s="511"/>
      <c r="X509" s="511"/>
      <c r="Y509" s="511"/>
      <c r="Z509" s="511"/>
      <c r="AA509" s="511"/>
      <c r="AB509" s="511"/>
      <c r="AC509" s="511"/>
      <c r="AD509" s="511"/>
      <c r="AE509" s="511"/>
      <c r="AF509" s="511"/>
      <c r="AG509" s="511"/>
      <c r="AH509" s="511"/>
      <c r="AI509" s="511"/>
      <c r="AJ509" s="511"/>
      <c r="AK509" s="511"/>
      <c r="AL509" s="511"/>
      <c r="AM509" s="511"/>
      <c r="AN509" s="511"/>
      <c r="AO509" s="511"/>
      <c r="AP509" s="511"/>
      <c r="AQ509" s="511"/>
      <c r="AR509" s="511"/>
      <c r="AS509" s="511"/>
      <c r="AT509" s="511"/>
      <c r="AU509" s="511"/>
      <c r="AV509" s="511"/>
      <c r="AW509" s="511"/>
      <c r="AX509" s="511"/>
      <c r="AY509" s="511"/>
      <c r="AZ509" s="511"/>
      <c r="BA509" s="511"/>
    </row>
    <row r="510" spans="1:53" customFormat="1">
      <c r="A510" s="511"/>
      <c r="B510" s="511"/>
      <c r="C510" s="511"/>
      <c r="D510" s="511"/>
      <c r="E510" s="511"/>
      <c r="F510" s="511"/>
      <c r="G510" s="511"/>
      <c r="H510" s="517"/>
      <c r="I510" s="511"/>
      <c r="J510" s="511"/>
      <c r="K510" s="511"/>
      <c r="L510" s="511"/>
      <c r="M510" s="511"/>
      <c r="N510" s="511"/>
      <c r="O510" s="511"/>
      <c r="P510" s="511"/>
      <c r="Q510" s="511"/>
      <c r="R510" s="511"/>
      <c r="S510" s="511"/>
      <c r="T510" s="511"/>
      <c r="U510" s="511"/>
      <c r="V510" s="511"/>
      <c r="W510" s="511"/>
      <c r="X510" s="511"/>
      <c r="Y510" s="511"/>
      <c r="Z510" s="511"/>
      <c r="AA510" s="511"/>
      <c r="AB510" s="511"/>
      <c r="AC510" s="511"/>
      <c r="AD510" s="511"/>
      <c r="AE510" s="511"/>
      <c r="AF510" s="511"/>
      <c r="AG510" s="511"/>
      <c r="AH510" s="511"/>
      <c r="AI510" s="511"/>
      <c r="AJ510" s="511"/>
      <c r="AK510" s="511"/>
      <c r="AL510" s="511"/>
      <c r="AM510" s="511"/>
      <c r="AN510" s="511"/>
      <c r="AO510" s="511"/>
      <c r="AP510" s="511"/>
      <c r="AQ510" s="511"/>
      <c r="AR510" s="511"/>
      <c r="AS510" s="511"/>
      <c r="AT510" s="511"/>
      <c r="AU510" s="511"/>
      <c r="AV510" s="511"/>
      <c r="AW510" s="511"/>
      <c r="AX510" s="511"/>
      <c r="AY510" s="511"/>
      <c r="AZ510" s="511"/>
      <c r="BA510" s="511"/>
    </row>
    <row r="511" spans="1:53" customFormat="1">
      <c r="A511" s="511"/>
      <c r="B511" s="511"/>
      <c r="C511" s="511"/>
      <c r="D511" s="511"/>
      <c r="E511" s="511"/>
      <c r="F511" s="511"/>
      <c r="G511" s="511"/>
      <c r="H511" s="517"/>
      <c r="I511" s="511"/>
      <c r="J511" s="511"/>
      <c r="K511" s="511"/>
      <c r="L511" s="511"/>
      <c r="M511" s="511"/>
      <c r="N511" s="511"/>
      <c r="O511" s="511"/>
      <c r="P511" s="511"/>
      <c r="Q511" s="511"/>
      <c r="R511" s="511"/>
      <c r="S511" s="511"/>
      <c r="T511" s="511"/>
      <c r="U511" s="511"/>
      <c r="V511" s="511"/>
      <c r="W511" s="511"/>
      <c r="X511" s="511"/>
      <c r="Y511" s="511"/>
      <c r="Z511" s="511"/>
      <c r="AA511" s="511"/>
      <c r="AB511" s="511"/>
      <c r="AC511" s="511"/>
      <c r="AD511" s="511"/>
      <c r="AE511" s="511"/>
      <c r="AF511" s="511"/>
      <c r="AG511" s="511"/>
      <c r="AH511" s="511"/>
      <c r="AI511" s="511"/>
      <c r="AJ511" s="511"/>
      <c r="AK511" s="511"/>
      <c r="AL511" s="511"/>
      <c r="AM511" s="511"/>
      <c r="AN511" s="511"/>
      <c r="AO511" s="511"/>
      <c r="AP511" s="511"/>
      <c r="AQ511" s="511"/>
      <c r="AR511" s="511"/>
      <c r="AS511" s="511"/>
      <c r="AT511" s="511"/>
      <c r="AU511" s="511"/>
      <c r="AV511" s="511"/>
      <c r="AW511" s="511"/>
      <c r="AX511" s="511"/>
      <c r="AY511" s="511"/>
      <c r="AZ511" s="511"/>
      <c r="BA511" s="511"/>
    </row>
    <row r="512" spans="1:53" customFormat="1">
      <c r="A512" s="511"/>
      <c r="B512" s="511"/>
      <c r="C512" s="511"/>
      <c r="D512" s="511"/>
      <c r="E512" s="511"/>
      <c r="F512" s="511"/>
      <c r="G512" s="511"/>
      <c r="H512" s="517"/>
      <c r="I512" s="511"/>
      <c r="J512" s="511"/>
      <c r="K512" s="511"/>
      <c r="L512" s="511"/>
      <c r="M512" s="511"/>
      <c r="N512" s="511"/>
      <c r="O512" s="511"/>
      <c r="P512" s="511"/>
      <c r="Q512" s="511"/>
      <c r="R512" s="511"/>
      <c r="S512" s="511"/>
      <c r="T512" s="511"/>
      <c r="U512" s="511"/>
      <c r="V512" s="511"/>
      <c r="W512" s="511"/>
      <c r="X512" s="511"/>
      <c r="Y512" s="511"/>
      <c r="Z512" s="511"/>
      <c r="AA512" s="511"/>
      <c r="AB512" s="511"/>
      <c r="AC512" s="511"/>
      <c r="AD512" s="511"/>
      <c r="AE512" s="511"/>
      <c r="AF512" s="511"/>
      <c r="AG512" s="511"/>
      <c r="AH512" s="511"/>
      <c r="AI512" s="511"/>
      <c r="AJ512" s="511"/>
      <c r="AK512" s="511"/>
      <c r="AL512" s="511"/>
      <c r="AM512" s="511"/>
      <c r="AN512" s="511"/>
      <c r="AO512" s="511"/>
      <c r="AP512" s="511"/>
      <c r="AQ512" s="511"/>
      <c r="AR512" s="511"/>
      <c r="AS512" s="511"/>
      <c r="AT512" s="511"/>
      <c r="AU512" s="511"/>
      <c r="AV512" s="511"/>
      <c r="AW512" s="511"/>
      <c r="AX512" s="511"/>
      <c r="AY512" s="511"/>
      <c r="AZ512" s="511"/>
      <c r="BA512" s="511"/>
    </row>
    <row r="513" spans="1:53" customFormat="1">
      <c r="A513" s="511"/>
      <c r="B513" s="511"/>
      <c r="C513" s="511"/>
      <c r="D513" s="511"/>
      <c r="E513" s="511"/>
      <c r="F513" s="511"/>
      <c r="G513" s="511"/>
      <c r="H513" s="517"/>
      <c r="I513" s="511"/>
      <c r="J513" s="511"/>
      <c r="K513" s="511"/>
      <c r="L513" s="511"/>
      <c r="M513" s="511"/>
      <c r="N513" s="511"/>
      <c r="O513" s="511"/>
      <c r="P513" s="511"/>
      <c r="Q513" s="511"/>
      <c r="R513" s="511"/>
      <c r="S513" s="511"/>
      <c r="T513" s="511"/>
      <c r="U513" s="511"/>
      <c r="V513" s="511"/>
      <c r="W513" s="511"/>
      <c r="X513" s="511"/>
      <c r="Y513" s="511"/>
      <c r="Z513" s="511"/>
      <c r="AA513" s="511"/>
      <c r="AB513" s="511"/>
      <c r="AC513" s="511"/>
      <c r="AD513" s="511"/>
      <c r="AE513" s="511"/>
      <c r="AF513" s="511"/>
      <c r="AG513" s="511"/>
      <c r="AH513" s="511"/>
      <c r="AI513" s="511"/>
      <c r="AJ513" s="511"/>
      <c r="AK513" s="511"/>
      <c r="AL513" s="511"/>
      <c r="AM513" s="511"/>
      <c r="AN513" s="511"/>
      <c r="AO513" s="511"/>
      <c r="AP513" s="511"/>
      <c r="AQ513" s="511"/>
      <c r="AR513" s="511"/>
      <c r="AS513" s="511"/>
      <c r="AT513" s="511"/>
      <c r="AU513" s="511"/>
      <c r="AV513" s="511"/>
      <c r="AW513" s="511"/>
      <c r="AX513" s="511"/>
      <c r="AY513" s="511"/>
      <c r="AZ513" s="511"/>
      <c r="BA513" s="511"/>
    </row>
    <row r="514" spans="1:53" customFormat="1">
      <c r="A514" s="511"/>
      <c r="B514" s="511"/>
      <c r="C514" s="511"/>
      <c r="D514" s="511"/>
      <c r="E514" s="511"/>
      <c r="F514" s="511"/>
      <c r="G514" s="511"/>
      <c r="H514" s="517"/>
      <c r="I514" s="511"/>
      <c r="J514" s="511"/>
      <c r="K514" s="511"/>
      <c r="L514" s="511"/>
      <c r="M514" s="511"/>
      <c r="N514" s="511"/>
      <c r="O514" s="511"/>
      <c r="P514" s="511"/>
      <c r="Q514" s="511"/>
      <c r="R514" s="511"/>
      <c r="S514" s="511"/>
      <c r="T514" s="511"/>
      <c r="U514" s="511"/>
      <c r="V514" s="511"/>
      <c r="W514" s="511"/>
      <c r="X514" s="511"/>
      <c r="Y514" s="511"/>
      <c r="Z514" s="511"/>
      <c r="AA514" s="511"/>
      <c r="AB514" s="511"/>
      <c r="AC514" s="511"/>
      <c r="AD514" s="511"/>
      <c r="AE514" s="511"/>
      <c r="AF514" s="511"/>
      <c r="AG514" s="511"/>
      <c r="AH514" s="511"/>
      <c r="AI514" s="511"/>
      <c r="AJ514" s="511"/>
      <c r="AK514" s="511"/>
      <c r="AL514" s="511"/>
      <c r="AM514" s="511"/>
      <c r="AN514" s="511"/>
      <c r="AO514" s="511"/>
      <c r="AP514" s="511"/>
      <c r="AQ514" s="511"/>
      <c r="AR514" s="511"/>
      <c r="AS514" s="511"/>
      <c r="AT514" s="511"/>
      <c r="AU514" s="511"/>
      <c r="AV514" s="511"/>
      <c r="AW514" s="511"/>
      <c r="AX514" s="511"/>
      <c r="AY514" s="511"/>
      <c r="AZ514" s="511"/>
      <c r="BA514" s="511"/>
    </row>
    <row r="515" spans="1:53" customFormat="1">
      <c r="A515" s="511"/>
      <c r="B515" s="511"/>
      <c r="C515" s="511"/>
      <c r="D515" s="511"/>
      <c r="E515" s="511"/>
      <c r="F515" s="511"/>
      <c r="G515" s="511"/>
      <c r="H515" s="517"/>
      <c r="I515" s="511"/>
      <c r="J515" s="511"/>
      <c r="K515" s="511"/>
      <c r="L515" s="511"/>
      <c r="M515" s="511"/>
      <c r="N515" s="511"/>
      <c r="O515" s="511"/>
      <c r="P515" s="511"/>
      <c r="Q515" s="511"/>
      <c r="R515" s="511"/>
      <c r="S515" s="511"/>
      <c r="T515" s="511"/>
      <c r="U515" s="511"/>
      <c r="V515" s="511"/>
      <c r="W515" s="511"/>
      <c r="X515" s="511"/>
      <c r="Y515" s="511"/>
      <c r="Z515" s="511"/>
      <c r="AA515" s="511"/>
      <c r="AB515" s="511"/>
      <c r="AC515" s="511"/>
      <c r="AD515" s="511"/>
      <c r="AE515" s="511"/>
      <c r="AF515" s="511"/>
      <c r="AG515" s="511"/>
      <c r="AH515" s="511"/>
      <c r="AI515" s="511"/>
      <c r="AJ515" s="511"/>
      <c r="AK515" s="511"/>
      <c r="AL515" s="511"/>
      <c r="AM515" s="511"/>
      <c r="AN515" s="511"/>
      <c r="AO515" s="511"/>
      <c r="AP515" s="511"/>
      <c r="AQ515" s="511"/>
      <c r="AR515" s="511"/>
      <c r="AS515" s="511"/>
      <c r="AT515" s="511"/>
      <c r="AU515" s="511"/>
      <c r="AV515" s="511"/>
      <c r="AW515" s="511"/>
      <c r="AX515" s="511"/>
      <c r="AY515" s="511"/>
      <c r="AZ515" s="511"/>
      <c r="BA515" s="511"/>
    </row>
    <row r="516" spans="1:53" customFormat="1">
      <c r="A516" s="511"/>
      <c r="B516" s="511"/>
      <c r="C516" s="511"/>
      <c r="D516" s="511"/>
      <c r="E516" s="511"/>
      <c r="F516" s="511"/>
      <c r="G516" s="511"/>
      <c r="H516" s="517"/>
      <c r="I516" s="511"/>
      <c r="J516" s="511"/>
      <c r="K516" s="511"/>
      <c r="L516" s="511"/>
      <c r="M516" s="511"/>
      <c r="N516" s="511"/>
      <c r="O516" s="511"/>
      <c r="P516" s="511"/>
      <c r="Q516" s="511"/>
      <c r="R516" s="511"/>
      <c r="S516" s="511"/>
      <c r="T516" s="511"/>
      <c r="U516" s="511"/>
      <c r="V516" s="511"/>
      <c r="W516" s="511"/>
      <c r="X516" s="511"/>
      <c r="Y516" s="511"/>
      <c r="Z516" s="511"/>
      <c r="AA516" s="511"/>
      <c r="AB516" s="511"/>
      <c r="AC516" s="511"/>
      <c r="AD516" s="511"/>
      <c r="AE516" s="511"/>
      <c r="AF516" s="511"/>
      <c r="AG516" s="511"/>
      <c r="AH516" s="511"/>
      <c r="AI516" s="511"/>
      <c r="AJ516" s="511"/>
      <c r="AK516" s="511"/>
      <c r="AL516" s="511"/>
      <c r="AM516" s="511"/>
      <c r="AN516" s="511"/>
      <c r="AO516" s="511"/>
      <c r="AP516" s="511"/>
      <c r="AQ516" s="511"/>
      <c r="AR516" s="511"/>
      <c r="AS516" s="511"/>
      <c r="AT516" s="511"/>
      <c r="AU516" s="511"/>
      <c r="AV516" s="511"/>
      <c r="AW516" s="511"/>
      <c r="AX516" s="511"/>
      <c r="AY516" s="511"/>
      <c r="AZ516" s="511"/>
      <c r="BA516" s="511"/>
    </row>
    <row r="517" spans="1:53" customFormat="1">
      <c r="A517" s="511"/>
      <c r="B517" s="511"/>
      <c r="C517" s="511"/>
      <c r="D517" s="511"/>
      <c r="E517" s="511"/>
      <c r="F517" s="511"/>
      <c r="G517" s="511"/>
      <c r="H517" s="517"/>
      <c r="I517" s="511"/>
      <c r="J517" s="511"/>
      <c r="K517" s="511"/>
      <c r="L517" s="511"/>
      <c r="M517" s="511"/>
      <c r="N517" s="511"/>
      <c r="O517" s="511"/>
      <c r="P517" s="511"/>
      <c r="Q517" s="511"/>
      <c r="R517" s="511"/>
      <c r="S517" s="511"/>
      <c r="T517" s="511"/>
      <c r="U517" s="511"/>
      <c r="V517" s="511"/>
      <c r="W517" s="511"/>
      <c r="X517" s="511"/>
      <c r="Y517" s="511"/>
      <c r="Z517" s="511"/>
      <c r="AA517" s="511"/>
      <c r="AB517" s="511"/>
      <c r="AC517" s="511"/>
      <c r="AD517" s="511"/>
      <c r="AE517" s="511"/>
      <c r="AF517" s="511"/>
      <c r="AG517" s="511"/>
      <c r="AH517" s="511"/>
      <c r="AI517" s="511"/>
      <c r="AJ517" s="511"/>
      <c r="AK517" s="511"/>
      <c r="AL517" s="511"/>
      <c r="AM517" s="511"/>
      <c r="AN517" s="511"/>
      <c r="AO517" s="511"/>
      <c r="AP517" s="511"/>
      <c r="AQ517" s="511"/>
      <c r="AR517" s="511"/>
      <c r="AS517" s="511"/>
      <c r="AT517" s="511"/>
      <c r="AU517" s="511"/>
      <c r="AV517" s="511"/>
      <c r="AW517" s="511"/>
      <c r="AX517" s="511"/>
      <c r="AY517" s="511"/>
      <c r="AZ517" s="511"/>
      <c r="BA517" s="511"/>
    </row>
    <row r="518" spans="1:53" customFormat="1">
      <c r="A518" s="511"/>
      <c r="B518" s="511"/>
      <c r="C518" s="511"/>
      <c r="D518" s="511"/>
      <c r="E518" s="511"/>
      <c r="F518" s="511"/>
      <c r="G518" s="511"/>
      <c r="H518" s="517"/>
      <c r="I518" s="511"/>
      <c r="J518" s="511"/>
      <c r="K518" s="511"/>
      <c r="L518" s="511"/>
      <c r="M518" s="511"/>
      <c r="N518" s="511"/>
      <c r="O518" s="511"/>
      <c r="P518" s="511"/>
      <c r="Q518" s="511"/>
      <c r="R518" s="511"/>
      <c r="S518" s="511"/>
      <c r="T518" s="511"/>
      <c r="U518" s="511"/>
      <c r="V518" s="511"/>
      <c r="W518" s="511"/>
      <c r="X518" s="511"/>
      <c r="Y518" s="511"/>
      <c r="Z518" s="511"/>
      <c r="AA518" s="511"/>
      <c r="AB518" s="511"/>
      <c r="AC518" s="511"/>
      <c r="AD518" s="511"/>
      <c r="AE518" s="511"/>
      <c r="AF518" s="511"/>
      <c r="AG518" s="511"/>
      <c r="AH518" s="511"/>
      <c r="AI518" s="511"/>
      <c r="AJ518" s="511"/>
      <c r="AK518" s="511"/>
      <c r="AL518" s="511"/>
      <c r="AM518" s="511"/>
      <c r="AN518" s="511"/>
      <c r="AO518" s="511"/>
      <c r="AP518" s="511"/>
      <c r="AQ518" s="511"/>
      <c r="AR518" s="511"/>
      <c r="AS518" s="511"/>
      <c r="AT518" s="511"/>
      <c r="AU518" s="511"/>
      <c r="AV518" s="511"/>
      <c r="AW518" s="511"/>
      <c r="AX518" s="511"/>
      <c r="AY518" s="511"/>
      <c r="AZ518" s="511"/>
      <c r="BA518" s="511"/>
    </row>
    <row r="519" spans="1:53" customFormat="1">
      <c r="A519" s="511"/>
      <c r="B519" s="511"/>
      <c r="C519" s="511"/>
      <c r="D519" s="511"/>
      <c r="E519" s="511"/>
      <c r="F519" s="511"/>
      <c r="G519" s="511"/>
      <c r="H519" s="517"/>
      <c r="I519" s="511"/>
      <c r="J519" s="511"/>
      <c r="K519" s="511"/>
      <c r="L519" s="511"/>
      <c r="M519" s="511"/>
      <c r="N519" s="511"/>
      <c r="O519" s="511"/>
      <c r="P519" s="511"/>
      <c r="Q519" s="511"/>
      <c r="R519" s="511"/>
      <c r="S519" s="511"/>
      <c r="T519" s="511"/>
      <c r="U519" s="511"/>
      <c r="V519" s="511"/>
      <c r="W519" s="511"/>
      <c r="X519" s="511"/>
      <c r="Y519" s="511"/>
      <c r="Z519" s="511"/>
      <c r="AA519" s="511"/>
      <c r="AB519" s="511"/>
      <c r="AC519" s="511"/>
      <c r="AD519" s="511"/>
      <c r="AE519" s="511"/>
      <c r="AF519" s="511"/>
      <c r="AG519" s="511"/>
      <c r="AH519" s="511"/>
      <c r="AI519" s="511"/>
      <c r="AJ519" s="511"/>
      <c r="AK519" s="511"/>
      <c r="AL519" s="511"/>
      <c r="AM519" s="511"/>
      <c r="AN519" s="511"/>
      <c r="AO519" s="511"/>
      <c r="AP519" s="511"/>
      <c r="AQ519" s="511"/>
      <c r="AR519" s="511"/>
      <c r="AS519" s="511"/>
      <c r="AT519" s="511"/>
      <c r="AU519" s="511"/>
      <c r="AV519" s="511"/>
      <c r="AW519" s="511"/>
      <c r="AX519" s="511"/>
      <c r="AY519" s="511"/>
      <c r="AZ519" s="511"/>
      <c r="BA519" s="511"/>
    </row>
    <row r="520" spans="1:53" customFormat="1">
      <c r="A520" s="511"/>
      <c r="B520" s="511"/>
      <c r="C520" s="511"/>
      <c r="D520" s="511"/>
      <c r="E520" s="511"/>
      <c r="F520" s="511"/>
      <c r="G520" s="511"/>
      <c r="H520" s="517"/>
      <c r="I520" s="511"/>
      <c r="J520" s="511"/>
      <c r="K520" s="511"/>
      <c r="L520" s="511"/>
      <c r="M520" s="511"/>
      <c r="N520" s="511"/>
      <c r="O520" s="511"/>
      <c r="P520" s="511"/>
      <c r="Q520" s="511"/>
      <c r="R520" s="511"/>
      <c r="S520" s="511"/>
      <c r="T520" s="511"/>
      <c r="U520" s="511"/>
      <c r="V520" s="511"/>
      <c r="W520" s="511"/>
      <c r="X520" s="511"/>
      <c r="Y520" s="511"/>
      <c r="Z520" s="511"/>
      <c r="AA520" s="511"/>
      <c r="AB520" s="511"/>
      <c r="AC520" s="511"/>
      <c r="AD520" s="511"/>
      <c r="AE520" s="511"/>
      <c r="AF520" s="511"/>
      <c r="AG520" s="511"/>
      <c r="AH520" s="511"/>
      <c r="AI520" s="511"/>
      <c r="AJ520" s="511"/>
      <c r="AK520" s="511"/>
      <c r="AL520" s="511"/>
      <c r="AM520" s="511"/>
      <c r="AN520" s="511"/>
      <c r="AO520" s="511"/>
      <c r="AP520" s="511"/>
      <c r="AQ520" s="511"/>
      <c r="AR520" s="511"/>
      <c r="AS520" s="511"/>
      <c r="AT520" s="511"/>
      <c r="AU520" s="511"/>
      <c r="AV520" s="511"/>
      <c r="AW520" s="511"/>
      <c r="AX520" s="511"/>
      <c r="AY520" s="511"/>
      <c r="AZ520" s="511"/>
      <c r="BA520" s="511"/>
    </row>
    <row r="521" spans="1:53" customFormat="1">
      <c r="A521" s="511"/>
      <c r="B521" s="511"/>
      <c r="C521" s="511"/>
      <c r="D521" s="511"/>
      <c r="E521" s="511"/>
      <c r="F521" s="511"/>
      <c r="G521" s="511"/>
      <c r="H521" s="517"/>
      <c r="I521" s="511"/>
      <c r="J521" s="511"/>
      <c r="K521" s="511"/>
      <c r="L521" s="511"/>
      <c r="M521" s="511"/>
      <c r="N521" s="511"/>
      <c r="O521" s="511"/>
      <c r="P521" s="511"/>
      <c r="Q521" s="511"/>
      <c r="R521" s="511"/>
      <c r="S521" s="511"/>
      <c r="T521" s="511"/>
      <c r="U521" s="511"/>
      <c r="V521" s="511"/>
      <c r="W521" s="511"/>
      <c r="X521" s="511"/>
      <c r="Y521" s="511"/>
      <c r="Z521" s="511"/>
      <c r="AA521" s="511"/>
      <c r="AB521" s="511"/>
      <c r="AC521" s="511"/>
      <c r="AD521" s="511"/>
      <c r="AE521" s="511"/>
      <c r="AF521" s="511"/>
      <c r="AG521" s="511"/>
      <c r="AH521" s="511"/>
      <c r="AI521" s="511"/>
      <c r="AJ521" s="511"/>
      <c r="AK521" s="511"/>
      <c r="AL521" s="511"/>
      <c r="AM521" s="511"/>
      <c r="AN521" s="511"/>
      <c r="AO521" s="511"/>
      <c r="AP521" s="511"/>
      <c r="AQ521" s="511"/>
      <c r="AR521" s="511"/>
      <c r="AS521" s="511"/>
      <c r="AT521" s="511"/>
      <c r="AU521" s="511"/>
      <c r="AV521" s="511"/>
      <c r="AW521" s="511"/>
      <c r="AX521" s="511"/>
      <c r="AY521" s="511"/>
      <c r="AZ521" s="511"/>
      <c r="BA521" s="511"/>
    </row>
    <row r="522" spans="1:53" customFormat="1">
      <c r="A522" s="511"/>
      <c r="B522" s="511"/>
      <c r="C522" s="511"/>
      <c r="D522" s="511"/>
      <c r="E522" s="511"/>
      <c r="F522" s="511"/>
      <c r="G522" s="511"/>
      <c r="H522" s="517"/>
      <c r="I522" s="511"/>
      <c r="J522" s="511"/>
      <c r="K522" s="511"/>
      <c r="L522" s="511"/>
      <c r="M522" s="511"/>
      <c r="N522" s="511"/>
      <c r="O522" s="511"/>
      <c r="P522" s="511"/>
      <c r="Q522" s="511"/>
      <c r="R522" s="511"/>
      <c r="S522" s="511"/>
      <c r="T522" s="511"/>
      <c r="U522" s="511"/>
      <c r="V522" s="511"/>
      <c r="W522" s="511"/>
      <c r="X522" s="511"/>
      <c r="Y522" s="511"/>
      <c r="Z522" s="511"/>
      <c r="AA522" s="511"/>
      <c r="AB522" s="511"/>
      <c r="AC522" s="511"/>
      <c r="AD522" s="511"/>
      <c r="AE522" s="511"/>
      <c r="AF522" s="511"/>
      <c r="AG522" s="511"/>
      <c r="AH522" s="511"/>
      <c r="AI522" s="511"/>
      <c r="AJ522" s="511"/>
      <c r="AK522" s="511"/>
      <c r="AL522" s="511"/>
      <c r="AM522" s="511"/>
      <c r="AN522" s="511"/>
      <c r="AO522" s="511"/>
      <c r="AP522" s="511"/>
      <c r="AQ522" s="511"/>
      <c r="AR522" s="511"/>
      <c r="AS522" s="511"/>
      <c r="AT522" s="511"/>
      <c r="AU522" s="511"/>
      <c r="AV522" s="511"/>
      <c r="AW522" s="511"/>
      <c r="AX522" s="511"/>
      <c r="AY522" s="511"/>
      <c r="AZ522" s="511"/>
      <c r="BA522" s="511"/>
    </row>
    <row r="523" spans="1:53" customFormat="1">
      <c r="A523" s="511"/>
      <c r="B523" s="511"/>
      <c r="C523" s="511"/>
      <c r="D523" s="511"/>
      <c r="E523" s="511"/>
      <c r="F523" s="511"/>
      <c r="G523" s="511"/>
      <c r="H523" s="517"/>
      <c r="I523" s="511"/>
      <c r="J523" s="511"/>
      <c r="K523" s="511"/>
      <c r="L523" s="511"/>
      <c r="M523" s="511"/>
      <c r="N523" s="511"/>
      <c r="O523" s="511"/>
      <c r="P523" s="511"/>
      <c r="Q523" s="511"/>
      <c r="R523" s="511"/>
      <c r="S523" s="511"/>
      <c r="T523" s="511"/>
      <c r="U523" s="511"/>
      <c r="V523" s="511"/>
      <c r="W523" s="511"/>
      <c r="X523" s="511"/>
      <c r="Y523" s="511"/>
      <c r="Z523" s="511"/>
      <c r="AA523" s="511"/>
      <c r="AB523" s="511"/>
      <c r="AC523" s="511"/>
      <c r="AD523" s="511"/>
      <c r="AE523" s="511"/>
      <c r="AF523" s="511"/>
      <c r="AG523" s="511"/>
      <c r="AH523" s="511"/>
      <c r="AI523" s="511"/>
      <c r="AJ523" s="511"/>
      <c r="AK523" s="511"/>
      <c r="AL523" s="511"/>
      <c r="AM523" s="511"/>
      <c r="AN523" s="511"/>
      <c r="AO523" s="511"/>
      <c r="AP523" s="511"/>
      <c r="AQ523" s="511"/>
      <c r="AR523" s="511"/>
      <c r="AS523" s="511"/>
      <c r="AT523" s="511"/>
      <c r="AU523" s="511"/>
      <c r="AV523" s="511"/>
      <c r="AW523" s="511"/>
      <c r="AX523" s="511"/>
      <c r="AY523" s="511"/>
      <c r="AZ523" s="511"/>
      <c r="BA523" s="511"/>
    </row>
    <row r="524" spans="1:53" customFormat="1">
      <c r="A524" s="511"/>
      <c r="B524" s="511"/>
      <c r="C524" s="511"/>
      <c r="D524" s="511"/>
      <c r="E524" s="511"/>
      <c r="F524" s="511"/>
      <c r="G524" s="511"/>
      <c r="H524" s="517"/>
      <c r="I524" s="511"/>
      <c r="J524" s="511"/>
      <c r="K524" s="511"/>
      <c r="L524" s="511"/>
      <c r="M524" s="511"/>
      <c r="N524" s="511"/>
      <c r="O524" s="511"/>
      <c r="P524" s="511"/>
      <c r="Q524" s="511"/>
      <c r="R524" s="511"/>
      <c r="S524" s="511"/>
      <c r="T524" s="511"/>
      <c r="U524" s="511"/>
      <c r="V524" s="511"/>
      <c r="W524" s="511"/>
      <c r="X524" s="511"/>
      <c r="Y524" s="511"/>
      <c r="Z524" s="511"/>
      <c r="AA524" s="511"/>
      <c r="AB524" s="511"/>
      <c r="AC524" s="511"/>
      <c r="AD524" s="511"/>
      <c r="AE524" s="511"/>
      <c r="AF524" s="511"/>
      <c r="AG524" s="511"/>
      <c r="AH524" s="511"/>
      <c r="AI524" s="511"/>
      <c r="AJ524" s="511"/>
      <c r="AK524" s="511"/>
      <c r="AL524" s="511"/>
      <c r="AM524" s="511"/>
      <c r="AN524" s="511"/>
      <c r="AO524" s="511"/>
      <c r="AP524" s="511"/>
      <c r="AQ524" s="511"/>
      <c r="AR524" s="511"/>
      <c r="AS524" s="511"/>
      <c r="AT524" s="511"/>
      <c r="AU524" s="511"/>
      <c r="AV524" s="511"/>
      <c r="AW524" s="511"/>
      <c r="AX524" s="511"/>
      <c r="AY524" s="511"/>
      <c r="AZ524" s="511"/>
      <c r="BA524" s="511"/>
    </row>
    <row r="525" spans="1:53" customFormat="1">
      <c r="A525" s="511"/>
      <c r="B525" s="511"/>
      <c r="C525" s="511"/>
      <c r="D525" s="511"/>
      <c r="E525" s="511"/>
      <c r="F525" s="511"/>
      <c r="G525" s="511"/>
      <c r="H525" s="517"/>
      <c r="I525" s="511"/>
      <c r="J525" s="511"/>
      <c r="K525" s="511"/>
      <c r="L525" s="511"/>
      <c r="M525" s="511"/>
      <c r="N525" s="511"/>
      <c r="O525" s="511"/>
      <c r="P525" s="511"/>
      <c r="Q525" s="511"/>
      <c r="R525" s="511"/>
      <c r="S525" s="511"/>
      <c r="T525" s="511"/>
      <c r="U525" s="511"/>
      <c r="V525" s="511"/>
      <c r="W525" s="511"/>
      <c r="X525" s="511"/>
      <c r="Y525" s="511"/>
      <c r="Z525" s="511"/>
      <c r="AA525" s="511"/>
      <c r="AB525" s="511"/>
      <c r="AC525" s="511"/>
      <c r="AD525" s="511"/>
      <c r="AE525" s="511"/>
      <c r="AF525" s="511"/>
      <c r="AG525" s="511"/>
      <c r="AH525" s="511"/>
      <c r="AI525" s="511"/>
      <c r="AJ525" s="511"/>
      <c r="AK525" s="511"/>
      <c r="AL525" s="511"/>
      <c r="AM525" s="511"/>
      <c r="AN525" s="511"/>
      <c r="AO525" s="511"/>
      <c r="AP525" s="511"/>
      <c r="AQ525" s="511"/>
      <c r="AR525" s="511"/>
      <c r="AS525" s="511"/>
      <c r="AT525" s="511"/>
      <c r="AU525" s="511"/>
      <c r="AV525" s="511"/>
      <c r="AW525" s="511"/>
      <c r="AX525" s="511"/>
      <c r="AY525" s="511"/>
      <c r="AZ525" s="511"/>
      <c r="BA525" s="511"/>
    </row>
    <row r="526" spans="1:53" customFormat="1">
      <c r="A526" s="511"/>
      <c r="B526" s="511"/>
      <c r="C526" s="511"/>
      <c r="D526" s="511"/>
      <c r="E526" s="511"/>
      <c r="F526" s="511"/>
      <c r="G526" s="511"/>
      <c r="H526" s="517"/>
      <c r="I526" s="511"/>
      <c r="J526" s="511"/>
      <c r="K526" s="511"/>
      <c r="L526" s="511"/>
      <c r="M526" s="511"/>
      <c r="N526" s="511"/>
      <c r="O526" s="511"/>
      <c r="P526" s="511"/>
      <c r="Q526" s="511"/>
      <c r="R526" s="511"/>
      <c r="S526" s="511"/>
      <c r="T526" s="511"/>
      <c r="U526" s="511"/>
      <c r="V526" s="511"/>
      <c r="W526" s="511"/>
      <c r="X526" s="511"/>
      <c r="Y526" s="511"/>
      <c r="Z526" s="511"/>
      <c r="AA526" s="511"/>
      <c r="AB526" s="511"/>
      <c r="AC526" s="511"/>
      <c r="AD526" s="511"/>
      <c r="AE526" s="511"/>
      <c r="AF526" s="511"/>
      <c r="AG526" s="511"/>
      <c r="AH526" s="511"/>
      <c r="AI526" s="511"/>
      <c r="AJ526" s="511"/>
      <c r="AK526" s="511"/>
      <c r="AL526" s="511"/>
      <c r="AM526" s="511"/>
      <c r="AN526" s="511"/>
      <c r="AO526" s="511"/>
      <c r="AP526" s="511"/>
      <c r="AQ526" s="511"/>
      <c r="AR526" s="511"/>
      <c r="AS526" s="511"/>
      <c r="AT526" s="511"/>
      <c r="AU526" s="511"/>
      <c r="AV526" s="511"/>
      <c r="AW526" s="511"/>
      <c r="AX526" s="511"/>
      <c r="AY526" s="511"/>
      <c r="AZ526" s="511"/>
      <c r="BA526" s="511"/>
    </row>
    <row r="527" spans="1:53" customFormat="1">
      <c r="A527" s="511"/>
      <c r="B527" s="511"/>
      <c r="C527" s="511"/>
      <c r="D527" s="511"/>
      <c r="E527" s="511"/>
      <c r="F527" s="511"/>
      <c r="G527" s="511"/>
      <c r="H527" s="517"/>
      <c r="I527" s="511"/>
      <c r="J527" s="511"/>
      <c r="K527" s="511"/>
      <c r="L527" s="511"/>
      <c r="M527" s="511"/>
      <c r="N527" s="511"/>
      <c r="O527" s="511"/>
      <c r="P527" s="511"/>
      <c r="Q527" s="511"/>
      <c r="R527" s="511"/>
      <c r="S527" s="511"/>
      <c r="T527" s="511"/>
      <c r="U527" s="511"/>
      <c r="V527" s="511"/>
      <c r="W527" s="511"/>
      <c r="X527" s="511"/>
      <c r="Y527" s="511"/>
      <c r="Z527" s="511"/>
      <c r="AA527" s="511"/>
      <c r="AB527" s="511"/>
      <c r="AC527" s="511"/>
      <c r="AD527" s="511"/>
      <c r="AE527" s="511"/>
      <c r="AF527" s="511"/>
      <c r="AG527" s="511"/>
      <c r="AH527" s="511"/>
      <c r="AI527" s="511"/>
      <c r="AJ527" s="511"/>
      <c r="AK527" s="511"/>
      <c r="AL527" s="511"/>
      <c r="AM527" s="511"/>
      <c r="AN527" s="511"/>
      <c r="AO527" s="511"/>
      <c r="AP527" s="511"/>
      <c r="AQ527" s="511"/>
      <c r="AR527" s="511"/>
      <c r="AS527" s="511"/>
      <c r="AT527" s="511"/>
      <c r="AU527" s="511"/>
      <c r="AV527" s="511"/>
      <c r="AW527" s="511"/>
      <c r="AX527" s="511"/>
      <c r="AY527" s="511"/>
      <c r="AZ527" s="511"/>
      <c r="BA527" s="511"/>
    </row>
    <row r="528" spans="1:53" customFormat="1">
      <c r="A528" s="511"/>
      <c r="B528" s="511"/>
      <c r="C528" s="511"/>
      <c r="D528" s="511"/>
      <c r="E528" s="511"/>
      <c r="F528" s="511"/>
      <c r="G528" s="511"/>
      <c r="H528" s="517"/>
      <c r="I528" s="511"/>
      <c r="J528" s="511"/>
      <c r="K528" s="511"/>
      <c r="L528" s="511"/>
      <c r="M528" s="511"/>
      <c r="N528" s="511"/>
      <c r="O528" s="511"/>
      <c r="P528" s="511"/>
      <c r="Q528" s="511"/>
      <c r="R528" s="511"/>
      <c r="S528" s="511"/>
      <c r="T528" s="511"/>
      <c r="U528" s="511"/>
      <c r="V528" s="511"/>
      <c r="W528" s="511"/>
      <c r="X528" s="511"/>
      <c r="Y528" s="511"/>
      <c r="Z528" s="511"/>
      <c r="AA528" s="511"/>
      <c r="AB528" s="511"/>
      <c r="AC528" s="511"/>
      <c r="AD528" s="511"/>
      <c r="AE528" s="511"/>
      <c r="AF528" s="511"/>
      <c r="AG528" s="511"/>
      <c r="AH528" s="511"/>
      <c r="AI528" s="511"/>
      <c r="AJ528" s="511"/>
      <c r="AK528" s="511"/>
      <c r="AL528" s="511"/>
      <c r="AM528" s="511"/>
      <c r="AN528" s="511"/>
      <c r="AO528" s="511"/>
      <c r="AP528" s="511"/>
      <c r="AQ528" s="511"/>
      <c r="AR528" s="511"/>
      <c r="AS528" s="511"/>
      <c r="AT528" s="511"/>
      <c r="AU528" s="511"/>
      <c r="AV528" s="511"/>
      <c r="AW528" s="511"/>
      <c r="AX528" s="511"/>
      <c r="AY528" s="511"/>
      <c r="AZ528" s="511"/>
      <c r="BA528" s="511"/>
    </row>
    <row r="529" spans="1:53" customFormat="1">
      <c r="A529" s="511"/>
      <c r="B529" s="511"/>
      <c r="C529" s="511"/>
      <c r="D529" s="511"/>
      <c r="E529" s="511"/>
      <c r="F529" s="511"/>
      <c r="G529" s="511"/>
      <c r="H529" s="517"/>
      <c r="I529" s="511"/>
      <c r="J529" s="511"/>
      <c r="K529" s="511"/>
      <c r="L529" s="511"/>
      <c r="M529" s="511"/>
      <c r="N529" s="511"/>
      <c r="O529" s="511"/>
      <c r="P529" s="511"/>
      <c r="Q529" s="511"/>
      <c r="R529" s="511"/>
      <c r="S529" s="511"/>
      <c r="T529" s="511"/>
      <c r="U529" s="511"/>
      <c r="V529" s="511"/>
      <c r="W529" s="511"/>
      <c r="X529" s="511"/>
      <c r="Y529" s="511"/>
      <c r="Z529" s="511"/>
      <c r="AA529" s="511"/>
      <c r="AB529" s="511"/>
      <c r="AC529" s="511"/>
      <c r="AD529" s="511"/>
      <c r="AE529" s="511"/>
      <c r="AF529" s="511"/>
      <c r="AG529" s="511"/>
      <c r="AH529" s="511"/>
      <c r="AI529" s="511"/>
      <c r="AJ529" s="511"/>
      <c r="AK529" s="511"/>
      <c r="AL529" s="511"/>
      <c r="AM529" s="511"/>
      <c r="AN529" s="511"/>
      <c r="AO529" s="511"/>
      <c r="AP529" s="511"/>
      <c r="AQ529" s="511"/>
      <c r="AR529" s="511"/>
      <c r="AS529" s="511"/>
      <c r="AT529" s="511"/>
      <c r="AU529" s="511"/>
      <c r="AV529" s="511"/>
      <c r="AW529" s="511"/>
      <c r="AX529" s="511"/>
      <c r="AY529" s="511"/>
      <c r="AZ529" s="511"/>
      <c r="BA529" s="511"/>
    </row>
    <row r="530" spans="1:53" customFormat="1">
      <c r="A530" s="511"/>
      <c r="B530" s="511"/>
      <c r="C530" s="511"/>
      <c r="D530" s="511"/>
      <c r="E530" s="511"/>
      <c r="F530" s="511"/>
      <c r="G530" s="511"/>
      <c r="H530" s="517"/>
      <c r="I530" s="511"/>
      <c r="J530" s="511"/>
      <c r="K530" s="511"/>
      <c r="L530" s="511"/>
      <c r="M530" s="511"/>
      <c r="N530" s="511"/>
      <c r="O530" s="511"/>
      <c r="P530" s="511"/>
      <c r="Q530" s="511"/>
      <c r="R530" s="511"/>
      <c r="S530" s="511"/>
      <c r="T530" s="511"/>
      <c r="U530" s="511"/>
      <c r="V530" s="511"/>
      <c r="W530" s="511"/>
      <c r="X530" s="511"/>
      <c r="Y530" s="511"/>
      <c r="Z530" s="511"/>
      <c r="AA530" s="511"/>
      <c r="AB530" s="511"/>
      <c r="AC530" s="511"/>
      <c r="AD530" s="511"/>
      <c r="AE530" s="511"/>
      <c r="AF530" s="511"/>
      <c r="AG530" s="511"/>
      <c r="AH530" s="511"/>
      <c r="AI530" s="511"/>
      <c r="AJ530" s="511"/>
      <c r="AK530" s="511"/>
      <c r="AL530" s="511"/>
      <c r="AM530" s="511"/>
      <c r="AN530" s="511"/>
      <c r="AO530" s="511"/>
      <c r="AP530" s="511"/>
      <c r="AQ530" s="511"/>
      <c r="AR530" s="511"/>
      <c r="AS530" s="511"/>
      <c r="AT530" s="511"/>
      <c r="AU530" s="511"/>
      <c r="AV530" s="511"/>
      <c r="AW530" s="511"/>
      <c r="AX530" s="511"/>
      <c r="AY530" s="511"/>
      <c r="AZ530" s="511"/>
      <c r="BA530" s="511"/>
    </row>
    <row r="531" spans="1:53" customFormat="1">
      <c r="A531" s="511"/>
      <c r="B531" s="511"/>
      <c r="C531" s="511"/>
      <c r="D531" s="511"/>
      <c r="E531" s="511"/>
      <c r="F531" s="511"/>
      <c r="G531" s="511"/>
      <c r="H531" s="517"/>
      <c r="I531" s="511"/>
      <c r="J531" s="511"/>
      <c r="K531" s="511"/>
      <c r="L531" s="511"/>
      <c r="M531" s="511"/>
      <c r="N531" s="511"/>
      <c r="O531" s="511"/>
      <c r="P531" s="511"/>
      <c r="Q531" s="511"/>
      <c r="R531" s="511"/>
      <c r="S531" s="511"/>
      <c r="T531" s="511"/>
      <c r="U531" s="511"/>
      <c r="V531" s="511"/>
      <c r="W531" s="511"/>
      <c r="X531" s="511"/>
      <c r="Y531" s="511"/>
      <c r="Z531" s="511"/>
      <c r="AA531" s="511"/>
      <c r="AB531" s="511"/>
      <c r="AC531" s="511"/>
      <c r="AD531" s="511"/>
      <c r="AE531" s="511"/>
      <c r="AF531" s="511"/>
      <c r="AG531" s="511"/>
      <c r="AH531" s="511"/>
      <c r="AI531" s="511"/>
      <c r="AJ531" s="511"/>
      <c r="AK531" s="511"/>
      <c r="AL531" s="511"/>
      <c r="AM531" s="511"/>
      <c r="AN531" s="511"/>
      <c r="AO531" s="511"/>
      <c r="AP531" s="511"/>
      <c r="AQ531" s="511"/>
      <c r="AR531" s="511"/>
      <c r="AS531" s="511"/>
      <c r="AT531" s="511"/>
      <c r="AU531" s="511"/>
      <c r="AV531" s="511"/>
      <c r="AW531" s="511"/>
      <c r="AX531" s="511"/>
      <c r="AY531" s="511"/>
      <c r="AZ531" s="511"/>
      <c r="BA531" s="511"/>
    </row>
    <row r="532" spans="1:53" customFormat="1">
      <c r="A532" s="511"/>
      <c r="B532" s="511"/>
      <c r="C532" s="511"/>
      <c r="D532" s="511"/>
      <c r="E532" s="511"/>
      <c r="F532" s="511"/>
      <c r="G532" s="511"/>
      <c r="H532" s="517"/>
      <c r="I532" s="511"/>
      <c r="J532" s="511"/>
      <c r="K532" s="511"/>
      <c r="L532" s="511"/>
      <c r="M532" s="511"/>
      <c r="N532" s="511"/>
      <c r="O532" s="511"/>
      <c r="P532" s="511"/>
      <c r="Q532" s="511"/>
      <c r="R532" s="511"/>
      <c r="S532" s="511"/>
      <c r="T532" s="511"/>
      <c r="U532" s="511"/>
      <c r="V532" s="511"/>
      <c r="W532" s="511"/>
      <c r="X532" s="511"/>
      <c r="Y532" s="511"/>
      <c r="Z532" s="511"/>
      <c r="AA532" s="511"/>
      <c r="AB532" s="511"/>
      <c r="AC532" s="511"/>
      <c r="AD532" s="511"/>
      <c r="AE532" s="511"/>
      <c r="AF532" s="511"/>
      <c r="AG532" s="511"/>
      <c r="AH532" s="511"/>
      <c r="AI532" s="511"/>
      <c r="AJ532" s="511"/>
      <c r="AK532" s="511"/>
      <c r="AL532" s="511"/>
      <c r="AM532" s="511"/>
      <c r="AN532" s="511"/>
      <c r="AO532" s="511"/>
      <c r="AP532" s="511"/>
      <c r="AQ532" s="511"/>
      <c r="AR532" s="511"/>
      <c r="AS532" s="511"/>
      <c r="AT532" s="511"/>
      <c r="AU532" s="511"/>
      <c r="AV532" s="511"/>
      <c r="AW532" s="511"/>
      <c r="AX532" s="511"/>
      <c r="AY532" s="511"/>
      <c r="AZ532" s="511"/>
      <c r="BA532" s="511"/>
    </row>
    <row r="533" spans="1:53" customFormat="1">
      <c r="A533" s="511"/>
      <c r="B533" s="511"/>
      <c r="C533" s="511"/>
      <c r="D533" s="511"/>
      <c r="E533" s="511"/>
      <c r="F533" s="511"/>
      <c r="G533" s="511"/>
      <c r="H533" s="517"/>
      <c r="I533" s="511"/>
      <c r="J533" s="511"/>
      <c r="K533" s="511"/>
      <c r="L533" s="511"/>
      <c r="M533" s="511"/>
      <c r="N533" s="511"/>
      <c r="O533" s="511"/>
      <c r="P533" s="511"/>
      <c r="Q533" s="511"/>
      <c r="R533" s="511"/>
      <c r="S533" s="511"/>
      <c r="T533" s="511"/>
      <c r="U533" s="511"/>
      <c r="V533" s="511"/>
      <c r="W533" s="511"/>
      <c r="X533" s="511"/>
      <c r="Y533" s="511"/>
      <c r="Z533" s="511"/>
      <c r="AA533" s="511"/>
      <c r="AB533" s="511"/>
      <c r="AC533" s="511"/>
      <c r="AD533" s="511"/>
      <c r="AE533" s="511"/>
      <c r="AF533" s="511"/>
      <c r="AG533" s="511"/>
      <c r="AH533" s="511"/>
      <c r="AI533" s="511"/>
      <c r="AJ533" s="511"/>
      <c r="AK533" s="511"/>
      <c r="AL533" s="511"/>
      <c r="AM533" s="511"/>
      <c r="AN533" s="511"/>
      <c r="AO533" s="511"/>
      <c r="AP533" s="511"/>
      <c r="AQ533" s="511"/>
      <c r="AR533" s="511"/>
      <c r="AS533" s="511"/>
      <c r="AT533" s="511"/>
      <c r="AU533" s="511"/>
      <c r="AV533" s="511"/>
      <c r="AW533" s="511"/>
      <c r="AX533" s="511"/>
      <c r="AY533" s="511"/>
      <c r="AZ533" s="511"/>
      <c r="BA533" s="511"/>
    </row>
    <row r="534" spans="1:53" customFormat="1">
      <c r="A534" s="511"/>
      <c r="B534" s="511"/>
      <c r="C534" s="511"/>
      <c r="D534" s="511"/>
      <c r="E534" s="511"/>
      <c r="F534" s="511"/>
      <c r="G534" s="511"/>
      <c r="H534" s="517"/>
      <c r="I534" s="511"/>
      <c r="J534" s="511"/>
      <c r="K534" s="511"/>
      <c r="L534" s="511"/>
      <c r="M534" s="511"/>
      <c r="N534" s="511"/>
      <c r="O534" s="511"/>
      <c r="P534" s="511"/>
      <c r="Q534" s="511"/>
      <c r="R534" s="511"/>
      <c r="S534" s="511"/>
      <c r="T534" s="511"/>
      <c r="U534" s="511"/>
      <c r="V534" s="511"/>
      <c r="W534" s="511"/>
      <c r="X534" s="511"/>
      <c r="Y534" s="511"/>
      <c r="Z534" s="511"/>
      <c r="AA534" s="511"/>
      <c r="AB534" s="511"/>
      <c r="AC534" s="511"/>
      <c r="AD534" s="511"/>
      <c r="AE534" s="511"/>
      <c r="AF534" s="511"/>
      <c r="AG534" s="511"/>
      <c r="AH534" s="511"/>
      <c r="AI534" s="511"/>
      <c r="AJ534" s="511"/>
      <c r="AK534" s="511"/>
      <c r="AL534" s="511"/>
      <c r="AM534" s="511"/>
      <c r="AN534" s="511"/>
      <c r="AO534" s="511"/>
      <c r="AP534" s="511"/>
      <c r="AQ534" s="511"/>
      <c r="AR534" s="511"/>
      <c r="AS534" s="511"/>
      <c r="AT534" s="511"/>
      <c r="AU534" s="511"/>
      <c r="AV534" s="511"/>
      <c r="AW534" s="511"/>
      <c r="AX534" s="511"/>
      <c r="AY534" s="511"/>
      <c r="AZ534" s="511"/>
      <c r="BA534" s="511"/>
    </row>
    <row r="535" spans="1:53" customFormat="1">
      <c r="A535" s="511"/>
      <c r="B535" s="511"/>
      <c r="C535" s="511"/>
      <c r="D535" s="511"/>
      <c r="E535" s="511"/>
      <c r="F535" s="511"/>
      <c r="G535" s="511"/>
      <c r="H535" s="517"/>
      <c r="I535" s="511"/>
      <c r="J535" s="511"/>
      <c r="K535" s="511"/>
      <c r="L535" s="511"/>
      <c r="M535" s="511"/>
      <c r="N535" s="511"/>
      <c r="O535" s="511"/>
      <c r="P535" s="511"/>
      <c r="Q535" s="511"/>
      <c r="R535" s="511"/>
      <c r="S535" s="511"/>
      <c r="T535" s="511"/>
      <c r="U535" s="511"/>
      <c r="V535" s="511"/>
      <c r="W535" s="511"/>
      <c r="X535" s="511"/>
      <c r="Y535" s="511"/>
      <c r="Z535" s="511"/>
      <c r="AA535" s="511"/>
      <c r="AB535" s="511"/>
      <c r="AC535" s="511"/>
      <c r="AD535" s="511"/>
      <c r="AE535" s="511"/>
      <c r="AF535" s="511"/>
      <c r="AG535" s="511"/>
      <c r="AH535" s="511"/>
      <c r="AI535" s="511"/>
      <c r="AJ535" s="511"/>
      <c r="AK535" s="511"/>
      <c r="AL535" s="511"/>
      <c r="AM535" s="511"/>
      <c r="AN535" s="511"/>
      <c r="AO535" s="511"/>
      <c r="AP535" s="511"/>
      <c r="AQ535" s="511"/>
      <c r="AR535" s="511"/>
      <c r="AS535" s="511"/>
      <c r="AT535" s="511"/>
      <c r="AU535" s="511"/>
      <c r="AV535" s="511"/>
      <c r="AW535" s="511"/>
      <c r="AX535" s="511"/>
      <c r="AY535" s="511"/>
      <c r="AZ535" s="511"/>
      <c r="BA535" s="511"/>
    </row>
    <row r="536" spans="1:53" customFormat="1">
      <c r="A536" s="511"/>
      <c r="B536" s="511"/>
      <c r="C536" s="511"/>
      <c r="D536" s="511"/>
      <c r="E536" s="511"/>
      <c r="F536" s="511"/>
      <c r="G536" s="511"/>
      <c r="H536" s="517"/>
      <c r="I536" s="511"/>
      <c r="J536" s="511"/>
      <c r="K536" s="511"/>
      <c r="L536" s="511"/>
      <c r="M536" s="511"/>
      <c r="N536" s="511"/>
      <c r="O536" s="511"/>
      <c r="P536" s="511"/>
      <c r="Q536" s="511"/>
      <c r="R536" s="511"/>
      <c r="S536" s="511"/>
      <c r="T536" s="511"/>
      <c r="U536" s="511"/>
      <c r="V536" s="511"/>
      <c r="W536" s="511"/>
      <c r="X536" s="511"/>
      <c r="Y536" s="511"/>
      <c r="Z536" s="511"/>
      <c r="AA536" s="511"/>
      <c r="AB536" s="511"/>
      <c r="AC536" s="511"/>
      <c r="AD536" s="511"/>
      <c r="AE536" s="511"/>
      <c r="AF536" s="511"/>
      <c r="AG536" s="511"/>
      <c r="AH536" s="511"/>
      <c r="AI536" s="511"/>
      <c r="AJ536" s="511"/>
      <c r="AK536" s="511"/>
      <c r="AL536" s="511"/>
      <c r="AM536" s="511"/>
      <c r="AN536" s="511"/>
      <c r="AO536" s="511"/>
      <c r="AP536" s="511"/>
      <c r="AQ536" s="511"/>
      <c r="AR536" s="511"/>
      <c r="AS536" s="511"/>
      <c r="AT536" s="511"/>
      <c r="AU536" s="511"/>
      <c r="AV536" s="511"/>
      <c r="AW536" s="511"/>
      <c r="AX536" s="511"/>
      <c r="AY536" s="511"/>
      <c r="AZ536" s="511"/>
      <c r="BA536" s="511"/>
    </row>
    <row r="537" spans="1:53" customFormat="1">
      <c r="A537" s="511"/>
      <c r="B537" s="511"/>
      <c r="C537" s="511"/>
      <c r="D537" s="511"/>
      <c r="E537" s="511"/>
      <c r="F537" s="511"/>
      <c r="G537" s="511"/>
      <c r="H537" s="517"/>
      <c r="I537" s="511"/>
      <c r="J537" s="511"/>
      <c r="K537" s="511"/>
      <c r="L537" s="511"/>
      <c r="M537" s="511"/>
      <c r="N537" s="511"/>
      <c r="O537" s="511"/>
      <c r="P537" s="511"/>
      <c r="Q537" s="511"/>
      <c r="R537" s="511"/>
      <c r="S537" s="511"/>
      <c r="T537" s="511"/>
      <c r="U537" s="511"/>
      <c r="V537" s="511"/>
      <c r="W537" s="511"/>
      <c r="X537" s="511"/>
      <c r="Y537" s="511"/>
      <c r="Z537" s="511"/>
      <c r="AA537" s="511"/>
      <c r="AB537" s="511"/>
      <c r="AC537" s="511"/>
      <c r="AD537" s="511"/>
      <c r="AE537" s="511"/>
      <c r="AF537" s="511"/>
      <c r="AG537" s="511"/>
      <c r="AH537" s="511"/>
      <c r="AI537" s="511"/>
      <c r="AJ537" s="511"/>
      <c r="AK537" s="511"/>
      <c r="AL537" s="511"/>
      <c r="AM537" s="511"/>
      <c r="AN537" s="511"/>
      <c r="AO537" s="511"/>
      <c r="AP537" s="511"/>
      <c r="AQ537" s="511"/>
      <c r="AR537" s="511"/>
      <c r="AS537" s="511"/>
      <c r="AT537" s="511"/>
      <c r="AU537" s="511"/>
      <c r="AV537" s="511"/>
      <c r="AW537" s="511"/>
      <c r="AX537" s="511"/>
      <c r="AY537" s="511"/>
      <c r="AZ537" s="511"/>
      <c r="BA537" s="511"/>
    </row>
    <row r="538" spans="1:53" customFormat="1">
      <c r="A538" s="511"/>
      <c r="B538" s="511"/>
      <c r="C538" s="511"/>
      <c r="D538" s="511"/>
      <c r="E538" s="511"/>
      <c r="F538" s="511"/>
      <c r="G538" s="511"/>
      <c r="H538" s="517"/>
      <c r="I538" s="511"/>
      <c r="J538" s="511"/>
      <c r="K538" s="511"/>
      <c r="L538" s="511"/>
      <c r="M538" s="511"/>
      <c r="N538" s="511"/>
      <c r="O538" s="511"/>
      <c r="P538" s="511"/>
      <c r="Q538" s="511"/>
      <c r="R538" s="511"/>
      <c r="S538" s="511"/>
      <c r="T538" s="511"/>
      <c r="U538" s="511"/>
      <c r="V538" s="511"/>
      <c r="W538" s="511"/>
      <c r="X538" s="511"/>
      <c r="Y538" s="511"/>
      <c r="Z538" s="511"/>
      <c r="AA538" s="511"/>
      <c r="AB538" s="511"/>
      <c r="AC538" s="511"/>
      <c r="AD538" s="511"/>
      <c r="AE538" s="511"/>
      <c r="AF538" s="511"/>
      <c r="AG538" s="511"/>
      <c r="AH538" s="511"/>
      <c r="AI538" s="511"/>
      <c r="AJ538" s="511"/>
      <c r="AK538" s="511"/>
      <c r="AL538" s="511"/>
      <c r="AM538" s="511"/>
      <c r="AN538" s="511"/>
      <c r="AO538" s="511"/>
      <c r="AP538" s="511"/>
      <c r="AQ538" s="511"/>
      <c r="AR538" s="511"/>
      <c r="AS538" s="511"/>
      <c r="AT538" s="511"/>
      <c r="AU538" s="511"/>
      <c r="AV538" s="511"/>
      <c r="AW538" s="511"/>
      <c r="AX538" s="511"/>
      <c r="AY538" s="511"/>
      <c r="AZ538" s="511"/>
      <c r="BA538" s="511"/>
    </row>
    <row r="539" spans="1:53" customFormat="1">
      <c r="A539" s="511"/>
      <c r="B539" s="511"/>
      <c r="C539" s="511"/>
      <c r="D539" s="511"/>
      <c r="E539" s="511"/>
      <c r="F539" s="511"/>
      <c r="G539" s="511"/>
      <c r="H539" s="517"/>
      <c r="I539" s="511"/>
      <c r="J539" s="511"/>
      <c r="K539" s="511"/>
      <c r="L539" s="511"/>
      <c r="M539" s="511"/>
      <c r="N539" s="511"/>
      <c r="O539" s="511"/>
      <c r="P539" s="511"/>
      <c r="Q539" s="511"/>
      <c r="R539" s="511"/>
      <c r="S539" s="511"/>
      <c r="T539" s="511"/>
      <c r="U539" s="511"/>
      <c r="V539" s="511"/>
      <c r="W539" s="511"/>
      <c r="X539" s="511"/>
      <c r="Y539" s="511"/>
      <c r="Z539" s="511"/>
      <c r="AA539" s="511"/>
      <c r="AB539" s="511"/>
      <c r="AC539" s="511"/>
      <c r="AD539" s="511"/>
      <c r="AE539" s="511"/>
      <c r="AF539" s="511"/>
      <c r="AG539" s="511"/>
      <c r="AH539" s="511"/>
      <c r="AI539" s="511"/>
      <c r="AJ539" s="511"/>
      <c r="AK539" s="511"/>
      <c r="AL539" s="511"/>
      <c r="AM539" s="511"/>
      <c r="AN539" s="511"/>
      <c r="AO539" s="511"/>
      <c r="AP539" s="511"/>
      <c r="AQ539" s="511"/>
      <c r="AR539" s="511"/>
      <c r="AS539" s="511"/>
      <c r="AT539" s="511"/>
      <c r="AU539" s="511"/>
      <c r="AV539" s="511"/>
      <c r="AW539" s="511"/>
      <c r="AX539" s="511"/>
      <c r="AY539" s="511"/>
      <c r="AZ539" s="511"/>
      <c r="BA539" s="511"/>
    </row>
    <row r="540" spans="1:53" customFormat="1">
      <c r="A540" s="511"/>
      <c r="B540" s="511"/>
      <c r="C540" s="511"/>
      <c r="D540" s="511"/>
      <c r="E540" s="511"/>
      <c r="F540" s="511"/>
      <c r="G540" s="511"/>
      <c r="H540" s="517"/>
      <c r="I540" s="511"/>
      <c r="J540" s="511"/>
      <c r="K540" s="511"/>
      <c r="L540" s="511"/>
      <c r="M540" s="511"/>
      <c r="N540" s="511"/>
      <c r="O540" s="511"/>
      <c r="P540" s="511"/>
      <c r="Q540" s="511"/>
      <c r="R540" s="511"/>
      <c r="S540" s="511"/>
      <c r="T540" s="511"/>
      <c r="U540" s="511"/>
      <c r="V540" s="511"/>
      <c r="W540" s="511"/>
      <c r="X540" s="511"/>
      <c r="Y540" s="511"/>
      <c r="Z540" s="511"/>
      <c r="AA540" s="511"/>
      <c r="AB540" s="511"/>
      <c r="AC540" s="511"/>
      <c r="AD540" s="511"/>
      <c r="AE540" s="511"/>
      <c r="AF540" s="511"/>
      <c r="AG540" s="511"/>
      <c r="AH540" s="511"/>
      <c r="AI540" s="511"/>
      <c r="AJ540" s="511"/>
      <c r="AK540" s="511"/>
      <c r="AL540" s="511"/>
      <c r="AM540" s="511"/>
      <c r="AN540" s="511"/>
      <c r="AO540" s="511"/>
      <c r="AP540" s="511"/>
      <c r="AQ540" s="511"/>
      <c r="AR540" s="511"/>
      <c r="AS540" s="511"/>
      <c r="AT540" s="511"/>
      <c r="AU540" s="511"/>
      <c r="AV540" s="511"/>
      <c r="AW540" s="511"/>
      <c r="AX540" s="511"/>
      <c r="AY540" s="511"/>
      <c r="AZ540" s="511"/>
      <c r="BA540" s="511"/>
    </row>
    <row r="541" spans="1:53" customFormat="1">
      <c r="A541" s="511"/>
      <c r="B541" s="511"/>
      <c r="C541" s="511"/>
      <c r="D541" s="511"/>
      <c r="E541" s="511"/>
      <c r="F541" s="511"/>
      <c r="G541" s="511"/>
      <c r="H541" s="517"/>
      <c r="I541" s="511"/>
      <c r="J541" s="511"/>
      <c r="K541" s="511"/>
      <c r="L541" s="511"/>
      <c r="M541" s="511"/>
      <c r="N541" s="511"/>
      <c r="O541" s="511"/>
      <c r="P541" s="511"/>
      <c r="Q541" s="511"/>
      <c r="R541" s="511"/>
      <c r="S541" s="511"/>
      <c r="T541" s="511"/>
      <c r="U541" s="511"/>
      <c r="V541" s="511"/>
      <c r="W541" s="511"/>
      <c r="X541" s="511"/>
      <c r="Y541" s="511"/>
      <c r="Z541" s="511"/>
      <c r="AA541" s="511"/>
      <c r="AB541" s="511"/>
      <c r="AC541" s="511"/>
      <c r="AD541" s="511"/>
      <c r="AE541" s="511"/>
      <c r="AF541" s="511"/>
      <c r="AG541" s="511"/>
      <c r="AH541" s="511"/>
      <c r="AI541" s="511"/>
      <c r="AJ541" s="511"/>
      <c r="AK541" s="511"/>
      <c r="AL541" s="511"/>
      <c r="AM541" s="511"/>
      <c r="AN541" s="511"/>
      <c r="AO541" s="511"/>
      <c r="AP541" s="511"/>
      <c r="AQ541" s="511"/>
      <c r="AR541" s="511"/>
      <c r="AS541" s="511"/>
      <c r="AT541" s="511"/>
      <c r="AU541" s="511"/>
      <c r="AV541" s="511"/>
      <c r="AW541" s="511"/>
      <c r="AX541" s="511"/>
      <c r="AY541" s="511"/>
      <c r="AZ541" s="511"/>
      <c r="BA541" s="511"/>
    </row>
    <row r="542" spans="1:53" customFormat="1">
      <c r="A542" s="511"/>
      <c r="B542" s="511"/>
      <c r="C542" s="511"/>
      <c r="D542" s="511"/>
      <c r="E542" s="511"/>
      <c r="F542" s="511"/>
      <c r="G542" s="511"/>
      <c r="H542" s="517"/>
      <c r="I542" s="511"/>
      <c r="J542" s="511"/>
      <c r="K542" s="511"/>
      <c r="L542" s="511"/>
      <c r="M542" s="511"/>
      <c r="N542" s="511"/>
      <c r="O542" s="511"/>
      <c r="P542" s="511"/>
      <c r="Q542" s="511"/>
      <c r="R542" s="511"/>
      <c r="S542" s="511"/>
      <c r="T542" s="511"/>
      <c r="U542" s="511"/>
      <c r="V542" s="511"/>
      <c r="W542" s="511"/>
      <c r="X542" s="511"/>
      <c r="Y542" s="511"/>
      <c r="Z542" s="511"/>
      <c r="AA542" s="511"/>
      <c r="AB542" s="511"/>
      <c r="AC542" s="511"/>
      <c r="AD542" s="511"/>
      <c r="AE542" s="511"/>
      <c r="AF542" s="511"/>
      <c r="AG542" s="511"/>
      <c r="AH542" s="511"/>
      <c r="AI542" s="511"/>
      <c r="AJ542" s="511"/>
      <c r="AK542" s="511"/>
      <c r="AL542" s="511"/>
      <c r="AM542" s="511"/>
      <c r="AN542" s="511"/>
      <c r="AO542" s="511"/>
      <c r="AP542" s="511"/>
      <c r="AQ542" s="511"/>
      <c r="AR542" s="511"/>
      <c r="AS542" s="511"/>
      <c r="AT542" s="511"/>
      <c r="AU542" s="511"/>
      <c r="AV542" s="511"/>
      <c r="AW542" s="511"/>
      <c r="AX542" s="511"/>
      <c r="AY542" s="511"/>
      <c r="AZ542" s="511"/>
      <c r="BA542" s="511"/>
    </row>
    <row r="543" spans="1:53" customFormat="1">
      <c r="A543" s="511"/>
      <c r="B543" s="511"/>
      <c r="C543" s="511"/>
      <c r="D543" s="511"/>
      <c r="E543" s="511"/>
      <c r="F543" s="511"/>
      <c r="G543" s="511"/>
      <c r="H543" s="517"/>
      <c r="I543" s="511"/>
      <c r="J543" s="511"/>
      <c r="K543" s="511"/>
      <c r="L543" s="511"/>
      <c r="M543" s="511"/>
      <c r="N543" s="511"/>
      <c r="O543" s="511"/>
      <c r="P543" s="511"/>
      <c r="Q543" s="511"/>
      <c r="R543" s="511"/>
      <c r="S543" s="511"/>
      <c r="T543" s="511"/>
      <c r="U543" s="511"/>
      <c r="V543" s="511"/>
      <c r="W543" s="511"/>
      <c r="X543" s="511"/>
      <c r="Y543" s="511"/>
      <c r="Z543" s="511"/>
      <c r="AA543" s="511"/>
      <c r="AB543" s="511"/>
      <c r="AC543" s="511"/>
      <c r="AD543" s="511"/>
      <c r="AE543" s="511"/>
      <c r="AF543" s="511"/>
      <c r="AG543" s="511"/>
      <c r="AH543" s="511"/>
      <c r="AI543" s="511"/>
      <c r="AJ543" s="511"/>
      <c r="AK543" s="511"/>
      <c r="AL543" s="511"/>
      <c r="AM543" s="511"/>
      <c r="AN543" s="511"/>
      <c r="AO543" s="511"/>
      <c r="AP543" s="511"/>
      <c r="AQ543" s="511"/>
      <c r="AR543" s="511"/>
      <c r="AS543" s="511"/>
      <c r="AT543" s="511"/>
      <c r="AU543" s="511"/>
      <c r="AV543" s="511"/>
      <c r="AW543" s="511"/>
      <c r="AX543" s="511"/>
      <c r="AY543" s="511"/>
      <c r="AZ543" s="511"/>
      <c r="BA543" s="511"/>
    </row>
    <row r="544" spans="1:53" customFormat="1">
      <c r="A544" s="511"/>
      <c r="B544" s="511"/>
      <c r="C544" s="511"/>
      <c r="D544" s="511"/>
      <c r="E544" s="511"/>
      <c r="F544" s="511"/>
      <c r="G544" s="511"/>
      <c r="H544" s="517"/>
      <c r="I544" s="511"/>
      <c r="J544" s="511"/>
      <c r="K544" s="511"/>
      <c r="L544" s="511"/>
      <c r="M544" s="511"/>
      <c r="N544" s="511"/>
      <c r="O544" s="511"/>
      <c r="P544" s="511"/>
      <c r="Q544" s="511"/>
      <c r="R544" s="511"/>
      <c r="S544" s="511"/>
      <c r="T544" s="511"/>
      <c r="U544" s="511"/>
      <c r="V544" s="511"/>
      <c r="W544" s="511"/>
      <c r="X544" s="511"/>
      <c r="Y544" s="511"/>
      <c r="Z544" s="511"/>
      <c r="AA544" s="511"/>
      <c r="AB544" s="511"/>
      <c r="AC544" s="511"/>
      <c r="AD544" s="511"/>
      <c r="AE544" s="511"/>
      <c r="AF544" s="511"/>
      <c r="AG544" s="511"/>
      <c r="AH544" s="511"/>
      <c r="AI544" s="511"/>
      <c r="AJ544" s="511"/>
      <c r="AK544" s="511"/>
      <c r="AL544" s="511"/>
      <c r="AM544" s="511"/>
      <c r="AN544" s="511"/>
      <c r="AO544" s="511"/>
      <c r="AP544" s="511"/>
      <c r="AQ544" s="511"/>
      <c r="AR544" s="511"/>
      <c r="AS544" s="511"/>
      <c r="AT544" s="511"/>
      <c r="AU544" s="511"/>
      <c r="AV544" s="511"/>
      <c r="AW544" s="511"/>
      <c r="AX544" s="511"/>
      <c r="AY544" s="511"/>
      <c r="AZ544" s="511"/>
      <c r="BA544" s="511"/>
    </row>
    <row r="545" spans="1:53" customFormat="1">
      <c r="A545" s="511"/>
      <c r="B545" s="511"/>
      <c r="C545" s="511"/>
      <c r="D545" s="511"/>
      <c r="E545" s="511"/>
      <c r="F545" s="511"/>
      <c r="G545" s="511"/>
      <c r="H545" s="517"/>
      <c r="I545" s="511"/>
      <c r="J545" s="511"/>
      <c r="K545" s="511"/>
      <c r="L545" s="511"/>
      <c r="M545" s="511"/>
      <c r="N545" s="511"/>
      <c r="O545" s="511"/>
      <c r="P545" s="511"/>
      <c r="Q545" s="511"/>
      <c r="R545" s="511"/>
      <c r="S545" s="511"/>
      <c r="T545" s="511"/>
      <c r="U545" s="511"/>
      <c r="V545" s="511"/>
      <c r="W545" s="511"/>
      <c r="X545" s="511"/>
      <c r="Y545" s="511"/>
      <c r="Z545" s="511"/>
      <c r="AA545" s="511"/>
      <c r="AB545" s="511"/>
      <c r="AC545" s="511"/>
      <c r="AD545" s="511"/>
      <c r="AE545" s="511"/>
      <c r="AF545" s="511"/>
      <c r="AG545" s="511"/>
      <c r="AH545" s="511"/>
      <c r="AI545" s="511"/>
      <c r="AJ545" s="511"/>
      <c r="AK545" s="511"/>
      <c r="AL545" s="511"/>
      <c r="AM545" s="511"/>
      <c r="AN545" s="511"/>
      <c r="AO545" s="511"/>
      <c r="AP545" s="511"/>
      <c r="AQ545" s="511"/>
      <c r="AR545" s="511"/>
      <c r="AS545" s="511"/>
      <c r="AT545" s="511"/>
      <c r="AU545" s="511"/>
      <c r="AV545" s="511"/>
      <c r="AW545" s="511"/>
      <c r="AX545" s="511"/>
      <c r="AY545" s="511"/>
      <c r="AZ545" s="511"/>
      <c r="BA545" s="511"/>
    </row>
    <row r="546" spans="1:53" customFormat="1">
      <c r="A546" s="511"/>
      <c r="B546" s="511"/>
      <c r="C546" s="511"/>
      <c r="D546" s="511"/>
      <c r="E546" s="511"/>
      <c r="F546" s="511"/>
      <c r="G546" s="511"/>
      <c r="H546" s="517"/>
      <c r="I546" s="511"/>
      <c r="J546" s="511"/>
      <c r="K546" s="511"/>
      <c r="L546" s="511"/>
      <c r="M546" s="511"/>
      <c r="N546" s="511"/>
      <c r="O546" s="511"/>
      <c r="P546" s="511"/>
      <c r="Q546" s="511"/>
      <c r="R546" s="511"/>
      <c r="S546" s="511"/>
      <c r="T546" s="511"/>
      <c r="U546" s="511"/>
      <c r="V546" s="511"/>
      <c r="W546" s="511"/>
      <c r="X546" s="511"/>
      <c r="Y546" s="511"/>
      <c r="Z546" s="511"/>
      <c r="AA546" s="511"/>
      <c r="AB546" s="511"/>
      <c r="AC546" s="511"/>
      <c r="AD546" s="511"/>
      <c r="AE546" s="511"/>
      <c r="AF546" s="511"/>
      <c r="AG546" s="511"/>
      <c r="AH546" s="511"/>
      <c r="AI546" s="511"/>
      <c r="AJ546" s="511"/>
      <c r="AK546" s="511"/>
      <c r="AL546" s="511"/>
      <c r="AM546" s="511"/>
      <c r="AN546" s="511"/>
      <c r="AO546" s="511"/>
      <c r="AP546" s="511"/>
      <c r="AQ546" s="511"/>
      <c r="AR546" s="511"/>
      <c r="AS546" s="511"/>
      <c r="AT546" s="511"/>
      <c r="AU546" s="511"/>
      <c r="AV546" s="511"/>
      <c r="AW546" s="511"/>
      <c r="AX546" s="511"/>
      <c r="AY546" s="511"/>
      <c r="AZ546" s="511"/>
      <c r="BA546" s="511"/>
    </row>
    <row r="547" spans="1:53" customFormat="1">
      <c r="A547" s="511"/>
      <c r="B547" s="511"/>
      <c r="C547" s="511"/>
      <c r="D547" s="511"/>
      <c r="E547" s="511"/>
      <c r="F547" s="511"/>
      <c r="G547" s="511"/>
      <c r="H547" s="517"/>
      <c r="I547" s="511"/>
      <c r="J547" s="511"/>
      <c r="K547" s="511"/>
      <c r="L547" s="511"/>
      <c r="M547" s="511"/>
      <c r="N547" s="511"/>
      <c r="O547" s="511"/>
      <c r="P547" s="511"/>
      <c r="Q547" s="511"/>
      <c r="R547" s="511"/>
      <c r="S547" s="511"/>
      <c r="T547" s="511"/>
      <c r="U547" s="511"/>
      <c r="V547" s="511"/>
      <c r="W547" s="511"/>
      <c r="X547" s="511"/>
      <c r="Y547" s="511"/>
      <c r="Z547" s="511"/>
      <c r="AA547" s="511"/>
      <c r="AB547" s="511"/>
      <c r="AC547" s="511"/>
      <c r="AD547" s="511"/>
      <c r="AE547" s="511"/>
      <c r="AF547" s="511"/>
      <c r="AG547" s="511"/>
      <c r="AH547" s="511"/>
      <c r="AI547" s="511"/>
      <c r="AJ547" s="511"/>
      <c r="AK547" s="511"/>
      <c r="AL547" s="511"/>
      <c r="AM547" s="511"/>
      <c r="AN547" s="511"/>
      <c r="AO547" s="511"/>
      <c r="AP547" s="511"/>
      <c r="AQ547" s="511"/>
      <c r="AR547" s="511"/>
      <c r="AS547" s="511"/>
      <c r="AT547" s="511"/>
      <c r="AU547" s="511"/>
      <c r="AV547" s="511"/>
      <c r="AW547" s="511"/>
      <c r="AX547" s="511"/>
      <c r="AY547" s="511"/>
      <c r="AZ547" s="511"/>
      <c r="BA547" s="511"/>
    </row>
    <row r="548" spans="1:53" customFormat="1">
      <c r="A548" s="511"/>
      <c r="B548" s="511"/>
      <c r="C548" s="511"/>
      <c r="D548" s="511"/>
      <c r="E548" s="511"/>
      <c r="F548" s="511"/>
      <c r="G548" s="511"/>
      <c r="H548" s="517"/>
      <c r="I548" s="511"/>
      <c r="J548" s="511"/>
      <c r="K548" s="511"/>
      <c r="L548" s="511"/>
      <c r="M548" s="511"/>
      <c r="N548" s="511"/>
      <c r="O548" s="511"/>
      <c r="P548" s="511"/>
      <c r="Q548" s="511"/>
      <c r="R548" s="511"/>
      <c r="S548" s="511"/>
      <c r="T548" s="511"/>
      <c r="U548" s="511"/>
      <c r="V548" s="511"/>
      <c r="W548" s="511"/>
      <c r="X548" s="511"/>
      <c r="Y548" s="511"/>
      <c r="Z548" s="511"/>
      <c r="AA548" s="511"/>
      <c r="AB548" s="511"/>
      <c r="AC548" s="511"/>
      <c r="AD548" s="511"/>
      <c r="AE548" s="511"/>
      <c r="AF548" s="511"/>
      <c r="AG548" s="511"/>
      <c r="AH548" s="511"/>
      <c r="AI548" s="511"/>
      <c r="AJ548" s="511"/>
      <c r="AK548" s="511"/>
      <c r="AL548" s="511"/>
      <c r="AM548" s="511"/>
      <c r="AN548" s="511"/>
      <c r="AO548" s="511"/>
      <c r="AP548" s="511"/>
      <c r="AQ548" s="511"/>
      <c r="AR548" s="511"/>
      <c r="AS548" s="511"/>
      <c r="AT548" s="511"/>
      <c r="AU548" s="511"/>
      <c r="AV548" s="511"/>
      <c r="AW548" s="511"/>
      <c r="AX548" s="511"/>
      <c r="AY548" s="511"/>
      <c r="AZ548" s="511"/>
      <c r="BA548" s="511"/>
    </row>
    <row r="549" spans="1:53" customFormat="1">
      <c r="A549" s="511"/>
      <c r="B549" s="511"/>
      <c r="C549" s="511"/>
      <c r="D549" s="511"/>
      <c r="E549" s="511"/>
      <c r="F549" s="511"/>
      <c r="G549" s="511"/>
      <c r="H549" s="517"/>
      <c r="I549" s="511"/>
      <c r="J549" s="511"/>
      <c r="K549" s="511"/>
      <c r="L549" s="511"/>
      <c r="M549" s="511"/>
      <c r="N549" s="511"/>
      <c r="O549" s="511"/>
      <c r="P549" s="511"/>
      <c r="Q549" s="511"/>
      <c r="R549" s="511"/>
      <c r="S549" s="511"/>
      <c r="T549" s="511"/>
      <c r="U549" s="511"/>
      <c r="V549" s="511"/>
      <c r="W549" s="511"/>
      <c r="X549" s="511"/>
      <c r="Y549" s="511"/>
      <c r="Z549" s="511"/>
      <c r="AA549" s="511"/>
      <c r="AB549" s="511"/>
      <c r="AC549" s="511"/>
      <c r="AD549" s="511"/>
      <c r="AE549" s="511"/>
      <c r="AF549" s="511"/>
      <c r="AG549" s="511"/>
      <c r="AH549" s="511"/>
      <c r="AI549" s="511"/>
      <c r="AJ549" s="511"/>
      <c r="AK549" s="511"/>
      <c r="AL549" s="511"/>
      <c r="AM549" s="511"/>
      <c r="AN549" s="511"/>
      <c r="AO549" s="511"/>
      <c r="AP549" s="511"/>
      <c r="AQ549" s="511"/>
      <c r="AR549" s="511"/>
      <c r="AS549" s="511"/>
      <c r="AT549" s="511"/>
      <c r="AU549" s="511"/>
      <c r="AV549" s="511"/>
      <c r="AW549" s="511"/>
      <c r="AX549" s="511"/>
      <c r="AY549" s="511"/>
      <c r="AZ549" s="511"/>
      <c r="BA549" s="511"/>
    </row>
    <row r="550" spans="1:53" customFormat="1">
      <c r="A550" s="511"/>
      <c r="B550" s="511"/>
      <c r="C550" s="511"/>
      <c r="D550" s="511"/>
      <c r="E550" s="511"/>
      <c r="F550" s="511"/>
      <c r="G550" s="511"/>
      <c r="H550" s="517"/>
      <c r="I550" s="511"/>
      <c r="J550" s="511"/>
      <c r="K550" s="511"/>
      <c r="L550" s="511"/>
      <c r="M550" s="511"/>
      <c r="N550" s="511"/>
      <c r="O550" s="511"/>
      <c r="P550" s="511"/>
      <c r="Q550" s="511"/>
      <c r="R550" s="511"/>
      <c r="S550" s="511"/>
      <c r="T550" s="511"/>
      <c r="U550" s="511"/>
      <c r="V550" s="511"/>
      <c r="W550" s="511"/>
      <c r="X550" s="511"/>
      <c r="Y550" s="511"/>
      <c r="Z550" s="511"/>
      <c r="AA550" s="511"/>
      <c r="AB550" s="511"/>
      <c r="AC550" s="511"/>
      <c r="AD550" s="511"/>
      <c r="AE550" s="511"/>
      <c r="AF550" s="511"/>
      <c r="AG550" s="511"/>
      <c r="AH550" s="511"/>
      <c r="AI550" s="511"/>
      <c r="AJ550" s="511"/>
      <c r="AK550" s="511"/>
      <c r="AL550" s="511"/>
      <c r="AM550" s="511"/>
      <c r="AN550" s="511"/>
      <c r="AO550" s="511"/>
      <c r="AP550" s="511"/>
      <c r="AQ550" s="511"/>
      <c r="AR550" s="511"/>
      <c r="AS550" s="511"/>
      <c r="AT550" s="511"/>
      <c r="AU550" s="511"/>
      <c r="AV550" s="511"/>
      <c r="AW550" s="511"/>
      <c r="AX550" s="511"/>
      <c r="AY550" s="511"/>
      <c r="AZ550" s="511"/>
      <c r="BA550" s="511"/>
    </row>
    <row r="551" spans="1:53" customFormat="1">
      <c r="A551" s="511"/>
      <c r="B551" s="511"/>
      <c r="C551" s="511"/>
      <c r="D551" s="511"/>
      <c r="E551" s="511"/>
      <c r="F551" s="511"/>
      <c r="G551" s="511"/>
      <c r="H551" s="517"/>
      <c r="I551" s="511"/>
      <c r="J551" s="511"/>
      <c r="K551" s="511"/>
      <c r="L551" s="511"/>
      <c r="M551" s="511"/>
      <c r="N551" s="511"/>
      <c r="O551" s="511"/>
      <c r="P551" s="511"/>
      <c r="Q551" s="511"/>
      <c r="R551" s="511"/>
      <c r="S551" s="511"/>
      <c r="T551" s="511"/>
      <c r="U551" s="511"/>
      <c r="V551" s="511"/>
      <c r="W551" s="511"/>
      <c r="X551" s="511"/>
      <c r="Y551" s="511"/>
      <c r="Z551" s="511"/>
      <c r="AA551" s="511"/>
      <c r="AB551" s="511"/>
      <c r="AC551" s="511"/>
      <c r="AD551" s="511"/>
      <c r="AE551" s="511"/>
      <c r="AF551" s="511"/>
      <c r="AG551" s="511"/>
      <c r="AH551" s="511"/>
      <c r="AI551" s="511"/>
      <c r="AJ551" s="511"/>
      <c r="AK551" s="511"/>
      <c r="AL551" s="511"/>
      <c r="AM551" s="511"/>
      <c r="AN551" s="511"/>
      <c r="AO551" s="511"/>
      <c r="AP551" s="511"/>
      <c r="AQ551" s="511"/>
      <c r="AR551" s="511"/>
      <c r="AS551" s="511"/>
      <c r="AT551" s="511"/>
      <c r="AU551" s="511"/>
      <c r="AV551" s="511"/>
      <c r="AW551" s="511"/>
      <c r="AX551" s="511"/>
      <c r="AY551" s="511"/>
      <c r="AZ551" s="511"/>
      <c r="BA551" s="511"/>
    </row>
    <row r="552" spans="1:53" customFormat="1">
      <c r="A552" s="511"/>
      <c r="B552" s="511"/>
      <c r="C552" s="511"/>
      <c r="D552" s="511"/>
      <c r="E552" s="511"/>
      <c r="F552" s="511"/>
      <c r="G552" s="511"/>
      <c r="H552" s="517"/>
      <c r="I552" s="511"/>
      <c r="J552" s="511"/>
      <c r="K552" s="511"/>
      <c r="L552" s="511"/>
      <c r="M552" s="511"/>
      <c r="N552" s="511"/>
      <c r="O552" s="511"/>
      <c r="P552" s="511"/>
      <c r="Q552" s="511"/>
      <c r="R552" s="511"/>
      <c r="S552" s="511"/>
      <c r="T552" s="511"/>
      <c r="U552" s="511"/>
      <c r="V552" s="511"/>
      <c r="W552" s="511"/>
      <c r="X552" s="511"/>
      <c r="Y552" s="511"/>
      <c r="Z552" s="511"/>
      <c r="AA552" s="511"/>
      <c r="AB552" s="511"/>
      <c r="AC552" s="511"/>
      <c r="AD552" s="511"/>
      <c r="AE552" s="511"/>
      <c r="AF552" s="511"/>
      <c r="AG552" s="511"/>
      <c r="AH552" s="511"/>
      <c r="AI552" s="511"/>
      <c r="AJ552" s="511"/>
      <c r="AK552" s="511"/>
      <c r="AL552" s="511"/>
      <c r="AM552" s="511"/>
      <c r="AN552" s="511"/>
      <c r="AO552" s="511"/>
      <c r="AP552" s="511"/>
      <c r="AQ552" s="511"/>
      <c r="AR552" s="511"/>
      <c r="AS552" s="511"/>
      <c r="AT552" s="511"/>
      <c r="AU552" s="511"/>
      <c r="AV552" s="511"/>
      <c r="AW552" s="511"/>
      <c r="AX552" s="511"/>
      <c r="AY552" s="511"/>
      <c r="AZ552" s="511"/>
      <c r="BA552" s="511"/>
    </row>
    <row r="553" spans="1:53" customFormat="1">
      <c r="A553" s="511"/>
      <c r="B553" s="511"/>
      <c r="C553" s="511"/>
      <c r="D553" s="511"/>
      <c r="E553" s="511"/>
      <c r="F553" s="511"/>
      <c r="G553" s="511"/>
      <c r="H553" s="517"/>
      <c r="I553" s="511"/>
      <c r="J553" s="511"/>
      <c r="K553" s="511"/>
      <c r="L553" s="511"/>
      <c r="M553" s="511"/>
      <c r="N553" s="511"/>
      <c r="O553" s="511"/>
      <c r="P553" s="511"/>
      <c r="Q553" s="511"/>
      <c r="R553" s="511"/>
      <c r="S553" s="511"/>
      <c r="T553" s="511"/>
      <c r="U553" s="511"/>
      <c r="V553" s="511"/>
      <c r="W553" s="511"/>
      <c r="X553" s="511"/>
      <c r="Y553" s="511"/>
      <c r="Z553" s="511"/>
      <c r="AA553" s="511"/>
      <c r="AB553" s="511"/>
      <c r="AC553" s="511"/>
      <c r="AD553" s="511"/>
      <c r="AE553" s="511"/>
      <c r="AF553" s="511"/>
      <c r="AG553" s="511"/>
      <c r="AH553" s="511"/>
      <c r="AI553" s="511"/>
      <c r="AJ553" s="511"/>
      <c r="AK553" s="511"/>
      <c r="AL553" s="511"/>
      <c r="AM553" s="511"/>
      <c r="AN553" s="511"/>
      <c r="AO553" s="511"/>
      <c r="AP553" s="511"/>
      <c r="AQ553" s="511"/>
      <c r="AR553" s="511"/>
      <c r="AS553" s="511"/>
      <c r="AT553" s="511"/>
      <c r="AU553" s="511"/>
      <c r="AV553" s="511"/>
      <c r="AW553" s="511"/>
      <c r="AX553" s="511"/>
      <c r="AY553" s="511"/>
      <c r="AZ553" s="511"/>
      <c r="BA553" s="511"/>
    </row>
    <row r="554" spans="1:53" customFormat="1">
      <c r="A554" s="511"/>
      <c r="B554" s="511"/>
      <c r="C554" s="511"/>
      <c r="D554" s="511"/>
      <c r="E554" s="511"/>
      <c r="F554" s="511"/>
      <c r="G554" s="511"/>
      <c r="H554" s="517"/>
      <c r="I554" s="511"/>
      <c r="J554" s="511"/>
      <c r="K554" s="511"/>
      <c r="L554" s="511"/>
      <c r="M554" s="511"/>
      <c r="N554" s="511"/>
      <c r="O554" s="511"/>
      <c r="P554" s="511"/>
      <c r="Q554" s="511"/>
      <c r="R554" s="511"/>
      <c r="S554" s="511"/>
      <c r="T554" s="511"/>
      <c r="U554" s="511"/>
      <c r="V554" s="511"/>
      <c r="W554" s="511"/>
      <c r="X554" s="511"/>
      <c r="Y554" s="511"/>
      <c r="Z554" s="511"/>
      <c r="AA554" s="511"/>
      <c r="AB554" s="511"/>
      <c r="AC554" s="511"/>
      <c r="AD554" s="511"/>
      <c r="AE554" s="511"/>
      <c r="AF554" s="511"/>
      <c r="AG554" s="511"/>
      <c r="AH554" s="511"/>
      <c r="AI554" s="511"/>
      <c r="AJ554" s="511"/>
      <c r="AK554" s="511"/>
      <c r="AL554" s="511"/>
      <c r="AM554" s="511"/>
      <c r="AN554" s="511"/>
      <c r="AO554" s="511"/>
      <c r="AP554" s="511"/>
      <c r="AQ554" s="511"/>
      <c r="AR554" s="511"/>
      <c r="AS554" s="511"/>
      <c r="AT554" s="511"/>
      <c r="AU554" s="511"/>
      <c r="AV554" s="511"/>
      <c r="AW554" s="511"/>
      <c r="AX554" s="511"/>
      <c r="AY554" s="511"/>
      <c r="AZ554" s="511"/>
      <c r="BA554" s="511"/>
    </row>
    <row r="555" spans="1:53" customFormat="1">
      <c r="A555" s="511"/>
      <c r="B555" s="511"/>
      <c r="C555" s="511"/>
      <c r="D555" s="511"/>
      <c r="E555" s="511"/>
      <c r="F555" s="511"/>
      <c r="G555" s="511"/>
      <c r="H555" s="517"/>
      <c r="I555" s="511"/>
      <c r="J555" s="511"/>
      <c r="K555" s="511"/>
      <c r="L555" s="511"/>
      <c r="M555" s="511"/>
      <c r="N555" s="511"/>
      <c r="O555" s="511"/>
      <c r="P555" s="511"/>
      <c r="Q555" s="511"/>
      <c r="R555" s="511"/>
      <c r="S555" s="511"/>
      <c r="T555" s="511"/>
      <c r="U555" s="511"/>
      <c r="V555" s="511"/>
      <c r="W555" s="511"/>
      <c r="X555" s="511"/>
      <c r="Y555" s="511"/>
      <c r="Z555" s="511"/>
      <c r="AA555" s="511"/>
      <c r="AB555" s="511"/>
      <c r="AC555" s="511"/>
      <c r="AD555" s="511"/>
      <c r="AE555" s="511"/>
      <c r="AF555" s="511"/>
      <c r="AG555" s="511"/>
      <c r="AH555" s="511"/>
      <c r="AI555" s="511"/>
      <c r="AJ555" s="511"/>
      <c r="AK555" s="511"/>
      <c r="AL555" s="511"/>
      <c r="AM555" s="511"/>
      <c r="AN555" s="511"/>
      <c r="AO555" s="511"/>
      <c r="AP555" s="511"/>
      <c r="AQ555" s="511"/>
      <c r="AR555" s="511"/>
      <c r="AS555" s="511"/>
      <c r="AT555" s="511"/>
      <c r="AU555" s="511"/>
      <c r="AV555" s="511"/>
      <c r="AW555" s="511"/>
      <c r="AX555" s="511"/>
      <c r="AY555" s="511"/>
      <c r="AZ555" s="511"/>
      <c r="BA555" s="511"/>
    </row>
    <row r="556" spans="1:53" customFormat="1">
      <c r="A556" s="511"/>
      <c r="B556" s="511"/>
      <c r="C556" s="511"/>
      <c r="D556" s="511"/>
      <c r="E556" s="511"/>
      <c r="F556" s="511"/>
      <c r="G556" s="511"/>
      <c r="H556" s="517"/>
      <c r="I556" s="511"/>
      <c r="J556" s="511"/>
      <c r="K556" s="511"/>
      <c r="L556" s="511"/>
      <c r="M556" s="511"/>
      <c r="N556" s="511"/>
      <c r="O556" s="511"/>
      <c r="P556" s="511"/>
      <c r="Q556" s="511"/>
      <c r="R556" s="511"/>
      <c r="S556" s="511"/>
      <c r="T556" s="511"/>
      <c r="U556" s="511"/>
      <c r="V556" s="511"/>
      <c r="W556" s="511"/>
      <c r="X556" s="511"/>
      <c r="Y556" s="511"/>
      <c r="Z556" s="511"/>
      <c r="AA556" s="511"/>
      <c r="AB556" s="511"/>
      <c r="AC556" s="511"/>
      <c r="AD556" s="511"/>
      <c r="AE556" s="511"/>
      <c r="AF556" s="511"/>
      <c r="AG556" s="511"/>
      <c r="AH556" s="511"/>
      <c r="AI556" s="511"/>
      <c r="AJ556" s="511"/>
      <c r="AK556" s="511"/>
      <c r="AL556" s="511"/>
      <c r="AM556" s="511"/>
      <c r="AN556" s="511"/>
      <c r="AO556" s="511"/>
      <c r="AP556" s="511"/>
      <c r="AQ556" s="511"/>
      <c r="AR556" s="511"/>
      <c r="AS556" s="511"/>
      <c r="AT556" s="511"/>
      <c r="AU556" s="511"/>
      <c r="AV556" s="511"/>
      <c r="AW556" s="511"/>
      <c r="AX556" s="511"/>
      <c r="AY556" s="511"/>
      <c r="AZ556" s="511"/>
      <c r="BA556" s="511"/>
    </row>
    <row r="557" spans="1:53" customFormat="1">
      <c r="A557" s="511"/>
      <c r="B557" s="511"/>
      <c r="C557" s="511"/>
      <c r="D557" s="511"/>
      <c r="E557" s="511"/>
      <c r="F557" s="511"/>
      <c r="G557" s="511"/>
      <c r="H557" s="517"/>
      <c r="I557" s="511"/>
      <c r="J557" s="511"/>
      <c r="K557" s="511"/>
      <c r="L557" s="511"/>
      <c r="M557" s="511"/>
      <c r="N557" s="511"/>
      <c r="O557" s="511"/>
      <c r="P557" s="511"/>
      <c r="Q557" s="511"/>
      <c r="R557" s="511"/>
      <c r="S557" s="511"/>
      <c r="T557" s="511"/>
      <c r="U557" s="511"/>
      <c r="V557" s="511"/>
      <c r="W557" s="511"/>
      <c r="X557" s="511"/>
      <c r="Y557" s="511"/>
      <c r="Z557" s="511"/>
      <c r="AA557" s="511"/>
      <c r="AB557" s="511"/>
      <c r="AC557" s="511"/>
      <c r="AD557" s="511"/>
      <c r="AE557" s="511"/>
      <c r="AF557" s="511"/>
      <c r="AG557" s="511"/>
      <c r="AH557" s="511"/>
      <c r="AI557" s="511"/>
      <c r="AJ557" s="511"/>
      <c r="AK557" s="511"/>
      <c r="AL557" s="511"/>
      <c r="AM557" s="511"/>
      <c r="AN557" s="511"/>
      <c r="AO557" s="511"/>
      <c r="AP557" s="511"/>
      <c r="AQ557" s="511"/>
      <c r="AR557" s="511"/>
      <c r="AS557" s="511"/>
      <c r="AT557" s="511"/>
      <c r="AU557" s="511"/>
      <c r="AV557" s="511"/>
      <c r="AW557" s="511"/>
      <c r="AX557" s="511"/>
      <c r="AY557" s="511"/>
      <c r="AZ557" s="511"/>
      <c r="BA557" s="511"/>
    </row>
    <row r="558" spans="1:53" customFormat="1">
      <c r="A558" s="511"/>
      <c r="B558" s="511"/>
      <c r="C558" s="511"/>
      <c r="D558" s="511"/>
      <c r="E558" s="511"/>
      <c r="F558" s="511"/>
      <c r="G558" s="511"/>
      <c r="H558" s="517"/>
      <c r="I558" s="511"/>
      <c r="J558" s="511"/>
      <c r="K558" s="511"/>
      <c r="L558" s="511"/>
      <c r="M558" s="511"/>
      <c r="N558" s="511"/>
      <c r="O558" s="511"/>
      <c r="P558" s="511"/>
      <c r="Q558" s="511"/>
      <c r="R558" s="511"/>
      <c r="S558" s="511"/>
      <c r="T558" s="511"/>
      <c r="U558" s="511"/>
      <c r="V558" s="511"/>
      <c r="W558" s="511"/>
      <c r="X558" s="511"/>
      <c r="Y558" s="511"/>
      <c r="Z558" s="511"/>
      <c r="AA558" s="511"/>
      <c r="AB558" s="511"/>
      <c r="AC558" s="511"/>
      <c r="AD558" s="511"/>
      <c r="AE558" s="511"/>
      <c r="AF558" s="511"/>
      <c r="AG558" s="511"/>
      <c r="AH558" s="511"/>
      <c r="AI558" s="511"/>
      <c r="AJ558" s="511"/>
      <c r="AK558" s="511"/>
      <c r="AL558" s="511"/>
      <c r="AM558" s="511"/>
      <c r="AN558" s="511"/>
      <c r="AO558" s="511"/>
      <c r="AP558" s="511"/>
      <c r="AQ558" s="511"/>
      <c r="AR558" s="511"/>
      <c r="AS558" s="511"/>
      <c r="AT558" s="511"/>
      <c r="AU558" s="511"/>
      <c r="AV558" s="511"/>
      <c r="AW558" s="511"/>
      <c r="AX558" s="511"/>
      <c r="AY558" s="511"/>
      <c r="AZ558" s="511"/>
      <c r="BA558" s="511"/>
    </row>
    <row r="559" spans="1:53" customFormat="1">
      <c r="A559" s="511"/>
      <c r="B559" s="511"/>
      <c r="C559" s="511"/>
      <c r="D559" s="511"/>
      <c r="E559" s="511"/>
      <c r="F559" s="511"/>
      <c r="G559" s="511"/>
      <c r="H559" s="517"/>
      <c r="I559" s="511"/>
      <c r="J559" s="511"/>
      <c r="K559" s="511"/>
      <c r="L559" s="511"/>
      <c r="M559" s="511"/>
      <c r="N559" s="511"/>
      <c r="O559" s="511"/>
      <c r="P559" s="511"/>
      <c r="Q559" s="511"/>
      <c r="R559" s="511"/>
      <c r="S559" s="511"/>
      <c r="T559" s="511"/>
      <c r="U559" s="511"/>
      <c r="V559" s="511"/>
      <c r="W559" s="511"/>
      <c r="X559" s="511"/>
      <c r="Y559" s="511"/>
      <c r="Z559" s="511"/>
      <c r="AA559" s="511"/>
      <c r="AB559" s="511"/>
      <c r="AC559" s="511"/>
      <c r="AD559" s="511"/>
      <c r="AE559" s="511"/>
      <c r="AF559" s="511"/>
      <c r="AG559" s="511"/>
      <c r="AH559" s="511"/>
      <c r="AI559" s="511"/>
      <c r="AJ559" s="511"/>
      <c r="AK559" s="511"/>
      <c r="AL559" s="511"/>
      <c r="AM559" s="511"/>
      <c r="AN559" s="511"/>
      <c r="AO559" s="511"/>
      <c r="AP559" s="511"/>
      <c r="AQ559" s="511"/>
      <c r="AR559" s="511"/>
      <c r="AS559" s="511"/>
      <c r="AT559" s="511"/>
      <c r="AU559" s="511"/>
      <c r="AV559" s="511"/>
      <c r="AW559" s="511"/>
      <c r="AX559" s="511"/>
      <c r="AY559" s="511"/>
      <c r="AZ559" s="511"/>
      <c r="BA559" s="511"/>
    </row>
    <row r="560" spans="1:53" customFormat="1">
      <c r="A560" s="511"/>
      <c r="B560" s="511"/>
      <c r="C560" s="511"/>
      <c r="D560" s="511"/>
      <c r="E560" s="511"/>
      <c r="F560" s="511"/>
      <c r="G560" s="511"/>
      <c r="H560" s="517"/>
      <c r="I560" s="511"/>
      <c r="J560" s="511"/>
      <c r="K560" s="511"/>
      <c r="L560" s="511"/>
      <c r="M560" s="511"/>
      <c r="N560" s="511"/>
      <c r="O560" s="511"/>
      <c r="P560" s="511"/>
      <c r="Q560" s="511"/>
      <c r="R560" s="511"/>
      <c r="S560" s="511"/>
      <c r="T560" s="511"/>
      <c r="U560" s="511"/>
      <c r="V560" s="511"/>
      <c r="W560" s="511"/>
      <c r="X560" s="511"/>
      <c r="Y560" s="511"/>
      <c r="Z560" s="511"/>
      <c r="AA560" s="511"/>
      <c r="AB560" s="511"/>
      <c r="AC560" s="511"/>
      <c r="AD560" s="511"/>
      <c r="AE560" s="511"/>
      <c r="AF560" s="511"/>
      <c r="AG560" s="511"/>
      <c r="AH560" s="511"/>
      <c r="AI560" s="511"/>
      <c r="AJ560" s="511"/>
      <c r="AK560" s="511"/>
      <c r="AL560" s="511"/>
      <c r="AM560" s="511"/>
      <c r="AN560" s="511"/>
      <c r="AO560" s="511"/>
      <c r="AP560" s="511"/>
      <c r="AQ560" s="511"/>
      <c r="AR560" s="511"/>
      <c r="AS560" s="511"/>
      <c r="AT560" s="511"/>
      <c r="AU560" s="511"/>
      <c r="AV560" s="511"/>
      <c r="AW560" s="511"/>
      <c r="AX560" s="511"/>
      <c r="AY560" s="511"/>
      <c r="AZ560" s="511"/>
      <c r="BA560" s="511"/>
    </row>
    <row r="561" spans="1:53" customFormat="1">
      <c r="A561" s="511"/>
      <c r="B561" s="511"/>
      <c r="C561" s="511"/>
      <c r="D561" s="511"/>
      <c r="E561" s="511"/>
      <c r="F561" s="511"/>
      <c r="G561" s="511"/>
      <c r="H561" s="517"/>
      <c r="I561" s="511"/>
      <c r="J561" s="511"/>
      <c r="K561" s="511"/>
      <c r="L561" s="511"/>
      <c r="M561" s="511"/>
      <c r="N561" s="511"/>
      <c r="O561" s="511"/>
      <c r="P561" s="511"/>
      <c r="Q561" s="511"/>
      <c r="R561" s="511"/>
      <c r="S561" s="511"/>
      <c r="T561" s="511"/>
      <c r="U561" s="511"/>
      <c r="V561" s="511"/>
      <c r="W561" s="511"/>
      <c r="X561" s="511"/>
      <c r="Y561" s="511"/>
      <c r="Z561" s="511"/>
      <c r="AA561" s="511"/>
      <c r="AB561" s="511"/>
      <c r="AC561" s="511"/>
      <c r="AD561" s="511"/>
      <c r="AE561" s="511"/>
      <c r="AF561" s="511"/>
      <c r="AG561" s="511"/>
      <c r="AH561" s="511"/>
      <c r="AI561" s="511"/>
      <c r="AJ561" s="511"/>
      <c r="AK561" s="511"/>
      <c r="AL561" s="511"/>
      <c r="AM561" s="511"/>
      <c r="AN561" s="511"/>
      <c r="AO561" s="511"/>
      <c r="AP561" s="511"/>
      <c r="AQ561" s="511"/>
      <c r="AR561" s="511"/>
      <c r="AS561" s="511"/>
      <c r="AT561" s="511"/>
      <c r="AU561" s="511"/>
      <c r="AV561" s="511"/>
      <c r="AW561" s="511"/>
      <c r="AX561" s="511"/>
      <c r="AY561" s="511"/>
      <c r="AZ561" s="511"/>
      <c r="BA561" s="511"/>
    </row>
    <row r="562" spans="1:53" customFormat="1">
      <c r="A562" s="511"/>
      <c r="B562" s="511"/>
      <c r="C562" s="511"/>
      <c r="D562" s="511"/>
      <c r="E562" s="511"/>
      <c r="F562" s="511"/>
      <c r="G562" s="511"/>
      <c r="H562" s="517"/>
      <c r="I562" s="511"/>
      <c r="J562" s="511"/>
      <c r="K562" s="511"/>
      <c r="L562" s="511"/>
      <c r="M562" s="511"/>
      <c r="N562" s="511"/>
      <c r="O562" s="511"/>
      <c r="P562" s="511"/>
      <c r="Q562" s="511"/>
      <c r="R562" s="511"/>
      <c r="S562" s="511"/>
      <c r="T562" s="511"/>
      <c r="U562" s="511"/>
      <c r="V562" s="511"/>
      <c r="W562" s="511"/>
      <c r="X562" s="511"/>
      <c r="Y562" s="511"/>
      <c r="Z562" s="511"/>
      <c r="AA562" s="511"/>
      <c r="AB562" s="511"/>
      <c r="AC562" s="511"/>
      <c r="AD562" s="511"/>
      <c r="AE562" s="511"/>
      <c r="AF562" s="511"/>
      <c r="AG562" s="511"/>
      <c r="AH562" s="511"/>
      <c r="AI562" s="511"/>
      <c r="AJ562" s="511"/>
      <c r="AK562" s="511"/>
      <c r="AL562" s="511"/>
      <c r="AM562" s="511"/>
      <c r="AN562" s="511"/>
      <c r="AO562" s="511"/>
      <c r="AP562" s="511"/>
      <c r="AQ562" s="511"/>
      <c r="AR562" s="511"/>
      <c r="AS562" s="511"/>
      <c r="AT562" s="511"/>
      <c r="AU562" s="511"/>
      <c r="AV562" s="511"/>
      <c r="AW562" s="511"/>
      <c r="AX562" s="511"/>
      <c r="AY562" s="511"/>
      <c r="AZ562" s="511"/>
      <c r="BA562" s="511"/>
    </row>
    <row r="563" spans="1:53" customFormat="1">
      <c r="A563" s="511"/>
      <c r="B563" s="511"/>
      <c r="C563" s="511"/>
      <c r="D563" s="511"/>
      <c r="E563" s="511"/>
      <c r="F563" s="511"/>
      <c r="G563" s="511"/>
      <c r="H563" s="517"/>
      <c r="I563" s="511"/>
      <c r="J563" s="511"/>
      <c r="K563" s="511"/>
      <c r="L563" s="511"/>
      <c r="M563" s="511"/>
      <c r="N563" s="511"/>
      <c r="O563" s="511"/>
      <c r="P563" s="511"/>
      <c r="Q563" s="511"/>
      <c r="R563" s="511"/>
      <c r="S563" s="511"/>
      <c r="T563" s="511"/>
      <c r="U563" s="511"/>
      <c r="V563" s="511"/>
      <c r="W563" s="511"/>
      <c r="X563" s="511"/>
      <c r="Y563" s="511"/>
      <c r="Z563" s="511"/>
      <c r="AA563" s="511"/>
      <c r="AB563" s="511"/>
      <c r="AC563" s="511"/>
      <c r="AD563" s="511"/>
      <c r="AE563" s="511"/>
      <c r="AF563" s="511"/>
      <c r="AG563" s="511"/>
      <c r="AH563" s="511"/>
      <c r="AI563" s="511"/>
      <c r="AJ563" s="511"/>
      <c r="AK563" s="511"/>
      <c r="AL563" s="511"/>
      <c r="AM563" s="511"/>
      <c r="AN563" s="511"/>
      <c r="AO563" s="511"/>
      <c r="AP563" s="511"/>
      <c r="AQ563" s="511"/>
      <c r="AR563" s="511"/>
      <c r="AS563" s="511"/>
      <c r="AT563" s="511"/>
      <c r="AU563" s="511"/>
      <c r="AV563" s="511"/>
      <c r="AW563" s="511"/>
      <c r="AX563" s="511"/>
      <c r="AY563" s="511"/>
      <c r="AZ563" s="511"/>
      <c r="BA563" s="511"/>
    </row>
    <row r="564" spans="1:53" customFormat="1">
      <c r="A564" s="511"/>
      <c r="B564" s="511"/>
      <c r="C564" s="511"/>
      <c r="D564" s="511"/>
      <c r="E564" s="511"/>
      <c r="F564" s="511"/>
      <c r="G564" s="511"/>
      <c r="H564" s="517"/>
      <c r="I564" s="511"/>
      <c r="J564" s="511"/>
      <c r="K564" s="511"/>
      <c r="L564" s="511"/>
      <c r="M564" s="511"/>
      <c r="N564" s="511"/>
      <c r="O564" s="511"/>
      <c r="P564" s="511"/>
      <c r="Q564" s="511"/>
      <c r="R564" s="511"/>
      <c r="S564" s="511"/>
      <c r="T564" s="511"/>
      <c r="U564" s="511"/>
      <c r="V564" s="511"/>
      <c r="W564" s="511"/>
      <c r="X564" s="511"/>
      <c r="Y564" s="511"/>
      <c r="Z564" s="511"/>
      <c r="AA564" s="511"/>
      <c r="AB564" s="511"/>
      <c r="AC564" s="511"/>
      <c r="AD564" s="511"/>
      <c r="AE564" s="511"/>
      <c r="AF564" s="511"/>
      <c r="AG564" s="511"/>
      <c r="AH564" s="511"/>
      <c r="AI564" s="511"/>
      <c r="AJ564" s="511"/>
      <c r="AK564" s="511"/>
      <c r="AL564" s="511"/>
      <c r="AM564" s="511"/>
      <c r="AN564" s="511"/>
      <c r="AO564" s="511"/>
      <c r="AP564" s="511"/>
      <c r="AQ564" s="511"/>
      <c r="AR564" s="511"/>
      <c r="AS564" s="511"/>
      <c r="AT564" s="511"/>
      <c r="AU564" s="511"/>
      <c r="AV564" s="511"/>
      <c r="AW564" s="511"/>
      <c r="AX564" s="511"/>
      <c r="AY564" s="511"/>
      <c r="AZ564" s="511"/>
      <c r="BA564" s="511"/>
    </row>
    <row r="565" spans="1:53" customFormat="1">
      <c r="A565" s="511"/>
      <c r="B565" s="511"/>
      <c r="C565" s="511"/>
      <c r="D565" s="511"/>
      <c r="E565" s="511"/>
      <c r="F565" s="511"/>
      <c r="G565" s="511"/>
      <c r="H565" s="517"/>
      <c r="I565" s="511"/>
      <c r="J565" s="511"/>
      <c r="K565" s="511"/>
      <c r="L565" s="511"/>
      <c r="M565" s="511"/>
      <c r="N565" s="511"/>
      <c r="O565" s="511"/>
      <c r="P565" s="511"/>
      <c r="Q565" s="511"/>
      <c r="R565" s="511"/>
      <c r="S565" s="511"/>
      <c r="T565" s="511"/>
      <c r="U565" s="511"/>
      <c r="V565" s="511"/>
      <c r="W565" s="511"/>
      <c r="X565" s="511"/>
      <c r="Y565" s="511"/>
      <c r="Z565" s="511"/>
      <c r="AA565" s="511"/>
      <c r="AB565" s="511"/>
      <c r="AC565" s="511"/>
      <c r="AD565" s="511"/>
      <c r="AE565" s="511"/>
      <c r="AF565" s="511"/>
      <c r="AG565" s="511"/>
      <c r="AH565" s="511"/>
      <c r="AI565" s="511"/>
      <c r="AJ565" s="511"/>
      <c r="AK565" s="511"/>
      <c r="AL565" s="511"/>
      <c r="AM565" s="511"/>
      <c r="AN565" s="511"/>
      <c r="AO565" s="511"/>
      <c r="AP565" s="511"/>
      <c r="AQ565" s="511"/>
      <c r="AR565" s="511"/>
      <c r="AS565" s="511"/>
      <c r="AT565" s="511"/>
      <c r="AU565" s="511"/>
      <c r="AV565" s="511"/>
      <c r="AW565" s="511"/>
      <c r="AX565" s="511"/>
      <c r="AY565" s="511"/>
      <c r="AZ565" s="511"/>
      <c r="BA565" s="511"/>
    </row>
    <row r="566" spans="1:53" customFormat="1">
      <c r="A566" s="511"/>
      <c r="B566" s="511"/>
      <c r="C566" s="511"/>
      <c r="D566" s="511"/>
      <c r="E566" s="511"/>
      <c r="F566" s="511"/>
      <c r="G566" s="511"/>
      <c r="H566" s="517"/>
      <c r="I566" s="511"/>
      <c r="J566" s="511"/>
      <c r="K566" s="511"/>
      <c r="L566" s="511"/>
      <c r="M566" s="511"/>
      <c r="N566" s="511"/>
      <c r="O566" s="511"/>
      <c r="P566" s="511"/>
      <c r="Q566" s="511"/>
      <c r="R566" s="511"/>
      <c r="S566" s="511"/>
      <c r="T566" s="511"/>
      <c r="U566" s="511"/>
      <c r="V566" s="511"/>
      <c r="W566" s="511"/>
      <c r="X566" s="511"/>
      <c r="Y566" s="511"/>
      <c r="Z566" s="511"/>
      <c r="AA566" s="511"/>
      <c r="AB566" s="511"/>
      <c r="AC566" s="511"/>
      <c r="AD566" s="511"/>
      <c r="AE566" s="511"/>
      <c r="AF566" s="511"/>
      <c r="AG566" s="511"/>
      <c r="AH566" s="511"/>
      <c r="AI566" s="511"/>
      <c r="AJ566" s="511"/>
      <c r="AK566" s="511"/>
      <c r="AL566" s="511"/>
      <c r="AM566" s="511"/>
      <c r="AN566" s="511"/>
      <c r="AO566" s="511"/>
      <c r="AP566" s="511"/>
      <c r="AQ566" s="511"/>
      <c r="AR566" s="511"/>
      <c r="AS566" s="511"/>
      <c r="AT566" s="511"/>
      <c r="AU566" s="511"/>
      <c r="AV566" s="511"/>
      <c r="AW566" s="511"/>
      <c r="AX566" s="511"/>
      <c r="AY566" s="511"/>
      <c r="AZ566" s="511"/>
      <c r="BA566" s="511"/>
    </row>
    <row r="567" spans="1:53" customFormat="1">
      <c r="A567" s="511"/>
      <c r="B567" s="511"/>
      <c r="C567" s="511"/>
      <c r="D567" s="511"/>
      <c r="E567" s="511"/>
      <c r="F567" s="511"/>
      <c r="G567" s="511"/>
      <c r="H567" s="517"/>
      <c r="I567" s="511"/>
      <c r="J567" s="511"/>
      <c r="K567" s="511"/>
      <c r="L567" s="511"/>
      <c r="M567" s="511"/>
      <c r="N567" s="511"/>
      <c r="O567" s="511"/>
      <c r="P567" s="511"/>
      <c r="Q567" s="511"/>
      <c r="R567" s="511"/>
      <c r="S567" s="511"/>
      <c r="T567" s="511"/>
      <c r="U567" s="511"/>
      <c r="V567" s="511"/>
      <c r="W567" s="511"/>
      <c r="X567" s="511"/>
      <c r="Y567" s="511"/>
      <c r="Z567" s="511"/>
      <c r="AA567" s="511"/>
      <c r="AB567" s="511"/>
      <c r="AC567" s="511"/>
      <c r="AD567" s="511"/>
      <c r="AE567" s="511"/>
      <c r="AF567" s="511"/>
      <c r="AG567" s="511"/>
      <c r="AH567" s="511"/>
      <c r="AI567" s="511"/>
      <c r="AJ567" s="511"/>
      <c r="AK567" s="511"/>
      <c r="AL567" s="511"/>
      <c r="AM567" s="511"/>
      <c r="AN567" s="511"/>
      <c r="AO567" s="511"/>
      <c r="AP567" s="511"/>
      <c r="AQ567" s="511"/>
      <c r="AR567" s="511"/>
      <c r="AS567" s="511"/>
      <c r="AT567" s="511"/>
      <c r="AU567" s="511"/>
      <c r="AV567" s="511"/>
      <c r="AW567" s="511"/>
      <c r="AX567" s="511"/>
      <c r="AY567" s="511"/>
      <c r="AZ567" s="511"/>
      <c r="BA567" s="511"/>
    </row>
    <row r="568" spans="1:53" customFormat="1">
      <c r="A568" s="511"/>
      <c r="B568" s="511"/>
      <c r="C568" s="511"/>
      <c r="D568" s="511"/>
      <c r="E568" s="511"/>
      <c r="F568" s="511"/>
      <c r="G568" s="511"/>
      <c r="H568" s="517"/>
      <c r="I568" s="511"/>
      <c r="J568" s="511"/>
      <c r="K568" s="511"/>
      <c r="L568" s="511"/>
      <c r="M568" s="511"/>
      <c r="N568" s="511"/>
      <c r="O568" s="511"/>
      <c r="P568" s="511"/>
      <c r="Q568" s="511"/>
      <c r="R568" s="511"/>
      <c r="S568" s="511"/>
      <c r="T568" s="511"/>
      <c r="U568" s="511"/>
      <c r="V568" s="511"/>
      <c r="W568" s="511"/>
      <c r="X568" s="511"/>
      <c r="Y568" s="511"/>
      <c r="Z568" s="511"/>
      <c r="AA568" s="511"/>
      <c r="AB568" s="511"/>
      <c r="AC568" s="511"/>
      <c r="AD568" s="511"/>
      <c r="AE568" s="511"/>
      <c r="AF568" s="511"/>
      <c r="AG568" s="511"/>
      <c r="AH568" s="511"/>
      <c r="AI568" s="511"/>
      <c r="AJ568" s="511"/>
      <c r="AK568" s="511"/>
      <c r="AL568" s="511"/>
      <c r="AM568" s="511"/>
      <c r="AN568" s="511"/>
      <c r="AO568" s="511"/>
      <c r="AP568" s="511"/>
      <c r="AQ568" s="511"/>
      <c r="AR568" s="511"/>
      <c r="AS568" s="511"/>
      <c r="AT568" s="511"/>
      <c r="AU568" s="511"/>
      <c r="AV568" s="511"/>
      <c r="AW568" s="511"/>
      <c r="AX568" s="511"/>
      <c r="AY568" s="511"/>
      <c r="AZ568" s="511"/>
      <c r="BA568" s="511"/>
    </row>
    <row r="569" spans="1:53" customFormat="1">
      <c r="A569" s="511"/>
      <c r="B569" s="511"/>
      <c r="C569" s="511"/>
      <c r="D569" s="511"/>
      <c r="E569" s="511"/>
      <c r="F569" s="511"/>
      <c r="G569" s="511"/>
      <c r="H569" s="517"/>
      <c r="I569" s="511"/>
      <c r="J569" s="511"/>
      <c r="K569" s="511"/>
      <c r="L569" s="511"/>
      <c r="M569" s="511"/>
      <c r="N569" s="511"/>
      <c r="O569" s="511"/>
      <c r="P569" s="511"/>
      <c r="Q569" s="511"/>
      <c r="R569" s="511"/>
      <c r="S569" s="511"/>
      <c r="T569" s="511"/>
      <c r="U569" s="511"/>
      <c r="V569" s="511"/>
      <c r="W569" s="511"/>
      <c r="X569" s="511"/>
      <c r="Y569" s="511"/>
      <c r="Z569" s="511"/>
      <c r="AA569" s="511"/>
      <c r="AB569" s="511"/>
      <c r="AC569" s="511"/>
      <c r="AD569" s="511"/>
      <c r="AE569" s="511"/>
      <c r="AF569" s="511"/>
      <c r="AG569" s="511"/>
      <c r="AH569" s="511"/>
      <c r="AI569" s="511"/>
      <c r="AJ569" s="511"/>
      <c r="AK569" s="511"/>
      <c r="AL569" s="511"/>
      <c r="AM569" s="511"/>
      <c r="AN569" s="511"/>
      <c r="AO569" s="511"/>
      <c r="AP569" s="511"/>
      <c r="AQ569" s="511"/>
      <c r="AR569" s="511"/>
      <c r="AS569" s="511"/>
      <c r="AT569" s="511"/>
      <c r="AU569" s="511"/>
      <c r="AV569" s="511"/>
      <c r="AW569" s="511"/>
      <c r="AX569" s="511"/>
      <c r="AY569" s="511"/>
      <c r="AZ569" s="511"/>
      <c r="BA569" s="511"/>
    </row>
    <row r="570" spans="1:53" customFormat="1">
      <c r="A570" s="511"/>
      <c r="B570" s="511"/>
      <c r="C570" s="511"/>
      <c r="D570" s="511"/>
      <c r="E570" s="511"/>
      <c r="F570" s="511"/>
      <c r="G570" s="511"/>
      <c r="H570" s="517"/>
      <c r="I570" s="511"/>
      <c r="J570" s="511"/>
      <c r="K570" s="511"/>
      <c r="L570" s="511"/>
      <c r="M570" s="511"/>
      <c r="N570" s="511"/>
      <c r="O570" s="511"/>
      <c r="P570" s="511"/>
      <c r="Q570" s="511"/>
      <c r="R570" s="511"/>
      <c r="S570" s="511"/>
      <c r="T570" s="511"/>
      <c r="U570" s="511"/>
      <c r="V570" s="511"/>
      <c r="W570" s="511"/>
      <c r="X570" s="511"/>
      <c r="Y570" s="511"/>
      <c r="Z570" s="511"/>
      <c r="AA570" s="511"/>
      <c r="AB570" s="511"/>
      <c r="AC570" s="511"/>
      <c r="AD570" s="511"/>
      <c r="AE570" s="511"/>
      <c r="AF570" s="511"/>
      <c r="AG570" s="511"/>
      <c r="AH570" s="511"/>
      <c r="AI570" s="511"/>
      <c r="AJ570" s="511"/>
      <c r="AK570" s="511"/>
      <c r="AL570" s="511"/>
      <c r="AM570" s="511"/>
      <c r="AN570" s="511"/>
      <c r="AO570" s="511"/>
      <c r="AP570" s="511"/>
      <c r="AQ570" s="511"/>
      <c r="AR570" s="511"/>
      <c r="AS570" s="511"/>
      <c r="AT570" s="511"/>
      <c r="AU570" s="511"/>
      <c r="AV570" s="511"/>
      <c r="AW570" s="511"/>
      <c r="AX570" s="511"/>
      <c r="AY570" s="511"/>
      <c r="AZ570" s="511"/>
      <c r="BA570" s="511"/>
    </row>
    <row r="571" spans="1:53" customFormat="1">
      <c r="A571" s="511"/>
      <c r="B571" s="511"/>
      <c r="C571" s="511"/>
      <c r="D571" s="511"/>
      <c r="E571" s="511"/>
      <c r="F571" s="511"/>
      <c r="G571" s="511"/>
      <c r="H571" s="517"/>
      <c r="I571" s="511"/>
      <c r="J571" s="511"/>
      <c r="K571" s="511"/>
      <c r="L571" s="511"/>
      <c r="M571" s="511"/>
      <c r="N571" s="511"/>
      <c r="O571" s="511"/>
      <c r="P571" s="511"/>
      <c r="Q571" s="511"/>
      <c r="R571" s="511"/>
      <c r="S571" s="511"/>
      <c r="T571" s="511"/>
      <c r="U571" s="511"/>
      <c r="V571" s="511"/>
      <c r="W571" s="511"/>
      <c r="X571" s="511"/>
      <c r="Y571" s="511"/>
      <c r="Z571" s="511"/>
      <c r="AA571" s="511"/>
      <c r="AB571" s="511"/>
      <c r="AC571" s="511"/>
      <c r="AD571" s="511"/>
      <c r="AE571" s="511"/>
      <c r="AF571" s="511"/>
      <c r="AG571" s="511"/>
      <c r="AH571" s="511"/>
      <c r="AI571" s="511"/>
      <c r="AJ571" s="511"/>
      <c r="AK571" s="511"/>
      <c r="AL571" s="511"/>
      <c r="AM571" s="511"/>
      <c r="AN571" s="511"/>
      <c r="AO571" s="511"/>
      <c r="AP571" s="511"/>
      <c r="AQ571" s="511"/>
      <c r="AR571" s="511"/>
      <c r="AS571" s="511"/>
      <c r="AT571" s="511"/>
      <c r="AU571" s="511"/>
      <c r="AV571" s="511"/>
      <c r="AW571" s="511"/>
      <c r="AX571" s="511"/>
      <c r="AY571" s="511"/>
      <c r="AZ571" s="511"/>
      <c r="BA571" s="511"/>
    </row>
    <row r="572" spans="1:53" customFormat="1">
      <c r="A572" s="511"/>
      <c r="B572" s="511"/>
      <c r="C572" s="511"/>
      <c r="D572" s="511"/>
      <c r="E572" s="511"/>
      <c r="F572" s="511"/>
      <c r="G572" s="511"/>
      <c r="H572" s="517"/>
      <c r="I572" s="511"/>
      <c r="J572" s="511"/>
      <c r="K572" s="511"/>
      <c r="L572" s="511"/>
      <c r="M572" s="511"/>
      <c r="N572" s="511"/>
      <c r="O572" s="511"/>
      <c r="P572" s="511"/>
      <c r="Q572" s="511"/>
      <c r="R572" s="511"/>
      <c r="S572" s="511"/>
      <c r="T572" s="511"/>
      <c r="U572" s="511"/>
      <c r="V572" s="511"/>
      <c r="W572" s="511"/>
      <c r="X572" s="511"/>
      <c r="Y572" s="511"/>
      <c r="Z572" s="511"/>
      <c r="AA572" s="511"/>
      <c r="AB572" s="511"/>
      <c r="AC572" s="511"/>
      <c r="AD572" s="511"/>
      <c r="AE572" s="511"/>
      <c r="AF572" s="511"/>
      <c r="AG572" s="511"/>
      <c r="AH572" s="511"/>
      <c r="AI572" s="511"/>
      <c r="AJ572" s="511"/>
      <c r="AK572" s="511"/>
      <c r="AL572" s="511"/>
      <c r="AM572" s="511"/>
      <c r="AN572" s="511"/>
      <c r="AO572" s="511"/>
      <c r="AP572" s="511"/>
      <c r="AQ572" s="511"/>
      <c r="AR572" s="511"/>
      <c r="AS572" s="511"/>
      <c r="AT572" s="511"/>
      <c r="AU572" s="511"/>
      <c r="AV572" s="511"/>
      <c r="AW572" s="511"/>
      <c r="AX572" s="511"/>
      <c r="AY572" s="511"/>
      <c r="AZ572" s="511"/>
      <c r="BA572" s="511"/>
    </row>
    <row r="573" spans="1:53" customFormat="1">
      <c r="A573" s="511"/>
      <c r="B573" s="511"/>
      <c r="C573" s="511"/>
      <c r="D573" s="511"/>
      <c r="E573" s="511"/>
      <c r="F573" s="511"/>
      <c r="G573" s="511"/>
      <c r="H573" s="517"/>
      <c r="I573" s="511"/>
      <c r="J573" s="511"/>
      <c r="K573" s="511"/>
      <c r="L573" s="511"/>
      <c r="M573" s="511"/>
      <c r="N573" s="511"/>
      <c r="O573" s="511"/>
      <c r="P573" s="511"/>
      <c r="Q573" s="511"/>
      <c r="R573" s="511"/>
      <c r="S573" s="511"/>
      <c r="T573" s="511"/>
      <c r="U573" s="511"/>
      <c r="V573" s="511"/>
      <c r="W573" s="511"/>
      <c r="X573" s="511"/>
      <c r="Y573" s="511"/>
      <c r="Z573" s="511"/>
      <c r="AA573" s="511"/>
      <c r="AB573" s="511"/>
      <c r="AC573" s="511"/>
      <c r="AD573" s="511"/>
      <c r="AE573" s="511"/>
      <c r="AF573" s="511"/>
      <c r="AG573" s="511"/>
      <c r="AH573" s="511"/>
      <c r="AI573" s="511"/>
      <c r="AJ573" s="511"/>
      <c r="AK573" s="511"/>
      <c r="AL573" s="511"/>
      <c r="AM573" s="511"/>
      <c r="AN573" s="511"/>
      <c r="AO573" s="511"/>
      <c r="AP573" s="511"/>
      <c r="AQ573" s="511"/>
      <c r="AR573" s="511"/>
      <c r="AS573" s="511"/>
      <c r="AT573" s="511"/>
      <c r="AU573" s="511"/>
      <c r="AV573" s="511"/>
      <c r="AW573" s="511"/>
      <c r="AX573" s="511"/>
      <c r="AY573" s="511"/>
      <c r="AZ573" s="511"/>
      <c r="BA573" s="511"/>
    </row>
    <row r="574" spans="1:53" customFormat="1">
      <c r="A574" s="511"/>
      <c r="B574" s="511"/>
      <c r="C574" s="511"/>
      <c r="D574" s="511"/>
      <c r="E574" s="511"/>
      <c r="F574" s="511"/>
      <c r="G574" s="511"/>
      <c r="H574" s="517"/>
      <c r="I574" s="511"/>
      <c r="J574" s="511"/>
      <c r="K574" s="511"/>
      <c r="L574" s="511"/>
      <c r="M574" s="511"/>
      <c r="N574" s="511"/>
      <c r="O574" s="511"/>
      <c r="P574" s="511"/>
      <c r="Q574" s="511"/>
      <c r="R574" s="511"/>
      <c r="S574" s="511"/>
      <c r="T574" s="511"/>
      <c r="U574" s="511"/>
      <c r="V574" s="511"/>
      <c r="W574" s="511"/>
      <c r="X574" s="511"/>
      <c r="Y574" s="511"/>
      <c r="Z574" s="511"/>
      <c r="AA574" s="511"/>
      <c r="AB574" s="511"/>
      <c r="AC574" s="511"/>
      <c r="AD574" s="511"/>
      <c r="AE574" s="511"/>
      <c r="AF574" s="511"/>
      <c r="AG574" s="511"/>
      <c r="AH574" s="511"/>
      <c r="AI574" s="511"/>
      <c r="AJ574" s="511"/>
      <c r="AK574" s="511"/>
      <c r="AL574" s="511"/>
      <c r="AM574" s="511"/>
      <c r="AN574" s="511"/>
      <c r="AO574" s="511"/>
      <c r="AP574" s="511"/>
      <c r="AQ574" s="511"/>
      <c r="AR574" s="511"/>
      <c r="AS574" s="511"/>
      <c r="AT574" s="511"/>
      <c r="AU574" s="511"/>
      <c r="AV574" s="511"/>
      <c r="AW574" s="511"/>
      <c r="AX574" s="511"/>
      <c r="AY574" s="511"/>
      <c r="AZ574" s="511"/>
      <c r="BA574" s="511"/>
    </row>
    <row r="575" spans="1:53" customFormat="1">
      <c r="A575" s="511"/>
      <c r="B575" s="511"/>
      <c r="C575" s="511"/>
      <c r="D575" s="511"/>
      <c r="E575" s="511"/>
      <c r="F575" s="511"/>
      <c r="G575" s="511"/>
      <c r="H575" s="517"/>
      <c r="I575" s="511"/>
      <c r="J575" s="511"/>
      <c r="K575" s="511"/>
      <c r="L575" s="511"/>
      <c r="M575" s="511"/>
      <c r="N575" s="511"/>
      <c r="O575" s="511"/>
      <c r="P575" s="511"/>
      <c r="Q575" s="511"/>
      <c r="R575" s="511"/>
      <c r="S575" s="511"/>
      <c r="T575" s="511"/>
      <c r="U575" s="511"/>
      <c r="V575" s="511"/>
      <c r="W575" s="511"/>
      <c r="X575" s="511"/>
      <c r="Y575" s="511"/>
      <c r="Z575" s="511"/>
      <c r="AA575" s="511"/>
      <c r="AB575" s="511"/>
      <c r="AC575" s="511"/>
      <c r="AD575" s="511"/>
      <c r="AE575" s="511"/>
      <c r="AF575" s="511"/>
      <c r="AG575" s="511"/>
      <c r="AH575" s="511"/>
      <c r="AI575" s="511"/>
      <c r="AJ575" s="511"/>
      <c r="AK575" s="511"/>
      <c r="AL575" s="511"/>
      <c r="AM575" s="511"/>
      <c r="AN575" s="511"/>
      <c r="AO575" s="511"/>
      <c r="AP575" s="511"/>
      <c r="AQ575" s="511"/>
      <c r="AR575" s="511"/>
      <c r="AS575" s="511"/>
      <c r="AT575" s="511"/>
      <c r="AU575" s="511"/>
      <c r="AV575" s="511"/>
      <c r="AW575" s="511"/>
      <c r="AX575" s="511"/>
      <c r="AY575" s="511"/>
      <c r="AZ575" s="511"/>
      <c r="BA575" s="511"/>
    </row>
    <row r="576" spans="1:53" customFormat="1">
      <c r="A576" s="511"/>
      <c r="B576" s="511"/>
      <c r="C576" s="511"/>
      <c r="D576" s="511"/>
      <c r="E576" s="511"/>
      <c r="F576" s="511"/>
      <c r="G576" s="511"/>
      <c r="H576" s="517"/>
      <c r="I576" s="511"/>
      <c r="J576" s="511"/>
      <c r="K576" s="511"/>
      <c r="L576" s="511"/>
      <c r="M576" s="511"/>
      <c r="N576" s="511"/>
      <c r="O576" s="511"/>
      <c r="P576" s="511"/>
      <c r="Q576" s="511"/>
      <c r="R576" s="511"/>
      <c r="S576" s="511"/>
      <c r="T576" s="511"/>
      <c r="U576" s="511"/>
      <c r="V576" s="511"/>
      <c r="W576" s="511"/>
      <c r="X576" s="511"/>
      <c r="Y576" s="511"/>
      <c r="Z576" s="511"/>
      <c r="AA576" s="511"/>
      <c r="AB576" s="511"/>
      <c r="AC576" s="511"/>
      <c r="AD576" s="511"/>
      <c r="AE576" s="511"/>
      <c r="AF576" s="511"/>
      <c r="AG576" s="511"/>
      <c r="AH576" s="511"/>
      <c r="AI576" s="511"/>
      <c r="AJ576" s="511"/>
      <c r="AK576" s="511"/>
      <c r="AL576" s="511"/>
      <c r="AM576" s="511"/>
      <c r="AN576" s="511"/>
      <c r="AO576" s="511"/>
      <c r="AP576" s="511"/>
      <c r="AQ576" s="511"/>
      <c r="AR576" s="511"/>
      <c r="AS576" s="511"/>
      <c r="AT576" s="511"/>
      <c r="AU576" s="511"/>
      <c r="AV576" s="511"/>
      <c r="AW576" s="511"/>
      <c r="AX576" s="511"/>
      <c r="AY576" s="511"/>
      <c r="AZ576" s="511"/>
      <c r="BA576" s="511"/>
    </row>
    <row r="577" spans="1:53" customFormat="1">
      <c r="A577" s="511"/>
      <c r="B577" s="511"/>
      <c r="C577" s="511"/>
      <c r="D577" s="511"/>
      <c r="E577" s="511"/>
      <c r="F577" s="511"/>
      <c r="G577" s="511"/>
      <c r="H577" s="517"/>
      <c r="I577" s="511"/>
      <c r="J577" s="511"/>
      <c r="K577" s="511"/>
      <c r="L577" s="511"/>
      <c r="M577" s="511"/>
      <c r="N577" s="511"/>
      <c r="O577" s="511"/>
      <c r="P577" s="511"/>
      <c r="Q577" s="511"/>
      <c r="R577" s="511"/>
      <c r="S577" s="511"/>
      <c r="T577" s="511"/>
      <c r="U577" s="511"/>
      <c r="V577" s="511"/>
      <c r="W577" s="511"/>
      <c r="X577" s="511"/>
      <c r="Y577" s="511"/>
      <c r="Z577" s="511"/>
      <c r="AA577" s="511"/>
      <c r="AB577" s="511"/>
      <c r="AC577" s="511"/>
      <c r="AD577" s="511"/>
      <c r="AE577" s="511"/>
      <c r="AF577" s="511"/>
      <c r="AG577" s="511"/>
      <c r="AH577" s="511"/>
      <c r="AI577" s="511"/>
      <c r="AJ577" s="511"/>
      <c r="AK577" s="511"/>
      <c r="AL577" s="511"/>
      <c r="AM577" s="511"/>
      <c r="AN577" s="511"/>
      <c r="AO577" s="511"/>
      <c r="AP577" s="511"/>
      <c r="AQ577" s="511"/>
      <c r="AR577" s="511"/>
      <c r="AS577" s="511"/>
      <c r="AT577" s="511"/>
      <c r="AU577" s="511"/>
      <c r="AV577" s="511"/>
      <c r="AW577" s="511"/>
      <c r="AX577" s="511"/>
      <c r="AY577" s="511"/>
      <c r="AZ577" s="511"/>
      <c r="BA577" s="511"/>
    </row>
    <row r="578" spans="1:53" customFormat="1">
      <c r="A578" s="511"/>
      <c r="B578" s="511"/>
      <c r="C578" s="511"/>
      <c r="D578" s="511"/>
      <c r="E578" s="511"/>
      <c r="F578" s="511"/>
      <c r="G578" s="511"/>
      <c r="H578" s="517"/>
      <c r="I578" s="511"/>
      <c r="J578" s="511"/>
      <c r="K578" s="511"/>
      <c r="L578" s="511"/>
      <c r="M578" s="511"/>
      <c r="N578" s="511"/>
      <c r="O578" s="511"/>
      <c r="P578" s="511"/>
      <c r="Q578" s="511"/>
      <c r="R578" s="511"/>
      <c r="S578" s="511"/>
      <c r="T578" s="511"/>
      <c r="U578" s="511"/>
      <c r="V578" s="511"/>
      <c r="W578" s="511"/>
      <c r="X578" s="511"/>
      <c r="Y578" s="511"/>
      <c r="Z578" s="511"/>
      <c r="AA578" s="511"/>
      <c r="AB578" s="511"/>
      <c r="AC578" s="511"/>
      <c r="AD578" s="511"/>
      <c r="AE578" s="511"/>
      <c r="AF578" s="511"/>
      <c r="AG578" s="511"/>
      <c r="AH578" s="511"/>
      <c r="AI578" s="511"/>
      <c r="AJ578" s="511"/>
      <c r="AK578" s="511"/>
      <c r="AL578" s="511"/>
      <c r="AM578" s="511"/>
      <c r="AN578" s="511"/>
      <c r="AO578" s="511"/>
      <c r="AP578" s="511"/>
      <c r="AQ578" s="511"/>
      <c r="AR578" s="511"/>
      <c r="AS578" s="511"/>
      <c r="AT578" s="511"/>
      <c r="AU578" s="511"/>
      <c r="AV578" s="511"/>
      <c r="AW578" s="511"/>
      <c r="AX578" s="511"/>
      <c r="AY578" s="511"/>
      <c r="AZ578" s="511"/>
      <c r="BA578" s="511"/>
    </row>
    <row r="579" spans="1:53" customFormat="1">
      <c r="A579" s="511"/>
      <c r="B579" s="511"/>
      <c r="C579" s="511"/>
      <c r="D579" s="511"/>
      <c r="E579" s="511"/>
      <c r="F579" s="511"/>
      <c r="G579" s="511"/>
      <c r="H579" s="517"/>
      <c r="I579" s="511"/>
      <c r="J579" s="511"/>
      <c r="K579" s="511"/>
      <c r="L579" s="511"/>
      <c r="M579" s="511"/>
      <c r="N579" s="511"/>
      <c r="O579" s="511"/>
      <c r="P579" s="511"/>
      <c r="Q579" s="511"/>
      <c r="R579" s="511"/>
      <c r="S579" s="511"/>
      <c r="T579" s="511"/>
      <c r="U579" s="511"/>
      <c r="V579" s="511"/>
      <c r="W579" s="511"/>
      <c r="X579" s="511"/>
      <c r="Y579" s="511"/>
      <c r="Z579" s="511"/>
      <c r="AA579" s="511"/>
      <c r="AB579" s="511"/>
      <c r="AC579" s="511"/>
      <c r="AD579" s="511"/>
      <c r="AE579" s="511"/>
      <c r="AF579" s="511"/>
      <c r="AG579" s="511"/>
      <c r="AH579" s="511"/>
      <c r="AI579" s="511"/>
      <c r="AJ579" s="511"/>
      <c r="AK579" s="511"/>
      <c r="AL579" s="511"/>
      <c r="AM579" s="511"/>
      <c r="AN579" s="511"/>
      <c r="AO579" s="511"/>
      <c r="AP579" s="511"/>
      <c r="AQ579" s="511"/>
      <c r="AR579" s="511"/>
      <c r="AS579" s="511"/>
      <c r="AT579" s="511"/>
      <c r="AU579" s="511"/>
      <c r="AV579" s="511"/>
      <c r="AW579" s="511"/>
      <c r="AX579" s="511"/>
      <c r="AY579" s="511"/>
      <c r="AZ579" s="511"/>
      <c r="BA579" s="511"/>
    </row>
    <row r="580" spans="1:53" customFormat="1">
      <c r="A580" s="511"/>
      <c r="B580" s="511"/>
      <c r="C580" s="511"/>
      <c r="D580" s="511"/>
      <c r="E580" s="511"/>
      <c r="F580" s="511"/>
      <c r="G580" s="511"/>
      <c r="H580" s="517"/>
      <c r="I580" s="511"/>
      <c r="J580" s="511"/>
      <c r="K580" s="511"/>
      <c r="L580" s="511"/>
      <c r="M580" s="511"/>
      <c r="N580" s="511"/>
      <c r="O580" s="511"/>
      <c r="P580" s="511"/>
      <c r="Q580" s="511"/>
      <c r="R580" s="511"/>
      <c r="S580" s="511"/>
      <c r="T580" s="511"/>
      <c r="U580" s="511"/>
      <c r="V580" s="511"/>
      <c r="W580" s="511"/>
      <c r="X580" s="511"/>
      <c r="Y580" s="511"/>
      <c r="Z580" s="511"/>
      <c r="AA580" s="511"/>
      <c r="AB580" s="511"/>
      <c r="AC580" s="511"/>
      <c r="AD580" s="511"/>
      <c r="AE580" s="511"/>
      <c r="AF580" s="511"/>
      <c r="AG580" s="511"/>
      <c r="AH580" s="511"/>
      <c r="AI580" s="511"/>
      <c r="AJ580" s="511"/>
      <c r="AK580" s="511"/>
      <c r="AL580" s="511"/>
      <c r="AM580" s="511"/>
      <c r="AN580" s="511"/>
      <c r="AO580" s="511"/>
      <c r="AP580" s="511"/>
      <c r="AQ580" s="511"/>
      <c r="AR580" s="511"/>
      <c r="AS580" s="511"/>
      <c r="AT580" s="511"/>
      <c r="AU580" s="511"/>
      <c r="AV580" s="511"/>
      <c r="AW580" s="511"/>
      <c r="AX580" s="511"/>
      <c r="AY580" s="511"/>
      <c r="AZ580" s="511"/>
      <c r="BA580" s="511"/>
    </row>
    <row r="581" spans="1:53" customFormat="1">
      <c r="A581" s="511"/>
      <c r="B581" s="511"/>
      <c r="C581" s="511"/>
      <c r="D581" s="511"/>
      <c r="E581" s="511"/>
      <c r="F581" s="511"/>
      <c r="G581" s="511"/>
      <c r="H581" s="517"/>
      <c r="I581" s="511"/>
      <c r="J581" s="511"/>
      <c r="K581" s="511"/>
      <c r="L581" s="511"/>
      <c r="M581" s="511"/>
      <c r="N581" s="511"/>
      <c r="O581" s="511"/>
      <c r="P581" s="511"/>
      <c r="Q581" s="511"/>
      <c r="R581" s="511"/>
      <c r="S581" s="511"/>
      <c r="T581" s="511"/>
      <c r="U581" s="511"/>
      <c r="V581" s="511"/>
      <c r="W581" s="511"/>
      <c r="X581" s="511"/>
      <c r="Y581" s="511"/>
      <c r="Z581" s="511"/>
      <c r="AA581" s="511"/>
      <c r="AB581" s="511"/>
      <c r="AC581" s="511"/>
      <c r="AD581" s="511"/>
      <c r="AE581" s="511"/>
      <c r="AF581" s="511"/>
      <c r="AG581" s="511"/>
      <c r="AH581" s="511"/>
      <c r="AI581" s="511"/>
      <c r="AJ581" s="511"/>
      <c r="AK581" s="511"/>
      <c r="AL581" s="511"/>
      <c r="AM581" s="511"/>
      <c r="AN581" s="511"/>
      <c r="AO581" s="511"/>
      <c r="AP581" s="511"/>
      <c r="AQ581" s="511"/>
      <c r="AR581" s="511"/>
      <c r="AS581" s="511"/>
      <c r="AT581" s="511"/>
      <c r="AU581" s="511"/>
      <c r="AV581" s="511"/>
      <c r="AW581" s="511"/>
      <c r="AX581" s="511"/>
      <c r="AY581" s="511"/>
      <c r="AZ581" s="511"/>
      <c r="BA581" s="511"/>
    </row>
    <row r="582" spans="1:53" customFormat="1">
      <c r="A582" s="511"/>
      <c r="B582" s="511"/>
      <c r="C582" s="511"/>
      <c r="D582" s="511"/>
      <c r="E582" s="511"/>
      <c r="F582" s="511"/>
      <c r="G582" s="511"/>
      <c r="H582" s="517"/>
      <c r="I582" s="511"/>
      <c r="J582" s="511"/>
      <c r="K582" s="511"/>
      <c r="L582" s="511"/>
      <c r="M582" s="511"/>
      <c r="N582" s="511"/>
      <c r="O582" s="511"/>
      <c r="P582" s="511"/>
      <c r="Q582" s="511"/>
      <c r="R582" s="511"/>
      <c r="S582" s="511"/>
      <c r="T582" s="511"/>
      <c r="U582" s="511"/>
      <c r="V582" s="511"/>
      <c r="W582" s="511"/>
      <c r="X582" s="511"/>
      <c r="Y582" s="511"/>
      <c r="Z582" s="511"/>
      <c r="AA582" s="511"/>
      <c r="AB582" s="511"/>
      <c r="AC582" s="511"/>
      <c r="AD582" s="511"/>
      <c r="AE582" s="511"/>
      <c r="AF582" s="511"/>
      <c r="AG582" s="511"/>
      <c r="AH582" s="511"/>
      <c r="AI582" s="511"/>
      <c r="AJ582" s="511"/>
      <c r="AK582" s="511"/>
      <c r="AL582" s="511"/>
      <c r="AM582" s="511"/>
      <c r="AN582" s="511"/>
      <c r="AO582" s="511"/>
      <c r="AP582" s="511"/>
      <c r="AQ582" s="511"/>
      <c r="AR582" s="511"/>
      <c r="AS582" s="511"/>
      <c r="AT582" s="511"/>
      <c r="AU582" s="511"/>
      <c r="AV582" s="511"/>
      <c r="AW582" s="511"/>
      <c r="AX582" s="511"/>
      <c r="AY582" s="511"/>
      <c r="AZ582" s="511"/>
      <c r="BA582" s="511"/>
    </row>
    <row r="583" spans="1:53" customFormat="1">
      <c r="A583" s="511"/>
      <c r="B583" s="511"/>
      <c r="C583" s="511"/>
      <c r="D583" s="511"/>
      <c r="E583" s="511"/>
      <c r="F583" s="511"/>
      <c r="G583" s="511"/>
      <c r="H583" s="517"/>
      <c r="I583" s="511"/>
      <c r="J583" s="511"/>
      <c r="K583" s="511"/>
      <c r="L583" s="511"/>
      <c r="M583" s="511"/>
      <c r="N583" s="511"/>
      <c r="O583" s="511"/>
      <c r="P583" s="511"/>
      <c r="Q583" s="511"/>
      <c r="R583" s="511"/>
      <c r="S583" s="511"/>
      <c r="T583" s="511"/>
      <c r="U583" s="511"/>
      <c r="V583" s="511"/>
      <c r="W583" s="511"/>
      <c r="X583" s="511"/>
      <c r="Y583" s="511"/>
      <c r="Z583" s="511"/>
      <c r="AA583" s="511"/>
      <c r="AB583" s="511"/>
      <c r="AC583" s="511"/>
      <c r="AD583" s="511"/>
      <c r="AE583" s="511"/>
      <c r="AF583" s="511"/>
      <c r="AG583" s="511"/>
      <c r="AH583" s="511"/>
      <c r="AI583" s="511"/>
      <c r="AJ583" s="511"/>
      <c r="AK583" s="511"/>
      <c r="AL583" s="511"/>
      <c r="AM583" s="511"/>
      <c r="AN583" s="511"/>
      <c r="AO583" s="511"/>
      <c r="AP583" s="511"/>
      <c r="AQ583" s="511"/>
      <c r="AR583" s="511"/>
      <c r="AS583" s="511"/>
      <c r="AT583" s="511"/>
      <c r="AU583" s="511"/>
      <c r="AV583" s="511"/>
      <c r="AW583" s="511"/>
      <c r="AX583" s="511"/>
      <c r="AY583" s="511"/>
      <c r="AZ583" s="511"/>
      <c r="BA583" s="511"/>
    </row>
    <row r="584" spans="1:53" customFormat="1">
      <c r="A584" s="511"/>
      <c r="B584" s="511"/>
      <c r="C584" s="511"/>
      <c r="D584" s="511"/>
      <c r="E584" s="511"/>
      <c r="F584" s="511"/>
      <c r="G584" s="511"/>
      <c r="H584" s="517"/>
      <c r="I584" s="511"/>
      <c r="J584" s="511"/>
      <c r="K584" s="511"/>
      <c r="L584" s="511"/>
      <c r="M584" s="511"/>
      <c r="N584" s="511"/>
      <c r="O584" s="511"/>
      <c r="P584" s="511"/>
      <c r="Q584" s="511"/>
      <c r="R584" s="511"/>
      <c r="S584" s="511"/>
      <c r="T584" s="511"/>
      <c r="U584" s="511"/>
      <c r="V584" s="511"/>
      <c r="W584" s="511"/>
      <c r="X584" s="511"/>
      <c r="Y584" s="511"/>
      <c r="Z584" s="511"/>
      <c r="AA584" s="511"/>
      <c r="AB584" s="511"/>
      <c r="AC584" s="511"/>
      <c r="AD584" s="511"/>
      <c r="AE584" s="511"/>
      <c r="AF584" s="511"/>
      <c r="AG584" s="511"/>
      <c r="AH584" s="511"/>
      <c r="AI584" s="511"/>
      <c r="AJ584" s="511"/>
      <c r="AK584" s="511"/>
      <c r="AL584" s="511"/>
      <c r="AM584" s="511"/>
      <c r="AN584" s="511"/>
      <c r="AO584" s="511"/>
      <c r="AP584" s="511"/>
      <c r="AQ584" s="511"/>
      <c r="AR584" s="511"/>
      <c r="AS584" s="511"/>
      <c r="AT584" s="511"/>
      <c r="AU584" s="511"/>
      <c r="AV584" s="511"/>
      <c r="AW584" s="511"/>
      <c r="AX584" s="511"/>
      <c r="AY584" s="511"/>
      <c r="AZ584" s="511"/>
      <c r="BA584" s="511"/>
    </row>
    <row r="585" spans="1:53" customFormat="1">
      <c r="A585" s="511"/>
      <c r="B585" s="511"/>
      <c r="C585" s="511"/>
      <c r="D585" s="511"/>
      <c r="E585" s="511"/>
      <c r="F585" s="511"/>
      <c r="G585" s="511"/>
      <c r="H585" s="517"/>
      <c r="I585" s="511"/>
      <c r="J585" s="511"/>
      <c r="K585" s="511"/>
      <c r="L585" s="511"/>
      <c r="M585" s="511"/>
      <c r="N585" s="511"/>
      <c r="O585" s="511"/>
      <c r="P585" s="511"/>
      <c r="Q585" s="511"/>
      <c r="R585" s="511"/>
      <c r="S585" s="511"/>
      <c r="T585" s="511"/>
      <c r="U585" s="511"/>
      <c r="V585" s="511"/>
      <c r="W585" s="511"/>
      <c r="X585" s="511"/>
      <c r="Y585" s="511"/>
      <c r="Z585" s="511"/>
      <c r="AA585" s="511"/>
      <c r="AB585" s="511"/>
      <c r="AC585" s="511"/>
      <c r="AD585" s="511"/>
      <c r="AE585" s="511"/>
      <c r="AF585" s="511"/>
      <c r="AG585" s="511"/>
      <c r="AH585" s="511"/>
      <c r="AI585" s="511"/>
      <c r="AJ585" s="511"/>
      <c r="AK585" s="511"/>
      <c r="AL585" s="511"/>
      <c r="AM585" s="511"/>
      <c r="AN585" s="511"/>
      <c r="AO585" s="511"/>
      <c r="AP585" s="511"/>
      <c r="AQ585" s="511"/>
      <c r="AR585" s="511"/>
      <c r="AS585" s="511"/>
      <c r="AT585" s="511"/>
      <c r="AU585" s="511"/>
      <c r="AV585" s="511"/>
      <c r="AW585" s="511"/>
      <c r="AX585" s="511"/>
      <c r="AY585" s="511"/>
      <c r="AZ585" s="511"/>
      <c r="BA585" s="511"/>
    </row>
    <row r="586" spans="1:53" customFormat="1">
      <c r="A586" s="511"/>
      <c r="B586" s="511"/>
      <c r="C586" s="511"/>
      <c r="D586" s="511"/>
      <c r="E586" s="511"/>
      <c r="F586" s="511"/>
      <c r="G586" s="511"/>
      <c r="H586" s="517"/>
      <c r="I586" s="511"/>
      <c r="J586" s="511"/>
      <c r="K586" s="511"/>
      <c r="L586" s="511"/>
      <c r="M586" s="511"/>
      <c r="N586" s="511"/>
      <c r="O586" s="511"/>
      <c r="P586" s="511"/>
      <c r="Q586" s="511"/>
      <c r="R586" s="511"/>
      <c r="S586" s="511"/>
      <c r="T586" s="511"/>
      <c r="U586" s="511"/>
      <c r="V586" s="511"/>
      <c r="W586" s="511"/>
      <c r="X586" s="511"/>
      <c r="Y586" s="511"/>
      <c r="Z586" s="511"/>
      <c r="AA586" s="511"/>
      <c r="AB586" s="511"/>
      <c r="AC586" s="511"/>
      <c r="AD586" s="511"/>
      <c r="AE586" s="511"/>
      <c r="AF586" s="511"/>
      <c r="AG586" s="511"/>
      <c r="AH586" s="511"/>
      <c r="AI586" s="511"/>
      <c r="AJ586" s="511"/>
      <c r="AK586" s="511"/>
      <c r="AL586" s="511"/>
      <c r="AM586" s="511"/>
      <c r="AN586" s="511"/>
      <c r="AO586" s="511"/>
      <c r="AP586" s="511"/>
      <c r="AQ586" s="511"/>
      <c r="AR586" s="511"/>
      <c r="AS586" s="511"/>
      <c r="AT586" s="511"/>
      <c r="AU586" s="511"/>
      <c r="AV586" s="511"/>
      <c r="AW586" s="511"/>
      <c r="AX586" s="511"/>
      <c r="AY586" s="511"/>
      <c r="AZ586" s="511"/>
      <c r="BA586" s="511"/>
    </row>
    <row r="587" spans="1:53" customFormat="1">
      <c r="A587" s="511"/>
      <c r="B587" s="511"/>
      <c r="C587" s="511"/>
      <c r="D587" s="511"/>
      <c r="E587" s="511"/>
      <c r="F587" s="511"/>
      <c r="G587" s="511"/>
      <c r="H587" s="517"/>
      <c r="I587" s="511"/>
      <c r="J587" s="511"/>
      <c r="K587" s="511"/>
      <c r="L587" s="511"/>
      <c r="M587" s="511"/>
      <c r="N587" s="511"/>
      <c r="O587" s="511"/>
      <c r="P587" s="511"/>
      <c r="Q587" s="511"/>
      <c r="R587" s="511"/>
      <c r="S587" s="511"/>
      <c r="T587" s="511"/>
      <c r="U587" s="511"/>
      <c r="V587" s="511"/>
      <c r="W587" s="511"/>
      <c r="X587" s="511"/>
      <c r="Y587" s="511"/>
      <c r="Z587" s="511"/>
      <c r="AA587" s="511"/>
      <c r="AB587" s="511"/>
      <c r="AC587" s="511"/>
      <c r="AD587" s="511"/>
      <c r="AE587" s="511"/>
      <c r="AF587" s="511"/>
      <c r="AG587" s="511"/>
      <c r="AH587" s="511"/>
      <c r="AI587" s="511"/>
      <c r="AJ587" s="511"/>
      <c r="AK587" s="511"/>
      <c r="AL587" s="511"/>
      <c r="AM587" s="511"/>
      <c r="AN587" s="511"/>
      <c r="AO587" s="511"/>
      <c r="AP587" s="511"/>
      <c r="AQ587" s="511"/>
      <c r="AR587" s="511"/>
      <c r="AS587" s="511"/>
      <c r="AT587" s="511"/>
      <c r="AU587" s="511"/>
      <c r="AV587" s="511"/>
      <c r="AW587" s="511"/>
      <c r="AX587" s="511"/>
      <c r="AY587" s="511"/>
      <c r="AZ587" s="511"/>
      <c r="BA587" s="511"/>
    </row>
    <row r="588" spans="1:53" customFormat="1">
      <c r="A588" s="511"/>
      <c r="B588" s="511"/>
      <c r="C588" s="511"/>
      <c r="D588" s="511"/>
      <c r="E588" s="511"/>
      <c r="F588" s="511"/>
      <c r="G588" s="511"/>
      <c r="H588" s="517"/>
      <c r="I588" s="511"/>
      <c r="J588" s="511"/>
      <c r="K588" s="511"/>
      <c r="L588" s="511"/>
      <c r="M588" s="511"/>
      <c r="N588" s="511"/>
      <c r="O588" s="511"/>
      <c r="P588" s="511"/>
      <c r="Q588" s="511"/>
      <c r="R588" s="511"/>
      <c r="S588" s="511"/>
      <c r="T588" s="511"/>
      <c r="U588" s="511"/>
      <c r="V588" s="511"/>
      <c r="W588" s="511"/>
      <c r="X588" s="511"/>
      <c r="Y588" s="511"/>
      <c r="Z588" s="511"/>
      <c r="AA588" s="511"/>
      <c r="AB588" s="511"/>
      <c r="AC588" s="511"/>
      <c r="AD588" s="511"/>
      <c r="AE588" s="511"/>
      <c r="AF588" s="511"/>
      <c r="AG588" s="511"/>
      <c r="AH588" s="511"/>
      <c r="AI588" s="511"/>
      <c r="AJ588" s="511"/>
      <c r="AK588" s="511"/>
      <c r="AL588" s="511"/>
      <c r="AM588" s="511"/>
      <c r="AN588" s="511"/>
      <c r="AO588" s="511"/>
      <c r="AP588" s="511"/>
      <c r="AQ588" s="511"/>
      <c r="AR588" s="511"/>
      <c r="AS588" s="511"/>
      <c r="AT588" s="511"/>
      <c r="AU588" s="511"/>
      <c r="AV588" s="511"/>
      <c r="AW588" s="511"/>
      <c r="AX588" s="511"/>
      <c r="AY588" s="511"/>
      <c r="AZ588" s="511"/>
      <c r="BA588" s="511"/>
    </row>
    <row r="589" spans="1:53" customFormat="1">
      <c r="A589" s="511"/>
      <c r="B589" s="511"/>
      <c r="C589" s="511"/>
      <c r="D589" s="511"/>
      <c r="E589" s="511"/>
      <c r="F589" s="511"/>
      <c r="G589" s="511"/>
      <c r="H589" s="517"/>
      <c r="I589" s="511"/>
      <c r="J589" s="511"/>
      <c r="K589" s="511"/>
      <c r="L589" s="511"/>
      <c r="M589" s="511"/>
      <c r="N589" s="511"/>
      <c r="O589" s="511"/>
      <c r="P589" s="511"/>
      <c r="Q589" s="511"/>
      <c r="R589" s="511"/>
      <c r="S589" s="511"/>
      <c r="T589" s="511"/>
      <c r="U589" s="511"/>
      <c r="V589" s="511"/>
      <c r="W589" s="511"/>
      <c r="X589" s="511"/>
      <c r="Y589" s="511"/>
      <c r="Z589" s="511"/>
      <c r="AA589" s="511"/>
      <c r="AB589" s="511"/>
      <c r="AC589" s="511"/>
      <c r="AD589" s="511"/>
      <c r="AE589" s="511"/>
      <c r="AF589" s="511"/>
      <c r="AG589" s="511"/>
      <c r="AH589" s="511"/>
      <c r="AI589" s="511"/>
      <c r="AJ589" s="511"/>
      <c r="AK589" s="511"/>
      <c r="AL589" s="511"/>
      <c r="AM589" s="511"/>
      <c r="AN589" s="511"/>
      <c r="AO589" s="511"/>
      <c r="AP589" s="511"/>
      <c r="AQ589" s="511"/>
      <c r="AR589" s="511"/>
      <c r="AS589" s="511"/>
      <c r="AT589" s="511"/>
      <c r="AU589" s="511"/>
      <c r="AV589" s="511"/>
      <c r="AW589" s="511"/>
      <c r="AX589" s="511"/>
      <c r="AY589" s="511"/>
      <c r="AZ589" s="511"/>
      <c r="BA589" s="511"/>
    </row>
    <row r="590" spans="1:53" customFormat="1">
      <c r="A590" s="511"/>
      <c r="B590" s="511"/>
      <c r="C590" s="511"/>
      <c r="D590" s="511"/>
      <c r="E590" s="511"/>
      <c r="F590" s="511"/>
      <c r="G590" s="511"/>
      <c r="H590" s="517"/>
      <c r="I590" s="511"/>
      <c r="J590" s="511"/>
      <c r="K590" s="511"/>
      <c r="L590" s="511"/>
      <c r="M590" s="511"/>
      <c r="N590" s="511"/>
      <c r="O590" s="511"/>
      <c r="P590" s="511"/>
      <c r="Q590" s="511"/>
      <c r="R590" s="511"/>
      <c r="S590" s="511"/>
      <c r="T590" s="511"/>
      <c r="U590" s="511"/>
      <c r="V590" s="511"/>
      <c r="W590" s="511"/>
      <c r="X590" s="511"/>
      <c r="Y590" s="511"/>
      <c r="Z590" s="511"/>
      <c r="AA590" s="511"/>
      <c r="AB590" s="511"/>
      <c r="AC590" s="511"/>
      <c r="AD590" s="511"/>
      <c r="AE590" s="511"/>
      <c r="AF590" s="511"/>
      <c r="AG590" s="511"/>
      <c r="AH590" s="511"/>
      <c r="AI590" s="511"/>
      <c r="AJ590" s="511"/>
      <c r="AK590" s="511"/>
      <c r="AL590" s="511"/>
      <c r="AM590" s="511"/>
      <c r="AN590" s="511"/>
      <c r="AO590" s="511"/>
      <c r="AP590" s="511"/>
      <c r="AQ590" s="511"/>
      <c r="AR590" s="511"/>
      <c r="AS590" s="511"/>
      <c r="AT590" s="511"/>
      <c r="AU590" s="511"/>
      <c r="AV590" s="511"/>
      <c r="AW590" s="511"/>
      <c r="AX590" s="511"/>
      <c r="AY590" s="511"/>
      <c r="AZ590" s="511"/>
      <c r="BA590" s="511"/>
    </row>
    <row r="591" spans="1:53" customFormat="1">
      <c r="A591" s="511"/>
      <c r="B591" s="511"/>
      <c r="C591" s="511"/>
      <c r="D591" s="511"/>
      <c r="E591" s="511"/>
      <c r="F591" s="511"/>
      <c r="G591" s="511"/>
      <c r="H591" s="517"/>
      <c r="I591" s="511"/>
      <c r="J591" s="511"/>
      <c r="K591" s="511"/>
      <c r="L591" s="511"/>
      <c r="M591" s="511"/>
      <c r="N591" s="511"/>
      <c r="O591" s="511"/>
      <c r="P591" s="511"/>
      <c r="Q591" s="511"/>
      <c r="R591" s="511"/>
      <c r="S591" s="511"/>
      <c r="T591" s="511"/>
      <c r="U591" s="511"/>
      <c r="V591" s="511"/>
      <c r="W591" s="511"/>
      <c r="X591" s="511"/>
      <c r="Y591" s="511"/>
      <c r="Z591" s="511"/>
      <c r="AA591" s="511"/>
      <c r="AB591" s="511"/>
      <c r="AC591" s="511"/>
      <c r="AD591" s="511"/>
      <c r="AE591" s="511"/>
      <c r="AF591" s="511"/>
      <c r="AG591" s="511"/>
      <c r="AH591" s="511"/>
      <c r="AI591" s="511"/>
      <c r="AJ591" s="511"/>
      <c r="AK591" s="511"/>
      <c r="AL591" s="511"/>
      <c r="AM591" s="511"/>
      <c r="AN591" s="511"/>
      <c r="AO591" s="511"/>
      <c r="AP591" s="511"/>
      <c r="AQ591" s="511"/>
      <c r="AR591" s="511"/>
      <c r="AS591" s="511"/>
      <c r="AT591" s="511"/>
      <c r="AU591" s="511"/>
      <c r="AV591" s="511"/>
      <c r="AW591" s="511"/>
      <c r="AX591" s="511"/>
      <c r="AY591" s="511"/>
      <c r="AZ591" s="511"/>
      <c r="BA591" s="511"/>
    </row>
    <row r="592" spans="1:53" customFormat="1">
      <c r="A592" s="511"/>
      <c r="B592" s="511"/>
      <c r="C592" s="511"/>
      <c r="D592" s="511"/>
      <c r="E592" s="511"/>
      <c r="F592" s="511"/>
      <c r="G592" s="511"/>
      <c r="H592" s="517"/>
      <c r="I592" s="511"/>
      <c r="J592" s="511"/>
      <c r="K592" s="511"/>
      <c r="L592" s="511"/>
      <c r="M592" s="511"/>
      <c r="N592" s="511"/>
      <c r="O592" s="511"/>
      <c r="P592" s="511"/>
      <c r="Q592" s="511"/>
      <c r="R592" s="511"/>
      <c r="S592" s="511"/>
      <c r="T592" s="511"/>
      <c r="U592" s="511"/>
      <c r="V592" s="511"/>
      <c r="W592" s="511"/>
      <c r="X592" s="511"/>
      <c r="Y592" s="511"/>
      <c r="Z592" s="511"/>
      <c r="AA592" s="511"/>
      <c r="AB592" s="511"/>
      <c r="AC592" s="511"/>
      <c r="AD592" s="511"/>
      <c r="AE592" s="511"/>
      <c r="AF592" s="511"/>
      <c r="AG592" s="511"/>
      <c r="AH592" s="511"/>
      <c r="AI592" s="511"/>
      <c r="AJ592" s="511"/>
      <c r="AK592" s="511"/>
      <c r="AL592" s="511"/>
      <c r="AM592" s="511"/>
      <c r="AN592" s="511"/>
      <c r="AO592" s="511"/>
      <c r="AP592" s="511"/>
      <c r="AQ592" s="511"/>
      <c r="AR592" s="511"/>
      <c r="AS592" s="511"/>
      <c r="AT592" s="511"/>
      <c r="AU592" s="511"/>
      <c r="AV592" s="511"/>
      <c r="AW592" s="511"/>
      <c r="AX592" s="511"/>
      <c r="AY592" s="511"/>
      <c r="AZ592" s="511"/>
      <c r="BA592" s="511"/>
    </row>
    <row r="593" spans="1:53" customFormat="1">
      <c r="A593" s="511"/>
      <c r="B593" s="511"/>
      <c r="C593" s="511"/>
      <c r="D593" s="511"/>
      <c r="E593" s="511"/>
      <c r="F593" s="511"/>
      <c r="G593" s="511"/>
      <c r="H593" s="517"/>
      <c r="I593" s="511"/>
      <c r="J593" s="511"/>
      <c r="K593" s="511"/>
      <c r="L593" s="511"/>
      <c r="M593" s="511"/>
      <c r="N593" s="511"/>
      <c r="O593" s="511"/>
      <c r="P593" s="511"/>
      <c r="Q593" s="511"/>
      <c r="R593" s="511"/>
      <c r="S593" s="511"/>
      <c r="T593" s="511"/>
      <c r="U593" s="511"/>
      <c r="V593" s="511"/>
      <c r="W593" s="511"/>
      <c r="X593" s="511"/>
      <c r="Y593" s="511"/>
      <c r="Z593" s="511"/>
      <c r="AA593" s="511"/>
      <c r="AB593" s="511"/>
      <c r="AC593" s="511"/>
      <c r="AD593" s="511"/>
      <c r="AE593" s="511"/>
      <c r="AF593" s="511"/>
      <c r="AG593" s="511"/>
      <c r="AH593" s="511"/>
      <c r="AI593" s="511"/>
      <c r="AJ593" s="511"/>
      <c r="AK593" s="511"/>
      <c r="AL593" s="511"/>
      <c r="AM593" s="511"/>
      <c r="AN593" s="511"/>
      <c r="AO593" s="511"/>
      <c r="AP593" s="511"/>
      <c r="AQ593" s="511"/>
      <c r="AR593" s="511"/>
      <c r="AS593" s="511"/>
      <c r="AT593" s="511"/>
      <c r="AU593" s="511"/>
      <c r="AV593" s="511"/>
      <c r="AW593" s="511"/>
      <c r="AX593" s="511"/>
      <c r="AY593" s="511"/>
      <c r="AZ593" s="511"/>
      <c r="BA593" s="511"/>
    </row>
    <row r="594" spans="1:53" customFormat="1">
      <c r="A594" s="511"/>
      <c r="B594" s="511"/>
      <c r="C594" s="511"/>
      <c r="D594" s="511"/>
      <c r="E594" s="511"/>
      <c r="F594" s="511"/>
      <c r="G594" s="511"/>
      <c r="H594" s="517"/>
      <c r="I594" s="511"/>
      <c r="J594" s="511"/>
      <c r="K594" s="511"/>
      <c r="L594" s="511"/>
      <c r="M594" s="511"/>
      <c r="N594" s="511"/>
      <c r="O594" s="511"/>
      <c r="P594" s="511"/>
      <c r="Q594" s="511"/>
      <c r="R594" s="511"/>
      <c r="S594" s="511"/>
      <c r="T594" s="511"/>
      <c r="U594" s="511"/>
      <c r="V594" s="511"/>
      <c r="W594" s="511"/>
      <c r="X594" s="511"/>
      <c r="Y594" s="511"/>
      <c r="Z594" s="511"/>
      <c r="AA594" s="511"/>
      <c r="AB594" s="511"/>
      <c r="AC594" s="511"/>
      <c r="AD594" s="511"/>
      <c r="AE594" s="511"/>
      <c r="AF594" s="511"/>
      <c r="AG594" s="511"/>
      <c r="AH594" s="511"/>
      <c r="AI594" s="511"/>
      <c r="AJ594" s="511"/>
      <c r="AK594" s="511"/>
      <c r="AL594" s="511"/>
      <c r="AM594" s="511"/>
      <c r="AN594" s="511"/>
      <c r="AO594" s="511"/>
      <c r="AP594" s="511"/>
      <c r="AQ594" s="511"/>
      <c r="AR594" s="511"/>
      <c r="AS594" s="511"/>
      <c r="AT594" s="511"/>
      <c r="AU594" s="511"/>
      <c r="AV594" s="511"/>
      <c r="AW594" s="511"/>
      <c r="AX594" s="511"/>
      <c r="AY594" s="511"/>
      <c r="AZ594" s="511"/>
      <c r="BA594" s="511"/>
    </row>
    <row r="595" spans="1:53" customFormat="1">
      <c r="A595" s="511"/>
      <c r="B595" s="511"/>
      <c r="C595" s="511"/>
      <c r="D595" s="511"/>
      <c r="E595" s="511"/>
      <c r="F595" s="511"/>
      <c r="G595" s="511"/>
      <c r="H595" s="517"/>
      <c r="I595" s="511"/>
      <c r="J595" s="511"/>
      <c r="K595" s="511"/>
      <c r="L595" s="511"/>
      <c r="M595" s="511"/>
      <c r="N595" s="511"/>
      <c r="O595" s="511"/>
      <c r="P595" s="511"/>
      <c r="Q595" s="511"/>
      <c r="R595" s="511"/>
      <c r="S595" s="511"/>
      <c r="T595" s="511"/>
      <c r="U595" s="511"/>
      <c r="V595" s="511"/>
      <c r="W595" s="511"/>
      <c r="X595" s="511"/>
      <c r="Y595" s="511"/>
      <c r="Z595" s="511"/>
      <c r="AA595" s="511"/>
      <c r="AB595" s="511"/>
      <c r="AC595" s="511"/>
      <c r="AD595" s="511"/>
      <c r="AE595" s="511"/>
      <c r="AF595" s="511"/>
      <c r="AG595" s="511"/>
      <c r="AH595" s="511"/>
      <c r="AI595" s="511"/>
      <c r="AJ595" s="511"/>
      <c r="AK595" s="511"/>
      <c r="AL595" s="511"/>
      <c r="AM595" s="511"/>
      <c r="AN595" s="511"/>
      <c r="AO595" s="511"/>
      <c r="AP595" s="511"/>
      <c r="AQ595" s="511"/>
      <c r="AR595" s="511"/>
      <c r="AS595" s="511"/>
      <c r="AT595" s="511"/>
      <c r="AU595" s="511"/>
      <c r="AV595" s="511"/>
      <c r="AW595" s="511"/>
      <c r="AX595" s="511"/>
      <c r="AY595" s="511"/>
      <c r="AZ595" s="511"/>
      <c r="BA595" s="511"/>
    </row>
    <row r="596" spans="1:53" customFormat="1">
      <c r="A596" s="511"/>
      <c r="B596" s="511"/>
      <c r="C596" s="511"/>
      <c r="D596" s="511"/>
      <c r="E596" s="511"/>
      <c r="F596" s="511"/>
      <c r="G596" s="511"/>
      <c r="H596" s="517"/>
      <c r="I596" s="511"/>
      <c r="J596" s="511"/>
      <c r="K596" s="511"/>
      <c r="L596" s="511"/>
      <c r="M596" s="511"/>
      <c r="N596" s="511"/>
      <c r="O596" s="511"/>
      <c r="P596" s="511"/>
      <c r="Q596" s="511"/>
      <c r="R596" s="511"/>
      <c r="S596" s="511"/>
      <c r="T596" s="511"/>
      <c r="U596" s="511"/>
      <c r="V596" s="511"/>
      <c r="W596" s="511"/>
      <c r="X596" s="511"/>
      <c r="Y596" s="511"/>
      <c r="Z596" s="511"/>
      <c r="AA596" s="511"/>
      <c r="AB596" s="511"/>
      <c r="AC596" s="511"/>
      <c r="AD596" s="511"/>
      <c r="AE596" s="511"/>
      <c r="AF596" s="511"/>
      <c r="AG596" s="511"/>
      <c r="AH596" s="511"/>
      <c r="AI596" s="511"/>
      <c r="AJ596" s="511"/>
      <c r="AK596" s="511"/>
      <c r="AL596" s="511"/>
      <c r="AM596" s="511"/>
      <c r="AN596" s="511"/>
      <c r="AO596" s="511"/>
      <c r="AP596" s="511"/>
      <c r="AQ596" s="511"/>
      <c r="AR596" s="511"/>
      <c r="AS596" s="511"/>
      <c r="AT596" s="511"/>
      <c r="AU596" s="511"/>
      <c r="AV596" s="511"/>
      <c r="AW596" s="511"/>
      <c r="AX596" s="511"/>
      <c r="AY596" s="511"/>
      <c r="AZ596" s="511"/>
      <c r="BA596" s="511"/>
    </row>
    <row r="597" spans="1:53" customFormat="1">
      <c r="A597" s="511"/>
      <c r="B597" s="511"/>
      <c r="C597" s="511"/>
      <c r="D597" s="511"/>
      <c r="E597" s="511"/>
      <c r="F597" s="511"/>
      <c r="G597" s="511"/>
      <c r="H597" s="517"/>
      <c r="I597" s="511"/>
      <c r="J597" s="511"/>
      <c r="K597" s="511"/>
      <c r="L597" s="511"/>
      <c r="M597" s="511"/>
      <c r="N597" s="511"/>
      <c r="O597" s="511"/>
      <c r="P597" s="511"/>
      <c r="Q597" s="511"/>
      <c r="R597" s="511"/>
      <c r="S597" s="511"/>
      <c r="T597" s="511"/>
      <c r="U597" s="511"/>
      <c r="V597" s="511"/>
      <c r="W597" s="511"/>
      <c r="X597" s="511"/>
      <c r="Y597" s="511"/>
      <c r="Z597" s="511"/>
      <c r="AA597" s="511"/>
      <c r="AB597" s="511"/>
      <c r="AC597" s="511"/>
      <c r="AD597" s="511"/>
      <c r="AE597" s="511"/>
      <c r="AF597" s="511"/>
      <c r="AG597" s="511"/>
      <c r="AH597" s="511"/>
      <c r="AI597" s="511"/>
      <c r="AJ597" s="511"/>
      <c r="AK597" s="511"/>
      <c r="AL597" s="511"/>
      <c r="AM597" s="511"/>
      <c r="AN597" s="511"/>
      <c r="AO597" s="511"/>
      <c r="AP597" s="511"/>
      <c r="AQ597" s="511"/>
      <c r="AR597" s="511"/>
      <c r="AS597" s="511"/>
      <c r="AT597" s="511"/>
      <c r="AU597" s="511"/>
      <c r="AV597" s="511"/>
      <c r="AW597" s="511"/>
      <c r="AX597" s="511"/>
      <c r="AY597" s="511"/>
      <c r="AZ597" s="511"/>
      <c r="BA597" s="511"/>
    </row>
    <row r="598" spans="1:53" customFormat="1">
      <c r="A598" s="511"/>
      <c r="B598" s="511"/>
      <c r="C598" s="511"/>
      <c r="D598" s="511"/>
      <c r="E598" s="511"/>
      <c r="F598" s="511"/>
      <c r="G598" s="511"/>
      <c r="H598" s="517"/>
      <c r="I598" s="511"/>
      <c r="J598" s="511"/>
      <c r="K598" s="511"/>
      <c r="L598" s="511"/>
      <c r="M598" s="511"/>
      <c r="N598" s="511"/>
      <c r="O598" s="511"/>
      <c r="P598" s="511"/>
      <c r="Q598" s="511"/>
      <c r="R598" s="511"/>
      <c r="S598" s="511"/>
      <c r="T598" s="511"/>
      <c r="U598" s="511"/>
      <c r="V598" s="511"/>
      <c r="W598" s="511"/>
      <c r="X598" s="511"/>
      <c r="Y598" s="511"/>
      <c r="Z598" s="511"/>
      <c r="AA598" s="511"/>
      <c r="AB598" s="511"/>
      <c r="AC598" s="511"/>
      <c r="AD598" s="511"/>
      <c r="AE598" s="511"/>
      <c r="AF598" s="511"/>
      <c r="AG598" s="511"/>
      <c r="AH598" s="511"/>
      <c r="AI598" s="511"/>
      <c r="AJ598" s="511"/>
      <c r="AK598" s="511"/>
      <c r="AL598" s="511"/>
      <c r="AM598" s="511"/>
      <c r="AN598" s="511"/>
      <c r="AO598" s="511"/>
      <c r="AP598" s="511"/>
      <c r="AQ598" s="511"/>
      <c r="AR598" s="511"/>
      <c r="AS598" s="511"/>
      <c r="AT598" s="511"/>
      <c r="AU598" s="511"/>
      <c r="AV598" s="511"/>
      <c r="AW598" s="511"/>
      <c r="AX598" s="511"/>
      <c r="AY598" s="511"/>
      <c r="AZ598" s="511"/>
      <c r="BA598" s="511"/>
    </row>
    <row r="599" spans="1:53" customFormat="1">
      <c r="A599" s="511"/>
      <c r="B599" s="511"/>
      <c r="C599" s="511"/>
      <c r="D599" s="511"/>
      <c r="E599" s="511"/>
      <c r="F599" s="511"/>
      <c r="G599" s="511"/>
      <c r="H599" s="517"/>
      <c r="I599" s="511"/>
      <c r="J599" s="511"/>
      <c r="K599" s="511"/>
      <c r="L599" s="511"/>
      <c r="M599" s="511"/>
      <c r="N599" s="511"/>
      <c r="O599" s="511"/>
      <c r="P599" s="511"/>
      <c r="Q599" s="511"/>
      <c r="R599" s="511"/>
      <c r="S599" s="511"/>
      <c r="T599" s="511"/>
      <c r="U599" s="511"/>
      <c r="V599" s="511"/>
      <c r="W599" s="511"/>
      <c r="X599" s="511"/>
      <c r="Y599" s="511"/>
      <c r="Z599" s="511"/>
      <c r="AA599" s="511"/>
      <c r="AB599" s="511"/>
      <c r="AC599" s="511"/>
      <c r="AD599" s="511"/>
      <c r="AE599" s="511"/>
      <c r="AF599" s="511"/>
      <c r="AG599" s="511"/>
      <c r="AH599" s="511"/>
      <c r="AI599" s="511"/>
      <c r="AJ599" s="511"/>
      <c r="AK599" s="511"/>
      <c r="AL599" s="511"/>
      <c r="AM599" s="511"/>
      <c r="AN599" s="511"/>
      <c r="AO599" s="511"/>
      <c r="AP599" s="511"/>
      <c r="AQ599" s="511"/>
      <c r="AR599" s="511"/>
      <c r="AS599" s="511"/>
      <c r="AT599" s="511"/>
      <c r="AU599" s="511"/>
      <c r="AV599" s="511"/>
      <c r="AW599" s="511"/>
      <c r="AX599" s="511"/>
      <c r="AY599" s="511"/>
      <c r="AZ599" s="511"/>
      <c r="BA599" s="511"/>
    </row>
    <row r="600" spans="1:53" customFormat="1">
      <c r="A600" s="511"/>
      <c r="B600" s="511"/>
      <c r="C600" s="511"/>
      <c r="D600" s="511"/>
      <c r="E600" s="511"/>
      <c r="F600" s="511"/>
      <c r="G600" s="511"/>
      <c r="H600" s="517"/>
      <c r="I600" s="511"/>
      <c r="J600" s="511"/>
      <c r="K600" s="511"/>
      <c r="L600" s="511"/>
      <c r="M600" s="511"/>
      <c r="N600" s="511"/>
      <c r="O600" s="511"/>
      <c r="P600" s="511"/>
      <c r="Q600" s="511"/>
      <c r="R600" s="511"/>
      <c r="S600" s="511"/>
      <c r="T600" s="511"/>
      <c r="U600" s="511"/>
      <c r="V600" s="511"/>
      <c r="W600" s="511"/>
      <c r="X600" s="511"/>
      <c r="Y600" s="511"/>
      <c r="Z600" s="511"/>
      <c r="AA600" s="511"/>
      <c r="AB600" s="511"/>
      <c r="AC600" s="511"/>
      <c r="AD600" s="511"/>
      <c r="AE600" s="511"/>
      <c r="AF600" s="511"/>
      <c r="AG600" s="511"/>
      <c r="AH600" s="511"/>
      <c r="AI600" s="511"/>
      <c r="AJ600" s="511"/>
      <c r="AK600" s="511"/>
      <c r="AL600" s="511"/>
      <c r="AM600" s="511"/>
      <c r="AN600" s="511"/>
      <c r="AO600" s="511"/>
      <c r="AP600" s="511"/>
      <c r="AQ600" s="511"/>
      <c r="AR600" s="511"/>
      <c r="AS600" s="511"/>
      <c r="AT600" s="511"/>
      <c r="AU600" s="511"/>
      <c r="AV600" s="511"/>
      <c r="AW600" s="511"/>
      <c r="AX600" s="511"/>
      <c r="AY600" s="511"/>
      <c r="AZ600" s="511"/>
      <c r="BA600" s="511"/>
    </row>
    <row r="601" spans="1:53" customFormat="1">
      <c r="A601" s="511"/>
      <c r="B601" s="511"/>
      <c r="C601" s="511"/>
      <c r="D601" s="511"/>
      <c r="E601" s="511"/>
      <c r="F601" s="511"/>
      <c r="G601" s="511"/>
      <c r="H601" s="517"/>
      <c r="I601" s="511"/>
      <c r="J601" s="511"/>
      <c r="K601" s="511"/>
      <c r="L601" s="511"/>
      <c r="M601" s="511"/>
      <c r="N601" s="511"/>
      <c r="O601" s="511"/>
      <c r="P601" s="511"/>
      <c r="Q601" s="511"/>
      <c r="R601" s="511"/>
      <c r="S601" s="511"/>
      <c r="T601" s="511"/>
      <c r="U601" s="511"/>
      <c r="V601" s="511"/>
      <c r="W601" s="511"/>
      <c r="X601" s="511"/>
      <c r="Y601" s="511"/>
      <c r="Z601" s="511"/>
      <c r="AA601" s="511"/>
      <c r="AB601" s="511"/>
      <c r="AC601" s="511"/>
      <c r="AD601" s="511"/>
      <c r="AE601" s="511"/>
      <c r="AF601" s="511"/>
      <c r="AG601" s="511"/>
      <c r="AH601" s="511"/>
      <c r="AI601" s="511"/>
      <c r="AJ601" s="511"/>
      <c r="AK601" s="511"/>
      <c r="AL601" s="511"/>
      <c r="AM601" s="511"/>
      <c r="AN601" s="511"/>
      <c r="AO601" s="511"/>
      <c r="AP601" s="511"/>
      <c r="AQ601" s="511"/>
      <c r="AR601" s="511"/>
      <c r="AS601" s="511"/>
      <c r="AT601" s="511"/>
      <c r="AU601" s="511"/>
      <c r="AV601" s="511"/>
      <c r="AW601" s="511"/>
      <c r="AX601" s="511"/>
      <c r="AY601" s="511"/>
      <c r="AZ601" s="511"/>
      <c r="BA601" s="511"/>
    </row>
    <row r="602" spans="1:53" customFormat="1">
      <c r="A602" s="511"/>
      <c r="B602" s="511"/>
      <c r="C602" s="511"/>
      <c r="D602" s="511"/>
      <c r="E602" s="511"/>
      <c r="F602" s="511"/>
      <c r="G602" s="511"/>
      <c r="H602" s="517"/>
      <c r="I602" s="511"/>
      <c r="J602" s="511"/>
      <c r="K602" s="511"/>
      <c r="L602" s="511"/>
      <c r="M602" s="511"/>
      <c r="N602" s="511"/>
      <c r="O602" s="511"/>
      <c r="P602" s="511"/>
      <c r="Q602" s="511"/>
      <c r="R602" s="511"/>
      <c r="S602" s="511"/>
      <c r="T602" s="511"/>
      <c r="U602" s="511"/>
      <c r="V602" s="511"/>
      <c r="W602" s="511"/>
      <c r="X602" s="511"/>
      <c r="Y602" s="511"/>
      <c r="Z602" s="511"/>
      <c r="AA602" s="511"/>
      <c r="AB602" s="511"/>
      <c r="AC602" s="511"/>
      <c r="AD602" s="511"/>
      <c r="AE602" s="511"/>
      <c r="AF602" s="511"/>
      <c r="AG602" s="511"/>
      <c r="AH602" s="511"/>
      <c r="AI602" s="511"/>
      <c r="AJ602" s="511"/>
      <c r="AK602" s="511"/>
      <c r="AL602" s="511"/>
      <c r="AM602" s="511"/>
      <c r="AN602" s="511"/>
      <c r="AO602" s="511"/>
      <c r="AP602" s="511"/>
      <c r="AQ602" s="511"/>
      <c r="AR602" s="511"/>
      <c r="AS602" s="511"/>
      <c r="AT602" s="511"/>
      <c r="AU602" s="511"/>
      <c r="AV602" s="511"/>
      <c r="AW602" s="511"/>
      <c r="AX602" s="511"/>
      <c r="AY602" s="511"/>
      <c r="AZ602" s="511"/>
      <c r="BA602" s="511"/>
    </row>
    <row r="603" spans="1:53" customFormat="1">
      <c r="A603" s="511"/>
      <c r="B603" s="511"/>
      <c r="C603" s="511"/>
      <c r="D603" s="511"/>
      <c r="E603" s="511"/>
      <c r="F603" s="511"/>
      <c r="G603" s="511"/>
      <c r="H603" s="517"/>
      <c r="I603" s="511"/>
      <c r="J603" s="511"/>
      <c r="K603" s="511"/>
      <c r="L603" s="511"/>
      <c r="M603" s="511"/>
      <c r="N603" s="511"/>
      <c r="O603" s="511"/>
      <c r="P603" s="511"/>
      <c r="Q603" s="511"/>
      <c r="R603" s="511"/>
      <c r="S603" s="511"/>
      <c r="T603" s="511"/>
      <c r="U603" s="511"/>
      <c r="V603" s="511"/>
      <c r="W603" s="511"/>
      <c r="X603" s="511"/>
      <c r="Y603" s="511"/>
      <c r="Z603" s="511"/>
      <c r="AA603" s="511"/>
      <c r="AB603" s="511"/>
      <c r="AC603" s="511"/>
      <c r="AD603" s="511"/>
      <c r="AE603" s="511"/>
      <c r="AF603" s="511"/>
      <c r="AG603" s="511"/>
      <c r="AH603" s="511"/>
      <c r="AI603" s="511"/>
      <c r="AJ603" s="511"/>
      <c r="AK603" s="511"/>
      <c r="AL603" s="511"/>
      <c r="AM603" s="511"/>
      <c r="AN603" s="511"/>
      <c r="AO603" s="511"/>
      <c r="AP603" s="511"/>
      <c r="AQ603" s="511"/>
      <c r="AR603" s="511"/>
      <c r="AS603" s="511"/>
      <c r="AT603" s="511"/>
      <c r="AU603" s="511"/>
      <c r="AV603" s="511"/>
      <c r="AW603" s="511"/>
      <c r="AX603" s="511"/>
      <c r="AY603" s="511"/>
      <c r="AZ603" s="511"/>
      <c r="BA603" s="511"/>
    </row>
    <row r="604" spans="1:53" customFormat="1">
      <c r="A604" s="511"/>
      <c r="B604" s="511"/>
      <c r="C604" s="511"/>
      <c r="D604" s="511"/>
      <c r="E604" s="511"/>
      <c r="F604" s="511"/>
      <c r="G604" s="511"/>
      <c r="H604" s="517"/>
      <c r="I604" s="511"/>
      <c r="J604" s="511"/>
      <c r="K604" s="511"/>
      <c r="L604" s="511"/>
      <c r="M604" s="511"/>
      <c r="N604" s="511"/>
      <c r="O604" s="511"/>
      <c r="P604" s="511"/>
      <c r="Q604" s="511"/>
      <c r="R604" s="511"/>
      <c r="S604" s="511"/>
      <c r="T604" s="511"/>
      <c r="U604" s="511"/>
      <c r="V604" s="511"/>
      <c r="W604" s="511"/>
      <c r="X604" s="511"/>
      <c r="Y604" s="511"/>
      <c r="Z604" s="511"/>
      <c r="AA604" s="511"/>
      <c r="AB604" s="511"/>
      <c r="AC604" s="511"/>
      <c r="AD604" s="511"/>
      <c r="AE604" s="511"/>
      <c r="AF604" s="511"/>
      <c r="AG604" s="511"/>
      <c r="AH604" s="511"/>
      <c r="AI604" s="511"/>
      <c r="AJ604" s="511"/>
      <c r="AK604" s="511"/>
      <c r="AL604" s="511"/>
      <c r="AM604" s="511"/>
      <c r="AN604" s="511"/>
      <c r="AO604" s="511"/>
      <c r="AP604" s="511"/>
      <c r="AQ604" s="511"/>
      <c r="AR604" s="511"/>
      <c r="AS604" s="511"/>
      <c r="AT604" s="511"/>
      <c r="AU604" s="511"/>
      <c r="AV604" s="511"/>
      <c r="AW604" s="511"/>
      <c r="AX604" s="511"/>
      <c r="AY604" s="511"/>
      <c r="AZ604" s="511"/>
      <c r="BA604" s="511"/>
    </row>
    <row r="605" spans="1:53" customFormat="1">
      <c r="A605" s="511"/>
      <c r="B605" s="511"/>
      <c r="C605" s="511"/>
      <c r="D605" s="511"/>
      <c r="E605" s="511"/>
      <c r="F605" s="511"/>
      <c r="G605" s="511"/>
      <c r="H605" s="517"/>
      <c r="I605" s="511"/>
      <c r="J605" s="511"/>
      <c r="K605" s="511"/>
      <c r="L605" s="511"/>
      <c r="M605" s="511"/>
      <c r="N605" s="511"/>
      <c r="O605" s="511"/>
      <c r="P605" s="511"/>
      <c r="Q605" s="511"/>
      <c r="R605" s="511"/>
      <c r="S605" s="511"/>
      <c r="T605" s="511"/>
      <c r="U605" s="511"/>
      <c r="V605" s="511"/>
      <c r="W605" s="511"/>
      <c r="X605" s="511"/>
      <c r="Y605" s="511"/>
      <c r="Z605" s="511"/>
      <c r="AA605" s="511"/>
      <c r="AB605" s="511"/>
      <c r="AC605" s="511"/>
      <c r="AD605" s="511"/>
      <c r="AE605" s="511"/>
      <c r="AF605" s="511"/>
      <c r="AG605" s="511"/>
      <c r="AH605" s="511"/>
      <c r="AI605" s="511"/>
      <c r="AJ605" s="511"/>
      <c r="AK605" s="511"/>
      <c r="AL605" s="511"/>
      <c r="AM605" s="511"/>
      <c r="AN605" s="511"/>
      <c r="AO605" s="511"/>
      <c r="AP605" s="511"/>
      <c r="AQ605" s="511"/>
      <c r="AR605" s="511"/>
      <c r="AS605" s="511"/>
      <c r="AT605" s="511"/>
      <c r="AU605" s="511"/>
      <c r="AV605" s="511"/>
      <c r="AW605" s="511"/>
      <c r="AX605" s="511"/>
      <c r="AY605" s="511"/>
      <c r="AZ605" s="511"/>
      <c r="BA605" s="511"/>
    </row>
    <row r="606" spans="1:53" customFormat="1">
      <c r="A606" s="511"/>
      <c r="B606" s="511"/>
      <c r="C606" s="511"/>
      <c r="D606" s="511"/>
      <c r="E606" s="511"/>
      <c r="F606" s="511"/>
      <c r="G606" s="511"/>
      <c r="H606" s="517"/>
      <c r="I606" s="511"/>
      <c r="J606" s="511"/>
      <c r="K606" s="511"/>
      <c r="L606" s="511"/>
      <c r="M606" s="511"/>
      <c r="N606" s="511"/>
      <c r="O606" s="511"/>
      <c r="P606" s="511"/>
      <c r="Q606" s="511"/>
      <c r="R606" s="511"/>
      <c r="S606" s="511"/>
      <c r="T606" s="511"/>
      <c r="U606" s="511"/>
      <c r="V606" s="511"/>
      <c r="W606" s="511"/>
      <c r="X606" s="511"/>
      <c r="Y606" s="511"/>
      <c r="Z606" s="511"/>
      <c r="AA606" s="511"/>
      <c r="AB606" s="511"/>
      <c r="AC606" s="511"/>
      <c r="AD606" s="511"/>
      <c r="AE606" s="511"/>
      <c r="AF606" s="511"/>
      <c r="AG606" s="511"/>
      <c r="AH606" s="511"/>
      <c r="AI606" s="511"/>
      <c r="AJ606" s="511"/>
      <c r="AK606" s="511"/>
      <c r="AL606" s="511"/>
      <c r="AM606" s="511"/>
      <c r="AN606" s="511"/>
      <c r="AO606" s="511"/>
      <c r="AP606" s="511"/>
      <c r="AQ606" s="511"/>
      <c r="AR606" s="511"/>
      <c r="AS606" s="511"/>
      <c r="AT606" s="511"/>
      <c r="AU606" s="511"/>
      <c r="AV606" s="511"/>
      <c r="AW606" s="511"/>
      <c r="AX606" s="511"/>
      <c r="AY606" s="511"/>
      <c r="AZ606" s="511"/>
      <c r="BA606" s="511"/>
    </row>
    <row r="607" spans="1:53" customFormat="1">
      <c r="A607" s="511"/>
      <c r="B607" s="511"/>
      <c r="C607" s="511"/>
      <c r="D607" s="511"/>
      <c r="E607" s="511"/>
      <c r="F607" s="511"/>
      <c r="G607" s="511"/>
      <c r="H607" s="517"/>
      <c r="I607" s="511"/>
      <c r="J607" s="511"/>
      <c r="K607" s="511"/>
      <c r="L607" s="511"/>
      <c r="M607" s="511"/>
      <c r="N607" s="511"/>
      <c r="O607" s="511"/>
      <c r="P607" s="511"/>
      <c r="Q607" s="511"/>
      <c r="R607" s="511"/>
      <c r="S607" s="511"/>
      <c r="T607" s="511"/>
      <c r="U607" s="511"/>
      <c r="V607" s="511"/>
      <c r="W607" s="511"/>
      <c r="X607" s="511"/>
      <c r="Y607" s="511"/>
      <c r="Z607" s="511"/>
      <c r="AA607" s="511"/>
      <c r="AB607" s="511"/>
      <c r="AC607" s="511"/>
      <c r="AD607" s="511"/>
      <c r="AE607" s="511"/>
      <c r="AF607" s="511"/>
      <c r="AG607" s="511"/>
      <c r="AH607" s="511"/>
      <c r="AI607" s="511"/>
      <c r="AJ607" s="511"/>
      <c r="AK607" s="511"/>
      <c r="AL607" s="511"/>
      <c r="AM607" s="511"/>
      <c r="AN607" s="511"/>
      <c r="AO607" s="511"/>
      <c r="AP607" s="511"/>
      <c r="AQ607" s="511"/>
      <c r="AR607" s="511"/>
      <c r="AS607" s="511"/>
      <c r="AT607" s="511"/>
      <c r="AU607" s="511"/>
      <c r="AV607" s="511"/>
      <c r="AW607" s="511"/>
      <c r="AX607" s="511"/>
      <c r="AY607" s="511"/>
      <c r="AZ607" s="511"/>
      <c r="BA607" s="511"/>
    </row>
    <row r="608" spans="1:53" customFormat="1">
      <c r="A608" s="511"/>
      <c r="B608" s="511"/>
      <c r="C608" s="511"/>
      <c r="D608" s="511"/>
      <c r="E608" s="511"/>
      <c r="F608" s="511"/>
      <c r="G608" s="511"/>
      <c r="H608" s="517"/>
      <c r="I608" s="511"/>
      <c r="J608" s="511"/>
      <c r="K608" s="511"/>
      <c r="L608" s="511"/>
      <c r="M608" s="511"/>
      <c r="N608" s="511"/>
      <c r="O608" s="511"/>
      <c r="P608" s="511"/>
      <c r="Q608" s="511"/>
      <c r="R608" s="511"/>
      <c r="S608" s="511"/>
      <c r="T608" s="511"/>
      <c r="U608" s="511"/>
      <c r="V608" s="511"/>
      <c r="W608" s="511"/>
      <c r="X608" s="511"/>
      <c r="Y608" s="511"/>
      <c r="Z608" s="511"/>
      <c r="AA608" s="511"/>
      <c r="AB608" s="511"/>
      <c r="AC608" s="511"/>
      <c r="AD608" s="511"/>
      <c r="AE608" s="511"/>
      <c r="AF608" s="511"/>
      <c r="AG608" s="511"/>
      <c r="AH608" s="511"/>
      <c r="AI608" s="511"/>
      <c r="AJ608" s="511"/>
      <c r="AK608" s="511"/>
      <c r="AL608" s="511"/>
      <c r="AM608" s="511"/>
      <c r="AN608" s="511"/>
      <c r="AO608" s="511"/>
      <c r="AP608" s="511"/>
      <c r="AQ608" s="511"/>
      <c r="AR608" s="511"/>
      <c r="AS608" s="511"/>
      <c r="AT608" s="511"/>
      <c r="AU608" s="511"/>
      <c r="AV608" s="511"/>
      <c r="AW608" s="511"/>
      <c r="AX608" s="511"/>
      <c r="AY608" s="511"/>
      <c r="AZ608" s="511"/>
      <c r="BA608" s="511"/>
    </row>
    <row r="609" spans="1:53" customFormat="1">
      <c r="A609" s="511"/>
      <c r="B609" s="511"/>
      <c r="C609" s="511"/>
      <c r="D609" s="511"/>
      <c r="E609" s="511"/>
      <c r="F609" s="511"/>
      <c r="G609" s="511"/>
      <c r="H609" s="517"/>
      <c r="I609" s="511"/>
      <c r="J609" s="511"/>
      <c r="K609" s="511"/>
      <c r="L609" s="511"/>
      <c r="M609" s="511"/>
      <c r="N609" s="511"/>
      <c r="O609" s="511"/>
      <c r="P609" s="511"/>
      <c r="Q609" s="511"/>
      <c r="R609" s="511"/>
      <c r="S609" s="511"/>
      <c r="T609" s="511"/>
      <c r="U609" s="511"/>
      <c r="V609" s="511"/>
      <c r="W609" s="511"/>
      <c r="X609" s="511"/>
      <c r="Y609" s="511"/>
      <c r="Z609" s="511"/>
      <c r="AA609" s="511"/>
      <c r="AB609" s="511"/>
      <c r="AC609" s="511"/>
      <c r="AD609" s="511"/>
      <c r="AE609" s="511"/>
      <c r="AF609" s="511"/>
      <c r="AG609" s="511"/>
      <c r="AH609" s="511"/>
      <c r="AI609" s="511"/>
      <c r="AJ609" s="511"/>
      <c r="AK609" s="511"/>
      <c r="AL609" s="511"/>
      <c r="AM609" s="511"/>
      <c r="AN609" s="511"/>
      <c r="AO609" s="511"/>
      <c r="AP609" s="511"/>
      <c r="AQ609" s="511"/>
      <c r="AR609" s="511"/>
      <c r="AS609" s="511"/>
      <c r="AT609" s="511"/>
      <c r="AU609" s="511"/>
      <c r="AV609" s="511"/>
      <c r="AW609" s="511"/>
      <c r="AX609" s="511"/>
      <c r="AY609" s="511"/>
      <c r="AZ609" s="511"/>
      <c r="BA609" s="511"/>
    </row>
    <row r="610" spans="1:53" customFormat="1">
      <c r="A610" s="511"/>
      <c r="B610" s="511"/>
      <c r="C610" s="511"/>
      <c r="D610" s="511"/>
      <c r="E610" s="511"/>
      <c r="F610" s="511"/>
      <c r="G610" s="511"/>
      <c r="H610" s="517"/>
      <c r="I610" s="511"/>
      <c r="J610" s="511"/>
      <c r="K610" s="511"/>
      <c r="L610" s="511"/>
      <c r="M610" s="511"/>
      <c r="N610" s="511"/>
      <c r="O610" s="511"/>
      <c r="P610" s="511"/>
      <c r="Q610" s="511"/>
      <c r="R610" s="511"/>
      <c r="S610" s="511"/>
      <c r="T610" s="511"/>
      <c r="U610" s="511"/>
      <c r="V610" s="511"/>
      <c r="W610" s="511"/>
      <c r="X610" s="511"/>
      <c r="Y610" s="511"/>
      <c r="Z610" s="511"/>
      <c r="AA610" s="511"/>
      <c r="AB610" s="511"/>
      <c r="AC610" s="511"/>
      <c r="AD610" s="511"/>
      <c r="AE610" s="511"/>
      <c r="AF610" s="511"/>
      <c r="AG610" s="511"/>
      <c r="AH610" s="511"/>
      <c r="AI610" s="511"/>
      <c r="AJ610" s="511"/>
      <c r="AK610" s="511"/>
      <c r="AL610" s="511"/>
      <c r="AM610" s="511"/>
      <c r="AN610" s="511"/>
      <c r="AO610" s="511"/>
      <c r="AP610" s="511"/>
      <c r="AQ610" s="511"/>
      <c r="AR610" s="511"/>
      <c r="AS610" s="511"/>
      <c r="AT610" s="511"/>
      <c r="AU610" s="511"/>
      <c r="AV610" s="511"/>
      <c r="AW610" s="511"/>
      <c r="AX610" s="511"/>
      <c r="AY610" s="511"/>
      <c r="AZ610" s="511"/>
      <c r="BA610" s="511"/>
    </row>
    <row r="611" spans="1:53" customFormat="1">
      <c r="A611" s="511"/>
      <c r="B611" s="511"/>
      <c r="C611" s="511"/>
      <c r="D611" s="511"/>
      <c r="E611" s="511"/>
      <c r="F611" s="511"/>
      <c r="G611" s="511"/>
      <c r="H611" s="517"/>
      <c r="I611" s="511"/>
      <c r="J611" s="511"/>
      <c r="K611" s="511"/>
      <c r="L611" s="511"/>
      <c r="M611" s="511"/>
      <c r="N611" s="511"/>
      <c r="O611" s="511"/>
      <c r="P611" s="511"/>
      <c r="Q611" s="511"/>
      <c r="R611" s="511"/>
      <c r="S611" s="511"/>
      <c r="T611" s="511"/>
      <c r="U611" s="511"/>
      <c r="V611" s="511"/>
      <c r="W611" s="511"/>
      <c r="X611" s="511"/>
      <c r="Y611" s="511"/>
      <c r="Z611" s="511"/>
      <c r="AA611" s="511"/>
      <c r="AB611" s="511"/>
      <c r="AC611" s="511"/>
      <c r="AD611" s="511"/>
      <c r="AE611" s="511"/>
      <c r="AF611" s="511"/>
      <c r="AG611" s="511"/>
      <c r="AH611" s="511"/>
      <c r="AI611" s="511"/>
      <c r="AJ611" s="511"/>
      <c r="AK611" s="511"/>
      <c r="AL611" s="511"/>
      <c r="AM611" s="511"/>
      <c r="AN611" s="511"/>
      <c r="AO611" s="511"/>
      <c r="AP611" s="511"/>
      <c r="AQ611" s="511"/>
      <c r="AR611" s="511"/>
      <c r="AS611" s="511"/>
      <c r="AT611" s="511"/>
      <c r="AU611" s="511"/>
      <c r="AV611" s="511"/>
      <c r="AW611" s="511"/>
      <c r="AX611" s="511"/>
      <c r="AY611" s="511"/>
      <c r="AZ611" s="511"/>
      <c r="BA611" s="511"/>
    </row>
    <row r="612" spans="1:53" customFormat="1">
      <c r="A612" s="511"/>
      <c r="B612" s="511"/>
      <c r="C612" s="511"/>
      <c r="D612" s="511"/>
      <c r="E612" s="511"/>
      <c r="F612" s="511"/>
      <c r="G612" s="511"/>
      <c r="H612" s="517"/>
      <c r="I612" s="511"/>
      <c r="J612" s="511"/>
      <c r="K612" s="511"/>
      <c r="L612" s="511"/>
      <c r="M612" s="511"/>
      <c r="N612" s="511"/>
      <c r="O612" s="511"/>
      <c r="P612" s="511"/>
      <c r="Q612" s="511"/>
      <c r="R612" s="511"/>
      <c r="S612" s="511"/>
      <c r="T612" s="511"/>
      <c r="U612" s="511"/>
      <c r="V612" s="511"/>
      <c r="W612" s="511"/>
      <c r="X612" s="511"/>
      <c r="Y612" s="511"/>
      <c r="Z612" s="511"/>
      <c r="AA612" s="511"/>
      <c r="AB612" s="511"/>
      <c r="AC612" s="511"/>
      <c r="AD612" s="511"/>
      <c r="AE612" s="511"/>
      <c r="AF612" s="511"/>
      <c r="AG612" s="511"/>
      <c r="AH612" s="511"/>
      <c r="AI612" s="511"/>
      <c r="AJ612" s="511"/>
      <c r="AK612" s="511"/>
      <c r="AL612" s="511"/>
      <c r="AM612" s="511"/>
      <c r="AN612" s="511"/>
      <c r="AO612" s="511"/>
      <c r="AP612" s="511"/>
      <c r="AQ612" s="511"/>
      <c r="AR612" s="511"/>
      <c r="AS612" s="511"/>
      <c r="AT612" s="511"/>
      <c r="AU612" s="511"/>
      <c r="AV612" s="511"/>
      <c r="AW612" s="511"/>
      <c r="AX612" s="511"/>
      <c r="AY612" s="511"/>
      <c r="AZ612" s="511"/>
      <c r="BA612" s="511"/>
    </row>
    <row r="613" spans="1:53" customFormat="1">
      <c r="A613" s="511"/>
      <c r="B613" s="511"/>
      <c r="C613" s="511"/>
      <c r="D613" s="511"/>
      <c r="E613" s="511"/>
      <c r="F613" s="511"/>
      <c r="G613" s="511"/>
      <c r="H613" s="517"/>
      <c r="I613" s="511"/>
      <c r="J613" s="511"/>
      <c r="K613" s="511"/>
      <c r="L613" s="511"/>
      <c r="M613" s="511"/>
      <c r="N613" s="511"/>
      <c r="O613" s="511"/>
      <c r="P613" s="511"/>
      <c r="Q613" s="511"/>
      <c r="R613" s="511"/>
      <c r="S613" s="511"/>
      <c r="T613" s="511"/>
      <c r="U613" s="511"/>
      <c r="V613" s="511"/>
      <c r="W613" s="511"/>
      <c r="X613" s="511"/>
      <c r="Y613" s="511"/>
      <c r="Z613" s="511"/>
      <c r="AA613" s="511"/>
      <c r="AB613" s="511"/>
      <c r="AC613" s="511"/>
      <c r="AD613" s="511"/>
      <c r="AE613" s="511"/>
      <c r="AF613" s="511"/>
      <c r="AG613" s="511"/>
      <c r="AH613" s="511"/>
      <c r="AI613" s="511"/>
      <c r="AJ613" s="511"/>
      <c r="AK613" s="511"/>
      <c r="AL613" s="511"/>
      <c r="AM613" s="511"/>
      <c r="AN613" s="511"/>
      <c r="AO613" s="511"/>
      <c r="AP613" s="511"/>
      <c r="AQ613" s="511"/>
      <c r="AR613" s="511"/>
      <c r="AS613" s="511"/>
      <c r="AT613" s="511"/>
      <c r="AU613" s="511"/>
      <c r="AV613" s="511"/>
      <c r="AW613" s="511"/>
      <c r="AX613" s="511"/>
      <c r="AY613" s="511"/>
      <c r="AZ613" s="511"/>
      <c r="BA613" s="511"/>
    </row>
    <row r="614" spans="1:53" customFormat="1">
      <c r="A614" s="511"/>
      <c r="B614" s="511"/>
      <c r="C614" s="511"/>
      <c r="D614" s="511"/>
      <c r="E614" s="511"/>
      <c r="F614" s="511"/>
      <c r="G614" s="511"/>
      <c r="H614" s="517"/>
      <c r="I614" s="511"/>
      <c r="J614" s="511"/>
      <c r="K614" s="511"/>
      <c r="L614" s="511"/>
      <c r="M614" s="511"/>
      <c r="N614" s="511"/>
      <c r="O614" s="511"/>
      <c r="P614" s="511"/>
      <c r="Q614" s="511"/>
      <c r="R614" s="511"/>
      <c r="S614" s="511"/>
      <c r="T614" s="511"/>
      <c r="U614" s="511"/>
      <c r="V614" s="511"/>
      <c r="W614" s="511"/>
      <c r="X614" s="511"/>
      <c r="Y614" s="511"/>
      <c r="Z614" s="511"/>
      <c r="AA614" s="511"/>
      <c r="AB614" s="511"/>
      <c r="AC614" s="511"/>
      <c r="AD614" s="511"/>
      <c r="AE614" s="511"/>
      <c r="AF614" s="511"/>
      <c r="AG614" s="511"/>
      <c r="AH614" s="511"/>
      <c r="AI614" s="511"/>
      <c r="AJ614" s="511"/>
      <c r="AK614" s="511"/>
      <c r="AL614" s="511"/>
      <c r="AM614" s="511"/>
      <c r="AN614" s="511"/>
      <c r="AO614" s="511"/>
      <c r="AP614" s="511"/>
      <c r="AQ614" s="511"/>
      <c r="AR614" s="511"/>
      <c r="AS614" s="511"/>
      <c r="AT614" s="511"/>
      <c r="AU614" s="511"/>
      <c r="AV614" s="511"/>
      <c r="AW614" s="511"/>
      <c r="AX614" s="511"/>
      <c r="AY614" s="511"/>
      <c r="AZ614" s="511"/>
      <c r="BA614" s="511"/>
    </row>
    <row r="615" spans="1:53" customFormat="1">
      <c r="A615" s="511"/>
      <c r="B615" s="511"/>
      <c r="C615" s="511"/>
      <c r="D615" s="511"/>
      <c r="E615" s="511"/>
      <c r="F615" s="511"/>
      <c r="G615" s="511"/>
      <c r="H615" s="517"/>
      <c r="I615" s="511"/>
      <c r="J615" s="511"/>
      <c r="K615" s="511"/>
      <c r="L615" s="511"/>
      <c r="M615" s="511"/>
      <c r="N615" s="511"/>
      <c r="O615" s="511"/>
      <c r="P615" s="511"/>
      <c r="Q615" s="511"/>
      <c r="R615" s="511"/>
      <c r="S615" s="511"/>
      <c r="T615" s="511"/>
      <c r="U615" s="511"/>
      <c r="V615" s="511"/>
      <c r="W615" s="511"/>
      <c r="X615" s="511"/>
      <c r="Y615" s="511"/>
      <c r="Z615" s="511"/>
      <c r="AA615" s="511"/>
      <c r="AB615" s="511"/>
      <c r="AC615" s="511"/>
      <c r="AD615" s="511"/>
      <c r="AE615" s="511"/>
      <c r="AF615" s="511"/>
      <c r="AG615" s="511"/>
      <c r="AH615" s="511"/>
      <c r="AI615" s="511"/>
      <c r="AJ615" s="511"/>
      <c r="AK615" s="511"/>
      <c r="AL615" s="511"/>
      <c r="AM615" s="511"/>
      <c r="AN615" s="511"/>
      <c r="AO615" s="511"/>
      <c r="AP615" s="511"/>
      <c r="AQ615" s="511"/>
      <c r="AR615" s="511"/>
      <c r="AS615" s="511"/>
      <c r="AT615" s="511"/>
      <c r="AU615" s="511"/>
      <c r="AV615" s="511"/>
      <c r="AW615" s="511"/>
      <c r="AX615" s="511"/>
      <c r="AY615" s="511"/>
      <c r="AZ615" s="511"/>
      <c r="BA615" s="511"/>
    </row>
    <row r="616" spans="1:53" customFormat="1">
      <c r="A616" s="511"/>
      <c r="B616" s="511"/>
      <c r="C616" s="511"/>
      <c r="D616" s="511"/>
      <c r="E616" s="511"/>
      <c r="F616" s="511"/>
      <c r="G616" s="511"/>
      <c r="H616" s="517"/>
      <c r="I616" s="511"/>
      <c r="J616" s="511"/>
      <c r="K616" s="511"/>
      <c r="L616" s="511"/>
      <c r="M616" s="511"/>
      <c r="N616" s="511"/>
      <c r="O616" s="511"/>
      <c r="P616" s="511"/>
      <c r="Q616" s="511"/>
      <c r="R616" s="511"/>
      <c r="S616" s="511"/>
      <c r="T616" s="511"/>
      <c r="U616" s="511"/>
      <c r="V616" s="511"/>
      <c r="W616" s="511"/>
      <c r="X616" s="511"/>
      <c r="Y616" s="511"/>
      <c r="Z616" s="511"/>
      <c r="AA616" s="511"/>
      <c r="AB616" s="511"/>
      <c r="AC616" s="511"/>
      <c r="AD616" s="511"/>
      <c r="AE616" s="511"/>
      <c r="AF616" s="511"/>
      <c r="AG616" s="511"/>
      <c r="AH616" s="511"/>
      <c r="AI616" s="511"/>
      <c r="AJ616" s="511"/>
      <c r="AK616" s="511"/>
      <c r="AL616" s="511"/>
      <c r="AM616" s="511"/>
      <c r="AN616" s="511"/>
      <c r="AO616" s="511"/>
      <c r="AP616" s="511"/>
      <c r="AQ616" s="511"/>
      <c r="AR616" s="511"/>
      <c r="AS616" s="511"/>
      <c r="AT616" s="511"/>
      <c r="AU616" s="511"/>
      <c r="AV616" s="511"/>
      <c r="AW616" s="511"/>
      <c r="AX616" s="511"/>
      <c r="AY616" s="511"/>
      <c r="AZ616" s="511"/>
      <c r="BA616" s="511"/>
    </row>
    <row r="617" spans="1:53" customFormat="1">
      <c r="A617" s="511"/>
      <c r="B617" s="511"/>
      <c r="C617" s="511"/>
      <c r="D617" s="511"/>
      <c r="E617" s="511"/>
      <c r="F617" s="511"/>
      <c r="G617" s="511"/>
      <c r="H617" s="517"/>
      <c r="I617" s="511"/>
      <c r="J617" s="511"/>
      <c r="K617" s="511"/>
      <c r="L617" s="511"/>
      <c r="M617" s="511"/>
      <c r="N617" s="511"/>
      <c r="O617" s="511"/>
      <c r="P617" s="511"/>
      <c r="Q617" s="511"/>
      <c r="R617" s="511"/>
      <c r="S617" s="511"/>
      <c r="T617" s="511"/>
      <c r="U617" s="511"/>
      <c r="V617" s="511"/>
      <c r="W617" s="511"/>
      <c r="X617" s="511"/>
      <c r="Y617" s="511"/>
      <c r="Z617" s="511"/>
      <c r="AA617" s="511"/>
      <c r="AB617" s="511"/>
      <c r="AC617" s="511"/>
      <c r="AD617" s="511"/>
      <c r="AE617" s="511"/>
      <c r="AF617" s="511"/>
      <c r="AG617" s="511"/>
      <c r="AH617" s="511"/>
      <c r="AI617" s="511"/>
      <c r="AJ617" s="511"/>
      <c r="AK617" s="511"/>
      <c r="AL617" s="511"/>
      <c r="AM617" s="511"/>
      <c r="AN617" s="511"/>
      <c r="AO617" s="511"/>
      <c r="AP617" s="511"/>
      <c r="AQ617" s="511"/>
      <c r="AR617" s="511"/>
      <c r="AS617" s="511"/>
      <c r="AT617" s="511"/>
      <c r="AU617" s="511"/>
      <c r="AV617" s="511"/>
      <c r="AW617" s="511"/>
      <c r="AX617" s="511"/>
      <c r="AY617" s="511"/>
      <c r="AZ617" s="511"/>
      <c r="BA617" s="511"/>
    </row>
    <row r="618" spans="1:53" customFormat="1">
      <c r="A618" s="511"/>
      <c r="B618" s="511"/>
      <c r="C618" s="511"/>
      <c r="D618" s="511"/>
      <c r="E618" s="511"/>
      <c r="F618" s="511"/>
      <c r="G618" s="511"/>
      <c r="H618" s="517"/>
      <c r="I618" s="511"/>
      <c r="J618" s="511"/>
      <c r="K618" s="511"/>
      <c r="L618" s="511"/>
      <c r="M618" s="511"/>
      <c r="N618" s="511"/>
      <c r="O618" s="511"/>
      <c r="P618" s="511"/>
      <c r="Q618" s="511"/>
      <c r="R618" s="511"/>
      <c r="S618" s="511"/>
      <c r="T618" s="511"/>
      <c r="U618" s="511"/>
      <c r="V618" s="511"/>
      <c r="W618" s="511"/>
      <c r="X618" s="511"/>
      <c r="Y618" s="511"/>
      <c r="Z618" s="511"/>
      <c r="AA618" s="511"/>
      <c r="AB618" s="511"/>
      <c r="AC618" s="511"/>
      <c r="AD618" s="511"/>
      <c r="AE618" s="511"/>
      <c r="AF618" s="511"/>
      <c r="AG618" s="511"/>
      <c r="AH618" s="511"/>
      <c r="AI618" s="511"/>
      <c r="AJ618" s="511"/>
      <c r="AK618" s="511"/>
      <c r="AL618" s="511"/>
      <c r="AM618" s="511"/>
      <c r="AN618" s="511"/>
      <c r="AO618" s="511"/>
      <c r="AP618" s="511"/>
      <c r="AQ618" s="511"/>
      <c r="AR618" s="511"/>
      <c r="AS618" s="511"/>
      <c r="AT618" s="511"/>
      <c r="AU618" s="511"/>
      <c r="AV618" s="511"/>
      <c r="AW618" s="511"/>
      <c r="AX618" s="511"/>
      <c r="AY618" s="511"/>
      <c r="AZ618" s="511"/>
      <c r="BA618" s="511"/>
    </row>
    <row r="619" spans="1:53" customFormat="1">
      <c r="A619" s="511"/>
      <c r="B619" s="511"/>
      <c r="C619" s="511"/>
      <c r="D619" s="511"/>
      <c r="E619" s="511"/>
      <c r="F619" s="511"/>
      <c r="G619" s="511"/>
      <c r="H619" s="517"/>
      <c r="I619" s="511"/>
      <c r="J619" s="511"/>
      <c r="K619" s="511"/>
      <c r="L619" s="511"/>
      <c r="M619" s="511"/>
      <c r="N619" s="511"/>
      <c r="O619" s="511"/>
      <c r="P619" s="511"/>
      <c r="Q619" s="511"/>
      <c r="R619" s="511"/>
      <c r="S619" s="511"/>
      <c r="T619" s="511"/>
      <c r="U619" s="511"/>
      <c r="V619" s="511"/>
      <c r="W619" s="511"/>
      <c r="X619" s="511"/>
      <c r="Y619" s="511"/>
      <c r="Z619" s="511"/>
      <c r="AA619" s="511"/>
      <c r="AB619" s="511"/>
      <c r="AC619" s="511"/>
      <c r="AD619" s="511"/>
      <c r="AE619" s="511"/>
      <c r="AF619" s="511"/>
      <c r="AG619" s="511"/>
      <c r="AH619" s="511"/>
      <c r="AI619" s="511"/>
      <c r="AJ619" s="511"/>
      <c r="AK619" s="511"/>
      <c r="AL619" s="511"/>
      <c r="AM619" s="511"/>
      <c r="AN619" s="511"/>
      <c r="AO619" s="511"/>
      <c r="AP619" s="511"/>
      <c r="AQ619" s="511"/>
      <c r="AR619" s="511"/>
      <c r="AS619" s="511"/>
      <c r="AT619" s="511"/>
      <c r="AU619" s="511"/>
      <c r="AV619" s="511"/>
      <c r="AW619" s="511"/>
      <c r="AX619" s="511"/>
      <c r="AY619" s="511"/>
      <c r="AZ619" s="511"/>
      <c r="BA619" s="511"/>
    </row>
    <row r="620" spans="1:53" customFormat="1">
      <c r="A620" s="511"/>
      <c r="B620" s="511"/>
      <c r="C620" s="511"/>
      <c r="D620" s="511"/>
      <c r="E620" s="511"/>
      <c r="F620" s="511"/>
      <c r="G620" s="511"/>
      <c r="H620" s="517"/>
      <c r="I620" s="511"/>
      <c r="J620" s="511"/>
      <c r="K620" s="511"/>
      <c r="L620" s="511"/>
      <c r="M620" s="511"/>
      <c r="N620" s="511"/>
      <c r="O620" s="511"/>
      <c r="P620" s="511"/>
      <c r="Q620" s="511"/>
      <c r="R620" s="511"/>
      <c r="S620" s="511"/>
      <c r="T620" s="511"/>
      <c r="U620" s="511"/>
      <c r="V620" s="511"/>
      <c r="W620" s="511"/>
      <c r="X620" s="511"/>
      <c r="Y620" s="511"/>
      <c r="Z620" s="511"/>
      <c r="AA620" s="511"/>
      <c r="AB620" s="511"/>
      <c r="AC620" s="511"/>
      <c r="AD620" s="511"/>
      <c r="AE620" s="511"/>
      <c r="AF620" s="511"/>
      <c r="AG620" s="511"/>
      <c r="AH620" s="511"/>
      <c r="AI620" s="511"/>
      <c r="AJ620" s="511"/>
      <c r="AK620" s="511"/>
      <c r="AL620" s="511"/>
      <c r="AM620" s="511"/>
      <c r="AN620" s="511"/>
      <c r="AO620" s="511"/>
      <c r="AP620" s="511"/>
      <c r="AQ620" s="511"/>
      <c r="AR620" s="511"/>
      <c r="AS620" s="511"/>
      <c r="AT620" s="511"/>
      <c r="AU620" s="511"/>
      <c r="AV620" s="511"/>
      <c r="AW620" s="511"/>
      <c r="AX620" s="511"/>
      <c r="AY620" s="511"/>
      <c r="AZ620" s="511"/>
      <c r="BA620" s="511"/>
    </row>
    <row r="621" spans="1:53" customFormat="1">
      <c r="A621" s="511"/>
      <c r="B621" s="511"/>
      <c r="C621" s="511"/>
      <c r="D621" s="511"/>
      <c r="E621" s="511"/>
      <c r="F621" s="511"/>
      <c r="G621" s="511"/>
      <c r="H621" s="517"/>
      <c r="I621" s="511"/>
      <c r="J621" s="511"/>
      <c r="K621" s="511"/>
      <c r="L621" s="511"/>
      <c r="M621" s="511"/>
      <c r="N621" s="511"/>
      <c r="O621" s="511"/>
      <c r="P621" s="511"/>
      <c r="Q621" s="511"/>
      <c r="R621" s="511"/>
      <c r="S621" s="511"/>
      <c r="T621" s="511"/>
      <c r="U621" s="511"/>
      <c r="V621" s="511"/>
      <c r="W621" s="511"/>
      <c r="X621" s="511"/>
      <c r="Y621" s="511"/>
      <c r="Z621" s="511"/>
      <c r="AA621" s="511"/>
      <c r="AB621" s="511"/>
      <c r="AC621" s="511"/>
      <c r="AD621" s="511"/>
      <c r="AE621" s="511"/>
      <c r="AF621" s="511"/>
      <c r="AG621" s="511"/>
      <c r="AH621" s="511"/>
      <c r="AI621" s="511"/>
      <c r="AJ621" s="511"/>
      <c r="AK621" s="511"/>
      <c r="AL621" s="511"/>
      <c r="AM621" s="511"/>
      <c r="AN621" s="511"/>
      <c r="AO621" s="511"/>
      <c r="AP621" s="511"/>
      <c r="AQ621" s="511"/>
      <c r="AR621" s="511"/>
      <c r="AS621" s="511"/>
      <c r="AT621" s="511"/>
      <c r="AU621" s="511"/>
      <c r="AV621" s="511"/>
      <c r="AW621" s="511"/>
      <c r="AX621" s="511"/>
      <c r="AY621" s="511"/>
      <c r="AZ621" s="511"/>
      <c r="BA621" s="511"/>
    </row>
    <row r="622" spans="1:53" customFormat="1">
      <c r="A622" s="511"/>
      <c r="B622" s="511"/>
      <c r="C622" s="511"/>
      <c r="D622" s="511"/>
      <c r="E622" s="511"/>
      <c r="F622" s="511"/>
      <c r="G622" s="511"/>
      <c r="H622" s="517"/>
      <c r="I622" s="511"/>
      <c r="J622" s="511"/>
      <c r="K622" s="511"/>
      <c r="L622" s="511"/>
      <c r="M622" s="511"/>
      <c r="N622" s="511"/>
      <c r="O622" s="511"/>
      <c r="P622" s="511"/>
      <c r="Q622" s="511"/>
      <c r="R622" s="511"/>
      <c r="S622" s="511"/>
      <c r="T622" s="511"/>
      <c r="U622" s="511"/>
      <c r="V622" s="511"/>
      <c r="W622" s="511"/>
      <c r="X622" s="511"/>
      <c r="Y622" s="511"/>
      <c r="Z622" s="511"/>
      <c r="AA622" s="511"/>
      <c r="AB622" s="511"/>
      <c r="AC622" s="511"/>
      <c r="AD622" s="511"/>
      <c r="AE622" s="511"/>
      <c r="AF622" s="511"/>
      <c r="AG622" s="511"/>
      <c r="AH622" s="511"/>
      <c r="AI622" s="511"/>
      <c r="AJ622" s="511"/>
      <c r="AK622" s="511"/>
      <c r="AL622" s="511"/>
      <c r="AM622" s="511"/>
      <c r="AN622" s="511"/>
      <c r="AO622" s="511"/>
      <c r="AP622" s="511"/>
      <c r="AQ622" s="511"/>
      <c r="AR622" s="511"/>
      <c r="AS622" s="511"/>
      <c r="AT622" s="511"/>
      <c r="AU622" s="511"/>
      <c r="AV622" s="511"/>
      <c r="AW622" s="511"/>
      <c r="AX622" s="511"/>
      <c r="AY622" s="511"/>
      <c r="AZ622" s="511"/>
      <c r="BA622" s="511"/>
    </row>
    <row r="623" spans="1:53" customFormat="1">
      <c r="A623" s="511"/>
      <c r="B623" s="511"/>
      <c r="C623" s="511"/>
      <c r="D623" s="511"/>
      <c r="E623" s="511"/>
      <c r="F623" s="511"/>
      <c r="G623" s="511"/>
      <c r="H623" s="517"/>
      <c r="I623" s="511"/>
      <c r="J623" s="511"/>
      <c r="K623" s="511"/>
      <c r="L623" s="511"/>
      <c r="M623" s="511"/>
      <c r="N623" s="511"/>
      <c r="O623" s="511"/>
      <c r="P623" s="511"/>
      <c r="Q623" s="511"/>
      <c r="R623" s="511"/>
      <c r="S623" s="511"/>
      <c r="T623" s="511"/>
      <c r="U623" s="511"/>
      <c r="V623" s="511"/>
      <c r="W623" s="511"/>
      <c r="X623" s="511"/>
      <c r="Y623" s="511"/>
      <c r="Z623" s="511"/>
      <c r="AA623" s="511"/>
      <c r="AB623" s="511"/>
      <c r="AC623" s="511"/>
      <c r="AD623" s="511"/>
      <c r="AE623" s="511"/>
      <c r="AF623" s="511"/>
      <c r="AG623" s="511"/>
      <c r="AH623" s="511"/>
      <c r="AI623" s="511"/>
      <c r="AJ623" s="511"/>
      <c r="AK623" s="511"/>
      <c r="AL623" s="511"/>
      <c r="AM623" s="511"/>
      <c r="AN623" s="511"/>
      <c r="AO623" s="511"/>
      <c r="AP623" s="511"/>
      <c r="AQ623" s="511"/>
      <c r="AR623" s="511"/>
      <c r="AS623" s="511"/>
      <c r="AT623" s="511"/>
      <c r="AU623" s="511"/>
      <c r="AV623" s="511"/>
      <c r="AW623" s="511"/>
      <c r="AX623" s="511"/>
      <c r="AY623" s="511"/>
      <c r="AZ623" s="511"/>
      <c r="BA623" s="511"/>
    </row>
    <row r="624" spans="1:53" customFormat="1">
      <c r="A624" s="511"/>
      <c r="B624" s="511"/>
      <c r="C624" s="511"/>
      <c r="D624" s="511"/>
      <c r="E624" s="511"/>
      <c r="F624" s="511"/>
      <c r="G624" s="511"/>
      <c r="H624" s="517"/>
      <c r="I624" s="511"/>
      <c r="J624" s="511"/>
      <c r="K624" s="511"/>
      <c r="L624" s="511"/>
      <c r="M624" s="511"/>
      <c r="N624" s="511"/>
      <c r="O624" s="511"/>
      <c r="P624" s="511"/>
      <c r="Q624" s="511"/>
      <c r="R624" s="511"/>
      <c r="S624" s="511"/>
      <c r="T624" s="511"/>
      <c r="U624" s="511"/>
      <c r="V624" s="511"/>
      <c r="W624" s="511"/>
      <c r="X624" s="511"/>
      <c r="Y624" s="511"/>
      <c r="Z624" s="511"/>
      <c r="AA624" s="511"/>
      <c r="AB624" s="511"/>
      <c r="AC624" s="511"/>
      <c r="AD624" s="511"/>
      <c r="AE624" s="511"/>
      <c r="AF624" s="511"/>
      <c r="AG624" s="511"/>
      <c r="AH624" s="511"/>
      <c r="AI624" s="511"/>
      <c r="AJ624" s="511"/>
      <c r="AK624" s="511"/>
      <c r="AL624" s="511"/>
      <c r="AM624" s="511"/>
      <c r="AN624" s="511"/>
      <c r="AO624" s="511"/>
      <c r="AP624" s="511"/>
      <c r="AQ624" s="511"/>
      <c r="AR624" s="511"/>
      <c r="AS624" s="511"/>
      <c r="AT624" s="511"/>
      <c r="AU624" s="511"/>
      <c r="AV624" s="511"/>
      <c r="AW624" s="511"/>
      <c r="AX624" s="511"/>
      <c r="AY624" s="511"/>
      <c r="AZ624" s="511"/>
      <c r="BA624" s="511"/>
    </row>
    <row r="625" spans="1:53" customFormat="1">
      <c r="A625" s="511"/>
      <c r="B625" s="511"/>
      <c r="C625" s="511"/>
      <c r="D625" s="511"/>
      <c r="E625" s="511"/>
      <c r="F625" s="511"/>
      <c r="G625" s="511"/>
      <c r="H625" s="517"/>
      <c r="I625" s="511"/>
      <c r="J625" s="511"/>
      <c r="K625" s="511"/>
      <c r="L625" s="511"/>
      <c r="M625" s="511"/>
      <c r="N625" s="511"/>
      <c r="O625" s="511"/>
      <c r="P625" s="511"/>
      <c r="Q625" s="511"/>
      <c r="R625" s="511"/>
      <c r="S625" s="511"/>
      <c r="T625" s="511"/>
      <c r="U625" s="511"/>
      <c r="V625" s="511"/>
      <c r="W625" s="511"/>
      <c r="X625" s="511"/>
      <c r="Y625" s="511"/>
      <c r="Z625" s="511"/>
      <c r="AA625" s="511"/>
      <c r="AB625" s="511"/>
      <c r="AC625" s="511"/>
      <c r="AD625" s="511"/>
      <c r="AE625" s="511"/>
      <c r="AF625" s="511"/>
      <c r="AG625" s="511"/>
      <c r="AH625" s="511"/>
      <c r="AI625" s="511"/>
      <c r="AJ625" s="511"/>
      <c r="AK625" s="511"/>
      <c r="AL625" s="511"/>
      <c r="AM625" s="511"/>
      <c r="AN625" s="511"/>
      <c r="AO625" s="511"/>
      <c r="AP625" s="511"/>
      <c r="AQ625" s="511"/>
      <c r="AR625" s="511"/>
      <c r="AS625" s="511"/>
      <c r="AT625" s="511"/>
      <c r="AU625" s="511"/>
      <c r="AV625" s="511"/>
      <c r="AW625" s="511"/>
      <c r="AX625" s="511"/>
      <c r="AY625" s="511"/>
      <c r="AZ625" s="511"/>
      <c r="BA625" s="511"/>
    </row>
    <row r="626" spans="1:53" customFormat="1">
      <c r="A626" s="511"/>
      <c r="B626" s="511"/>
      <c r="C626" s="511"/>
      <c r="D626" s="511"/>
      <c r="E626" s="511"/>
      <c r="F626" s="511"/>
      <c r="G626" s="511"/>
      <c r="H626" s="517"/>
      <c r="I626" s="511"/>
      <c r="J626" s="511"/>
      <c r="K626" s="511"/>
      <c r="L626" s="511"/>
      <c r="M626" s="511"/>
      <c r="N626" s="511"/>
      <c r="O626" s="511"/>
      <c r="P626" s="511"/>
      <c r="Q626" s="511"/>
      <c r="R626" s="511"/>
      <c r="S626" s="511"/>
      <c r="T626" s="511"/>
      <c r="U626" s="511"/>
      <c r="V626" s="511"/>
      <c r="W626" s="511"/>
      <c r="X626" s="511"/>
      <c r="Y626" s="511"/>
      <c r="Z626" s="511"/>
      <c r="AA626" s="511"/>
      <c r="AB626" s="511"/>
      <c r="AC626" s="511"/>
      <c r="AD626" s="511"/>
      <c r="AE626" s="511"/>
      <c r="AF626" s="511"/>
      <c r="AG626" s="511"/>
      <c r="AH626" s="511"/>
      <c r="AI626" s="511"/>
      <c r="AJ626" s="511"/>
      <c r="AK626" s="511"/>
      <c r="AL626" s="511"/>
      <c r="AM626" s="511"/>
      <c r="AN626" s="511"/>
      <c r="AO626" s="511"/>
      <c r="AP626" s="511"/>
      <c r="AQ626" s="511"/>
      <c r="AR626" s="511"/>
      <c r="AS626" s="511"/>
      <c r="AT626" s="511"/>
      <c r="AU626" s="511"/>
      <c r="AV626" s="511"/>
      <c r="AW626" s="511"/>
      <c r="AX626" s="511"/>
      <c r="AY626" s="511"/>
      <c r="AZ626" s="511"/>
      <c r="BA626" s="511"/>
    </row>
    <row r="627" spans="1:53" customFormat="1">
      <c r="A627" s="511"/>
      <c r="B627" s="511"/>
      <c r="C627" s="511"/>
      <c r="D627" s="511"/>
      <c r="E627" s="511"/>
      <c r="F627" s="511"/>
      <c r="G627" s="511"/>
      <c r="H627" s="517"/>
      <c r="I627" s="511"/>
      <c r="J627" s="511"/>
      <c r="K627" s="511"/>
      <c r="L627" s="511"/>
      <c r="M627" s="511"/>
      <c r="N627" s="511"/>
      <c r="O627" s="511"/>
      <c r="P627" s="511"/>
      <c r="Q627" s="511"/>
      <c r="R627" s="511"/>
      <c r="S627" s="511"/>
      <c r="T627" s="511"/>
      <c r="U627" s="511"/>
      <c r="V627" s="511"/>
      <c r="W627" s="511"/>
      <c r="X627" s="511"/>
      <c r="Y627" s="511"/>
      <c r="Z627" s="511"/>
      <c r="AA627" s="511"/>
      <c r="AB627" s="511"/>
      <c r="AC627" s="511"/>
      <c r="AD627" s="511"/>
      <c r="AE627" s="511"/>
      <c r="AF627" s="511"/>
      <c r="AG627" s="511"/>
      <c r="AH627" s="511"/>
      <c r="AI627" s="511"/>
      <c r="AJ627" s="511"/>
      <c r="AK627" s="511"/>
      <c r="AL627" s="511"/>
      <c r="AM627" s="511"/>
      <c r="AN627" s="511"/>
      <c r="AO627" s="511"/>
      <c r="AP627" s="511"/>
      <c r="AQ627" s="511"/>
      <c r="AR627" s="511"/>
      <c r="AS627" s="511"/>
      <c r="AT627" s="511"/>
      <c r="AU627" s="511"/>
      <c r="AV627" s="511"/>
      <c r="AW627" s="511"/>
      <c r="AX627" s="511"/>
      <c r="AY627" s="511"/>
      <c r="AZ627" s="511"/>
      <c r="BA627" s="511"/>
    </row>
    <row r="628" spans="1:53" customFormat="1">
      <c r="A628" s="511"/>
      <c r="B628" s="511"/>
      <c r="C628" s="511"/>
      <c r="D628" s="511"/>
      <c r="E628" s="511"/>
      <c r="F628" s="511"/>
      <c r="G628" s="511"/>
      <c r="H628" s="517"/>
      <c r="I628" s="511"/>
      <c r="J628" s="511"/>
      <c r="K628" s="511"/>
      <c r="L628" s="511"/>
      <c r="M628" s="511"/>
      <c r="N628" s="511"/>
      <c r="O628" s="511"/>
      <c r="P628" s="511"/>
      <c r="Q628" s="511"/>
      <c r="R628" s="511"/>
      <c r="S628" s="511"/>
      <c r="T628" s="511"/>
      <c r="U628" s="511"/>
      <c r="V628" s="511"/>
      <c r="W628" s="511"/>
      <c r="X628" s="511"/>
      <c r="Y628" s="511"/>
      <c r="Z628" s="511"/>
      <c r="AA628" s="511"/>
      <c r="AB628" s="511"/>
      <c r="AC628" s="511"/>
      <c r="AD628" s="511"/>
      <c r="AE628" s="511"/>
      <c r="AF628" s="511"/>
      <c r="AG628" s="511"/>
      <c r="AH628" s="511"/>
      <c r="AI628" s="511"/>
      <c r="AJ628" s="511"/>
      <c r="AK628" s="511"/>
      <c r="AL628" s="511"/>
      <c r="AM628" s="511"/>
      <c r="AN628" s="511"/>
      <c r="AO628" s="511"/>
      <c r="AP628" s="511"/>
      <c r="AQ628" s="511"/>
      <c r="AR628" s="511"/>
      <c r="AS628" s="511"/>
      <c r="AT628" s="511"/>
      <c r="AU628" s="511"/>
      <c r="AV628" s="511"/>
      <c r="AW628" s="511"/>
      <c r="AX628" s="511"/>
      <c r="AY628" s="511"/>
      <c r="AZ628" s="511"/>
      <c r="BA628" s="511"/>
    </row>
    <row r="629" spans="1:53" customFormat="1">
      <c r="A629" s="511"/>
      <c r="B629" s="511"/>
      <c r="C629" s="511"/>
      <c r="D629" s="511"/>
      <c r="E629" s="511"/>
      <c r="F629" s="511"/>
      <c r="G629" s="511"/>
      <c r="H629" s="517"/>
      <c r="I629" s="511"/>
      <c r="J629" s="511"/>
      <c r="K629" s="511"/>
      <c r="L629" s="511"/>
      <c r="M629" s="511"/>
      <c r="N629" s="511"/>
      <c r="O629" s="511"/>
      <c r="P629" s="511"/>
      <c r="Q629" s="511"/>
      <c r="R629" s="511"/>
      <c r="S629" s="511"/>
      <c r="T629" s="511"/>
      <c r="U629" s="511"/>
      <c r="V629" s="511"/>
      <c r="W629" s="511"/>
      <c r="X629" s="511"/>
      <c r="Y629" s="511"/>
      <c r="Z629" s="511"/>
      <c r="AA629" s="511"/>
      <c r="AB629" s="511"/>
      <c r="AC629" s="511"/>
      <c r="AD629" s="511"/>
      <c r="AE629" s="511"/>
      <c r="AF629" s="511"/>
      <c r="AG629" s="511"/>
      <c r="AH629" s="511"/>
      <c r="AI629" s="511"/>
      <c r="AJ629" s="511"/>
      <c r="AK629" s="511"/>
      <c r="AL629" s="511"/>
      <c r="AM629" s="511"/>
      <c r="AN629" s="511"/>
      <c r="AO629" s="511"/>
      <c r="AP629" s="511"/>
      <c r="AQ629" s="511"/>
      <c r="AR629" s="511"/>
      <c r="AS629" s="511"/>
      <c r="AT629" s="511"/>
      <c r="AU629" s="511"/>
      <c r="AV629" s="511"/>
      <c r="AW629" s="511"/>
      <c r="AX629" s="511"/>
      <c r="AY629" s="511"/>
      <c r="AZ629" s="511"/>
      <c r="BA629" s="511"/>
    </row>
    <row r="630" spans="1:53" customFormat="1">
      <c r="A630" s="511"/>
      <c r="B630" s="511"/>
      <c r="C630" s="511"/>
      <c r="D630" s="511"/>
      <c r="E630" s="511"/>
      <c r="F630" s="511"/>
      <c r="G630" s="511"/>
      <c r="H630" s="517"/>
      <c r="I630" s="511"/>
      <c r="J630" s="511"/>
      <c r="K630" s="511"/>
      <c r="L630" s="511"/>
      <c r="M630" s="511"/>
      <c r="N630" s="511"/>
      <c r="O630" s="511"/>
      <c r="P630" s="511"/>
      <c r="Q630" s="511"/>
      <c r="R630" s="511"/>
      <c r="S630" s="511"/>
      <c r="T630" s="511"/>
      <c r="U630" s="511"/>
      <c r="V630" s="511"/>
      <c r="W630" s="511"/>
      <c r="X630" s="511"/>
      <c r="Y630" s="511"/>
      <c r="Z630" s="511"/>
      <c r="AA630" s="511"/>
      <c r="AB630" s="511"/>
      <c r="AC630" s="511"/>
      <c r="AD630" s="511"/>
      <c r="AE630" s="511"/>
      <c r="AF630" s="511"/>
      <c r="AG630" s="511"/>
      <c r="AH630" s="511"/>
      <c r="AI630" s="511"/>
      <c r="AJ630" s="511"/>
      <c r="AK630" s="511"/>
      <c r="AL630" s="511"/>
      <c r="AM630" s="511"/>
      <c r="AN630" s="511"/>
      <c r="AO630" s="511"/>
      <c r="AP630" s="511"/>
      <c r="AQ630" s="511"/>
      <c r="AR630" s="511"/>
      <c r="AS630" s="511"/>
      <c r="AT630" s="511"/>
      <c r="AU630" s="511"/>
      <c r="AV630" s="511"/>
      <c r="AW630" s="511"/>
      <c r="AX630" s="511"/>
      <c r="AY630" s="511"/>
      <c r="AZ630" s="511"/>
      <c r="BA630" s="511"/>
    </row>
    <row r="631" spans="1:53" customFormat="1">
      <c r="A631" s="511"/>
      <c r="B631" s="511"/>
      <c r="C631" s="511"/>
      <c r="D631" s="511"/>
      <c r="E631" s="511"/>
      <c r="F631" s="511"/>
      <c r="G631" s="511"/>
      <c r="H631" s="517"/>
      <c r="I631" s="511"/>
      <c r="J631" s="511"/>
      <c r="K631" s="511"/>
      <c r="L631" s="511"/>
      <c r="M631" s="511"/>
      <c r="N631" s="511"/>
      <c r="O631" s="511"/>
      <c r="P631" s="511"/>
      <c r="Q631" s="511"/>
      <c r="R631" s="511"/>
      <c r="S631" s="511"/>
      <c r="T631" s="511"/>
      <c r="U631" s="511"/>
      <c r="V631" s="511"/>
      <c r="W631" s="511"/>
      <c r="X631" s="511"/>
      <c r="Y631" s="511"/>
      <c r="Z631" s="511"/>
      <c r="AA631" s="511"/>
      <c r="AB631" s="511"/>
      <c r="AC631" s="511"/>
      <c r="AD631" s="511"/>
      <c r="AE631" s="511"/>
      <c r="AF631" s="511"/>
      <c r="AG631" s="511"/>
      <c r="AH631" s="511"/>
      <c r="AI631" s="511"/>
      <c r="AJ631" s="511"/>
      <c r="AK631" s="511"/>
      <c r="AL631" s="511"/>
      <c r="AM631" s="511"/>
      <c r="AN631" s="511"/>
      <c r="AO631" s="511"/>
      <c r="AP631" s="511"/>
      <c r="AQ631" s="511"/>
      <c r="AR631" s="511"/>
      <c r="AS631" s="511"/>
      <c r="AT631" s="511"/>
      <c r="AU631" s="511"/>
      <c r="AV631" s="511"/>
      <c r="AW631" s="511"/>
      <c r="AX631" s="511"/>
      <c r="AY631" s="511"/>
      <c r="AZ631" s="511"/>
      <c r="BA631" s="511"/>
    </row>
    <row r="632" spans="1:53" customFormat="1">
      <c r="A632" s="511"/>
      <c r="B632" s="511"/>
      <c r="C632" s="511"/>
      <c r="D632" s="511"/>
      <c r="E632" s="511"/>
      <c r="F632" s="511"/>
      <c r="G632" s="511"/>
      <c r="H632" s="517"/>
      <c r="I632" s="511"/>
      <c r="J632" s="511"/>
      <c r="K632" s="511"/>
      <c r="L632" s="511"/>
      <c r="M632" s="511"/>
      <c r="N632" s="511"/>
      <c r="O632" s="511"/>
      <c r="P632" s="511"/>
      <c r="Q632" s="511"/>
      <c r="R632" s="511"/>
      <c r="S632" s="511"/>
      <c r="T632" s="511"/>
      <c r="U632" s="511"/>
      <c r="V632" s="511"/>
      <c r="W632" s="511"/>
      <c r="X632" s="511"/>
      <c r="Y632" s="511"/>
      <c r="Z632" s="511"/>
      <c r="AA632" s="511"/>
      <c r="AB632" s="511"/>
      <c r="AC632" s="511"/>
      <c r="AD632" s="511"/>
      <c r="AE632" s="511"/>
      <c r="AF632" s="511"/>
      <c r="AG632" s="511"/>
      <c r="AH632" s="511"/>
      <c r="AI632" s="511"/>
      <c r="AJ632" s="511"/>
      <c r="AK632" s="511"/>
      <c r="AL632" s="511"/>
      <c r="AM632" s="511"/>
      <c r="AN632" s="511"/>
      <c r="AO632" s="511"/>
      <c r="AP632" s="511"/>
      <c r="AQ632" s="511"/>
      <c r="AR632" s="511"/>
      <c r="AS632" s="511"/>
      <c r="AT632" s="511"/>
      <c r="AU632" s="511"/>
      <c r="AV632" s="511"/>
      <c r="AW632" s="511"/>
      <c r="AX632" s="511"/>
      <c r="AY632" s="511"/>
      <c r="AZ632" s="511"/>
      <c r="BA632" s="511"/>
    </row>
    <row r="633" spans="1:53" customFormat="1">
      <c r="A633" s="511"/>
      <c r="B633" s="511"/>
      <c r="C633" s="511"/>
      <c r="D633" s="511"/>
      <c r="E633" s="511"/>
      <c r="F633" s="511"/>
      <c r="G633" s="511"/>
      <c r="H633" s="517"/>
      <c r="I633" s="511"/>
      <c r="J633" s="511"/>
      <c r="K633" s="511"/>
      <c r="L633" s="511"/>
      <c r="M633" s="511"/>
      <c r="N633" s="511"/>
      <c r="O633" s="511"/>
      <c r="P633" s="511"/>
      <c r="Q633" s="511"/>
      <c r="R633" s="511"/>
      <c r="S633" s="511"/>
      <c r="T633" s="511"/>
      <c r="U633" s="511"/>
      <c r="V633" s="511"/>
      <c r="W633" s="511"/>
      <c r="X633" s="511"/>
      <c r="Y633" s="511"/>
      <c r="Z633" s="511"/>
      <c r="AA633" s="511"/>
      <c r="AB633" s="511"/>
      <c r="AC633" s="511"/>
      <c r="AD633" s="511"/>
      <c r="AE633" s="511"/>
      <c r="AF633" s="511"/>
      <c r="AG633" s="511"/>
      <c r="AH633" s="511"/>
      <c r="AI633" s="511"/>
      <c r="AJ633" s="511"/>
      <c r="AK633" s="511"/>
      <c r="AL633" s="511"/>
      <c r="AM633" s="511"/>
      <c r="AN633" s="511"/>
      <c r="AO633" s="511"/>
      <c r="AP633" s="511"/>
      <c r="AQ633" s="511"/>
      <c r="AR633" s="511"/>
      <c r="AS633" s="511"/>
      <c r="AT633" s="511"/>
      <c r="AU633" s="511"/>
      <c r="AV633" s="511"/>
      <c r="AW633" s="511"/>
      <c r="AX633" s="511"/>
      <c r="AY633" s="511"/>
      <c r="AZ633" s="511"/>
      <c r="BA633" s="511"/>
    </row>
    <row r="634" spans="1:53" customFormat="1">
      <c r="A634" s="511"/>
      <c r="B634" s="511"/>
      <c r="C634" s="511"/>
      <c r="D634" s="511"/>
      <c r="E634" s="511"/>
      <c r="F634" s="511"/>
      <c r="G634" s="511"/>
      <c r="H634" s="517"/>
      <c r="I634" s="511"/>
      <c r="J634" s="511"/>
      <c r="K634" s="511"/>
      <c r="L634" s="511"/>
      <c r="M634" s="511"/>
      <c r="N634" s="511"/>
      <c r="O634" s="511"/>
      <c r="P634" s="511"/>
      <c r="Q634" s="511"/>
      <c r="R634" s="511"/>
      <c r="S634" s="511"/>
      <c r="T634" s="511"/>
      <c r="U634" s="511"/>
      <c r="V634" s="511"/>
      <c r="W634" s="511"/>
      <c r="X634" s="511"/>
      <c r="Y634" s="511"/>
      <c r="Z634" s="511"/>
      <c r="AA634" s="511"/>
      <c r="AB634" s="511"/>
      <c r="AC634" s="511"/>
      <c r="AD634" s="511"/>
      <c r="AE634" s="511"/>
      <c r="AF634" s="511"/>
      <c r="AG634" s="511"/>
      <c r="AH634" s="511"/>
      <c r="AI634" s="511"/>
      <c r="AJ634" s="511"/>
      <c r="AK634" s="511"/>
      <c r="AL634" s="511"/>
      <c r="AM634" s="511"/>
      <c r="AN634" s="511"/>
      <c r="AO634" s="511"/>
      <c r="AP634" s="511"/>
      <c r="AQ634" s="511"/>
      <c r="AR634" s="511"/>
      <c r="AS634" s="511"/>
      <c r="AT634" s="511"/>
      <c r="AU634" s="511"/>
      <c r="AV634" s="511"/>
      <c r="AW634" s="511"/>
      <c r="AX634" s="511"/>
      <c r="AY634" s="511"/>
      <c r="AZ634" s="511"/>
      <c r="BA634" s="511"/>
    </row>
    <row r="635" spans="1:53" customFormat="1">
      <c r="A635" s="511"/>
      <c r="B635" s="511"/>
      <c r="C635" s="511"/>
      <c r="D635" s="511"/>
      <c r="E635" s="511"/>
      <c r="F635" s="511"/>
      <c r="G635" s="511"/>
      <c r="H635" s="517"/>
      <c r="I635" s="511"/>
      <c r="J635" s="511"/>
      <c r="K635" s="511"/>
      <c r="L635" s="511"/>
      <c r="M635" s="511"/>
      <c r="N635" s="511"/>
      <c r="O635" s="511"/>
      <c r="P635" s="511"/>
      <c r="Q635" s="511"/>
      <c r="R635" s="511"/>
      <c r="S635" s="511"/>
      <c r="T635" s="511"/>
      <c r="U635" s="511"/>
      <c r="V635" s="511"/>
      <c r="W635" s="511"/>
      <c r="X635" s="511"/>
      <c r="Y635" s="511"/>
      <c r="Z635" s="511"/>
      <c r="AA635" s="511"/>
      <c r="AB635" s="511"/>
      <c r="AC635" s="511"/>
      <c r="AD635" s="511"/>
      <c r="AE635" s="511"/>
      <c r="AF635" s="511"/>
      <c r="AG635" s="511"/>
      <c r="AH635" s="511"/>
      <c r="AI635" s="511"/>
      <c r="AJ635" s="511"/>
      <c r="AK635" s="511"/>
      <c r="AL635" s="511"/>
      <c r="AM635" s="511"/>
      <c r="AN635" s="511"/>
      <c r="AO635" s="511"/>
      <c r="AP635" s="511"/>
      <c r="AQ635" s="511"/>
      <c r="AR635" s="511"/>
      <c r="AS635" s="511"/>
      <c r="AT635" s="511"/>
      <c r="AU635" s="511"/>
      <c r="AV635" s="511"/>
      <c r="AW635" s="511"/>
      <c r="AX635" s="511"/>
      <c r="AY635" s="511"/>
      <c r="AZ635" s="511"/>
      <c r="BA635" s="511"/>
    </row>
    <row r="636" spans="1:53" customFormat="1">
      <c r="A636" s="511"/>
      <c r="B636" s="511"/>
      <c r="C636" s="511"/>
      <c r="D636" s="511"/>
      <c r="E636" s="511"/>
      <c r="F636" s="511"/>
      <c r="G636" s="511"/>
      <c r="H636" s="517"/>
      <c r="I636" s="511"/>
      <c r="J636" s="511"/>
      <c r="K636" s="511"/>
      <c r="L636" s="511"/>
      <c r="M636" s="511"/>
      <c r="N636" s="511"/>
      <c r="O636" s="511"/>
      <c r="P636" s="511"/>
      <c r="Q636" s="511"/>
      <c r="R636" s="511"/>
      <c r="S636" s="511"/>
      <c r="T636" s="511"/>
      <c r="U636" s="511"/>
      <c r="V636" s="511"/>
      <c r="W636" s="511"/>
      <c r="X636" s="511"/>
      <c r="Y636" s="511"/>
      <c r="Z636" s="511"/>
      <c r="AA636" s="511"/>
      <c r="AB636" s="511"/>
      <c r="AC636" s="511"/>
      <c r="AD636" s="511"/>
      <c r="AE636" s="511"/>
      <c r="AF636" s="511"/>
      <c r="AG636" s="511"/>
      <c r="AH636" s="511"/>
      <c r="AI636" s="511"/>
      <c r="AJ636" s="511"/>
      <c r="AK636" s="511"/>
      <c r="AL636" s="511"/>
      <c r="AM636" s="511"/>
      <c r="AN636" s="511"/>
      <c r="AO636" s="511"/>
      <c r="AP636" s="511"/>
      <c r="AQ636" s="511"/>
      <c r="AR636" s="511"/>
      <c r="AS636" s="511"/>
      <c r="AT636" s="511"/>
      <c r="AU636" s="511"/>
      <c r="AV636" s="511"/>
      <c r="AW636" s="511"/>
      <c r="AX636" s="511"/>
      <c r="AY636" s="511"/>
      <c r="AZ636" s="511"/>
      <c r="BA636" s="511"/>
    </row>
    <row r="637" spans="1:53" customFormat="1">
      <c r="A637" s="511"/>
      <c r="B637" s="511"/>
      <c r="C637" s="511"/>
      <c r="D637" s="511"/>
      <c r="E637" s="511"/>
      <c r="F637" s="511"/>
      <c r="G637" s="511"/>
      <c r="H637" s="517"/>
      <c r="I637" s="511"/>
      <c r="J637" s="511"/>
      <c r="K637" s="511"/>
      <c r="L637" s="511"/>
      <c r="M637" s="511"/>
      <c r="N637" s="511"/>
      <c r="O637" s="511"/>
      <c r="P637" s="511"/>
      <c r="Q637" s="511"/>
      <c r="R637" s="511"/>
      <c r="S637" s="511"/>
      <c r="T637" s="511"/>
      <c r="U637" s="511"/>
      <c r="V637" s="511"/>
      <c r="W637" s="511"/>
      <c r="X637" s="511"/>
      <c r="Y637" s="511"/>
      <c r="Z637" s="511"/>
      <c r="AA637" s="511"/>
      <c r="AB637" s="511"/>
      <c r="AC637" s="511"/>
      <c r="AD637" s="511"/>
      <c r="AE637" s="511"/>
      <c r="AF637" s="511"/>
      <c r="AG637" s="511"/>
      <c r="AH637" s="511"/>
      <c r="AI637" s="511"/>
      <c r="AJ637" s="511"/>
      <c r="AK637" s="511"/>
      <c r="AL637" s="511"/>
      <c r="AM637" s="511"/>
      <c r="AN637" s="511"/>
      <c r="AO637" s="511"/>
      <c r="AP637" s="511"/>
      <c r="AQ637" s="511"/>
      <c r="AR637" s="511"/>
      <c r="AS637" s="511"/>
      <c r="AT637" s="511"/>
      <c r="AU637" s="511"/>
      <c r="AV637" s="511"/>
      <c r="AW637" s="511"/>
      <c r="AX637" s="511"/>
      <c r="AY637" s="511"/>
      <c r="AZ637" s="511"/>
      <c r="BA637" s="511"/>
    </row>
    <row r="638" spans="1:53" customFormat="1">
      <c r="A638" s="511"/>
      <c r="B638" s="511"/>
      <c r="C638" s="511"/>
      <c r="D638" s="511"/>
      <c r="E638" s="511"/>
      <c r="F638" s="511"/>
      <c r="G638" s="511"/>
      <c r="H638" s="517"/>
      <c r="I638" s="511"/>
      <c r="J638" s="511"/>
      <c r="K638" s="511"/>
      <c r="L638" s="511"/>
      <c r="M638" s="511"/>
      <c r="N638" s="511"/>
      <c r="O638" s="511"/>
      <c r="P638" s="511"/>
      <c r="Q638" s="511"/>
      <c r="R638" s="511"/>
      <c r="S638" s="511"/>
      <c r="T638" s="511"/>
      <c r="U638" s="511"/>
      <c r="V638" s="511"/>
      <c r="W638" s="511"/>
      <c r="X638" s="511"/>
      <c r="Y638" s="511"/>
      <c r="Z638" s="511"/>
      <c r="AA638" s="511"/>
      <c r="AB638" s="511"/>
      <c r="AC638" s="511"/>
      <c r="AD638" s="511"/>
      <c r="AE638" s="511"/>
      <c r="AF638" s="511"/>
      <c r="AG638" s="511"/>
      <c r="AH638" s="511"/>
      <c r="AI638" s="511"/>
      <c r="AJ638" s="511"/>
      <c r="AK638" s="511"/>
      <c r="AL638" s="511"/>
      <c r="AM638" s="511"/>
      <c r="AN638" s="511"/>
      <c r="AO638" s="511"/>
      <c r="AP638" s="511"/>
      <c r="AQ638" s="511"/>
      <c r="AR638" s="511"/>
      <c r="AS638" s="511"/>
      <c r="AT638" s="511"/>
      <c r="AU638" s="511"/>
      <c r="AV638" s="511"/>
      <c r="AW638" s="511"/>
      <c r="AX638" s="511"/>
      <c r="AY638" s="511"/>
      <c r="AZ638" s="511"/>
      <c r="BA638" s="511"/>
    </row>
    <row r="639" spans="1:53" customFormat="1">
      <c r="A639" s="511"/>
      <c r="B639" s="511"/>
      <c r="C639" s="511"/>
      <c r="D639" s="511"/>
      <c r="E639" s="511"/>
      <c r="F639" s="511"/>
      <c r="G639" s="511"/>
      <c r="H639" s="517"/>
      <c r="I639" s="511"/>
      <c r="J639" s="511"/>
      <c r="K639" s="511"/>
      <c r="L639" s="511"/>
      <c r="M639" s="511"/>
      <c r="N639" s="511"/>
      <c r="O639" s="511"/>
      <c r="P639" s="511"/>
      <c r="Q639" s="511"/>
      <c r="R639" s="511"/>
      <c r="S639" s="511"/>
      <c r="T639" s="511"/>
      <c r="U639" s="511"/>
      <c r="V639" s="511"/>
      <c r="W639" s="511"/>
      <c r="X639" s="511"/>
      <c r="Y639" s="511"/>
      <c r="Z639" s="511"/>
      <c r="AA639" s="511"/>
      <c r="AB639" s="511"/>
      <c r="AC639" s="511"/>
      <c r="AD639" s="511"/>
      <c r="AE639" s="511"/>
      <c r="AF639" s="511"/>
      <c r="AG639" s="511"/>
      <c r="AH639" s="511"/>
      <c r="AI639" s="511"/>
      <c r="AJ639" s="511"/>
      <c r="AK639" s="511"/>
      <c r="AL639" s="511"/>
      <c r="AM639" s="511"/>
      <c r="AN639" s="511"/>
      <c r="AO639" s="511"/>
      <c r="AP639" s="511"/>
      <c r="AQ639" s="511"/>
      <c r="AR639" s="511"/>
      <c r="AS639" s="511"/>
      <c r="AT639" s="511"/>
      <c r="AU639" s="511"/>
      <c r="AV639" s="511"/>
      <c r="AW639" s="511"/>
      <c r="AX639" s="511"/>
      <c r="AY639" s="511"/>
      <c r="AZ639" s="511"/>
      <c r="BA639" s="511"/>
    </row>
    <row r="640" spans="1:53" customFormat="1">
      <c r="A640" s="511"/>
      <c r="B640" s="511"/>
      <c r="C640" s="511"/>
      <c r="D640" s="511"/>
      <c r="E640" s="511"/>
      <c r="F640" s="511"/>
      <c r="G640" s="511"/>
      <c r="H640" s="517"/>
      <c r="I640" s="511"/>
      <c r="J640" s="511"/>
      <c r="K640" s="511"/>
      <c r="L640" s="511"/>
      <c r="M640" s="511"/>
      <c r="N640" s="511"/>
      <c r="O640" s="511"/>
      <c r="P640" s="511"/>
      <c r="Q640" s="511"/>
      <c r="R640" s="511"/>
      <c r="S640" s="511"/>
      <c r="T640" s="511"/>
      <c r="U640" s="511"/>
      <c r="V640" s="511"/>
      <c r="W640" s="511"/>
      <c r="X640" s="511"/>
      <c r="Y640" s="511"/>
      <c r="Z640" s="511"/>
      <c r="AA640" s="511"/>
      <c r="AB640" s="511"/>
      <c r="AC640" s="511"/>
      <c r="AD640" s="511"/>
      <c r="AE640" s="511"/>
      <c r="AF640" s="511"/>
      <c r="AG640" s="511"/>
      <c r="AH640" s="511"/>
      <c r="AI640" s="511"/>
      <c r="AJ640" s="511"/>
      <c r="AK640" s="511"/>
      <c r="AL640" s="511"/>
      <c r="AM640" s="511"/>
      <c r="AN640" s="511"/>
      <c r="AO640" s="511"/>
      <c r="AP640" s="511"/>
      <c r="AQ640" s="511"/>
      <c r="AR640" s="511"/>
      <c r="AS640" s="511"/>
      <c r="AT640" s="511"/>
      <c r="AU640" s="511"/>
      <c r="AV640" s="511"/>
      <c r="AW640" s="511"/>
      <c r="AX640" s="511"/>
      <c r="AY640" s="511"/>
      <c r="AZ640" s="511"/>
      <c r="BA640" s="511"/>
    </row>
    <row r="641" spans="1:53" customFormat="1">
      <c r="A641" s="511"/>
      <c r="B641" s="511"/>
      <c r="C641" s="511"/>
      <c r="D641" s="511"/>
      <c r="E641" s="511"/>
      <c r="F641" s="511"/>
      <c r="G641" s="511"/>
      <c r="H641" s="517"/>
      <c r="I641" s="511"/>
      <c r="J641" s="511"/>
      <c r="K641" s="511"/>
      <c r="L641" s="511"/>
      <c r="M641" s="511"/>
      <c r="N641" s="511"/>
      <c r="O641" s="511"/>
      <c r="P641" s="511"/>
      <c r="Q641" s="511"/>
      <c r="R641" s="511"/>
      <c r="S641" s="511"/>
      <c r="T641" s="511"/>
      <c r="U641" s="511"/>
      <c r="V641" s="511"/>
      <c r="W641" s="511"/>
      <c r="X641" s="511"/>
      <c r="Y641" s="511"/>
      <c r="Z641" s="511"/>
      <c r="AA641" s="511"/>
      <c r="AB641" s="511"/>
      <c r="AC641" s="511"/>
      <c r="AD641" s="511"/>
      <c r="AE641" s="511"/>
      <c r="AF641" s="511"/>
      <c r="AG641" s="511"/>
      <c r="AH641" s="511"/>
      <c r="AI641" s="511"/>
      <c r="AJ641" s="511"/>
      <c r="AK641" s="511"/>
      <c r="AL641" s="511"/>
      <c r="AM641" s="511"/>
      <c r="AN641" s="511"/>
      <c r="AO641" s="511"/>
      <c r="AP641" s="511"/>
      <c r="AQ641" s="511"/>
      <c r="AR641" s="511"/>
      <c r="AS641" s="511"/>
      <c r="AT641" s="511"/>
      <c r="AU641" s="511"/>
      <c r="AV641" s="511"/>
      <c r="AW641" s="511"/>
      <c r="AX641" s="511"/>
      <c r="AY641" s="511"/>
      <c r="AZ641" s="511"/>
      <c r="BA641" s="511"/>
    </row>
    <row r="642" spans="1:53" customFormat="1">
      <c r="A642" s="511"/>
      <c r="B642" s="511"/>
      <c r="C642" s="511"/>
      <c r="D642" s="511"/>
      <c r="E642" s="511"/>
      <c r="F642" s="511"/>
      <c r="G642" s="511"/>
      <c r="H642" s="517"/>
      <c r="I642" s="511"/>
      <c r="J642" s="511"/>
      <c r="K642" s="511"/>
      <c r="L642" s="511"/>
      <c r="M642" s="511"/>
      <c r="N642" s="511"/>
      <c r="O642" s="511"/>
      <c r="P642" s="511"/>
      <c r="Q642" s="511"/>
      <c r="R642" s="511"/>
      <c r="S642" s="511"/>
      <c r="T642" s="511"/>
      <c r="U642" s="511"/>
      <c r="V642" s="511"/>
      <c r="W642" s="511"/>
      <c r="X642" s="511"/>
      <c r="Y642" s="511"/>
      <c r="Z642" s="511"/>
      <c r="AA642" s="511"/>
      <c r="AB642" s="511"/>
      <c r="AC642" s="511"/>
      <c r="AD642" s="511"/>
      <c r="AE642" s="511"/>
      <c r="AF642" s="511"/>
      <c r="AG642" s="511"/>
      <c r="AH642" s="511"/>
      <c r="AI642" s="511"/>
      <c r="AJ642" s="511"/>
      <c r="AK642" s="511"/>
      <c r="AL642" s="511"/>
      <c r="AM642" s="511"/>
      <c r="AN642" s="511"/>
      <c r="AO642" s="511"/>
      <c r="AP642" s="511"/>
      <c r="AQ642" s="511"/>
      <c r="AR642" s="511"/>
      <c r="AS642" s="511"/>
      <c r="AT642" s="511"/>
      <c r="AU642" s="511"/>
      <c r="AV642" s="511"/>
      <c r="AW642" s="511"/>
      <c r="AX642" s="511"/>
      <c r="AY642" s="511"/>
      <c r="AZ642" s="511"/>
      <c r="BA642" s="511"/>
    </row>
    <row r="643" spans="1:53" customFormat="1">
      <c r="A643" s="511"/>
      <c r="B643" s="511"/>
      <c r="C643" s="511"/>
      <c r="D643" s="511"/>
      <c r="E643" s="511"/>
      <c r="F643" s="511"/>
      <c r="G643" s="511"/>
      <c r="H643" s="517"/>
      <c r="I643" s="511"/>
      <c r="J643" s="511"/>
      <c r="K643" s="511"/>
      <c r="L643" s="511"/>
      <c r="M643" s="511"/>
      <c r="N643" s="511"/>
      <c r="O643" s="511"/>
      <c r="P643" s="511"/>
      <c r="Q643" s="511"/>
      <c r="R643" s="511"/>
      <c r="S643" s="511"/>
      <c r="T643" s="511"/>
      <c r="U643" s="511"/>
      <c r="V643" s="511"/>
      <c r="W643" s="511"/>
      <c r="X643" s="511"/>
      <c r="Y643" s="511"/>
      <c r="Z643" s="511"/>
      <c r="AA643" s="511"/>
      <c r="AB643" s="511"/>
      <c r="AC643" s="511"/>
      <c r="AD643" s="511"/>
      <c r="AE643" s="511"/>
      <c r="AF643" s="511"/>
      <c r="AG643" s="511"/>
      <c r="AH643" s="511"/>
      <c r="AI643" s="511"/>
      <c r="AJ643" s="511"/>
      <c r="AK643" s="511"/>
      <c r="AL643" s="511"/>
      <c r="AM643" s="511"/>
      <c r="AN643" s="511"/>
      <c r="AO643" s="511"/>
      <c r="AP643" s="511"/>
      <c r="AQ643" s="511"/>
      <c r="AR643" s="511"/>
      <c r="AS643" s="511"/>
      <c r="AT643" s="511"/>
      <c r="AU643" s="511"/>
      <c r="AV643" s="511"/>
      <c r="AW643" s="511"/>
      <c r="AX643" s="511"/>
      <c r="AY643" s="511"/>
      <c r="AZ643" s="511"/>
      <c r="BA643" s="511"/>
    </row>
    <row r="644" spans="1:53" customFormat="1">
      <c r="A644" s="511"/>
      <c r="B644" s="511"/>
      <c r="C644" s="511"/>
      <c r="D644" s="511"/>
      <c r="E644" s="511"/>
      <c r="F644" s="511"/>
      <c r="G644" s="511"/>
      <c r="H644" s="517"/>
      <c r="I644" s="511"/>
      <c r="J644" s="511"/>
      <c r="K644" s="511"/>
      <c r="L644" s="511"/>
      <c r="M644" s="511"/>
      <c r="N644" s="511"/>
      <c r="O644" s="511"/>
      <c r="P644" s="511"/>
      <c r="Q644" s="511"/>
      <c r="R644" s="511"/>
      <c r="S644" s="511"/>
      <c r="T644" s="511"/>
      <c r="U644" s="511"/>
      <c r="V644" s="511"/>
      <c r="W644" s="511"/>
      <c r="X644" s="511"/>
      <c r="Y644" s="511"/>
      <c r="Z644" s="511"/>
      <c r="AA644" s="511"/>
      <c r="AB644" s="511"/>
      <c r="AC644" s="511"/>
      <c r="AD644" s="511"/>
      <c r="AE644" s="511"/>
      <c r="AF644" s="511"/>
      <c r="AG644" s="511"/>
      <c r="AH644" s="511"/>
      <c r="AI644" s="511"/>
      <c r="AJ644" s="511"/>
      <c r="AK644" s="511"/>
      <c r="AL644" s="511"/>
      <c r="AM644" s="511"/>
      <c r="AN644" s="511"/>
      <c r="AO644" s="511"/>
      <c r="AP644" s="511"/>
      <c r="AQ644" s="511"/>
      <c r="AR644" s="511"/>
      <c r="AS644" s="511"/>
      <c r="AT644" s="511"/>
      <c r="AU644" s="511"/>
      <c r="AV644" s="511"/>
      <c r="AW644" s="511"/>
      <c r="AX644" s="511"/>
      <c r="AY644" s="511"/>
      <c r="AZ644" s="511"/>
      <c r="BA644" s="511"/>
    </row>
    <row r="645" spans="1:53" customFormat="1">
      <c r="A645" s="511"/>
      <c r="B645" s="511"/>
      <c r="C645" s="511"/>
      <c r="D645" s="511"/>
      <c r="E645" s="511"/>
      <c r="F645" s="511"/>
      <c r="G645" s="511"/>
      <c r="H645" s="517"/>
      <c r="I645" s="511"/>
      <c r="J645" s="511"/>
      <c r="K645" s="511"/>
      <c r="L645" s="511"/>
      <c r="M645" s="511"/>
      <c r="N645" s="511"/>
      <c r="O645" s="511"/>
      <c r="P645" s="511"/>
      <c r="Q645" s="511"/>
      <c r="R645" s="511"/>
      <c r="S645" s="511"/>
      <c r="T645" s="511"/>
      <c r="U645" s="511"/>
      <c r="V645" s="511"/>
      <c r="W645" s="511"/>
      <c r="X645" s="511"/>
      <c r="Y645" s="511"/>
      <c r="Z645" s="511"/>
      <c r="AA645" s="511"/>
      <c r="AB645" s="511"/>
      <c r="AC645" s="511"/>
      <c r="AD645" s="511"/>
      <c r="AE645" s="511"/>
      <c r="AF645" s="511"/>
      <c r="AG645" s="511"/>
      <c r="AH645" s="511"/>
      <c r="AI645" s="511"/>
      <c r="AJ645" s="511"/>
      <c r="AK645" s="511"/>
      <c r="AL645" s="511"/>
      <c r="AM645" s="511"/>
      <c r="AN645" s="511"/>
      <c r="AO645" s="511"/>
      <c r="AP645" s="511"/>
      <c r="AQ645" s="511"/>
      <c r="AR645" s="511"/>
      <c r="AS645" s="511"/>
      <c r="AT645" s="511"/>
      <c r="AU645" s="511"/>
      <c r="AV645" s="511"/>
      <c r="AW645" s="511"/>
      <c r="AX645" s="511"/>
      <c r="AY645" s="511"/>
      <c r="AZ645" s="511"/>
      <c r="BA645" s="511"/>
    </row>
    <row r="646" spans="1:53" customFormat="1">
      <c r="A646" s="511"/>
      <c r="B646" s="511"/>
      <c r="C646" s="511"/>
      <c r="D646" s="511"/>
      <c r="E646" s="511"/>
      <c r="F646" s="511"/>
      <c r="G646" s="511"/>
      <c r="H646" s="517"/>
      <c r="I646" s="511"/>
      <c r="J646" s="511"/>
      <c r="K646" s="511"/>
      <c r="L646" s="511"/>
      <c r="M646" s="511"/>
      <c r="N646" s="511"/>
      <c r="O646" s="511"/>
      <c r="P646" s="511"/>
      <c r="Q646" s="511"/>
      <c r="R646" s="511"/>
      <c r="S646" s="511"/>
      <c r="T646" s="511"/>
      <c r="U646" s="511"/>
      <c r="V646" s="511"/>
      <c r="W646" s="511"/>
      <c r="X646" s="511"/>
      <c r="Y646" s="511"/>
      <c r="Z646" s="511"/>
      <c r="AA646" s="511"/>
      <c r="AB646" s="511"/>
      <c r="AC646" s="511"/>
      <c r="AD646" s="511"/>
      <c r="AE646" s="511"/>
      <c r="AF646" s="511"/>
      <c r="AG646" s="511"/>
      <c r="AH646" s="511"/>
      <c r="AI646" s="511"/>
      <c r="AJ646" s="511"/>
      <c r="AK646" s="511"/>
      <c r="AL646" s="511"/>
      <c r="AM646" s="511"/>
      <c r="AN646" s="511"/>
      <c r="AO646" s="511"/>
      <c r="AP646" s="511"/>
      <c r="AQ646" s="511"/>
      <c r="AR646" s="511"/>
      <c r="AS646" s="511"/>
      <c r="AT646" s="511"/>
      <c r="AU646" s="511"/>
      <c r="AV646" s="511"/>
      <c r="AW646" s="511"/>
      <c r="AX646" s="511"/>
      <c r="AY646" s="511"/>
      <c r="AZ646" s="511"/>
      <c r="BA646" s="511"/>
    </row>
    <row r="647" spans="1:53" customFormat="1">
      <c r="A647" s="511"/>
      <c r="B647" s="511"/>
      <c r="C647" s="511"/>
      <c r="D647" s="511"/>
      <c r="E647" s="511"/>
      <c r="F647" s="511"/>
      <c r="G647" s="511"/>
      <c r="H647" s="517"/>
      <c r="I647" s="511"/>
      <c r="J647" s="511"/>
      <c r="K647" s="511"/>
      <c r="L647" s="511"/>
      <c r="M647" s="511"/>
      <c r="N647" s="511"/>
      <c r="O647" s="511"/>
      <c r="P647" s="511"/>
      <c r="Q647" s="511"/>
      <c r="R647" s="511"/>
      <c r="S647" s="511"/>
      <c r="T647" s="511"/>
      <c r="U647" s="511"/>
      <c r="V647" s="511"/>
      <c r="W647" s="511"/>
      <c r="X647" s="511"/>
      <c r="Y647" s="511"/>
      <c r="Z647" s="511"/>
      <c r="AA647" s="511"/>
      <c r="AB647" s="511"/>
      <c r="AC647" s="511"/>
      <c r="AD647" s="511"/>
      <c r="AE647" s="511"/>
      <c r="AF647" s="511"/>
      <c r="AG647" s="511"/>
      <c r="AH647" s="511"/>
      <c r="AI647" s="511"/>
      <c r="AJ647" s="511"/>
      <c r="AK647" s="511"/>
      <c r="AL647" s="511"/>
      <c r="AM647" s="511"/>
      <c r="AN647" s="511"/>
      <c r="AO647" s="511"/>
      <c r="AP647" s="511"/>
      <c r="AQ647" s="511"/>
      <c r="AR647" s="511"/>
      <c r="AS647" s="511"/>
      <c r="AT647" s="511"/>
      <c r="AU647" s="511"/>
      <c r="AV647" s="511"/>
      <c r="AW647" s="511"/>
      <c r="AX647" s="511"/>
      <c r="AY647" s="511"/>
      <c r="AZ647" s="511"/>
      <c r="BA647" s="511"/>
    </row>
    <row r="648" spans="1:53" customFormat="1">
      <c r="A648" s="511"/>
      <c r="B648" s="511"/>
      <c r="C648" s="511"/>
      <c r="D648" s="511"/>
      <c r="E648" s="511"/>
      <c r="F648" s="511"/>
      <c r="G648" s="511"/>
      <c r="H648" s="517"/>
      <c r="I648" s="511"/>
      <c r="J648" s="511"/>
      <c r="K648" s="511"/>
      <c r="L648" s="511"/>
      <c r="M648" s="511"/>
      <c r="N648" s="511"/>
      <c r="O648" s="511"/>
      <c r="P648" s="511"/>
      <c r="Q648" s="511"/>
      <c r="R648" s="511"/>
      <c r="S648" s="511"/>
      <c r="T648" s="511"/>
      <c r="U648" s="511"/>
      <c r="V648" s="511"/>
      <c r="W648" s="511"/>
      <c r="X648" s="511"/>
      <c r="Y648" s="511"/>
      <c r="Z648" s="511"/>
      <c r="AA648" s="511"/>
      <c r="AB648" s="511"/>
      <c r="AC648" s="511"/>
      <c r="AD648" s="511"/>
      <c r="AE648" s="511"/>
      <c r="AF648" s="511"/>
      <c r="AG648" s="511"/>
      <c r="AH648" s="511"/>
      <c r="AI648" s="511"/>
      <c r="AJ648" s="511"/>
      <c r="AK648" s="511"/>
      <c r="AL648" s="511"/>
      <c r="AM648" s="511"/>
      <c r="AN648" s="511"/>
      <c r="AO648" s="511"/>
      <c r="AP648" s="511"/>
      <c r="AQ648" s="511"/>
      <c r="AR648" s="511"/>
      <c r="AS648" s="511"/>
      <c r="AT648" s="511"/>
      <c r="AU648" s="511"/>
      <c r="AV648" s="511"/>
      <c r="AW648" s="511"/>
      <c r="AX648" s="511"/>
      <c r="AY648" s="511"/>
      <c r="AZ648" s="511"/>
      <c r="BA648" s="511"/>
    </row>
    <row r="649" spans="1:53" customFormat="1">
      <c r="A649" s="511"/>
      <c r="B649" s="511"/>
      <c r="C649" s="511"/>
      <c r="D649" s="511"/>
      <c r="E649" s="511"/>
      <c r="F649" s="511"/>
      <c r="G649" s="511"/>
      <c r="H649" s="517"/>
      <c r="I649" s="511"/>
      <c r="J649" s="511"/>
      <c r="K649" s="511"/>
      <c r="L649" s="511"/>
      <c r="M649" s="511"/>
      <c r="N649" s="511"/>
      <c r="O649" s="511"/>
      <c r="P649" s="511"/>
      <c r="Q649" s="511"/>
      <c r="R649" s="511"/>
      <c r="S649" s="511"/>
      <c r="T649" s="511"/>
      <c r="U649" s="511"/>
      <c r="V649" s="511"/>
      <c r="W649" s="511"/>
      <c r="X649" s="511"/>
      <c r="Y649" s="511"/>
      <c r="Z649" s="511"/>
      <c r="AA649" s="511"/>
      <c r="AB649" s="511"/>
      <c r="AC649" s="511"/>
      <c r="AD649" s="511"/>
      <c r="AE649" s="511"/>
      <c r="AF649" s="511"/>
      <c r="AG649" s="511"/>
      <c r="AH649" s="511"/>
      <c r="AI649" s="511"/>
      <c r="AJ649" s="511"/>
      <c r="AK649" s="511"/>
      <c r="AL649" s="511"/>
      <c r="AM649" s="511"/>
      <c r="AN649" s="511"/>
      <c r="AO649" s="511"/>
      <c r="AP649" s="511"/>
      <c r="AQ649" s="511"/>
      <c r="AR649" s="511"/>
      <c r="AS649" s="511"/>
      <c r="AT649" s="511"/>
      <c r="AU649" s="511"/>
      <c r="AV649" s="511"/>
      <c r="AW649" s="511"/>
      <c r="AX649" s="511"/>
      <c r="AY649" s="511"/>
      <c r="AZ649" s="511"/>
      <c r="BA649" s="511"/>
    </row>
    <row r="650" spans="1:53" customFormat="1">
      <c r="A650" s="511"/>
      <c r="B650" s="511"/>
      <c r="C650" s="511"/>
      <c r="D650" s="511"/>
      <c r="E650" s="511"/>
      <c r="F650" s="511"/>
      <c r="G650" s="511"/>
      <c r="H650" s="517"/>
      <c r="I650" s="511"/>
      <c r="J650" s="511"/>
      <c r="K650" s="511"/>
      <c r="L650" s="511"/>
      <c r="M650" s="511"/>
      <c r="N650" s="511"/>
      <c r="O650" s="511"/>
      <c r="P650" s="511"/>
      <c r="Q650" s="511"/>
      <c r="R650" s="511"/>
      <c r="S650" s="511"/>
      <c r="T650" s="511"/>
      <c r="U650" s="511"/>
      <c r="V650" s="511"/>
      <c r="W650" s="511"/>
      <c r="X650" s="511"/>
      <c r="Y650" s="511"/>
      <c r="Z650" s="511"/>
      <c r="AA650" s="511"/>
      <c r="AB650" s="511"/>
      <c r="AC650" s="511"/>
      <c r="AD650" s="511"/>
      <c r="AE650" s="511"/>
      <c r="AF650" s="511"/>
      <c r="AG650" s="511"/>
      <c r="AH650" s="511"/>
      <c r="AI650" s="511"/>
      <c r="AJ650" s="511"/>
      <c r="AK650" s="511"/>
      <c r="AL650" s="511"/>
      <c r="AM650" s="511"/>
      <c r="AN650" s="511"/>
      <c r="AO650" s="511"/>
      <c r="AP650" s="511"/>
      <c r="AQ650" s="511"/>
      <c r="AR650" s="511"/>
      <c r="AS650" s="511"/>
      <c r="AT650" s="511"/>
      <c r="AU650" s="511"/>
      <c r="AV650" s="511"/>
      <c r="AW650" s="511"/>
      <c r="AX650" s="511"/>
      <c r="AY650" s="511"/>
      <c r="AZ650" s="511"/>
      <c r="BA650" s="511"/>
    </row>
    <row r="651" spans="1:53" customFormat="1">
      <c r="A651" s="511"/>
      <c r="B651" s="511"/>
      <c r="C651" s="511"/>
      <c r="D651" s="511"/>
      <c r="E651" s="511"/>
      <c r="F651" s="511"/>
      <c r="G651" s="511"/>
      <c r="H651" s="517"/>
      <c r="I651" s="511"/>
      <c r="J651" s="511"/>
      <c r="K651" s="511"/>
      <c r="L651" s="511"/>
      <c r="M651" s="511"/>
      <c r="N651" s="511"/>
      <c r="O651" s="511"/>
      <c r="P651" s="511"/>
      <c r="Q651" s="511"/>
      <c r="R651" s="511"/>
      <c r="S651" s="511"/>
      <c r="T651" s="511"/>
      <c r="U651" s="511"/>
      <c r="V651" s="511"/>
      <c r="W651" s="511"/>
      <c r="X651" s="511"/>
      <c r="Y651" s="511"/>
      <c r="Z651" s="511"/>
      <c r="AA651" s="511"/>
      <c r="AB651" s="511"/>
      <c r="AC651" s="511"/>
      <c r="AD651" s="511"/>
      <c r="AE651" s="511"/>
      <c r="AF651" s="511"/>
      <c r="AG651" s="511"/>
      <c r="AH651" s="511"/>
      <c r="AI651" s="511"/>
      <c r="AJ651" s="511"/>
      <c r="AK651" s="511"/>
      <c r="AL651" s="511"/>
      <c r="AM651" s="511"/>
      <c r="AN651" s="511"/>
      <c r="AO651" s="511"/>
      <c r="AP651" s="511"/>
      <c r="AQ651" s="511"/>
      <c r="AR651" s="511"/>
      <c r="AS651" s="511"/>
      <c r="AT651" s="511"/>
      <c r="AU651" s="511"/>
      <c r="AV651" s="511"/>
      <c r="AW651" s="511"/>
      <c r="AX651" s="511"/>
      <c r="AY651" s="511"/>
      <c r="AZ651" s="511"/>
      <c r="BA651" s="511"/>
    </row>
    <row r="652" spans="1:53" customFormat="1">
      <c r="A652" s="511"/>
      <c r="B652" s="511"/>
      <c r="C652" s="511"/>
      <c r="D652" s="511"/>
      <c r="E652" s="511"/>
      <c r="F652" s="511"/>
      <c r="G652" s="511"/>
      <c r="H652" s="517"/>
      <c r="I652" s="511"/>
      <c r="J652" s="511"/>
      <c r="K652" s="511"/>
      <c r="L652" s="511"/>
      <c r="M652" s="511"/>
      <c r="N652" s="511"/>
      <c r="O652" s="511"/>
      <c r="P652" s="511"/>
      <c r="Q652" s="511"/>
      <c r="R652" s="511"/>
      <c r="S652" s="511"/>
      <c r="T652" s="511"/>
      <c r="U652" s="511"/>
      <c r="V652" s="511"/>
      <c r="W652" s="511"/>
      <c r="X652" s="511"/>
      <c r="Y652" s="511"/>
      <c r="Z652" s="511"/>
      <c r="AA652" s="511"/>
      <c r="AB652" s="511"/>
      <c r="AC652" s="511"/>
      <c r="AD652" s="511"/>
      <c r="AE652" s="511"/>
      <c r="AF652" s="511"/>
      <c r="AG652" s="511"/>
      <c r="AH652" s="511"/>
      <c r="AI652" s="511"/>
      <c r="AJ652" s="511"/>
      <c r="AK652" s="511"/>
      <c r="AL652" s="511"/>
      <c r="AM652" s="511"/>
      <c r="AN652" s="511"/>
      <c r="AO652" s="511"/>
      <c r="AP652" s="511"/>
      <c r="AQ652" s="511"/>
      <c r="AR652" s="511"/>
      <c r="AS652" s="511"/>
      <c r="AT652" s="511"/>
      <c r="AU652" s="511"/>
      <c r="AV652" s="511"/>
      <c r="AW652" s="511"/>
      <c r="AX652" s="511"/>
      <c r="AY652" s="511"/>
      <c r="AZ652" s="511"/>
      <c r="BA652" s="511"/>
    </row>
    <row r="653" spans="1:53" customFormat="1">
      <c r="A653" s="511"/>
      <c r="B653" s="511"/>
      <c r="C653" s="511"/>
      <c r="D653" s="511"/>
      <c r="E653" s="511"/>
      <c r="F653" s="511"/>
      <c r="G653" s="511"/>
      <c r="H653" s="517"/>
      <c r="I653" s="511"/>
      <c r="J653" s="511"/>
      <c r="K653" s="511"/>
      <c r="L653" s="511"/>
      <c r="M653" s="511"/>
      <c r="N653" s="511"/>
      <c r="O653" s="511"/>
      <c r="P653" s="511"/>
      <c r="Q653" s="511"/>
      <c r="R653" s="511"/>
      <c r="S653" s="511"/>
      <c r="T653" s="511"/>
      <c r="U653" s="511"/>
      <c r="V653" s="511"/>
      <c r="W653" s="511"/>
      <c r="X653" s="511"/>
      <c r="Y653" s="511"/>
      <c r="Z653" s="511"/>
      <c r="AA653" s="511"/>
      <c r="AB653" s="511"/>
      <c r="AC653" s="511"/>
      <c r="AD653" s="511"/>
      <c r="AE653" s="511"/>
      <c r="AF653" s="511"/>
      <c r="AG653" s="511"/>
      <c r="AH653" s="511"/>
      <c r="AI653" s="511"/>
      <c r="AJ653" s="511"/>
      <c r="AK653" s="511"/>
      <c r="AL653" s="511"/>
      <c r="AM653" s="511"/>
      <c r="AN653" s="511"/>
      <c r="AO653" s="511"/>
      <c r="AP653" s="511"/>
      <c r="AQ653" s="511"/>
      <c r="AR653" s="511"/>
      <c r="AS653" s="511"/>
      <c r="AT653" s="511"/>
      <c r="AU653" s="511"/>
      <c r="AV653" s="511"/>
      <c r="AW653" s="511"/>
      <c r="AX653" s="511"/>
      <c r="AY653" s="511"/>
      <c r="AZ653" s="511"/>
      <c r="BA653" s="511"/>
    </row>
    <row r="654" spans="1:53" customFormat="1">
      <c r="A654" s="511"/>
      <c r="B654" s="511"/>
      <c r="C654" s="511"/>
      <c r="D654" s="511"/>
      <c r="E654" s="511"/>
      <c r="F654" s="511"/>
      <c r="G654" s="511"/>
      <c r="H654" s="517"/>
      <c r="I654" s="511"/>
      <c r="J654" s="511"/>
      <c r="K654" s="511"/>
      <c r="L654" s="511"/>
      <c r="M654" s="511"/>
      <c r="N654" s="511"/>
      <c r="O654" s="511"/>
      <c r="P654" s="511"/>
      <c r="Q654" s="511"/>
      <c r="R654" s="511"/>
      <c r="S654" s="511"/>
      <c r="T654" s="511"/>
      <c r="U654" s="511"/>
      <c r="V654" s="511"/>
      <c r="W654" s="511"/>
      <c r="X654" s="511"/>
      <c r="Y654" s="511"/>
      <c r="Z654" s="511"/>
      <c r="AA654" s="511"/>
      <c r="AB654" s="511"/>
      <c r="AC654" s="511"/>
      <c r="AD654" s="511"/>
      <c r="AE654" s="511"/>
      <c r="AF654" s="511"/>
      <c r="AG654" s="511"/>
      <c r="AH654" s="511"/>
      <c r="AI654" s="511"/>
      <c r="AJ654" s="511"/>
      <c r="AK654" s="511"/>
      <c r="AL654" s="511"/>
      <c r="AM654" s="511"/>
      <c r="AN654" s="511"/>
      <c r="AO654" s="511"/>
      <c r="AP654" s="511"/>
      <c r="AQ654" s="511"/>
      <c r="AR654" s="511"/>
      <c r="AS654" s="511"/>
      <c r="AT654" s="511"/>
      <c r="AU654" s="511"/>
      <c r="AV654" s="511"/>
      <c r="AW654" s="511"/>
      <c r="AX654" s="511"/>
      <c r="AY654" s="511"/>
      <c r="AZ654" s="511"/>
      <c r="BA654" s="511"/>
    </row>
    <row r="655" spans="1:53" customFormat="1">
      <c r="A655" s="511"/>
      <c r="B655" s="511"/>
      <c r="C655" s="511"/>
      <c r="D655" s="511"/>
      <c r="E655" s="511"/>
      <c r="F655" s="511"/>
      <c r="G655" s="511"/>
      <c r="H655" s="517"/>
      <c r="I655" s="511"/>
      <c r="J655" s="511"/>
      <c r="K655" s="511"/>
      <c r="L655" s="511"/>
      <c r="M655" s="511"/>
      <c r="N655" s="511"/>
      <c r="O655" s="511"/>
      <c r="P655" s="511"/>
      <c r="Q655" s="511"/>
      <c r="R655" s="511"/>
      <c r="S655" s="511"/>
      <c r="T655" s="511"/>
      <c r="U655" s="511"/>
      <c r="V655" s="511"/>
      <c r="W655" s="511"/>
      <c r="X655" s="511"/>
      <c r="Y655" s="511"/>
      <c r="Z655" s="511"/>
      <c r="AA655" s="511"/>
      <c r="AB655" s="511"/>
      <c r="AC655" s="511"/>
      <c r="AD655" s="511"/>
      <c r="AE655" s="511"/>
      <c r="AF655" s="511"/>
      <c r="AG655" s="511"/>
      <c r="AH655" s="511"/>
      <c r="AI655" s="511"/>
      <c r="AJ655" s="511"/>
      <c r="AK655" s="511"/>
      <c r="AL655" s="511"/>
      <c r="AM655" s="511"/>
      <c r="AN655" s="511"/>
      <c r="AO655" s="511"/>
      <c r="AP655" s="511"/>
      <c r="AQ655" s="511"/>
      <c r="AR655" s="511"/>
      <c r="AS655" s="511"/>
      <c r="AT655" s="511"/>
      <c r="AU655" s="511"/>
      <c r="AV655" s="511"/>
      <c r="AW655" s="511"/>
      <c r="AX655" s="511"/>
      <c r="AY655" s="511"/>
      <c r="AZ655" s="511"/>
      <c r="BA655" s="511"/>
    </row>
    <row r="656" spans="1:53" customFormat="1">
      <c r="A656" s="511"/>
      <c r="B656" s="511"/>
      <c r="C656" s="511"/>
      <c r="D656" s="511"/>
      <c r="E656" s="511"/>
      <c r="F656" s="511"/>
      <c r="G656" s="511"/>
      <c r="H656" s="517"/>
      <c r="I656" s="511"/>
      <c r="J656" s="511"/>
      <c r="K656" s="511"/>
      <c r="L656" s="511"/>
      <c r="M656" s="511"/>
      <c r="N656" s="511"/>
      <c r="O656" s="511"/>
      <c r="P656" s="511"/>
      <c r="Q656" s="511"/>
      <c r="R656" s="511"/>
      <c r="S656" s="511"/>
      <c r="T656" s="511"/>
      <c r="U656" s="511"/>
      <c r="V656" s="511"/>
      <c r="W656" s="511"/>
      <c r="X656" s="511"/>
      <c r="Y656" s="511"/>
      <c r="Z656" s="511"/>
      <c r="AA656" s="511"/>
      <c r="AB656" s="511"/>
      <c r="AC656" s="511"/>
      <c r="AD656" s="511"/>
      <c r="AE656" s="511"/>
      <c r="AF656" s="511"/>
      <c r="AG656" s="511"/>
      <c r="AH656" s="511"/>
      <c r="AI656" s="511"/>
      <c r="AJ656" s="511"/>
      <c r="AK656" s="511"/>
      <c r="AL656" s="511"/>
      <c r="AM656" s="511"/>
      <c r="AN656" s="511"/>
      <c r="AO656" s="511"/>
      <c r="AP656" s="511"/>
      <c r="AQ656" s="511"/>
      <c r="AR656" s="511"/>
      <c r="AS656" s="511"/>
      <c r="AT656" s="511"/>
      <c r="AU656" s="511"/>
      <c r="AV656" s="511"/>
      <c r="AW656" s="511"/>
      <c r="AX656" s="511"/>
      <c r="AY656" s="511"/>
      <c r="AZ656" s="511"/>
      <c r="BA656" s="511"/>
    </row>
    <row r="657" spans="1:53" customFormat="1">
      <c r="A657" s="511"/>
      <c r="B657" s="511"/>
      <c r="C657" s="511"/>
      <c r="D657" s="511"/>
      <c r="E657" s="511"/>
      <c r="F657" s="511"/>
      <c r="G657" s="511"/>
      <c r="H657" s="517"/>
      <c r="I657" s="511"/>
      <c r="J657" s="511"/>
      <c r="K657" s="511"/>
      <c r="L657" s="511"/>
      <c r="M657" s="511"/>
      <c r="N657" s="511"/>
      <c r="O657" s="511"/>
      <c r="P657" s="511"/>
      <c r="Q657" s="511"/>
      <c r="R657" s="511"/>
      <c r="S657" s="511"/>
      <c r="T657" s="511"/>
      <c r="U657" s="511"/>
      <c r="V657" s="511"/>
      <c r="W657" s="511"/>
      <c r="X657" s="511"/>
      <c r="Y657" s="511"/>
      <c r="Z657" s="511"/>
      <c r="AA657" s="511"/>
      <c r="AB657" s="511"/>
      <c r="AC657" s="511"/>
      <c r="AD657" s="511"/>
      <c r="AE657" s="511"/>
      <c r="AF657" s="511"/>
      <c r="AG657" s="511"/>
      <c r="AH657" s="511"/>
      <c r="AI657" s="511"/>
      <c r="AJ657" s="511"/>
      <c r="AK657" s="511"/>
      <c r="AL657" s="511"/>
      <c r="AM657" s="511"/>
      <c r="AN657" s="511"/>
      <c r="AO657" s="511"/>
      <c r="AP657" s="511"/>
      <c r="AQ657" s="511"/>
      <c r="AR657" s="511"/>
      <c r="AS657" s="511"/>
      <c r="AT657" s="511"/>
      <c r="AU657" s="511"/>
      <c r="AV657" s="511"/>
      <c r="AW657" s="511"/>
      <c r="AX657" s="511"/>
      <c r="AY657" s="511"/>
      <c r="AZ657" s="511"/>
      <c r="BA657" s="511"/>
    </row>
    <row r="658" spans="1:53" customFormat="1">
      <c r="A658" s="511"/>
      <c r="B658" s="511"/>
      <c r="C658" s="511"/>
      <c r="D658" s="511"/>
      <c r="E658" s="511"/>
      <c r="F658" s="511"/>
      <c r="G658" s="511"/>
      <c r="H658" s="517"/>
      <c r="I658" s="511"/>
      <c r="J658" s="511"/>
      <c r="K658" s="511"/>
      <c r="L658" s="511"/>
      <c r="M658" s="511"/>
      <c r="N658" s="511"/>
      <c r="O658" s="511"/>
      <c r="P658" s="511"/>
      <c r="Q658" s="511"/>
      <c r="R658" s="511"/>
      <c r="S658" s="511"/>
      <c r="T658" s="511"/>
      <c r="U658" s="511"/>
      <c r="V658" s="511"/>
      <c r="W658" s="511"/>
      <c r="X658" s="511"/>
      <c r="Y658" s="511"/>
      <c r="Z658" s="511"/>
      <c r="AA658" s="511"/>
      <c r="AB658" s="511"/>
      <c r="AC658" s="511"/>
      <c r="AD658" s="511"/>
      <c r="AE658" s="511"/>
      <c r="AF658" s="511"/>
      <c r="AG658" s="511"/>
      <c r="AH658" s="511"/>
      <c r="AI658" s="511"/>
      <c r="AJ658" s="511"/>
      <c r="AK658" s="511"/>
      <c r="AL658" s="511"/>
      <c r="AM658" s="511"/>
      <c r="AN658" s="511"/>
      <c r="AO658" s="511"/>
      <c r="AP658" s="511"/>
      <c r="AQ658" s="511"/>
      <c r="AR658" s="511"/>
      <c r="AS658" s="511"/>
      <c r="AT658" s="511"/>
      <c r="AU658" s="511"/>
      <c r="AV658" s="511"/>
      <c r="AW658" s="511"/>
      <c r="AX658" s="511"/>
      <c r="AY658" s="511"/>
      <c r="AZ658" s="511"/>
      <c r="BA658" s="511"/>
    </row>
    <row r="659" spans="1:53" customFormat="1">
      <c r="A659" s="511"/>
      <c r="B659" s="511"/>
      <c r="C659" s="511"/>
      <c r="D659" s="511"/>
      <c r="E659" s="511"/>
      <c r="F659" s="511"/>
      <c r="G659" s="511"/>
      <c r="H659" s="517"/>
      <c r="I659" s="511"/>
      <c r="J659" s="511"/>
      <c r="K659" s="511"/>
      <c r="L659" s="511"/>
      <c r="M659" s="511"/>
      <c r="N659" s="511"/>
      <c r="O659" s="511"/>
      <c r="P659" s="511"/>
      <c r="Q659" s="511"/>
      <c r="R659" s="511"/>
      <c r="S659" s="511"/>
      <c r="T659" s="511"/>
      <c r="U659" s="511"/>
      <c r="V659" s="511"/>
      <c r="W659" s="511"/>
      <c r="X659" s="511"/>
      <c r="Y659" s="511"/>
      <c r="Z659" s="511"/>
      <c r="AA659" s="511"/>
      <c r="AB659" s="511"/>
      <c r="AC659" s="511"/>
      <c r="AD659" s="511"/>
      <c r="AE659" s="511"/>
      <c r="AF659" s="511"/>
      <c r="AG659" s="511"/>
      <c r="AH659" s="511"/>
      <c r="AI659" s="511"/>
      <c r="AJ659" s="511"/>
      <c r="AK659" s="511"/>
      <c r="AL659" s="511"/>
      <c r="AM659" s="511"/>
      <c r="AN659" s="511"/>
      <c r="AO659" s="511"/>
      <c r="AP659" s="511"/>
      <c r="AQ659" s="511"/>
      <c r="AR659" s="511"/>
      <c r="AS659" s="511"/>
      <c r="AT659" s="511"/>
      <c r="AU659" s="511"/>
      <c r="AV659" s="511"/>
      <c r="AW659" s="511"/>
      <c r="AX659" s="511"/>
      <c r="AY659" s="511"/>
      <c r="AZ659" s="511"/>
      <c r="BA659" s="511"/>
    </row>
    <row r="660" spans="1:53" customFormat="1">
      <c r="A660" s="511"/>
      <c r="B660" s="511"/>
      <c r="C660" s="511"/>
      <c r="D660" s="511"/>
      <c r="E660" s="511"/>
      <c r="F660" s="511"/>
      <c r="G660" s="511"/>
      <c r="H660" s="517"/>
      <c r="I660" s="511"/>
      <c r="J660" s="511"/>
      <c r="K660" s="511"/>
      <c r="L660" s="511"/>
      <c r="M660" s="511"/>
      <c r="N660" s="511"/>
      <c r="O660" s="511"/>
      <c r="P660" s="511"/>
      <c r="Q660" s="511"/>
      <c r="R660" s="511"/>
      <c r="S660" s="511"/>
      <c r="T660" s="511"/>
      <c r="U660" s="511"/>
      <c r="V660" s="511"/>
      <c r="W660" s="511"/>
      <c r="X660" s="511"/>
      <c r="Y660" s="511"/>
      <c r="Z660" s="511"/>
      <c r="AA660" s="511"/>
      <c r="AB660" s="511"/>
      <c r="AC660" s="511"/>
      <c r="AD660" s="511"/>
      <c r="AE660" s="511"/>
      <c r="AF660" s="511"/>
      <c r="AG660" s="511"/>
      <c r="AH660" s="511"/>
      <c r="AI660" s="511"/>
      <c r="AJ660" s="511"/>
      <c r="AK660" s="511"/>
      <c r="AL660" s="511"/>
      <c r="AM660" s="511"/>
      <c r="AN660" s="511"/>
      <c r="AO660" s="511"/>
      <c r="AP660" s="511"/>
      <c r="AQ660" s="511"/>
      <c r="AR660" s="511"/>
      <c r="AS660" s="511"/>
      <c r="AT660" s="511"/>
      <c r="AU660" s="511"/>
      <c r="AV660" s="511"/>
      <c r="AW660" s="511"/>
      <c r="AX660" s="511"/>
      <c r="AY660" s="511"/>
      <c r="AZ660" s="511"/>
      <c r="BA660" s="511"/>
    </row>
    <row r="661" spans="1:53" customFormat="1">
      <c r="A661" s="511"/>
      <c r="B661" s="511"/>
      <c r="C661" s="511"/>
      <c r="D661" s="511"/>
      <c r="E661" s="511"/>
      <c r="F661" s="511"/>
      <c r="G661" s="511"/>
      <c r="H661" s="517"/>
      <c r="I661" s="511"/>
      <c r="J661" s="511"/>
      <c r="K661" s="511"/>
      <c r="L661" s="511"/>
      <c r="M661" s="511"/>
      <c r="N661" s="511"/>
      <c r="O661" s="511"/>
      <c r="P661" s="511"/>
      <c r="Q661" s="511"/>
      <c r="R661" s="511"/>
      <c r="S661" s="511"/>
      <c r="T661" s="511"/>
      <c r="U661" s="511"/>
      <c r="V661" s="511"/>
      <c r="W661" s="511"/>
      <c r="X661" s="511"/>
      <c r="Y661" s="511"/>
      <c r="Z661" s="511"/>
      <c r="AA661" s="511"/>
      <c r="AB661" s="511"/>
      <c r="AC661" s="511"/>
      <c r="AD661" s="511"/>
      <c r="AE661" s="511"/>
      <c r="AF661" s="511"/>
      <c r="AG661" s="511"/>
      <c r="AH661" s="511"/>
      <c r="AI661" s="511"/>
      <c r="AJ661" s="511"/>
      <c r="AK661" s="511"/>
      <c r="AL661" s="511"/>
      <c r="AM661" s="511"/>
      <c r="AN661" s="511"/>
      <c r="AO661" s="511"/>
      <c r="AP661" s="511"/>
      <c r="AQ661" s="511"/>
      <c r="AR661" s="511"/>
      <c r="AS661" s="511"/>
      <c r="AT661" s="511"/>
      <c r="AU661" s="511"/>
      <c r="AV661" s="511"/>
      <c r="AW661" s="511"/>
      <c r="AX661" s="511"/>
      <c r="AY661" s="511"/>
      <c r="AZ661" s="511"/>
      <c r="BA661" s="511"/>
    </row>
    <row r="662" spans="1:53" customFormat="1">
      <c r="A662" s="511"/>
      <c r="B662" s="511"/>
      <c r="C662" s="511"/>
      <c r="D662" s="511"/>
      <c r="E662" s="511"/>
      <c r="F662" s="511"/>
      <c r="G662" s="511"/>
      <c r="H662" s="517"/>
      <c r="I662" s="511"/>
      <c r="J662" s="511"/>
      <c r="K662" s="511"/>
      <c r="L662" s="511"/>
      <c r="M662" s="511"/>
      <c r="N662" s="511"/>
      <c r="O662" s="511"/>
      <c r="P662" s="511"/>
      <c r="Q662" s="511"/>
      <c r="R662" s="511"/>
      <c r="S662" s="511"/>
      <c r="T662" s="511"/>
      <c r="U662" s="511"/>
      <c r="V662" s="511"/>
      <c r="W662" s="511"/>
      <c r="X662" s="511"/>
      <c r="Y662" s="511"/>
      <c r="Z662" s="511"/>
      <c r="AA662" s="511"/>
      <c r="AB662" s="511"/>
      <c r="AC662" s="511"/>
      <c r="AD662" s="511"/>
      <c r="AE662" s="511"/>
      <c r="AF662" s="511"/>
      <c r="AG662" s="511"/>
      <c r="AH662" s="511"/>
      <c r="AI662" s="511"/>
      <c r="AJ662" s="511"/>
      <c r="AK662" s="511"/>
      <c r="AL662" s="511"/>
      <c r="AM662" s="511"/>
      <c r="AN662" s="511"/>
      <c r="AO662" s="511"/>
      <c r="AP662" s="511"/>
      <c r="AQ662" s="511"/>
      <c r="AR662" s="511"/>
      <c r="AS662" s="511"/>
      <c r="AT662" s="511"/>
      <c r="AU662" s="511"/>
      <c r="AV662" s="511"/>
      <c r="AW662" s="511"/>
      <c r="AX662" s="511"/>
      <c r="AY662" s="511"/>
      <c r="AZ662" s="511"/>
      <c r="BA662" s="511"/>
    </row>
    <row r="663" spans="1:53" customFormat="1">
      <c r="A663" s="511"/>
      <c r="B663" s="511"/>
      <c r="C663" s="511"/>
      <c r="D663" s="511"/>
      <c r="E663" s="511"/>
      <c r="F663" s="511"/>
      <c r="G663" s="511"/>
      <c r="H663" s="517"/>
      <c r="I663" s="511"/>
      <c r="J663" s="511"/>
      <c r="K663" s="511"/>
      <c r="L663" s="511"/>
      <c r="M663" s="511"/>
      <c r="N663" s="511"/>
      <c r="O663" s="511"/>
      <c r="P663" s="511"/>
      <c r="Q663" s="511"/>
      <c r="R663" s="511"/>
      <c r="S663" s="511"/>
      <c r="T663" s="511"/>
      <c r="U663" s="511"/>
      <c r="V663" s="511"/>
      <c r="W663" s="511"/>
      <c r="X663" s="511"/>
      <c r="Y663" s="511"/>
      <c r="Z663" s="511"/>
      <c r="AA663" s="511"/>
      <c r="AB663" s="511"/>
      <c r="AC663" s="511"/>
      <c r="AD663" s="511"/>
      <c r="AE663" s="511"/>
      <c r="AF663" s="511"/>
      <c r="AG663" s="511"/>
      <c r="AH663" s="511"/>
      <c r="AI663" s="511"/>
      <c r="AJ663" s="511"/>
      <c r="AK663" s="511"/>
      <c r="AL663" s="511"/>
      <c r="AM663" s="511"/>
      <c r="AN663" s="511"/>
      <c r="AO663" s="511"/>
      <c r="AP663" s="511"/>
      <c r="AQ663" s="511"/>
      <c r="AR663" s="511"/>
      <c r="AS663" s="511"/>
      <c r="AT663" s="511"/>
      <c r="AU663" s="511"/>
      <c r="AV663" s="511"/>
      <c r="AW663" s="511"/>
      <c r="AX663" s="511"/>
      <c r="AY663" s="511"/>
      <c r="AZ663" s="511"/>
      <c r="BA663" s="511"/>
    </row>
    <row r="664" spans="1:53" customFormat="1">
      <c r="A664" s="511"/>
      <c r="B664" s="511"/>
      <c r="C664" s="511"/>
      <c r="D664" s="511"/>
      <c r="E664" s="511"/>
      <c r="F664" s="511"/>
      <c r="G664" s="511"/>
      <c r="H664" s="517"/>
      <c r="I664" s="511"/>
      <c r="J664" s="511"/>
      <c r="K664" s="511"/>
      <c r="L664" s="511"/>
      <c r="M664" s="511"/>
      <c r="N664" s="511"/>
      <c r="O664" s="511"/>
      <c r="P664" s="511"/>
      <c r="Q664" s="511"/>
      <c r="R664" s="511"/>
      <c r="S664" s="511"/>
      <c r="T664" s="511"/>
      <c r="U664" s="511"/>
      <c r="V664" s="511"/>
      <c r="W664" s="511"/>
      <c r="X664" s="511"/>
      <c r="Y664" s="511"/>
      <c r="Z664" s="511"/>
      <c r="AA664" s="511"/>
      <c r="AB664" s="511"/>
      <c r="AC664" s="511"/>
      <c r="AD664" s="511"/>
      <c r="AE664" s="511"/>
      <c r="AF664" s="511"/>
      <c r="AG664" s="511"/>
      <c r="AH664" s="511"/>
      <c r="AI664" s="511"/>
      <c r="AJ664" s="511"/>
      <c r="AK664" s="511"/>
      <c r="AL664" s="511"/>
      <c r="AM664" s="511"/>
      <c r="AN664" s="511"/>
      <c r="AO664" s="511"/>
      <c r="AP664" s="511"/>
      <c r="AQ664" s="511"/>
      <c r="AR664" s="511"/>
      <c r="AS664" s="511"/>
      <c r="AT664" s="511"/>
      <c r="AU664" s="511"/>
      <c r="AV664" s="511"/>
      <c r="AW664" s="511"/>
      <c r="AX664" s="511"/>
      <c r="AY664" s="511"/>
      <c r="AZ664" s="511"/>
      <c r="BA664" s="511"/>
    </row>
    <row r="665" spans="1:53" customFormat="1">
      <c r="A665" s="511"/>
      <c r="B665" s="511"/>
      <c r="C665" s="511"/>
      <c r="D665" s="511"/>
      <c r="E665" s="511"/>
      <c r="F665" s="511"/>
      <c r="G665" s="511"/>
      <c r="H665" s="517"/>
      <c r="I665" s="511"/>
      <c r="J665" s="511"/>
      <c r="K665" s="511"/>
      <c r="L665" s="511"/>
      <c r="M665" s="511"/>
      <c r="N665" s="511"/>
      <c r="O665" s="511"/>
      <c r="P665" s="511"/>
      <c r="Q665" s="511"/>
      <c r="R665" s="511"/>
      <c r="S665" s="511"/>
      <c r="T665" s="511"/>
      <c r="U665" s="511"/>
      <c r="V665" s="511"/>
      <c r="W665" s="511"/>
      <c r="X665" s="511"/>
      <c r="Y665" s="511"/>
      <c r="Z665" s="511"/>
      <c r="AA665" s="511"/>
      <c r="AB665" s="511"/>
      <c r="AC665" s="511"/>
      <c r="AD665" s="511"/>
      <c r="AE665" s="511"/>
      <c r="AF665" s="511"/>
      <c r="AG665" s="511"/>
      <c r="AH665" s="511"/>
      <c r="AI665" s="511"/>
      <c r="AJ665" s="511"/>
      <c r="AK665" s="511"/>
      <c r="AL665" s="511"/>
      <c r="AM665" s="511"/>
      <c r="AN665" s="511"/>
      <c r="AO665" s="511"/>
      <c r="AP665" s="511"/>
      <c r="AQ665" s="511"/>
      <c r="AR665" s="511"/>
      <c r="AS665" s="511"/>
      <c r="AT665" s="511"/>
      <c r="AU665" s="511"/>
      <c r="AV665" s="511"/>
      <c r="AW665" s="511"/>
      <c r="AX665" s="511"/>
      <c r="AY665" s="511"/>
      <c r="AZ665" s="511"/>
      <c r="BA665" s="511"/>
    </row>
    <row r="666" spans="1:53" customFormat="1">
      <c r="A666" s="511"/>
      <c r="B666" s="511"/>
      <c r="C666" s="511"/>
      <c r="D666" s="511"/>
      <c r="E666" s="511"/>
      <c r="F666" s="511"/>
      <c r="G666" s="511"/>
      <c r="H666" s="517"/>
      <c r="I666" s="511"/>
      <c r="J666" s="511"/>
      <c r="K666" s="511"/>
      <c r="L666" s="511"/>
      <c r="M666" s="511"/>
      <c r="N666" s="511"/>
      <c r="O666" s="511"/>
      <c r="P666" s="511"/>
      <c r="Q666" s="511"/>
      <c r="R666" s="511"/>
      <c r="S666" s="511"/>
      <c r="T666" s="511"/>
      <c r="U666" s="511"/>
      <c r="V666" s="511"/>
      <c r="W666" s="511"/>
      <c r="X666" s="511"/>
      <c r="Y666" s="511"/>
      <c r="Z666" s="511"/>
      <c r="AA666" s="511"/>
      <c r="AB666" s="511"/>
      <c r="AC666" s="511"/>
      <c r="AD666" s="511"/>
      <c r="AE666" s="511"/>
      <c r="AF666" s="511"/>
      <c r="AG666" s="511"/>
      <c r="AH666" s="511"/>
      <c r="AI666" s="511"/>
      <c r="AJ666" s="511"/>
      <c r="AK666" s="511"/>
      <c r="AL666" s="511"/>
      <c r="AM666" s="511"/>
      <c r="AN666" s="511"/>
      <c r="AO666" s="511"/>
      <c r="AP666" s="511"/>
      <c r="AQ666" s="511"/>
      <c r="AR666" s="511"/>
      <c r="AS666" s="511"/>
      <c r="AT666" s="511"/>
      <c r="AU666" s="511"/>
      <c r="AV666" s="511"/>
      <c r="AW666" s="511"/>
      <c r="AX666" s="511"/>
      <c r="AY666" s="511"/>
      <c r="AZ666" s="511"/>
      <c r="BA666" s="511"/>
    </row>
    <row r="667" spans="1:53" customFormat="1">
      <c r="A667" s="511"/>
      <c r="B667" s="511"/>
      <c r="C667" s="511"/>
      <c r="D667" s="511"/>
      <c r="E667" s="511"/>
      <c r="F667" s="511"/>
      <c r="G667" s="511"/>
      <c r="H667" s="517"/>
      <c r="I667" s="511"/>
      <c r="J667" s="511"/>
      <c r="K667" s="511"/>
      <c r="L667" s="511"/>
      <c r="M667" s="511"/>
      <c r="N667" s="511"/>
      <c r="O667" s="511"/>
      <c r="P667" s="511"/>
      <c r="Q667" s="511"/>
      <c r="R667" s="511"/>
      <c r="S667" s="511"/>
      <c r="T667" s="511"/>
      <c r="U667" s="511"/>
      <c r="V667" s="511"/>
      <c r="W667" s="511"/>
      <c r="X667" s="511"/>
      <c r="Y667" s="511"/>
      <c r="Z667" s="511"/>
      <c r="AA667" s="511"/>
      <c r="AB667" s="511"/>
      <c r="AC667" s="511"/>
      <c r="AD667" s="511"/>
      <c r="AE667" s="511"/>
      <c r="AF667" s="511"/>
      <c r="AG667" s="511"/>
      <c r="AH667" s="511"/>
      <c r="AI667" s="511"/>
      <c r="AJ667" s="511"/>
      <c r="AK667" s="511"/>
      <c r="AL667" s="511"/>
      <c r="AM667" s="511"/>
      <c r="AN667" s="511"/>
      <c r="AO667" s="511"/>
      <c r="AP667" s="511"/>
      <c r="AQ667" s="511"/>
      <c r="AR667" s="511"/>
      <c r="AS667" s="511"/>
      <c r="AT667" s="511"/>
      <c r="AU667" s="511"/>
      <c r="AV667" s="511"/>
      <c r="AW667" s="511"/>
      <c r="AX667" s="511"/>
      <c r="AY667" s="511"/>
      <c r="AZ667" s="511"/>
      <c r="BA667" s="511"/>
    </row>
    <row r="668" spans="1:53" customFormat="1">
      <c r="A668" s="511"/>
      <c r="B668" s="511"/>
      <c r="C668" s="511"/>
      <c r="D668" s="511"/>
      <c r="E668" s="511"/>
      <c r="F668" s="511"/>
      <c r="G668" s="511"/>
      <c r="H668" s="517"/>
      <c r="I668" s="511"/>
      <c r="J668" s="511"/>
      <c r="K668" s="511"/>
      <c r="L668" s="511"/>
      <c r="M668" s="511"/>
      <c r="N668" s="511"/>
      <c r="O668" s="511"/>
      <c r="P668" s="511"/>
      <c r="Q668" s="511"/>
      <c r="R668" s="511"/>
      <c r="S668" s="511"/>
      <c r="T668" s="511"/>
      <c r="U668" s="511"/>
      <c r="V668" s="511"/>
      <c r="W668" s="511"/>
      <c r="X668" s="511"/>
      <c r="Y668" s="511"/>
      <c r="Z668" s="511"/>
      <c r="AA668" s="511"/>
      <c r="AB668" s="511"/>
      <c r="AC668" s="511"/>
      <c r="AD668" s="511"/>
      <c r="AE668" s="511"/>
      <c r="AF668" s="511"/>
      <c r="AG668" s="511"/>
      <c r="AH668" s="511"/>
      <c r="AI668" s="511"/>
      <c r="AJ668" s="511"/>
      <c r="AK668" s="511"/>
      <c r="AL668" s="511"/>
      <c r="AM668" s="511"/>
      <c r="AN668" s="511"/>
      <c r="AO668" s="511"/>
      <c r="AP668" s="511"/>
      <c r="AQ668" s="511"/>
      <c r="AR668" s="511"/>
      <c r="AS668" s="511"/>
      <c r="AT668" s="511"/>
      <c r="AU668" s="511"/>
      <c r="AV668" s="511"/>
      <c r="AW668" s="511"/>
      <c r="AX668" s="511"/>
      <c r="AY668" s="511"/>
      <c r="AZ668" s="511"/>
      <c r="BA668" s="511"/>
    </row>
    <row r="669" spans="1:53" customFormat="1">
      <c r="A669" s="511"/>
      <c r="B669" s="511"/>
      <c r="C669" s="511"/>
      <c r="D669" s="511"/>
      <c r="E669" s="511"/>
      <c r="F669" s="511"/>
      <c r="G669" s="511"/>
      <c r="H669" s="517"/>
      <c r="I669" s="511"/>
      <c r="J669" s="511"/>
      <c r="K669" s="511"/>
      <c r="L669" s="511"/>
      <c r="M669" s="511"/>
      <c r="N669" s="511"/>
      <c r="O669" s="511"/>
      <c r="P669" s="511"/>
      <c r="Q669" s="511"/>
      <c r="R669" s="511"/>
      <c r="S669" s="511"/>
      <c r="T669" s="511"/>
      <c r="U669" s="511"/>
      <c r="V669" s="511"/>
      <c r="W669" s="511"/>
      <c r="X669" s="511"/>
      <c r="Y669" s="511"/>
      <c r="Z669" s="511"/>
      <c r="AA669" s="511"/>
      <c r="AB669" s="511"/>
      <c r="AC669" s="511"/>
      <c r="AD669" s="511"/>
      <c r="AE669" s="511"/>
      <c r="AF669" s="511"/>
      <c r="AG669" s="511"/>
      <c r="AH669" s="511"/>
      <c r="AI669" s="511"/>
      <c r="AJ669" s="511"/>
      <c r="AK669" s="511"/>
      <c r="AL669" s="511"/>
      <c r="AM669" s="511"/>
      <c r="AN669" s="511"/>
      <c r="AO669" s="511"/>
      <c r="AP669" s="511"/>
      <c r="AQ669" s="511"/>
      <c r="AR669" s="511"/>
      <c r="AS669" s="511"/>
      <c r="AT669" s="511"/>
      <c r="AU669" s="511"/>
      <c r="AV669" s="511"/>
      <c r="AW669" s="511"/>
      <c r="AX669" s="511"/>
      <c r="AY669" s="511"/>
      <c r="AZ669" s="511"/>
      <c r="BA669" s="511"/>
    </row>
    <row r="670" spans="1:53" customFormat="1">
      <c r="A670" s="511"/>
      <c r="B670" s="511"/>
      <c r="C670" s="511"/>
      <c r="D670" s="511"/>
      <c r="E670" s="511"/>
      <c r="F670" s="511"/>
      <c r="G670" s="511"/>
      <c r="H670" s="517"/>
      <c r="I670" s="511"/>
      <c r="J670" s="511"/>
      <c r="K670" s="511"/>
      <c r="L670" s="511"/>
      <c r="M670" s="511"/>
      <c r="N670" s="511"/>
      <c r="O670" s="511"/>
      <c r="P670" s="511"/>
      <c r="Q670" s="511"/>
      <c r="R670" s="511"/>
      <c r="S670" s="511"/>
      <c r="T670" s="511"/>
      <c r="U670" s="511"/>
      <c r="V670" s="511"/>
      <c r="W670" s="511"/>
      <c r="X670" s="511"/>
      <c r="Y670" s="511"/>
      <c r="Z670" s="511"/>
      <c r="AA670" s="511"/>
      <c r="AB670" s="511"/>
      <c r="AC670" s="511"/>
      <c r="AD670" s="511"/>
      <c r="AE670" s="511"/>
      <c r="AF670" s="511"/>
      <c r="AG670" s="511"/>
      <c r="AH670" s="511"/>
      <c r="AI670" s="511"/>
      <c r="AJ670" s="511"/>
      <c r="AK670" s="511"/>
      <c r="AL670" s="511"/>
      <c r="AM670" s="511"/>
      <c r="AN670" s="511"/>
      <c r="AO670" s="511"/>
      <c r="AP670" s="511"/>
      <c r="AQ670" s="511"/>
      <c r="AR670" s="511"/>
      <c r="AS670" s="511"/>
      <c r="AT670" s="511"/>
      <c r="AU670" s="511"/>
      <c r="AV670" s="511"/>
      <c r="AW670" s="511"/>
      <c r="AX670" s="511"/>
      <c r="AY670" s="511"/>
      <c r="AZ670" s="511"/>
      <c r="BA670" s="511"/>
    </row>
  </sheetData>
  <autoFilter ref="A3:BE222"/>
  <sortState ref="A3:BE212">
    <sortCondition descending="1" ref="N2"/>
  </sortState>
  <mergeCells count="5">
    <mergeCell ref="I2:M2"/>
    <mergeCell ref="N2:AA2"/>
    <mergeCell ref="AB2:AY2"/>
    <mergeCell ref="AZ2:BA2"/>
    <mergeCell ref="BB2:BF2"/>
  </mergeCells>
  <conditionalFormatting sqref="I211:AA211 A211 I208:AA208 A208 U203:AA204 A203:A204 A194:A195 U194:AA195 U180:AA180 A180 U175:AA175 A175 A173 U173:AA173 I167:AA168 A167:A168 A165 U165:AA165 A153 A144:A145 U144:AA145 U141 V140:AA141 A117:A119 H116:AA116 H104:AA107 A101:A103 A85 I85:AA85 U61:U70 H23:T39 V23:AA39 U20:U22 H4:H22 A22 H61:H85 A122:D122 J71:U84 H86:AA100 C22 C85 C101:C103 C117:C118 A123:A126 C123:C126 C144:C145 C153 C165 C167:C168 C173 C175 C180 C194:C195 C203:C204 C208 C211 C119:D119 A129:A131 C129:C131 B123:B183 A113:A115 C113:C115 B113:B118 E124:AA124 E122:G123 A120:G121 E22:G22 E211:G211 E208:G208 E203:G204 E194:G195 E85:G85 E101:AA103 A108:AA112 E117:AA118 E180:G180 E175:G175 E173:G173 E167:G168 E165:G165 E144:H145 E125:G126 E129:AA131 E113:AA115 A184:AA186 I213:AA213 H213:H221 C213:E214 C215:D216 A213:A221 C217:E219 C220:D220 C221:E221 G214:AA221 D4:D248 G213:G248 B188:B248">
    <cfRule type="expression" dxfId="892" priority="488" stopIfTrue="1">
      <formula>#REF!="Yes"</formula>
    </cfRule>
  </conditionalFormatting>
  <conditionalFormatting sqref="U4:U19">
    <cfRule type="expression" dxfId="891" priority="487" stopIfTrue="1">
      <formula>#REF!="Yes"</formula>
    </cfRule>
  </conditionalFormatting>
  <conditionalFormatting sqref="A5:A21 C5:C21 B5:B22 A4:E4 E5:G21 F4:F212 G5:G248">
    <cfRule type="expression" dxfId="890" priority="486" stopIfTrue="1">
      <formula>#REF!="Yes"</formula>
    </cfRule>
  </conditionalFormatting>
  <conditionalFormatting sqref="I4:L22 E81:G84 A86:G100 E104:G107 E116:G116 E119:AA119 E132:G132 E143:G143 E154:G154 E157:G158 E161:G161 E169:G169 E177:G179 E182:G183 E187:G193 E196:G196 E199:G200 A40:G80">
    <cfRule type="expression" dxfId="889" priority="485" stopIfTrue="1">
      <formula>#REF!="Yes"</formula>
    </cfRule>
  </conditionalFormatting>
  <conditionalFormatting sqref="M4:M22">
    <cfRule type="expression" dxfId="888" priority="484" stopIfTrue="1">
      <formula>#REF!="Yes"</formula>
    </cfRule>
  </conditionalFormatting>
  <conditionalFormatting sqref="N4:T22">
    <cfRule type="expression" dxfId="887" priority="483" stopIfTrue="1">
      <formula>#REF!="Yes"</formula>
    </cfRule>
  </conditionalFormatting>
  <conditionalFormatting sqref="V6:AA22 W4:AA5">
    <cfRule type="expression" dxfId="886" priority="482" stopIfTrue="1">
      <formula>#REF!="Yes"</formula>
    </cfRule>
  </conditionalFormatting>
  <conditionalFormatting sqref="I211 I208 I167:I168 I124 I129:I131 I4:I118 I184:I186 I213:I221">
    <cfRule type="cellIs" dxfId="885" priority="481" stopIfTrue="1" operator="lessThan">
      <formula>0</formula>
    </cfRule>
  </conditionalFormatting>
  <conditionalFormatting sqref="V4:V5 E201:G201 E206:G207 E209:G210 E212:G212">
    <cfRule type="expression" dxfId="884" priority="480" stopIfTrue="1">
      <formula>#REF!="Yes"</formula>
    </cfRule>
  </conditionalFormatting>
  <conditionalFormatting sqref="A23:G39 E153:G153 E159:G159 E166:G166 E174:G174 E197:G197">
    <cfRule type="expression" dxfId="883" priority="479" stopIfTrue="1">
      <formula>#REF!="Yes"</formula>
    </cfRule>
  </conditionalFormatting>
  <conditionalFormatting sqref="H40:H60 E127:G128 E133:G142 E146:G152 E155:G156 E160:G160 E162:G164 E170:G172 E181:G181 E198:G198 E202:G202">
    <cfRule type="expression" dxfId="882" priority="478" stopIfTrue="1">
      <formula>#REF!="Yes"</formula>
    </cfRule>
  </conditionalFormatting>
  <conditionalFormatting sqref="V40:AA60">
    <cfRule type="expression" dxfId="881" priority="473" stopIfTrue="1">
      <formula>#REF!="Yes"</formula>
    </cfRule>
  </conditionalFormatting>
  <conditionalFormatting sqref="I40:M60">
    <cfRule type="expression" dxfId="880" priority="476" stopIfTrue="1">
      <formula>#REF!="Yes"</formula>
    </cfRule>
  </conditionalFormatting>
  <conditionalFormatting sqref="N40:S60">
    <cfRule type="expression" dxfId="879" priority="475" stopIfTrue="1">
      <formula>#REF!="Yes"</formula>
    </cfRule>
  </conditionalFormatting>
  <conditionalFormatting sqref="T40:T60">
    <cfRule type="expression" dxfId="878" priority="474" stopIfTrue="1">
      <formula>#REF!="Yes"</formula>
    </cfRule>
  </conditionalFormatting>
  <conditionalFormatting sqref="I61:M70">
    <cfRule type="expression" dxfId="877" priority="471" stopIfTrue="1">
      <formula>#REF!="Yes"</formula>
    </cfRule>
  </conditionalFormatting>
  <conditionalFormatting sqref="N61:T70">
    <cfRule type="expression" dxfId="876" priority="470" stopIfTrue="1">
      <formula>#REF!="Yes"</formula>
    </cfRule>
  </conditionalFormatting>
  <conditionalFormatting sqref="V61:AA70">
    <cfRule type="expression" dxfId="875" priority="469" stopIfTrue="1">
      <formula>#REF!="Yes"</formula>
    </cfRule>
  </conditionalFormatting>
  <conditionalFormatting sqref="I71:T84">
    <cfRule type="expression" dxfId="874" priority="468" stopIfTrue="1">
      <formula>#REF!="Yes"</formula>
    </cfRule>
  </conditionalFormatting>
  <conditionalFormatting sqref="V71:AA84">
    <cfRule type="expression" dxfId="873" priority="467" stopIfTrue="1">
      <formula>#REF!="Yes"</formula>
    </cfRule>
  </conditionalFormatting>
  <conditionalFormatting sqref="A83:A84 C83:C84">
    <cfRule type="expression" dxfId="872" priority="465" stopIfTrue="1">
      <formula>#REF!="Yes"</formula>
    </cfRule>
  </conditionalFormatting>
  <conditionalFormatting sqref="A81:A82 C81:C82 B81:B85 D81:D85">
    <cfRule type="expression" dxfId="871" priority="464" stopIfTrue="1">
      <formula>#REF!="Yes"</formula>
    </cfRule>
  </conditionalFormatting>
  <conditionalFormatting sqref="B101:B103 D101:D103">
    <cfRule type="expression" dxfId="870" priority="462" stopIfTrue="1">
      <formula>#REF!="Yes"</formula>
    </cfRule>
  </conditionalFormatting>
  <conditionalFormatting sqref="A100:D100 B101:B103 D101:D103">
    <cfRule type="expression" dxfId="869" priority="461" stopIfTrue="1">
      <formula>#REF!="Yes"</formula>
    </cfRule>
  </conditionalFormatting>
  <conditionalFormatting sqref="A104:D107">
    <cfRule type="expression" dxfId="868" priority="459" stopIfTrue="1">
      <formula>#REF!="Yes"</formula>
    </cfRule>
  </conditionalFormatting>
  <conditionalFormatting sqref="A116 C116">
    <cfRule type="expression" dxfId="867" priority="458" stopIfTrue="1">
      <formula>#REF!="Yes"</formula>
    </cfRule>
  </conditionalFormatting>
  <conditionalFormatting sqref="U125:AA126 U120:AA123">
    <cfRule type="expression" dxfId="866" priority="457" stopIfTrue="1">
      <formula>#REF!="Yes"</formula>
    </cfRule>
  </conditionalFormatting>
  <conditionalFormatting sqref="I119">
    <cfRule type="cellIs" dxfId="865" priority="456" stopIfTrue="1" operator="lessThan">
      <formula>0</formula>
    </cfRule>
  </conditionalFormatting>
  <conditionalFormatting sqref="I125:I126 I120:I123">
    <cfRule type="cellIs" dxfId="864" priority="455" stopIfTrue="1" operator="lessThan">
      <formula>0</formula>
    </cfRule>
  </conditionalFormatting>
  <conditionalFormatting sqref="I125:T126 I120:T123">
    <cfRule type="expression" dxfId="863" priority="454" stopIfTrue="1">
      <formula>#REF!="Yes"</formula>
    </cfRule>
  </conditionalFormatting>
  <conditionalFormatting sqref="H125:H126 H122:H123">
    <cfRule type="expression" dxfId="862" priority="453" stopIfTrue="1">
      <formula>#REF!="Yes"</formula>
    </cfRule>
  </conditionalFormatting>
  <conditionalFormatting sqref="A127 C127">
    <cfRule type="expression" dxfId="861" priority="452" stopIfTrue="1">
      <formula>#REF!="Yes"</formula>
    </cfRule>
  </conditionalFormatting>
  <conditionalFormatting sqref="U127:AA127">
    <cfRule type="expression" dxfId="860" priority="451" stopIfTrue="1">
      <formula>#REF!="Yes"</formula>
    </cfRule>
  </conditionalFormatting>
  <conditionalFormatting sqref="I127">
    <cfRule type="cellIs" dxfId="859" priority="450" stopIfTrue="1" operator="lessThan">
      <formula>0</formula>
    </cfRule>
  </conditionalFormatting>
  <conditionalFormatting sqref="I127:T127">
    <cfRule type="expression" dxfId="858" priority="449" stopIfTrue="1">
      <formula>#REF!="Yes"</formula>
    </cfRule>
  </conditionalFormatting>
  <conditionalFormatting sqref="H127">
    <cfRule type="expression" dxfId="857" priority="448" stopIfTrue="1">
      <formula>#REF!="Yes"</formula>
    </cfRule>
  </conditionalFormatting>
  <conditionalFormatting sqref="A128 C128">
    <cfRule type="expression" dxfId="856" priority="447" stopIfTrue="1">
      <formula>#REF!="Yes"</formula>
    </cfRule>
  </conditionalFormatting>
  <conditionalFormatting sqref="U135:AA136 U128:AA128">
    <cfRule type="expression" dxfId="855" priority="446" stopIfTrue="1">
      <formula>#REF!="Yes"</formula>
    </cfRule>
  </conditionalFormatting>
  <conditionalFormatting sqref="I128">
    <cfRule type="cellIs" dxfId="854" priority="445" stopIfTrue="1" operator="lessThan">
      <formula>0</formula>
    </cfRule>
  </conditionalFormatting>
  <conditionalFormatting sqref="N135:T136 I128:T128">
    <cfRule type="expression" dxfId="853" priority="444" stopIfTrue="1">
      <formula>#REF!="Yes"</formula>
    </cfRule>
  </conditionalFormatting>
  <conditionalFormatting sqref="H128">
    <cfRule type="expression" dxfId="852" priority="443" stopIfTrue="1">
      <formula>#REF!="Yes"</formula>
    </cfRule>
  </conditionalFormatting>
  <conditionalFormatting sqref="A132 C132">
    <cfRule type="expression" dxfId="851" priority="441" stopIfTrue="1">
      <formula>#REF!="Yes"</formula>
    </cfRule>
  </conditionalFormatting>
  <conditionalFormatting sqref="U132:AA132">
    <cfRule type="expression" dxfId="850" priority="440" stopIfTrue="1">
      <formula>#REF!="Yes"</formula>
    </cfRule>
  </conditionalFormatting>
  <conditionalFormatting sqref="I132">
    <cfRule type="cellIs" dxfId="849" priority="439" stopIfTrue="1" operator="lessThan">
      <formula>0</formula>
    </cfRule>
  </conditionalFormatting>
  <conditionalFormatting sqref="I132:T132">
    <cfRule type="expression" dxfId="848" priority="438" stopIfTrue="1">
      <formula>#REF!="Yes"</formula>
    </cfRule>
  </conditionalFormatting>
  <conditionalFormatting sqref="H132">
    <cfRule type="expression" dxfId="847" priority="437" stopIfTrue="1">
      <formula>#REF!="Yes"</formula>
    </cfRule>
  </conditionalFormatting>
  <conditionalFormatting sqref="A133 C133">
    <cfRule type="expression" dxfId="846" priority="436" stopIfTrue="1">
      <formula>#REF!="Yes"</formula>
    </cfRule>
  </conditionalFormatting>
  <conditionalFormatting sqref="U133:AA133">
    <cfRule type="expression" dxfId="845" priority="435" stopIfTrue="1">
      <formula>#REF!="Yes"</formula>
    </cfRule>
  </conditionalFormatting>
  <conditionalFormatting sqref="I133">
    <cfRule type="cellIs" dxfId="844" priority="434" stopIfTrue="1" operator="lessThan">
      <formula>0</formula>
    </cfRule>
  </conditionalFormatting>
  <conditionalFormatting sqref="I133:T133">
    <cfRule type="expression" dxfId="843" priority="433" stopIfTrue="1">
      <formula>#REF!="Yes"</formula>
    </cfRule>
  </conditionalFormatting>
  <conditionalFormatting sqref="H133">
    <cfRule type="expression" dxfId="842" priority="432" stopIfTrue="1">
      <formula>#REF!="Yes"</formula>
    </cfRule>
  </conditionalFormatting>
  <conditionalFormatting sqref="A134 C134">
    <cfRule type="expression" dxfId="841" priority="431" stopIfTrue="1">
      <formula>#REF!="Yes"</formula>
    </cfRule>
  </conditionalFormatting>
  <conditionalFormatting sqref="U134:AA134">
    <cfRule type="expression" dxfId="840" priority="430" stopIfTrue="1">
      <formula>#REF!="Yes"</formula>
    </cfRule>
  </conditionalFormatting>
  <conditionalFormatting sqref="I134">
    <cfRule type="cellIs" dxfId="839" priority="429" stopIfTrue="1" operator="lessThan">
      <formula>0</formula>
    </cfRule>
  </conditionalFormatting>
  <conditionalFormatting sqref="I134:T134">
    <cfRule type="expression" dxfId="838" priority="428" stopIfTrue="1">
      <formula>#REF!="Yes"</formula>
    </cfRule>
  </conditionalFormatting>
  <conditionalFormatting sqref="H134">
    <cfRule type="expression" dxfId="837" priority="427" stopIfTrue="1">
      <formula>#REF!="Yes"</formula>
    </cfRule>
  </conditionalFormatting>
  <conditionalFormatting sqref="A135:A136 C135:C136">
    <cfRule type="expression" dxfId="836" priority="426" stopIfTrue="1">
      <formula>#REF!="Yes"</formula>
    </cfRule>
  </conditionalFormatting>
  <conditionalFormatting sqref="I135:I136">
    <cfRule type="cellIs" dxfId="835" priority="425" stopIfTrue="1" operator="lessThan">
      <formula>0</formula>
    </cfRule>
  </conditionalFormatting>
  <conditionalFormatting sqref="I135:M136">
    <cfRule type="expression" dxfId="834" priority="424" stopIfTrue="1">
      <formula>#REF!="Yes"</formula>
    </cfRule>
  </conditionalFormatting>
  <conditionalFormatting sqref="H135:H136">
    <cfRule type="expression" dxfId="833" priority="423" stopIfTrue="1">
      <formula>#REF!="Yes"</formula>
    </cfRule>
  </conditionalFormatting>
  <conditionalFormatting sqref="A137 C137">
    <cfRule type="expression" dxfId="832" priority="422" stopIfTrue="1">
      <formula>#REF!="Yes"</formula>
    </cfRule>
  </conditionalFormatting>
  <conditionalFormatting sqref="U137:AA137">
    <cfRule type="expression" dxfId="831" priority="421" stopIfTrue="1">
      <formula>#REF!="Yes"</formula>
    </cfRule>
  </conditionalFormatting>
  <conditionalFormatting sqref="I137">
    <cfRule type="cellIs" dxfId="830" priority="420" stopIfTrue="1" operator="lessThan">
      <formula>0</formula>
    </cfRule>
  </conditionalFormatting>
  <conditionalFormatting sqref="I137:T137">
    <cfRule type="expression" dxfId="829" priority="419" stopIfTrue="1">
      <formula>#REF!="Yes"</formula>
    </cfRule>
  </conditionalFormatting>
  <conditionalFormatting sqref="H137">
    <cfRule type="expression" dxfId="828" priority="418" stopIfTrue="1">
      <formula>#REF!="Yes"</formula>
    </cfRule>
  </conditionalFormatting>
  <conditionalFormatting sqref="A138 C138">
    <cfRule type="expression" dxfId="827" priority="417" stopIfTrue="1">
      <formula>#REF!="Yes"</formula>
    </cfRule>
  </conditionalFormatting>
  <conditionalFormatting sqref="U138:AA138">
    <cfRule type="expression" dxfId="826" priority="416" stopIfTrue="1">
      <formula>#REF!="Yes"</formula>
    </cfRule>
  </conditionalFormatting>
  <conditionalFormatting sqref="I138">
    <cfRule type="cellIs" dxfId="825" priority="415" stopIfTrue="1" operator="lessThan">
      <formula>0</formula>
    </cfRule>
  </conditionalFormatting>
  <conditionalFormatting sqref="I138:T138">
    <cfRule type="expression" dxfId="824" priority="414" stopIfTrue="1">
      <formula>#REF!="Yes"</formula>
    </cfRule>
  </conditionalFormatting>
  <conditionalFormatting sqref="H138">
    <cfRule type="expression" dxfId="823" priority="413" stopIfTrue="1">
      <formula>#REF!="Yes"</formula>
    </cfRule>
  </conditionalFormatting>
  <conditionalFormatting sqref="A139 C139">
    <cfRule type="expression" dxfId="822" priority="412" stopIfTrue="1">
      <formula>#REF!="Yes"</formula>
    </cfRule>
  </conditionalFormatting>
  <conditionalFormatting sqref="U139:AA139">
    <cfRule type="expression" dxfId="821" priority="411" stopIfTrue="1">
      <formula>#REF!="Yes"</formula>
    </cfRule>
  </conditionalFormatting>
  <conditionalFormatting sqref="I139">
    <cfRule type="cellIs" dxfId="820" priority="410" stopIfTrue="1" operator="lessThan">
      <formula>0</formula>
    </cfRule>
  </conditionalFormatting>
  <conditionalFormatting sqref="H139">
    <cfRule type="expression" dxfId="819" priority="408" stopIfTrue="1">
      <formula>#REF!="Yes"</formula>
    </cfRule>
  </conditionalFormatting>
  <conditionalFormatting sqref="I139:T139">
    <cfRule type="expression" dxfId="818" priority="409" stopIfTrue="1">
      <formula>#REF!="Yes"</formula>
    </cfRule>
  </conditionalFormatting>
  <conditionalFormatting sqref="A140:A141 C140:C141">
    <cfRule type="expression" dxfId="817" priority="407" stopIfTrue="1">
      <formula>#REF!="Yes"</formula>
    </cfRule>
  </conditionalFormatting>
  <conditionalFormatting sqref="U140">
    <cfRule type="expression" dxfId="816" priority="406" stopIfTrue="1">
      <formula>#REF!="Yes"</formula>
    </cfRule>
  </conditionalFormatting>
  <conditionalFormatting sqref="I140:I141">
    <cfRule type="cellIs" dxfId="815" priority="405" stopIfTrue="1" operator="lessThan">
      <formula>0</formula>
    </cfRule>
  </conditionalFormatting>
  <conditionalFormatting sqref="I140:T141">
    <cfRule type="expression" dxfId="814" priority="404" stopIfTrue="1">
      <formula>#REF!="Yes"</formula>
    </cfRule>
  </conditionalFormatting>
  <conditionalFormatting sqref="H140:H141">
    <cfRule type="expression" dxfId="813" priority="403" stopIfTrue="1">
      <formula>#REF!="Yes"</formula>
    </cfRule>
  </conditionalFormatting>
  <conditionalFormatting sqref="A142 C142">
    <cfRule type="expression" dxfId="812" priority="402" stopIfTrue="1">
      <formula>#REF!="Yes"</formula>
    </cfRule>
  </conditionalFormatting>
  <conditionalFormatting sqref="U142:AA142">
    <cfRule type="expression" dxfId="811" priority="401" stopIfTrue="1">
      <formula>#REF!="Yes"</formula>
    </cfRule>
  </conditionalFormatting>
  <conditionalFormatting sqref="I142">
    <cfRule type="cellIs" dxfId="810" priority="400" stopIfTrue="1" operator="lessThan">
      <formula>0</formula>
    </cfRule>
  </conditionalFormatting>
  <conditionalFormatting sqref="I142:T142">
    <cfRule type="expression" dxfId="809" priority="399" stopIfTrue="1">
      <formula>#REF!="Yes"</formula>
    </cfRule>
  </conditionalFormatting>
  <conditionalFormatting sqref="H142">
    <cfRule type="expression" dxfId="808" priority="398" stopIfTrue="1">
      <formula>#REF!="Yes"</formula>
    </cfRule>
  </conditionalFormatting>
  <conditionalFormatting sqref="U143:AA143">
    <cfRule type="expression" dxfId="807" priority="396" stopIfTrue="1">
      <formula>#REF!="Yes"</formula>
    </cfRule>
  </conditionalFormatting>
  <conditionalFormatting sqref="A143 C143">
    <cfRule type="expression" dxfId="806" priority="397" stopIfTrue="1">
      <formula>#REF!="Yes"</formula>
    </cfRule>
  </conditionalFormatting>
  <conditionalFormatting sqref="I143">
    <cfRule type="cellIs" dxfId="805" priority="395" stopIfTrue="1" operator="lessThan">
      <formula>0</formula>
    </cfRule>
  </conditionalFormatting>
  <conditionalFormatting sqref="I143:T143">
    <cfRule type="expression" dxfId="804" priority="394" stopIfTrue="1">
      <formula>#REF!="Yes"</formula>
    </cfRule>
  </conditionalFormatting>
  <conditionalFormatting sqref="H143">
    <cfRule type="expression" dxfId="803" priority="393" stopIfTrue="1">
      <formula>#REF!="Yes"</formula>
    </cfRule>
  </conditionalFormatting>
  <conditionalFormatting sqref="I144">
    <cfRule type="cellIs" dxfId="802" priority="392" stopIfTrue="1" operator="lessThan">
      <formula>0</formula>
    </cfRule>
  </conditionalFormatting>
  <conditionalFormatting sqref="I144:T144 E205:G205">
    <cfRule type="expression" dxfId="801" priority="391" stopIfTrue="1">
      <formula>#REF!="Yes"</formula>
    </cfRule>
  </conditionalFormatting>
  <conditionalFormatting sqref="I145">
    <cfRule type="cellIs" dxfId="800" priority="390" stopIfTrue="1" operator="lessThan">
      <formula>0</formula>
    </cfRule>
  </conditionalFormatting>
  <conditionalFormatting sqref="I145:T145">
    <cfRule type="expression" dxfId="799" priority="389" stopIfTrue="1">
      <formula>#REF!="Yes"</formula>
    </cfRule>
  </conditionalFormatting>
  <conditionalFormatting sqref="U146:AA146 E176:G176">
    <cfRule type="expression" dxfId="798" priority="387" stopIfTrue="1">
      <formula>#REF!="Yes"</formula>
    </cfRule>
  </conditionalFormatting>
  <conditionalFormatting sqref="A146 C146">
    <cfRule type="expression" dxfId="797" priority="388" stopIfTrue="1">
      <formula>#REF!="Yes"</formula>
    </cfRule>
  </conditionalFormatting>
  <conditionalFormatting sqref="I146">
    <cfRule type="cellIs" dxfId="796" priority="386" stopIfTrue="1" operator="lessThan">
      <formula>0</formula>
    </cfRule>
  </conditionalFormatting>
  <conditionalFormatting sqref="I146:T146">
    <cfRule type="expression" dxfId="795" priority="385" stopIfTrue="1">
      <formula>#REF!="Yes"</formula>
    </cfRule>
  </conditionalFormatting>
  <conditionalFormatting sqref="H146">
    <cfRule type="expression" dxfId="794" priority="384" stopIfTrue="1">
      <formula>#REF!="Yes"</formula>
    </cfRule>
  </conditionalFormatting>
  <conditionalFormatting sqref="A147:A148 C147:C148">
    <cfRule type="expression" dxfId="793" priority="383" stopIfTrue="1">
      <formula>#REF!="Yes"</formula>
    </cfRule>
  </conditionalFormatting>
  <conditionalFormatting sqref="U147:AA148">
    <cfRule type="expression" dxfId="792" priority="382" stopIfTrue="1">
      <formula>#REF!="Yes"</formula>
    </cfRule>
  </conditionalFormatting>
  <conditionalFormatting sqref="I147:I148">
    <cfRule type="cellIs" dxfId="791" priority="381" stopIfTrue="1" operator="lessThan">
      <formula>0</formula>
    </cfRule>
  </conditionalFormatting>
  <conditionalFormatting sqref="I147:T148">
    <cfRule type="expression" dxfId="790" priority="380" stopIfTrue="1">
      <formula>#REF!="Yes"</formula>
    </cfRule>
  </conditionalFormatting>
  <conditionalFormatting sqref="H147:H148">
    <cfRule type="expression" dxfId="789" priority="379" stopIfTrue="1">
      <formula>#REF!="Yes"</formula>
    </cfRule>
  </conditionalFormatting>
  <conditionalFormatting sqref="A149 C149">
    <cfRule type="expression" dxfId="788" priority="378" stopIfTrue="1">
      <formula>#REF!="Yes"</formula>
    </cfRule>
  </conditionalFormatting>
  <conditionalFormatting sqref="U149:AA149">
    <cfRule type="expression" dxfId="787" priority="377" stopIfTrue="1">
      <formula>#REF!="Yes"</formula>
    </cfRule>
  </conditionalFormatting>
  <conditionalFormatting sqref="I149">
    <cfRule type="cellIs" dxfId="786" priority="376" stopIfTrue="1" operator="lessThan">
      <formula>0</formula>
    </cfRule>
  </conditionalFormatting>
  <conditionalFormatting sqref="I149:T149">
    <cfRule type="expression" dxfId="785" priority="375" stopIfTrue="1">
      <formula>#REF!="Yes"</formula>
    </cfRule>
  </conditionalFormatting>
  <conditionalFormatting sqref="H149">
    <cfRule type="expression" dxfId="784" priority="374" stopIfTrue="1">
      <formula>#REF!="Yes"</formula>
    </cfRule>
  </conditionalFormatting>
  <conditionalFormatting sqref="A150 C150">
    <cfRule type="expression" dxfId="783" priority="373" stopIfTrue="1">
      <formula>#REF!="Yes"</formula>
    </cfRule>
  </conditionalFormatting>
  <conditionalFormatting sqref="U150:AA150">
    <cfRule type="expression" dxfId="782" priority="372" stopIfTrue="1">
      <formula>#REF!="Yes"</formula>
    </cfRule>
  </conditionalFormatting>
  <conditionalFormatting sqref="I150">
    <cfRule type="cellIs" dxfId="781" priority="371" stopIfTrue="1" operator="lessThan">
      <formula>0</formula>
    </cfRule>
  </conditionalFormatting>
  <conditionalFormatting sqref="I150:T150">
    <cfRule type="expression" dxfId="780" priority="370" stopIfTrue="1">
      <formula>#REF!="Yes"</formula>
    </cfRule>
  </conditionalFormatting>
  <conditionalFormatting sqref="H150">
    <cfRule type="expression" dxfId="779" priority="369" stopIfTrue="1">
      <formula>#REF!="Yes"</formula>
    </cfRule>
  </conditionalFormatting>
  <conditionalFormatting sqref="A151 C151">
    <cfRule type="expression" dxfId="778" priority="368" stopIfTrue="1">
      <formula>#REF!="Yes"</formula>
    </cfRule>
  </conditionalFormatting>
  <conditionalFormatting sqref="U151:AA151">
    <cfRule type="expression" dxfId="777" priority="367" stopIfTrue="1">
      <formula>#REF!="Yes"</formula>
    </cfRule>
  </conditionalFormatting>
  <conditionalFormatting sqref="I151">
    <cfRule type="cellIs" dxfId="776" priority="366" stopIfTrue="1" operator="lessThan">
      <formula>0</formula>
    </cfRule>
  </conditionalFormatting>
  <conditionalFormatting sqref="I151:T151">
    <cfRule type="expression" dxfId="775" priority="365" stopIfTrue="1">
      <formula>#REF!="Yes"</formula>
    </cfRule>
  </conditionalFormatting>
  <conditionalFormatting sqref="H151">
    <cfRule type="expression" dxfId="774" priority="364" stopIfTrue="1">
      <formula>#REF!="Yes"</formula>
    </cfRule>
  </conditionalFormatting>
  <conditionalFormatting sqref="A152 C152">
    <cfRule type="expression" dxfId="773" priority="363" stopIfTrue="1">
      <formula>#REF!="Yes"</formula>
    </cfRule>
  </conditionalFormatting>
  <conditionalFormatting sqref="U152:AA152">
    <cfRule type="expression" dxfId="772" priority="362" stopIfTrue="1">
      <formula>#REF!="Yes"</formula>
    </cfRule>
  </conditionalFormatting>
  <conditionalFormatting sqref="I152">
    <cfRule type="cellIs" dxfId="771" priority="361" stopIfTrue="1" operator="lessThan">
      <formula>0</formula>
    </cfRule>
  </conditionalFormatting>
  <conditionalFormatting sqref="I152:T152">
    <cfRule type="expression" dxfId="770" priority="360" stopIfTrue="1">
      <formula>#REF!="Yes"</formula>
    </cfRule>
  </conditionalFormatting>
  <conditionalFormatting sqref="H152">
    <cfRule type="expression" dxfId="769" priority="359" stopIfTrue="1">
      <formula>#REF!="Yes"</formula>
    </cfRule>
  </conditionalFormatting>
  <conditionalFormatting sqref="U153:AA153">
    <cfRule type="expression" dxfId="768" priority="358" stopIfTrue="1">
      <formula>#REF!="Yes"</formula>
    </cfRule>
  </conditionalFormatting>
  <conditionalFormatting sqref="I153">
    <cfRule type="cellIs" dxfId="767" priority="357" stopIfTrue="1" operator="lessThan">
      <formula>0</formula>
    </cfRule>
  </conditionalFormatting>
  <conditionalFormatting sqref="I153:T153">
    <cfRule type="expression" dxfId="766" priority="356" stopIfTrue="1">
      <formula>#REF!="Yes"</formula>
    </cfRule>
  </conditionalFormatting>
  <conditionalFormatting sqref="H153">
    <cfRule type="expression" dxfId="765" priority="354" stopIfTrue="1">
      <formula>#REF!="Yes"</formula>
    </cfRule>
  </conditionalFormatting>
  <conditionalFormatting sqref="A154 C154">
    <cfRule type="expression" dxfId="764" priority="353" stopIfTrue="1">
      <formula>#REF!="Yes"</formula>
    </cfRule>
  </conditionalFormatting>
  <conditionalFormatting sqref="U154:AA154">
    <cfRule type="expression" dxfId="763" priority="352" stopIfTrue="1">
      <formula>#REF!="Yes"</formula>
    </cfRule>
  </conditionalFormatting>
  <conditionalFormatting sqref="I154">
    <cfRule type="cellIs" dxfId="762" priority="351" stopIfTrue="1" operator="lessThan">
      <formula>0</formula>
    </cfRule>
  </conditionalFormatting>
  <conditionalFormatting sqref="I154:T154">
    <cfRule type="expression" dxfId="761" priority="350" stopIfTrue="1">
      <formula>#REF!="Yes"</formula>
    </cfRule>
  </conditionalFormatting>
  <conditionalFormatting sqref="H154">
    <cfRule type="expression" dxfId="760" priority="349" stopIfTrue="1">
      <formula>#REF!="Yes"</formula>
    </cfRule>
  </conditionalFormatting>
  <conditionalFormatting sqref="A155 C155">
    <cfRule type="expression" dxfId="759" priority="348" stopIfTrue="1">
      <formula>#REF!="Yes"</formula>
    </cfRule>
  </conditionalFormatting>
  <conditionalFormatting sqref="U155:AA155">
    <cfRule type="expression" dxfId="758" priority="347" stopIfTrue="1">
      <formula>#REF!="Yes"</formula>
    </cfRule>
  </conditionalFormatting>
  <conditionalFormatting sqref="I155">
    <cfRule type="cellIs" dxfId="757" priority="346" stopIfTrue="1" operator="lessThan">
      <formula>0</formula>
    </cfRule>
  </conditionalFormatting>
  <conditionalFormatting sqref="I155:T155">
    <cfRule type="expression" dxfId="756" priority="345" stopIfTrue="1">
      <formula>#REF!="Yes"</formula>
    </cfRule>
  </conditionalFormatting>
  <conditionalFormatting sqref="H155">
    <cfRule type="expression" dxfId="755" priority="344" stopIfTrue="1">
      <formula>#REF!="Yes"</formula>
    </cfRule>
  </conditionalFormatting>
  <conditionalFormatting sqref="U156:AA156">
    <cfRule type="expression" dxfId="754" priority="343" stopIfTrue="1">
      <formula>#REF!="Yes"</formula>
    </cfRule>
  </conditionalFormatting>
  <conditionalFormatting sqref="I156">
    <cfRule type="cellIs" dxfId="753" priority="342" stopIfTrue="1" operator="lessThan">
      <formula>0</formula>
    </cfRule>
  </conditionalFormatting>
  <conditionalFormatting sqref="I156:T156">
    <cfRule type="expression" dxfId="752" priority="341" stopIfTrue="1">
      <formula>#REF!="Yes"</formula>
    </cfRule>
  </conditionalFormatting>
  <conditionalFormatting sqref="A156 C156">
    <cfRule type="expression" dxfId="751" priority="340" stopIfTrue="1">
      <formula>#REF!="Yes"</formula>
    </cfRule>
  </conditionalFormatting>
  <conditionalFormatting sqref="H211 H208 H203:H204 H194:H195 H180 H175 H173 H167:H168 H165 H156">
    <cfRule type="expression" dxfId="750" priority="338" stopIfTrue="1">
      <formula>#REF!="Yes"</formula>
    </cfRule>
  </conditionalFormatting>
  <conditionalFormatting sqref="A157 C157">
    <cfRule type="expression" dxfId="749" priority="337" stopIfTrue="1">
      <formula>#REF!="Yes"</formula>
    </cfRule>
  </conditionalFormatting>
  <conditionalFormatting sqref="U157:AA157">
    <cfRule type="expression" dxfId="748" priority="336" stopIfTrue="1">
      <formula>#REF!="Yes"</formula>
    </cfRule>
  </conditionalFormatting>
  <conditionalFormatting sqref="I157">
    <cfRule type="cellIs" dxfId="747" priority="335" stopIfTrue="1" operator="lessThan">
      <formula>0</formula>
    </cfRule>
  </conditionalFormatting>
  <conditionalFormatting sqref="I157:T157">
    <cfRule type="expression" dxfId="746" priority="334" stopIfTrue="1">
      <formula>#REF!="Yes"</formula>
    </cfRule>
  </conditionalFormatting>
  <conditionalFormatting sqref="H157">
    <cfRule type="expression" dxfId="745" priority="333" stopIfTrue="1">
      <formula>#REF!="Yes"</formula>
    </cfRule>
  </conditionalFormatting>
  <conditionalFormatting sqref="I158:T158">
    <cfRule type="expression" dxfId="744" priority="329" stopIfTrue="1">
      <formula>#REF!="Yes"</formula>
    </cfRule>
  </conditionalFormatting>
  <conditionalFormatting sqref="A158 C158">
    <cfRule type="expression" dxfId="743" priority="332" stopIfTrue="1">
      <formula>#REF!="Yes"</formula>
    </cfRule>
  </conditionalFormatting>
  <conditionalFormatting sqref="U158:AA158">
    <cfRule type="expression" dxfId="742" priority="331" stopIfTrue="1">
      <formula>#REF!="Yes"</formula>
    </cfRule>
  </conditionalFormatting>
  <conditionalFormatting sqref="I158">
    <cfRule type="cellIs" dxfId="741" priority="330" stopIfTrue="1" operator="lessThan">
      <formula>0</formula>
    </cfRule>
  </conditionalFormatting>
  <conditionalFormatting sqref="H158">
    <cfRule type="expression" dxfId="740" priority="328" stopIfTrue="1">
      <formula>#REF!="Yes"</formula>
    </cfRule>
  </conditionalFormatting>
  <conditionalFormatting sqref="A159 C159">
    <cfRule type="expression" dxfId="739" priority="327" stopIfTrue="1">
      <formula>#REF!="Yes"</formula>
    </cfRule>
  </conditionalFormatting>
  <conditionalFormatting sqref="U159:AA159">
    <cfRule type="expression" dxfId="738" priority="326" stopIfTrue="1">
      <formula>#REF!="Yes"</formula>
    </cfRule>
  </conditionalFormatting>
  <conditionalFormatting sqref="I159">
    <cfRule type="cellIs" dxfId="737" priority="325" stopIfTrue="1" operator="lessThan">
      <formula>0</formula>
    </cfRule>
  </conditionalFormatting>
  <conditionalFormatting sqref="I159:T159">
    <cfRule type="expression" dxfId="736" priority="324" stopIfTrue="1">
      <formula>#REF!="Yes"</formula>
    </cfRule>
  </conditionalFormatting>
  <conditionalFormatting sqref="H159">
    <cfRule type="expression" dxfId="735" priority="323" stopIfTrue="1">
      <formula>#REF!="Yes"</formula>
    </cfRule>
  </conditionalFormatting>
  <conditionalFormatting sqref="A160 C160">
    <cfRule type="expression" dxfId="734" priority="322" stopIfTrue="1">
      <formula>#REF!="Yes"</formula>
    </cfRule>
  </conditionalFormatting>
  <conditionalFormatting sqref="U160:AA160">
    <cfRule type="expression" dxfId="733" priority="321" stopIfTrue="1">
      <formula>#REF!="Yes"</formula>
    </cfRule>
  </conditionalFormatting>
  <conditionalFormatting sqref="I160">
    <cfRule type="cellIs" dxfId="732" priority="320" stopIfTrue="1" operator="lessThan">
      <formula>0</formula>
    </cfRule>
  </conditionalFormatting>
  <conditionalFormatting sqref="I160:T160">
    <cfRule type="expression" dxfId="731" priority="319" stopIfTrue="1">
      <formula>#REF!="Yes"</formula>
    </cfRule>
  </conditionalFormatting>
  <conditionalFormatting sqref="H160">
    <cfRule type="expression" dxfId="730" priority="318" stopIfTrue="1">
      <formula>#REF!="Yes"</formula>
    </cfRule>
  </conditionalFormatting>
  <conditionalFormatting sqref="U161:AA161">
    <cfRule type="expression" dxfId="729" priority="316" stopIfTrue="1">
      <formula>#REF!="Yes"</formula>
    </cfRule>
  </conditionalFormatting>
  <conditionalFormatting sqref="A161 C161">
    <cfRule type="expression" dxfId="728" priority="317" stopIfTrue="1">
      <formula>#REF!="Yes"</formula>
    </cfRule>
  </conditionalFormatting>
  <conditionalFormatting sqref="I161">
    <cfRule type="cellIs" dxfId="727" priority="315" stopIfTrue="1" operator="lessThan">
      <formula>0</formula>
    </cfRule>
  </conditionalFormatting>
  <conditionalFormatting sqref="I161:T161">
    <cfRule type="expression" dxfId="726" priority="314" stopIfTrue="1">
      <formula>#REF!="Yes"</formula>
    </cfRule>
  </conditionalFormatting>
  <conditionalFormatting sqref="H161">
    <cfRule type="expression" dxfId="725" priority="313" stopIfTrue="1">
      <formula>#REF!="Yes"</formula>
    </cfRule>
  </conditionalFormatting>
  <conditionalFormatting sqref="A162 C162">
    <cfRule type="expression" dxfId="724" priority="312" stopIfTrue="1">
      <formula>#REF!="Yes"</formula>
    </cfRule>
  </conditionalFormatting>
  <conditionalFormatting sqref="U162:AA162">
    <cfRule type="expression" dxfId="723" priority="311" stopIfTrue="1">
      <formula>#REF!="Yes"</formula>
    </cfRule>
  </conditionalFormatting>
  <conditionalFormatting sqref="I162">
    <cfRule type="cellIs" dxfId="722" priority="310" stopIfTrue="1" operator="lessThan">
      <formula>0</formula>
    </cfRule>
  </conditionalFormatting>
  <conditionalFormatting sqref="I162:T162">
    <cfRule type="expression" dxfId="721" priority="309" stopIfTrue="1">
      <formula>#REF!="Yes"</formula>
    </cfRule>
  </conditionalFormatting>
  <conditionalFormatting sqref="H162">
    <cfRule type="expression" dxfId="720" priority="308" stopIfTrue="1">
      <formula>#REF!="Yes"</formula>
    </cfRule>
  </conditionalFormatting>
  <conditionalFormatting sqref="A163 C163">
    <cfRule type="expression" dxfId="719" priority="307" stopIfTrue="1">
      <formula>#REF!="Yes"</formula>
    </cfRule>
  </conditionalFormatting>
  <conditionalFormatting sqref="U163:AA163">
    <cfRule type="expression" dxfId="718" priority="306" stopIfTrue="1">
      <formula>#REF!="Yes"</formula>
    </cfRule>
  </conditionalFormatting>
  <conditionalFormatting sqref="I163">
    <cfRule type="cellIs" dxfId="717" priority="305" stopIfTrue="1" operator="lessThan">
      <formula>0</formula>
    </cfRule>
  </conditionalFormatting>
  <conditionalFormatting sqref="I163:T163">
    <cfRule type="expression" dxfId="716" priority="304" stopIfTrue="1">
      <formula>#REF!="Yes"</formula>
    </cfRule>
  </conditionalFormatting>
  <conditionalFormatting sqref="H163">
    <cfRule type="expression" dxfId="715" priority="303" stopIfTrue="1">
      <formula>#REF!="Yes"</formula>
    </cfRule>
  </conditionalFormatting>
  <conditionalFormatting sqref="A164 C164">
    <cfRule type="expression" dxfId="714" priority="302" stopIfTrue="1">
      <formula>#REF!="Yes"</formula>
    </cfRule>
  </conditionalFormatting>
  <conditionalFormatting sqref="U164:AA164">
    <cfRule type="expression" dxfId="713" priority="301" stopIfTrue="1">
      <formula>#REF!="Yes"</formula>
    </cfRule>
  </conditionalFormatting>
  <conditionalFormatting sqref="I164">
    <cfRule type="cellIs" dxfId="712" priority="300" stopIfTrue="1" operator="lessThan">
      <formula>0</formula>
    </cfRule>
  </conditionalFormatting>
  <conditionalFormatting sqref="I164:T164">
    <cfRule type="expression" dxfId="711" priority="299" stopIfTrue="1">
      <formula>#REF!="Yes"</formula>
    </cfRule>
  </conditionalFormatting>
  <conditionalFormatting sqref="H164">
    <cfRule type="expression" dxfId="710" priority="298" stopIfTrue="1">
      <formula>#REF!="Yes"</formula>
    </cfRule>
  </conditionalFormatting>
  <conditionalFormatting sqref="I165">
    <cfRule type="cellIs" dxfId="709" priority="297" stopIfTrue="1" operator="lessThan">
      <formula>0</formula>
    </cfRule>
  </conditionalFormatting>
  <conditionalFormatting sqref="I165:T165">
    <cfRule type="expression" dxfId="708" priority="296" stopIfTrue="1">
      <formula>#REF!="Yes"</formula>
    </cfRule>
  </conditionalFormatting>
  <conditionalFormatting sqref="A166 C166">
    <cfRule type="expression" dxfId="707" priority="295" stopIfTrue="1">
      <formula>#REF!="Yes"</formula>
    </cfRule>
  </conditionalFormatting>
  <conditionalFormatting sqref="U166:AA166">
    <cfRule type="expression" dxfId="706" priority="294" stopIfTrue="1">
      <formula>#REF!="Yes"</formula>
    </cfRule>
  </conditionalFormatting>
  <conditionalFormatting sqref="I166">
    <cfRule type="cellIs" dxfId="705" priority="293" stopIfTrue="1" operator="lessThan">
      <formula>0</formula>
    </cfRule>
  </conditionalFormatting>
  <conditionalFormatting sqref="I166:T166">
    <cfRule type="expression" dxfId="704" priority="292" stopIfTrue="1">
      <formula>#REF!="Yes"</formula>
    </cfRule>
  </conditionalFormatting>
  <conditionalFormatting sqref="H166">
    <cfRule type="expression" dxfId="703" priority="291" stopIfTrue="1">
      <formula>#REF!="Yes"</formula>
    </cfRule>
  </conditionalFormatting>
  <conditionalFormatting sqref="U169:AA169">
    <cfRule type="expression" dxfId="702" priority="289" stopIfTrue="1">
      <formula>#REF!="Yes"</formula>
    </cfRule>
  </conditionalFormatting>
  <conditionalFormatting sqref="A169 C169">
    <cfRule type="expression" dxfId="701" priority="290" stopIfTrue="1">
      <formula>#REF!="Yes"</formula>
    </cfRule>
  </conditionalFormatting>
  <conditionalFormatting sqref="I169">
    <cfRule type="cellIs" dxfId="700" priority="288" stopIfTrue="1" operator="lessThan">
      <formula>0</formula>
    </cfRule>
  </conditionalFormatting>
  <conditionalFormatting sqref="I169:T169">
    <cfRule type="expression" dxfId="699" priority="287" stopIfTrue="1">
      <formula>#REF!="Yes"</formula>
    </cfRule>
  </conditionalFormatting>
  <conditionalFormatting sqref="H169">
    <cfRule type="expression" dxfId="698" priority="286" stopIfTrue="1">
      <formula>#REF!="Yes"</formula>
    </cfRule>
  </conditionalFormatting>
  <conditionalFormatting sqref="A170 C170">
    <cfRule type="expression" dxfId="697" priority="285" stopIfTrue="1">
      <formula>#REF!="Yes"</formula>
    </cfRule>
  </conditionalFormatting>
  <conditionalFormatting sqref="U170:AA170">
    <cfRule type="expression" dxfId="696" priority="284" stopIfTrue="1">
      <formula>#REF!="Yes"</formula>
    </cfRule>
  </conditionalFormatting>
  <conditionalFormatting sqref="I170">
    <cfRule type="cellIs" dxfId="695" priority="283" stopIfTrue="1" operator="lessThan">
      <formula>0</formula>
    </cfRule>
  </conditionalFormatting>
  <conditionalFormatting sqref="I170:T170">
    <cfRule type="expression" dxfId="694" priority="282" stopIfTrue="1">
      <formula>#REF!="Yes"</formula>
    </cfRule>
  </conditionalFormatting>
  <conditionalFormatting sqref="H170">
    <cfRule type="expression" dxfId="693" priority="281" stopIfTrue="1">
      <formula>#REF!="Yes"</formula>
    </cfRule>
  </conditionalFormatting>
  <conditionalFormatting sqref="A171 C171">
    <cfRule type="expression" dxfId="692" priority="280" stopIfTrue="1">
      <formula>#REF!="Yes"</formula>
    </cfRule>
  </conditionalFormatting>
  <conditionalFormatting sqref="U171:AA171">
    <cfRule type="expression" dxfId="691" priority="279" stopIfTrue="1">
      <formula>#REF!="Yes"</formula>
    </cfRule>
  </conditionalFormatting>
  <conditionalFormatting sqref="I171">
    <cfRule type="cellIs" dxfId="690" priority="278" stopIfTrue="1" operator="lessThan">
      <formula>0</formula>
    </cfRule>
  </conditionalFormatting>
  <conditionalFormatting sqref="I171:T171">
    <cfRule type="expression" dxfId="689" priority="277" stopIfTrue="1">
      <formula>#REF!="Yes"</formula>
    </cfRule>
  </conditionalFormatting>
  <conditionalFormatting sqref="H171">
    <cfRule type="expression" dxfId="688" priority="276" stopIfTrue="1">
      <formula>#REF!="Yes"</formula>
    </cfRule>
  </conditionalFormatting>
  <conditionalFormatting sqref="U172:AA172">
    <cfRule type="expression" dxfId="687" priority="274" stopIfTrue="1">
      <formula>#REF!="Yes"</formula>
    </cfRule>
  </conditionalFormatting>
  <conditionalFormatting sqref="I172">
    <cfRule type="cellIs" dxfId="686" priority="273" stopIfTrue="1" operator="lessThan">
      <formula>0</formula>
    </cfRule>
  </conditionalFormatting>
  <conditionalFormatting sqref="I172:T172">
    <cfRule type="expression" dxfId="685" priority="272" stopIfTrue="1">
      <formula>#REF!="Yes"</formula>
    </cfRule>
  </conditionalFormatting>
  <conditionalFormatting sqref="H172">
    <cfRule type="expression" dxfId="684" priority="271" stopIfTrue="1">
      <formula>#REF!="Yes"</formula>
    </cfRule>
  </conditionalFormatting>
  <conditionalFormatting sqref="A172 C172">
    <cfRule type="expression" dxfId="683" priority="270" stopIfTrue="1">
      <formula>#REF!="Yes"</formula>
    </cfRule>
  </conditionalFormatting>
  <conditionalFormatting sqref="I173">
    <cfRule type="cellIs" dxfId="682" priority="269" stopIfTrue="1" operator="lessThan">
      <formula>0</formula>
    </cfRule>
  </conditionalFormatting>
  <conditionalFormatting sqref="I173:T173">
    <cfRule type="expression" dxfId="681" priority="268" stopIfTrue="1">
      <formula>#REF!="Yes"</formula>
    </cfRule>
  </conditionalFormatting>
  <conditionalFormatting sqref="U174:AA174">
    <cfRule type="expression" dxfId="680" priority="266" stopIfTrue="1">
      <formula>#REF!="Yes"</formula>
    </cfRule>
  </conditionalFormatting>
  <conditionalFormatting sqref="I174">
    <cfRule type="cellIs" dxfId="679" priority="265" stopIfTrue="1" operator="lessThan">
      <formula>0</formula>
    </cfRule>
  </conditionalFormatting>
  <conditionalFormatting sqref="I174:T174">
    <cfRule type="expression" dxfId="678" priority="264" stopIfTrue="1">
      <formula>#REF!="Yes"</formula>
    </cfRule>
  </conditionalFormatting>
  <conditionalFormatting sqref="A174 C174">
    <cfRule type="expression" dxfId="677" priority="263" stopIfTrue="1">
      <formula>#REF!="Yes"</formula>
    </cfRule>
  </conditionalFormatting>
  <conditionalFormatting sqref="H174">
    <cfRule type="expression" dxfId="676" priority="262" stopIfTrue="1">
      <formula>#REF!="Yes"</formula>
    </cfRule>
  </conditionalFormatting>
  <conditionalFormatting sqref="I175">
    <cfRule type="cellIs" dxfId="675" priority="261" stopIfTrue="1" operator="lessThan">
      <formula>0</formula>
    </cfRule>
  </conditionalFormatting>
  <conditionalFormatting sqref="I175:T175">
    <cfRule type="expression" dxfId="674" priority="260" stopIfTrue="1">
      <formula>#REF!="Yes"</formula>
    </cfRule>
  </conditionalFormatting>
  <conditionalFormatting sqref="I176">
    <cfRule type="cellIs" dxfId="673" priority="257" stopIfTrue="1" operator="lessThan">
      <formula>0</formula>
    </cfRule>
  </conditionalFormatting>
  <conditionalFormatting sqref="I176:T176">
    <cfRule type="expression" dxfId="672" priority="256" stopIfTrue="1">
      <formula>#REF!="Yes"</formula>
    </cfRule>
  </conditionalFormatting>
  <conditionalFormatting sqref="U176:AA176">
    <cfRule type="expression" dxfId="671" priority="258" stopIfTrue="1">
      <formula>#REF!="Yes"</formula>
    </cfRule>
  </conditionalFormatting>
  <conditionalFormatting sqref="A176 C176">
    <cfRule type="expression" dxfId="670" priority="255" stopIfTrue="1">
      <formula>#REF!="Yes"</formula>
    </cfRule>
  </conditionalFormatting>
  <conditionalFormatting sqref="H176">
    <cfRule type="expression" dxfId="669" priority="254" stopIfTrue="1">
      <formula>#REF!="Yes"</formula>
    </cfRule>
  </conditionalFormatting>
  <conditionalFormatting sqref="U177:AA177">
    <cfRule type="expression" dxfId="668" priority="252" stopIfTrue="1">
      <formula>#REF!="Yes"</formula>
    </cfRule>
  </conditionalFormatting>
  <conditionalFormatting sqref="I177">
    <cfRule type="cellIs" dxfId="667" priority="251" stopIfTrue="1" operator="lessThan">
      <formula>0</formula>
    </cfRule>
  </conditionalFormatting>
  <conditionalFormatting sqref="I177:T177">
    <cfRule type="expression" dxfId="666" priority="250" stopIfTrue="1">
      <formula>#REF!="Yes"</formula>
    </cfRule>
  </conditionalFormatting>
  <conditionalFormatting sqref="A177 C177">
    <cfRule type="expression" dxfId="665" priority="249" stopIfTrue="1">
      <formula>#REF!="Yes"</formula>
    </cfRule>
  </conditionalFormatting>
  <conditionalFormatting sqref="H177">
    <cfRule type="expression" dxfId="664" priority="248" stopIfTrue="1">
      <formula>#REF!="Yes"</formula>
    </cfRule>
  </conditionalFormatting>
  <conditionalFormatting sqref="H178">
    <cfRule type="expression" dxfId="663" priority="242" stopIfTrue="1">
      <formula>#REF!="Yes"</formula>
    </cfRule>
  </conditionalFormatting>
  <conditionalFormatting sqref="U178:AA178">
    <cfRule type="expression" dxfId="662" priority="246" stopIfTrue="1">
      <formula>#REF!="Yes"</formula>
    </cfRule>
  </conditionalFormatting>
  <conditionalFormatting sqref="I178">
    <cfRule type="cellIs" dxfId="661" priority="245" stopIfTrue="1" operator="lessThan">
      <formula>0</formula>
    </cfRule>
  </conditionalFormatting>
  <conditionalFormatting sqref="I178:T178">
    <cfRule type="expression" dxfId="660" priority="244" stopIfTrue="1">
      <formula>#REF!="Yes"</formula>
    </cfRule>
  </conditionalFormatting>
  <conditionalFormatting sqref="A178 C178">
    <cfRule type="expression" dxfId="659" priority="243" stopIfTrue="1">
      <formula>#REF!="Yes"</formula>
    </cfRule>
  </conditionalFormatting>
  <conditionalFormatting sqref="H179">
    <cfRule type="expression" dxfId="658" priority="236" stopIfTrue="1">
      <formula>#REF!="Yes"</formula>
    </cfRule>
  </conditionalFormatting>
  <conditionalFormatting sqref="U179:AA179">
    <cfRule type="expression" dxfId="657" priority="240" stopIfTrue="1">
      <formula>#REF!="Yes"</formula>
    </cfRule>
  </conditionalFormatting>
  <conditionalFormatting sqref="I179">
    <cfRule type="cellIs" dxfId="656" priority="239" stopIfTrue="1" operator="lessThan">
      <formula>0</formula>
    </cfRule>
  </conditionalFormatting>
  <conditionalFormatting sqref="I179:T179">
    <cfRule type="expression" dxfId="655" priority="238" stopIfTrue="1">
      <formula>#REF!="Yes"</formula>
    </cfRule>
  </conditionalFormatting>
  <conditionalFormatting sqref="A179 C179">
    <cfRule type="expression" dxfId="654" priority="237" stopIfTrue="1">
      <formula>#REF!="Yes"</formula>
    </cfRule>
  </conditionalFormatting>
  <conditionalFormatting sqref="I180">
    <cfRule type="cellIs" dxfId="653" priority="235" stopIfTrue="1" operator="lessThan">
      <formula>0</formula>
    </cfRule>
  </conditionalFormatting>
  <conditionalFormatting sqref="I180:T180">
    <cfRule type="expression" dxfId="652" priority="234" stopIfTrue="1">
      <formula>#REF!="Yes"</formula>
    </cfRule>
  </conditionalFormatting>
  <conditionalFormatting sqref="H181">
    <cfRule type="expression" dxfId="651" priority="228" stopIfTrue="1">
      <formula>#REF!="Yes"</formula>
    </cfRule>
  </conditionalFormatting>
  <conditionalFormatting sqref="U181:AA181">
    <cfRule type="expression" dxfId="650" priority="232" stopIfTrue="1">
      <formula>#REF!="Yes"</formula>
    </cfRule>
  </conditionalFormatting>
  <conditionalFormatting sqref="I181">
    <cfRule type="cellIs" dxfId="649" priority="231" stopIfTrue="1" operator="lessThan">
      <formula>0</formula>
    </cfRule>
  </conditionalFormatting>
  <conditionalFormatting sqref="I181:T181">
    <cfRule type="expression" dxfId="648" priority="230" stopIfTrue="1">
      <formula>#REF!="Yes"</formula>
    </cfRule>
  </conditionalFormatting>
  <conditionalFormatting sqref="A181 C181">
    <cfRule type="expression" dxfId="647" priority="229" stopIfTrue="1">
      <formula>#REF!="Yes"</formula>
    </cfRule>
  </conditionalFormatting>
  <conditionalFormatting sqref="H182">
    <cfRule type="expression" dxfId="646" priority="222" stopIfTrue="1">
      <formula>#REF!="Yes"</formula>
    </cfRule>
  </conditionalFormatting>
  <conditionalFormatting sqref="U182:AA182">
    <cfRule type="expression" dxfId="645" priority="226" stopIfTrue="1">
      <formula>#REF!="Yes"</formula>
    </cfRule>
  </conditionalFormatting>
  <conditionalFormatting sqref="I182">
    <cfRule type="cellIs" dxfId="644" priority="225" stopIfTrue="1" operator="lessThan">
      <formula>0</formula>
    </cfRule>
  </conditionalFormatting>
  <conditionalFormatting sqref="I182:T182">
    <cfRule type="expression" dxfId="643" priority="224" stopIfTrue="1">
      <formula>#REF!="Yes"</formula>
    </cfRule>
  </conditionalFormatting>
  <conditionalFormatting sqref="A182 C182">
    <cfRule type="expression" dxfId="642" priority="223" stopIfTrue="1">
      <formula>#REF!="Yes"</formula>
    </cfRule>
  </conditionalFormatting>
  <conditionalFormatting sqref="H183">
    <cfRule type="expression" dxfId="641" priority="216" stopIfTrue="1">
      <formula>#REF!="Yes"</formula>
    </cfRule>
  </conditionalFormatting>
  <conditionalFormatting sqref="U183:AA183">
    <cfRule type="expression" dxfId="640" priority="220" stopIfTrue="1">
      <formula>#REF!="Yes"</formula>
    </cfRule>
  </conditionalFormatting>
  <conditionalFormatting sqref="I183">
    <cfRule type="cellIs" dxfId="639" priority="219" stopIfTrue="1" operator="lessThan">
      <formula>0</formula>
    </cfRule>
  </conditionalFormatting>
  <conditionalFormatting sqref="I183:T183">
    <cfRule type="expression" dxfId="638" priority="218" stopIfTrue="1">
      <formula>#REF!="Yes"</formula>
    </cfRule>
  </conditionalFormatting>
  <conditionalFormatting sqref="A183 C183">
    <cfRule type="expression" dxfId="637" priority="217" stopIfTrue="1">
      <formula>#REF!="Yes"</formula>
    </cfRule>
  </conditionalFormatting>
  <conditionalFormatting sqref="H187">
    <cfRule type="expression" dxfId="636" priority="204" stopIfTrue="1">
      <formula>#REF!="Yes"</formula>
    </cfRule>
  </conditionalFormatting>
  <conditionalFormatting sqref="U187:AA187">
    <cfRule type="expression" dxfId="635" priority="208" stopIfTrue="1">
      <formula>#REF!="Yes"</formula>
    </cfRule>
  </conditionalFormatting>
  <conditionalFormatting sqref="I187">
    <cfRule type="cellIs" dxfId="634" priority="207" stopIfTrue="1" operator="lessThan">
      <formula>0</formula>
    </cfRule>
  </conditionalFormatting>
  <conditionalFormatting sqref="I187:T187">
    <cfRule type="expression" dxfId="633" priority="206" stopIfTrue="1">
      <formula>#REF!="Yes"</formula>
    </cfRule>
  </conditionalFormatting>
  <conditionalFormatting sqref="A187:D187">
    <cfRule type="expression" dxfId="632" priority="205" stopIfTrue="1">
      <formula>#REF!="Yes"</formula>
    </cfRule>
  </conditionalFormatting>
  <conditionalFormatting sqref="H188">
    <cfRule type="expression" dxfId="631" priority="198" stopIfTrue="1">
      <formula>#REF!="Yes"</formula>
    </cfRule>
  </conditionalFormatting>
  <conditionalFormatting sqref="U188:AA188">
    <cfRule type="expression" dxfId="630" priority="202" stopIfTrue="1">
      <formula>#REF!="Yes"</formula>
    </cfRule>
  </conditionalFormatting>
  <conditionalFormatting sqref="I188">
    <cfRule type="cellIs" dxfId="629" priority="201" stopIfTrue="1" operator="lessThan">
      <formula>0</formula>
    </cfRule>
  </conditionalFormatting>
  <conditionalFormatting sqref="I188:T188">
    <cfRule type="expression" dxfId="628" priority="200" stopIfTrue="1">
      <formula>#REF!="Yes"</formula>
    </cfRule>
  </conditionalFormatting>
  <conditionalFormatting sqref="A188 C188">
    <cfRule type="expression" dxfId="627" priority="199" stopIfTrue="1">
      <formula>#REF!="Yes"</formula>
    </cfRule>
  </conditionalFormatting>
  <conditionalFormatting sqref="H189">
    <cfRule type="expression" dxfId="626" priority="192" stopIfTrue="1">
      <formula>#REF!="Yes"</formula>
    </cfRule>
  </conditionalFormatting>
  <conditionalFormatting sqref="U189:AA189">
    <cfRule type="expression" dxfId="625" priority="196" stopIfTrue="1">
      <formula>#REF!="Yes"</formula>
    </cfRule>
  </conditionalFormatting>
  <conditionalFormatting sqref="I189">
    <cfRule type="cellIs" dxfId="624" priority="195" stopIfTrue="1" operator="lessThan">
      <formula>0</formula>
    </cfRule>
  </conditionalFormatting>
  <conditionalFormatting sqref="I189:T189">
    <cfRule type="expression" dxfId="623" priority="194" stopIfTrue="1">
      <formula>#REF!="Yes"</formula>
    </cfRule>
  </conditionalFormatting>
  <conditionalFormatting sqref="A189 C189">
    <cfRule type="expression" dxfId="622" priority="193" stopIfTrue="1">
      <formula>#REF!="Yes"</formula>
    </cfRule>
  </conditionalFormatting>
  <conditionalFormatting sqref="H190">
    <cfRule type="expression" dxfId="621" priority="186" stopIfTrue="1">
      <formula>#REF!="Yes"</formula>
    </cfRule>
  </conditionalFormatting>
  <conditionalFormatting sqref="U190:AA190">
    <cfRule type="expression" dxfId="620" priority="190" stopIfTrue="1">
      <formula>#REF!="Yes"</formula>
    </cfRule>
  </conditionalFormatting>
  <conditionalFormatting sqref="I190">
    <cfRule type="cellIs" dxfId="619" priority="189" stopIfTrue="1" operator="lessThan">
      <formula>0</formula>
    </cfRule>
  </conditionalFormatting>
  <conditionalFormatting sqref="I190:T190">
    <cfRule type="expression" dxfId="618" priority="188" stopIfTrue="1">
      <formula>#REF!="Yes"</formula>
    </cfRule>
  </conditionalFormatting>
  <conditionalFormatting sqref="A190 C190">
    <cfRule type="expression" dxfId="617" priority="187" stopIfTrue="1">
      <formula>#REF!="Yes"</formula>
    </cfRule>
  </conditionalFormatting>
  <conditionalFormatting sqref="H191">
    <cfRule type="expression" dxfId="616" priority="180" stopIfTrue="1">
      <formula>#REF!="Yes"</formula>
    </cfRule>
  </conditionalFormatting>
  <conditionalFormatting sqref="U191:AA191">
    <cfRule type="expression" dxfId="615" priority="184" stopIfTrue="1">
      <formula>#REF!="Yes"</formula>
    </cfRule>
  </conditionalFormatting>
  <conditionalFormatting sqref="I191">
    <cfRule type="cellIs" dxfId="614" priority="183" stopIfTrue="1" operator="lessThan">
      <formula>0</formula>
    </cfRule>
  </conditionalFormatting>
  <conditionalFormatting sqref="I191:T191">
    <cfRule type="expression" dxfId="613" priority="182" stopIfTrue="1">
      <formula>#REF!="Yes"</formula>
    </cfRule>
  </conditionalFormatting>
  <conditionalFormatting sqref="A191 C191">
    <cfRule type="expression" dxfId="612" priority="181" stopIfTrue="1">
      <formula>#REF!="Yes"</formula>
    </cfRule>
  </conditionalFormatting>
  <conditionalFormatting sqref="H192">
    <cfRule type="expression" dxfId="611" priority="174" stopIfTrue="1">
      <formula>#REF!="Yes"</formula>
    </cfRule>
  </conditionalFormatting>
  <conditionalFormatting sqref="U192:AA192">
    <cfRule type="expression" dxfId="610" priority="178" stopIfTrue="1">
      <formula>#REF!="Yes"</formula>
    </cfRule>
  </conditionalFormatting>
  <conditionalFormatting sqref="I192">
    <cfRule type="cellIs" dxfId="609" priority="177" stopIfTrue="1" operator="lessThan">
      <formula>0</formula>
    </cfRule>
  </conditionalFormatting>
  <conditionalFormatting sqref="I192:T192">
    <cfRule type="expression" dxfId="608" priority="176" stopIfTrue="1">
      <formula>#REF!="Yes"</formula>
    </cfRule>
  </conditionalFormatting>
  <conditionalFormatting sqref="A192 C192">
    <cfRule type="expression" dxfId="607" priority="175" stopIfTrue="1">
      <formula>#REF!="Yes"</formula>
    </cfRule>
  </conditionalFormatting>
  <conditionalFormatting sqref="H193">
    <cfRule type="expression" dxfId="606" priority="168" stopIfTrue="1">
      <formula>#REF!="Yes"</formula>
    </cfRule>
  </conditionalFormatting>
  <conditionalFormatting sqref="U193:AA193">
    <cfRule type="expression" dxfId="605" priority="172" stopIfTrue="1">
      <formula>#REF!="Yes"</formula>
    </cfRule>
  </conditionalFormatting>
  <conditionalFormatting sqref="I193">
    <cfRule type="cellIs" dxfId="604" priority="171" stopIfTrue="1" operator="lessThan">
      <formula>0</formula>
    </cfRule>
  </conditionalFormatting>
  <conditionalFormatting sqref="I193:T193">
    <cfRule type="expression" dxfId="603" priority="170" stopIfTrue="1">
      <formula>#REF!="Yes"</formula>
    </cfRule>
  </conditionalFormatting>
  <conditionalFormatting sqref="A193 C193">
    <cfRule type="expression" dxfId="602" priority="169" stopIfTrue="1">
      <formula>#REF!="Yes"</formula>
    </cfRule>
  </conditionalFormatting>
  <conditionalFormatting sqref="I194">
    <cfRule type="cellIs" dxfId="601" priority="167" stopIfTrue="1" operator="lessThan">
      <formula>0</formula>
    </cfRule>
  </conditionalFormatting>
  <conditionalFormatting sqref="I194:T194">
    <cfRule type="expression" dxfId="600" priority="166" stopIfTrue="1">
      <formula>#REF!="Yes"</formula>
    </cfRule>
  </conditionalFormatting>
  <conditionalFormatting sqref="I195">
    <cfRule type="cellIs" dxfId="599" priority="165" stopIfTrue="1" operator="lessThan">
      <formula>0</formula>
    </cfRule>
  </conditionalFormatting>
  <conditionalFormatting sqref="I195:T195 N195:N206">
    <cfRule type="expression" dxfId="598" priority="164" stopIfTrue="1">
      <formula>#REF!="Yes"</formula>
    </cfRule>
  </conditionalFormatting>
  <conditionalFormatting sqref="I196:T196">
    <cfRule type="expression" dxfId="597" priority="160" stopIfTrue="1">
      <formula>#REF!="Yes"</formula>
    </cfRule>
  </conditionalFormatting>
  <conditionalFormatting sqref="A196 C196">
    <cfRule type="expression" dxfId="596" priority="159" stopIfTrue="1">
      <formula>#REF!="Yes"</formula>
    </cfRule>
  </conditionalFormatting>
  <conditionalFormatting sqref="H196">
    <cfRule type="expression" dxfId="595" priority="158" stopIfTrue="1">
      <formula>#REF!="Yes"</formula>
    </cfRule>
  </conditionalFormatting>
  <conditionalFormatting sqref="U196:AA196">
    <cfRule type="expression" dxfId="594" priority="162" stopIfTrue="1">
      <formula>#REF!="Yes"</formula>
    </cfRule>
  </conditionalFormatting>
  <conditionalFormatting sqref="I196">
    <cfRule type="cellIs" dxfId="593" priority="161" stopIfTrue="1" operator="lessThan">
      <formula>0</formula>
    </cfRule>
  </conditionalFormatting>
  <conditionalFormatting sqref="H197">
    <cfRule type="expression" dxfId="592" priority="152" stopIfTrue="1">
      <formula>#REF!="Yes"</formula>
    </cfRule>
  </conditionalFormatting>
  <conditionalFormatting sqref="U197:AA197">
    <cfRule type="expression" dxfId="591" priority="156" stopIfTrue="1">
      <formula>#REF!="Yes"</formula>
    </cfRule>
  </conditionalFormatting>
  <conditionalFormatting sqref="I197">
    <cfRule type="cellIs" dxfId="590" priority="155" stopIfTrue="1" operator="lessThan">
      <formula>0</formula>
    </cfRule>
  </conditionalFormatting>
  <conditionalFormatting sqref="I197:T197">
    <cfRule type="expression" dxfId="589" priority="154" stopIfTrue="1">
      <formula>#REF!="Yes"</formula>
    </cfRule>
  </conditionalFormatting>
  <conditionalFormatting sqref="A197 C197">
    <cfRule type="expression" dxfId="588" priority="153" stopIfTrue="1">
      <formula>#REF!="Yes"</formula>
    </cfRule>
  </conditionalFormatting>
  <conditionalFormatting sqref="I198:T198">
    <cfRule type="expression" dxfId="587" priority="148" stopIfTrue="1">
      <formula>#REF!="Yes"</formula>
    </cfRule>
  </conditionalFormatting>
  <conditionalFormatting sqref="H198">
    <cfRule type="expression" dxfId="586" priority="146" stopIfTrue="1">
      <formula>#REF!="Yes"</formula>
    </cfRule>
  </conditionalFormatting>
  <conditionalFormatting sqref="U198:AA198">
    <cfRule type="expression" dxfId="585" priority="150" stopIfTrue="1">
      <formula>#REF!="Yes"</formula>
    </cfRule>
  </conditionalFormatting>
  <conditionalFormatting sqref="I198">
    <cfRule type="cellIs" dxfId="584" priority="149" stopIfTrue="1" operator="lessThan">
      <formula>0</formula>
    </cfRule>
  </conditionalFormatting>
  <conditionalFormatting sqref="A198 C198">
    <cfRule type="expression" dxfId="583" priority="147" stopIfTrue="1">
      <formula>#REF!="Yes"</formula>
    </cfRule>
  </conditionalFormatting>
  <conditionalFormatting sqref="U199:AA199">
    <cfRule type="expression" dxfId="582" priority="144" stopIfTrue="1">
      <formula>#REF!="Yes"</formula>
    </cfRule>
  </conditionalFormatting>
  <conditionalFormatting sqref="H199">
    <cfRule type="expression" dxfId="581" priority="140" stopIfTrue="1">
      <formula>#REF!="Yes"</formula>
    </cfRule>
  </conditionalFormatting>
  <conditionalFormatting sqref="I199">
    <cfRule type="cellIs" dxfId="580" priority="143" stopIfTrue="1" operator="lessThan">
      <formula>0</formula>
    </cfRule>
  </conditionalFormatting>
  <conditionalFormatting sqref="I199:T199">
    <cfRule type="expression" dxfId="579" priority="142" stopIfTrue="1">
      <formula>#REF!="Yes"</formula>
    </cfRule>
  </conditionalFormatting>
  <conditionalFormatting sqref="A199 C199">
    <cfRule type="expression" dxfId="578" priority="141" stopIfTrue="1">
      <formula>#REF!="Yes"</formula>
    </cfRule>
  </conditionalFormatting>
  <conditionalFormatting sqref="H200">
    <cfRule type="expression" dxfId="577" priority="134" stopIfTrue="1">
      <formula>#REF!="Yes"</formula>
    </cfRule>
  </conditionalFormatting>
  <conditionalFormatting sqref="U200:AA200">
    <cfRule type="expression" dxfId="576" priority="138" stopIfTrue="1">
      <formula>#REF!="Yes"</formula>
    </cfRule>
  </conditionalFormatting>
  <conditionalFormatting sqref="I200">
    <cfRule type="cellIs" dxfId="575" priority="137" stopIfTrue="1" operator="lessThan">
      <formula>0</formula>
    </cfRule>
  </conditionalFormatting>
  <conditionalFormatting sqref="I200:T200">
    <cfRule type="expression" dxfId="574" priority="136" stopIfTrue="1">
      <formula>#REF!="Yes"</formula>
    </cfRule>
  </conditionalFormatting>
  <conditionalFormatting sqref="A200 C200">
    <cfRule type="expression" dxfId="573" priority="135" stopIfTrue="1">
      <formula>#REF!="Yes"</formula>
    </cfRule>
  </conditionalFormatting>
  <conditionalFormatting sqref="H201">
    <cfRule type="expression" dxfId="572" priority="128" stopIfTrue="1">
      <formula>#REF!="Yes"</formula>
    </cfRule>
  </conditionalFormatting>
  <conditionalFormatting sqref="I201">
    <cfRule type="cellIs" dxfId="571" priority="133" stopIfTrue="1" operator="lessThan">
      <formula>0</formula>
    </cfRule>
  </conditionalFormatting>
  <conditionalFormatting sqref="U201:AA201">
    <cfRule type="expression" dxfId="570" priority="131" stopIfTrue="1">
      <formula>#REF!="Yes"</formula>
    </cfRule>
  </conditionalFormatting>
  <conditionalFormatting sqref="I201:T201">
    <cfRule type="expression" dxfId="569" priority="130" stopIfTrue="1">
      <formula>#REF!="Yes"</formula>
    </cfRule>
  </conditionalFormatting>
  <conditionalFormatting sqref="A201 C201">
    <cfRule type="expression" dxfId="568" priority="129" stopIfTrue="1">
      <formula>#REF!="Yes"</formula>
    </cfRule>
  </conditionalFormatting>
  <conditionalFormatting sqref="I202">
    <cfRule type="cellIs" dxfId="567" priority="125" stopIfTrue="1" operator="lessThan">
      <formula>0</formula>
    </cfRule>
  </conditionalFormatting>
  <conditionalFormatting sqref="I202:T202">
    <cfRule type="expression" dxfId="566" priority="124" stopIfTrue="1">
      <formula>#REF!="Yes"</formula>
    </cfRule>
  </conditionalFormatting>
  <conditionalFormatting sqref="H202">
    <cfRule type="expression" dxfId="565" priority="122" stopIfTrue="1">
      <formula>#REF!="Yes"</formula>
    </cfRule>
  </conditionalFormatting>
  <conditionalFormatting sqref="U202:AA202">
    <cfRule type="expression" dxfId="564" priority="126" stopIfTrue="1">
      <formula>#REF!="Yes"</formula>
    </cfRule>
  </conditionalFormatting>
  <conditionalFormatting sqref="A202 C202">
    <cfRule type="expression" dxfId="563" priority="123" stopIfTrue="1">
      <formula>#REF!="Yes"</formula>
    </cfRule>
  </conditionalFormatting>
  <conditionalFormatting sqref="I203">
    <cfRule type="cellIs" dxfId="562" priority="121" stopIfTrue="1" operator="lessThan">
      <formula>0</formula>
    </cfRule>
  </conditionalFormatting>
  <conditionalFormatting sqref="I203:T203">
    <cfRule type="expression" dxfId="561" priority="120" stopIfTrue="1">
      <formula>#REF!="Yes"</formula>
    </cfRule>
  </conditionalFormatting>
  <conditionalFormatting sqref="I204">
    <cfRule type="cellIs" dxfId="560" priority="119" stopIfTrue="1" operator="lessThan">
      <formula>0</formula>
    </cfRule>
  </conditionalFormatting>
  <conditionalFormatting sqref="I204:T204">
    <cfRule type="expression" dxfId="559" priority="118" stopIfTrue="1">
      <formula>#REF!="Yes"</formula>
    </cfRule>
  </conditionalFormatting>
  <conditionalFormatting sqref="H205">
    <cfRule type="expression" dxfId="558" priority="112" stopIfTrue="1">
      <formula>#REF!="Yes"</formula>
    </cfRule>
  </conditionalFormatting>
  <conditionalFormatting sqref="I205">
    <cfRule type="cellIs" dxfId="557" priority="117" stopIfTrue="1" operator="lessThan">
      <formula>0</formula>
    </cfRule>
  </conditionalFormatting>
  <conditionalFormatting sqref="U205:AA205">
    <cfRule type="expression" dxfId="556" priority="115" stopIfTrue="1">
      <formula>#REF!="Yes"</formula>
    </cfRule>
  </conditionalFormatting>
  <conditionalFormatting sqref="I205:T205">
    <cfRule type="expression" dxfId="555" priority="114" stopIfTrue="1">
      <formula>#REF!="Yes"</formula>
    </cfRule>
  </conditionalFormatting>
  <conditionalFormatting sqref="A205 C205">
    <cfRule type="expression" dxfId="554" priority="113" stopIfTrue="1">
      <formula>#REF!="Yes"</formula>
    </cfRule>
  </conditionalFormatting>
  <conditionalFormatting sqref="I206:T206">
    <cfRule type="expression" dxfId="553" priority="108" stopIfTrue="1">
      <formula>#REF!="Yes"</formula>
    </cfRule>
  </conditionalFormatting>
  <conditionalFormatting sqref="H206">
    <cfRule type="expression" dxfId="552" priority="106" stopIfTrue="1">
      <formula>#REF!="Yes"</formula>
    </cfRule>
  </conditionalFormatting>
  <conditionalFormatting sqref="I206">
    <cfRule type="cellIs" dxfId="551" priority="111" stopIfTrue="1" operator="lessThan">
      <formula>0</formula>
    </cfRule>
  </conditionalFormatting>
  <conditionalFormatting sqref="U206:AA206">
    <cfRule type="expression" dxfId="550" priority="109" stopIfTrue="1">
      <formula>#REF!="Yes"</formula>
    </cfRule>
  </conditionalFormatting>
  <conditionalFormatting sqref="A206 C206">
    <cfRule type="expression" dxfId="549" priority="107" stopIfTrue="1">
      <formula>#REF!="Yes"</formula>
    </cfRule>
  </conditionalFormatting>
  <conditionalFormatting sqref="H207">
    <cfRule type="expression" dxfId="548" priority="100" stopIfTrue="1">
      <formula>#REF!="Yes"</formula>
    </cfRule>
  </conditionalFormatting>
  <conditionalFormatting sqref="I207">
    <cfRule type="cellIs" dxfId="547" priority="105" stopIfTrue="1" operator="lessThan">
      <formula>0</formula>
    </cfRule>
  </conditionalFormatting>
  <conditionalFormatting sqref="U207:AA207">
    <cfRule type="expression" dxfId="546" priority="103" stopIfTrue="1">
      <formula>#REF!="Yes"</formula>
    </cfRule>
  </conditionalFormatting>
  <conditionalFormatting sqref="I207:T207">
    <cfRule type="expression" dxfId="545" priority="102" stopIfTrue="1">
      <formula>#REF!="Yes"</formula>
    </cfRule>
  </conditionalFormatting>
  <conditionalFormatting sqref="A207 C207">
    <cfRule type="expression" dxfId="544" priority="101" stopIfTrue="1">
      <formula>#REF!="Yes"</formula>
    </cfRule>
  </conditionalFormatting>
  <conditionalFormatting sqref="I209">
    <cfRule type="cellIs" dxfId="543" priority="93" stopIfTrue="1" operator="lessThan">
      <formula>0</formula>
    </cfRule>
  </conditionalFormatting>
  <conditionalFormatting sqref="U209:AA209">
    <cfRule type="expression" dxfId="542" priority="91" stopIfTrue="1">
      <formula>#REF!="Yes"</formula>
    </cfRule>
  </conditionalFormatting>
  <conditionalFormatting sqref="I209:T209">
    <cfRule type="expression" dxfId="541" priority="90" stopIfTrue="1">
      <formula>#REF!="Yes"</formula>
    </cfRule>
  </conditionalFormatting>
  <conditionalFormatting sqref="A209 C209">
    <cfRule type="expression" dxfId="540" priority="89" stopIfTrue="1">
      <formula>#REF!="Yes"</formula>
    </cfRule>
  </conditionalFormatting>
  <conditionalFormatting sqref="H209">
    <cfRule type="expression" dxfId="539" priority="88" stopIfTrue="1">
      <formula>#REF!="Yes"</formula>
    </cfRule>
  </conditionalFormatting>
  <conditionalFormatting sqref="I210">
    <cfRule type="cellIs" dxfId="538" priority="87" stopIfTrue="1" operator="lessThan">
      <formula>0</formula>
    </cfRule>
  </conditionalFormatting>
  <conditionalFormatting sqref="U210:AA210">
    <cfRule type="expression" dxfId="537" priority="85" stopIfTrue="1">
      <formula>#REF!="Yes"</formula>
    </cfRule>
  </conditionalFormatting>
  <conditionalFormatting sqref="I210:T210">
    <cfRule type="expression" dxfId="536" priority="84" stopIfTrue="1">
      <formula>#REF!="Yes"</formula>
    </cfRule>
  </conditionalFormatting>
  <conditionalFormatting sqref="H210">
    <cfRule type="expression" dxfId="535" priority="83" stopIfTrue="1">
      <formula>#REF!="Yes"</formula>
    </cfRule>
  </conditionalFormatting>
  <conditionalFormatting sqref="A210 C210">
    <cfRule type="expression" dxfId="534" priority="82" stopIfTrue="1">
      <formula>#REF!="Yes"</formula>
    </cfRule>
  </conditionalFormatting>
  <conditionalFormatting sqref="I212">
    <cfRule type="cellIs" dxfId="533" priority="81" stopIfTrue="1" operator="lessThan">
      <formula>0</formula>
    </cfRule>
  </conditionalFormatting>
  <conditionalFormatting sqref="U212:AA212">
    <cfRule type="expression" dxfId="532" priority="79" stopIfTrue="1">
      <formula>#REF!="Yes"</formula>
    </cfRule>
  </conditionalFormatting>
  <conditionalFormatting sqref="I212:T212">
    <cfRule type="expression" dxfId="531" priority="78" stopIfTrue="1">
      <formula>#REF!="Yes"</formula>
    </cfRule>
  </conditionalFormatting>
  <conditionalFormatting sqref="A212 C212">
    <cfRule type="expression" dxfId="530" priority="77" stopIfTrue="1">
      <formula>#REF!="Yes"</formula>
    </cfRule>
  </conditionalFormatting>
  <conditionalFormatting sqref="H212">
    <cfRule type="expression" dxfId="529" priority="76" stopIfTrue="1">
      <formula>#REF!="Yes"</formula>
    </cfRule>
  </conditionalFormatting>
  <conditionalFormatting sqref="I2:I3">
    <cfRule type="cellIs" dxfId="528" priority="73" stopIfTrue="1" operator="lessThan">
      <formula>0</formula>
    </cfRule>
  </conditionalFormatting>
  <conditionalFormatting sqref="N2">
    <cfRule type="cellIs" dxfId="527" priority="72" stopIfTrue="1" operator="lessThan">
      <formula>0</formula>
    </cfRule>
  </conditionalFormatting>
  <conditionalFormatting sqref="B119">
    <cfRule type="expression" dxfId="526" priority="25" stopIfTrue="1">
      <formula>#REF!="Yes"</formula>
    </cfRule>
  </conditionalFormatting>
  <conditionalFormatting sqref="E222:E248 C222:C248 A222:A248 G222:AA248">
    <cfRule type="expression" dxfId="525" priority="19" stopIfTrue="1">
      <formula>#REF!="Yes"</formula>
    </cfRule>
  </conditionalFormatting>
  <conditionalFormatting sqref="I222:I248">
    <cfRule type="cellIs" dxfId="524" priority="18" stopIfTrue="1" operator="lessThan">
      <formula>0</formula>
    </cfRule>
  </conditionalFormatting>
  <conditionalFormatting sqref="H222:H248">
    <cfRule type="expression" dxfId="523" priority="17" stopIfTrue="1">
      <formula>#REF!="Yes"</formula>
    </cfRule>
  </conditionalFormatting>
  <conditionalFormatting sqref="E216">
    <cfRule type="expression" dxfId="522" priority="16" stopIfTrue="1">
      <formula>#REF!="Yes"</formula>
    </cfRule>
  </conditionalFormatting>
  <conditionalFormatting sqref="E215">
    <cfRule type="expression" dxfId="521" priority="15" stopIfTrue="1">
      <formula>#REF!="Yes"</formula>
    </cfRule>
  </conditionalFormatting>
  <conditionalFormatting sqref="E220">
    <cfRule type="expression" dxfId="520" priority="14" stopIfTrue="1">
      <formula>#REF!="Yes"</formula>
    </cfRule>
  </conditionalFormatting>
  <conditionalFormatting sqref="B214">
    <cfRule type="expression" dxfId="519" priority="13" stopIfTrue="1">
      <formula>#REF!="Yes"</formula>
    </cfRule>
  </conditionalFormatting>
  <conditionalFormatting sqref="B215">
    <cfRule type="expression" dxfId="518" priority="12" stopIfTrue="1">
      <formula>#REF!="Yes"</formula>
    </cfRule>
  </conditionalFormatting>
  <conditionalFormatting sqref="B216">
    <cfRule type="expression" dxfId="517" priority="11" stopIfTrue="1">
      <formula>#REF!="Yes"</formula>
    </cfRule>
  </conditionalFormatting>
  <conditionalFormatting sqref="B217:B218">
    <cfRule type="expression" dxfId="516" priority="10" stopIfTrue="1">
      <formula>#REF!="Yes"</formula>
    </cfRule>
  </conditionalFormatting>
  <conditionalFormatting sqref="B219">
    <cfRule type="expression" dxfId="515" priority="9" stopIfTrue="1">
      <formula>#REF!="Yes"</formula>
    </cfRule>
  </conditionalFormatting>
  <conditionalFormatting sqref="B220">
    <cfRule type="expression" dxfId="514" priority="8" stopIfTrue="1">
      <formula>#REF!="Yes"</formula>
    </cfRule>
  </conditionalFormatting>
  <conditionalFormatting sqref="B221">
    <cfRule type="expression" dxfId="513" priority="7" stopIfTrue="1">
      <formula>#REF!="Yes"</formula>
    </cfRule>
  </conditionalFormatting>
  <conditionalFormatting sqref="B222:B248">
    <cfRule type="expression" dxfId="512" priority="6" stopIfTrue="1">
      <formula>#REF!="Yes"</formula>
    </cfRule>
  </conditionalFormatting>
  <conditionalFormatting sqref="F213:F248">
    <cfRule type="expression" dxfId="511" priority="5" stopIfTrue="1">
      <formula>#REF!="Yes"</formula>
    </cfRule>
  </conditionalFormatting>
  <conditionalFormatting sqref="F213:F248">
    <cfRule type="expression" dxfId="510" priority="4" stopIfTrue="1">
      <formula>#REF!="Yes"</formula>
    </cfRule>
  </conditionalFormatting>
  <conditionalFormatting sqref="G4">
    <cfRule type="expression" dxfId="509" priority="3" stopIfTrue="1">
      <formula>#REF!="Yes"</formula>
    </cfRule>
  </conditionalFormatting>
  <conditionalFormatting sqref="G4">
    <cfRule type="expression" dxfId="508" priority="2" stopIfTrue="1">
      <formula>#REF!="Yes"</formula>
    </cfRule>
  </conditionalFormatting>
  <conditionalFormatting sqref="E223:E248">
    <cfRule type="expression" dxfId="507" priority="1" stopIfTrue="1">
      <formula>#REF!="Yes"</formula>
    </cfRule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6"/>
  <sheetViews>
    <sheetView showGridLines="0" zoomScale="80" zoomScaleNormal="80" workbookViewId="0">
      <pane xSplit="5" ySplit="3" topLeftCell="F4" activePane="bottomRight" state="frozen"/>
      <selection activeCell="AY223" sqref="AY223"/>
      <selection pane="topRight" activeCell="AY223" sqref="AY223"/>
      <selection pane="bottomLeft" activeCell="AY223" sqref="AY223"/>
      <selection pane="bottomRight" activeCell="D19" sqref="D19"/>
    </sheetView>
  </sheetViews>
  <sheetFormatPr defaultColWidth="9.1640625" defaultRowHeight="11.25"/>
  <cols>
    <col min="1" max="1" width="8.83203125" style="511" customWidth="1"/>
    <col min="2" max="2" width="37.5" style="511" customWidth="1"/>
    <col min="3" max="3" width="12.1640625" style="511" customWidth="1"/>
    <col min="4" max="4" width="13.6640625" style="511" customWidth="1"/>
    <col min="5" max="5" width="33.33203125" style="517" customWidth="1"/>
    <col min="6" max="6" width="9.33203125" style="511" customWidth="1"/>
    <col min="7" max="7" width="12.83203125" style="511" customWidth="1"/>
    <col min="8" max="8" width="12.5" style="511" customWidth="1"/>
    <col min="9" max="9" width="18.5" style="511" customWidth="1"/>
    <col min="10" max="10" width="17.5" style="511" customWidth="1"/>
    <col min="11" max="11" width="19.1640625" style="511" customWidth="1"/>
    <col min="12" max="12" width="27" style="511" customWidth="1"/>
    <col min="13" max="13" width="19.33203125" style="511" customWidth="1"/>
    <col min="14" max="14" width="18" style="511" customWidth="1"/>
    <col min="15" max="15" width="20.1640625" style="511" customWidth="1"/>
    <col min="16" max="16" width="22.83203125" style="511" customWidth="1"/>
    <col min="17" max="17" width="24" style="511" customWidth="1"/>
    <col min="18" max="18" width="22.6640625" style="511" customWidth="1"/>
    <col min="19" max="19" width="18.5" style="511" customWidth="1"/>
    <col min="20" max="20" width="17.6640625" style="511" customWidth="1"/>
    <col min="21" max="21" width="21.1640625" style="511" customWidth="1"/>
    <col min="22" max="22" width="16.1640625" style="511" customWidth="1"/>
    <col min="23" max="23" width="19" style="511" customWidth="1"/>
    <col min="24" max="24" width="17.1640625" style="511" customWidth="1"/>
    <col min="25" max="25" width="15.5" style="511" customWidth="1"/>
    <col min="26" max="26" width="18.5" style="511" customWidth="1"/>
    <col min="27" max="27" width="19.83203125" style="528" customWidth="1"/>
    <col min="28" max="28" width="23.5" style="528" customWidth="1"/>
    <col min="29" max="29" width="18.83203125" style="528" customWidth="1"/>
    <col min="30" max="30" width="19.5" style="528" customWidth="1"/>
    <col min="31" max="31" width="25.5" style="528" customWidth="1"/>
    <col min="32" max="32" width="20.33203125" style="528" customWidth="1"/>
    <col min="33" max="33" width="17" style="528" customWidth="1"/>
    <col min="34" max="34" width="20.33203125" style="528" customWidth="1"/>
    <col min="35" max="35" width="18.1640625" style="528" customWidth="1"/>
    <col min="36" max="36" width="18.83203125" style="528" customWidth="1"/>
    <col min="37" max="37" width="25.5" style="528" customWidth="1"/>
    <col min="38" max="38" width="24.5" style="528" customWidth="1"/>
    <col min="39" max="39" width="19.5" style="528" customWidth="1"/>
    <col min="40" max="40" width="16.33203125" style="528" customWidth="1"/>
    <col min="41" max="41" width="22" style="528" customWidth="1"/>
    <col min="42" max="42" width="20.33203125" style="528" customWidth="1"/>
    <col min="43" max="43" width="15.5" style="528" customWidth="1"/>
    <col min="44" max="44" width="19.1640625" style="511" customWidth="1"/>
    <col min="45" max="45" width="16.5" style="528" customWidth="1"/>
    <col min="46" max="46" width="15.5" style="528" customWidth="1"/>
    <col min="47" max="47" width="18.1640625" style="528" customWidth="1"/>
    <col min="48" max="48" width="16" style="528" customWidth="1"/>
    <col min="49" max="49" width="15.5" style="528" customWidth="1"/>
    <col min="50" max="50" width="17.33203125" style="528" customWidth="1"/>
    <col min="51" max="51" width="13" style="511" customWidth="1"/>
    <col min="52" max="52" width="19.5" style="511" customWidth="1"/>
    <col min="53" max="53" width="18" style="511" customWidth="1"/>
    <col min="54" max="54" width="21.1640625" style="518" customWidth="1"/>
    <col min="55" max="55" width="14.6640625" customWidth="1"/>
    <col min="56" max="57" width="14.33203125" customWidth="1"/>
    <col min="58" max="59" width="14.33203125" style="511" customWidth="1"/>
    <col min="60" max="16384" width="9.1640625" style="511"/>
  </cols>
  <sheetData>
    <row r="1" spans="1:59" ht="15.75" customHeight="1" thickBot="1">
      <c r="A1" s="648">
        <v>2013</v>
      </c>
      <c r="AA1" s="511"/>
      <c r="AB1" s="511"/>
      <c r="AC1" s="511"/>
      <c r="AD1" s="511"/>
      <c r="AE1" s="511"/>
      <c r="AF1" s="511"/>
      <c r="AG1" s="511"/>
      <c r="AH1" s="511"/>
      <c r="AI1" s="511"/>
      <c r="AJ1" s="511"/>
      <c r="AK1" s="511"/>
      <c r="AL1" s="511"/>
      <c r="AM1" s="511"/>
      <c r="AN1" s="511"/>
      <c r="AO1" s="511"/>
      <c r="AP1" s="511"/>
      <c r="AQ1" s="511"/>
      <c r="AS1" s="511"/>
      <c r="AT1" s="511"/>
      <c r="AU1" s="511"/>
      <c r="AV1" s="511"/>
      <c r="AW1" s="511"/>
      <c r="AX1" s="511"/>
      <c r="BB1" s="511"/>
    </row>
    <row r="2" spans="1:59">
      <c r="A2" s="512" t="s">
        <v>123</v>
      </c>
      <c r="B2" s="512"/>
      <c r="C2" s="512"/>
      <c r="D2" s="512"/>
      <c r="E2" s="514"/>
      <c r="F2" s="513"/>
      <c r="G2" s="513"/>
      <c r="H2" s="722" t="s">
        <v>336</v>
      </c>
      <c r="I2" s="723"/>
      <c r="J2" s="723"/>
      <c r="K2" s="723"/>
      <c r="L2" s="724"/>
      <c r="M2" s="725" t="s">
        <v>335</v>
      </c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7"/>
      <c r="AA2" s="728" t="s">
        <v>365</v>
      </c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11" t="s">
        <v>368</v>
      </c>
      <c r="AZ2" s="711"/>
      <c r="BA2" s="711"/>
      <c r="BB2" s="711"/>
      <c r="BC2" s="729" t="s">
        <v>454</v>
      </c>
      <c r="BD2" s="730"/>
      <c r="BE2" s="730"/>
      <c r="BF2" s="730"/>
      <c r="BG2" s="730"/>
    </row>
    <row r="3" spans="1:59" ht="57.6" customHeight="1" thickBot="1">
      <c r="A3" s="638" t="s">
        <v>296</v>
      </c>
      <c r="B3" s="638" t="s">
        <v>417</v>
      </c>
      <c r="C3" s="593" t="s">
        <v>437</v>
      </c>
      <c r="D3" s="593" t="s">
        <v>436</v>
      </c>
      <c r="E3" s="639" t="s">
        <v>11</v>
      </c>
      <c r="F3" s="640" t="s">
        <v>369</v>
      </c>
      <c r="G3" s="640" t="s">
        <v>466</v>
      </c>
      <c r="H3" s="641" t="s">
        <v>337</v>
      </c>
      <c r="I3" s="641" t="s">
        <v>338</v>
      </c>
      <c r="J3" s="640" t="s">
        <v>339</v>
      </c>
      <c r="K3" s="640" t="s">
        <v>340</v>
      </c>
      <c r="L3" s="641" t="s">
        <v>341</v>
      </c>
      <c r="M3" s="640" t="s">
        <v>297</v>
      </c>
      <c r="N3" s="640" t="s">
        <v>298</v>
      </c>
      <c r="O3" s="642" t="s">
        <v>302</v>
      </c>
      <c r="P3" s="641" t="s">
        <v>130</v>
      </c>
      <c r="Q3" s="641" t="s">
        <v>306</v>
      </c>
      <c r="R3" s="641" t="s">
        <v>307</v>
      </c>
      <c r="S3" s="640" t="s">
        <v>303</v>
      </c>
      <c r="T3" s="641" t="s">
        <v>308</v>
      </c>
      <c r="U3" s="640" t="s">
        <v>299</v>
      </c>
      <c r="V3" s="640" t="s">
        <v>304</v>
      </c>
      <c r="W3" s="640" t="s">
        <v>300</v>
      </c>
      <c r="X3" s="640" t="s">
        <v>301</v>
      </c>
      <c r="Y3" s="640" t="s">
        <v>305</v>
      </c>
      <c r="Z3" s="640" t="s">
        <v>364</v>
      </c>
      <c r="AA3" s="641" t="s">
        <v>342</v>
      </c>
      <c r="AB3" s="641" t="s">
        <v>343</v>
      </c>
      <c r="AC3" s="641" t="s">
        <v>344</v>
      </c>
      <c r="AD3" s="641" t="s">
        <v>345</v>
      </c>
      <c r="AE3" s="641" t="s">
        <v>346</v>
      </c>
      <c r="AF3" s="641" t="s">
        <v>347</v>
      </c>
      <c r="AG3" s="641" t="s">
        <v>341</v>
      </c>
      <c r="AH3" s="641" t="s">
        <v>348</v>
      </c>
      <c r="AI3" s="641" t="s">
        <v>349</v>
      </c>
      <c r="AJ3" s="641" t="s">
        <v>350</v>
      </c>
      <c r="AK3" s="641" t="s">
        <v>351</v>
      </c>
      <c r="AL3" s="641" t="s">
        <v>352</v>
      </c>
      <c r="AM3" s="641" t="s">
        <v>353</v>
      </c>
      <c r="AN3" s="641" t="s">
        <v>354</v>
      </c>
      <c r="AO3" s="641" t="s">
        <v>355</v>
      </c>
      <c r="AP3" s="641" t="s">
        <v>356</v>
      </c>
      <c r="AQ3" s="641" t="s">
        <v>357</v>
      </c>
      <c r="AR3" s="640" t="s">
        <v>358</v>
      </c>
      <c r="AS3" s="641" t="s">
        <v>359</v>
      </c>
      <c r="AT3" s="641" t="s">
        <v>338</v>
      </c>
      <c r="AU3" s="641" t="s">
        <v>360</v>
      </c>
      <c r="AV3" s="641" t="s">
        <v>361</v>
      </c>
      <c r="AW3" s="641" t="s">
        <v>362</v>
      </c>
      <c r="AX3" s="641" t="s">
        <v>363</v>
      </c>
      <c r="AY3" s="640" t="s">
        <v>366</v>
      </c>
      <c r="AZ3" s="640" t="s">
        <v>367</v>
      </c>
      <c r="BA3" s="593" t="s">
        <v>452</v>
      </c>
      <c r="BB3" s="593" t="s">
        <v>453</v>
      </c>
      <c r="BC3" s="593" t="s">
        <v>629</v>
      </c>
      <c r="BD3" s="593" t="s">
        <v>441</v>
      </c>
      <c r="BE3" s="593" t="s">
        <v>440</v>
      </c>
      <c r="BF3" s="593" t="s">
        <v>627</v>
      </c>
      <c r="BG3" s="593" t="s">
        <v>628</v>
      </c>
    </row>
    <row r="4" spans="1:59" ht="12" thickTop="1">
      <c r="A4" s="534" t="s">
        <v>82</v>
      </c>
      <c r="B4" s="534" t="s">
        <v>203</v>
      </c>
      <c r="C4" s="534">
        <v>16</v>
      </c>
      <c r="D4" s="534">
        <v>1</v>
      </c>
      <c r="E4" s="572" t="s">
        <v>203</v>
      </c>
      <c r="F4" s="534">
        <v>2013</v>
      </c>
      <c r="G4" s="534" t="s">
        <v>469</v>
      </c>
      <c r="H4" s="573">
        <v>134942.47700000001</v>
      </c>
      <c r="I4" s="573">
        <v>479807.38299999997</v>
      </c>
      <c r="J4" s="552">
        <v>3.2423033678714788</v>
      </c>
      <c r="K4" s="575">
        <v>495.12933859999998</v>
      </c>
      <c r="L4" s="573">
        <v>4161932.4810000001</v>
      </c>
      <c r="M4" s="576">
        <v>972929</v>
      </c>
      <c r="N4" s="576">
        <v>11145429</v>
      </c>
      <c r="O4" s="577">
        <v>372.42434481436288</v>
      </c>
      <c r="P4" s="574">
        <v>4150829.0929999999</v>
      </c>
      <c r="Q4" s="574">
        <v>4150829.0929999999</v>
      </c>
      <c r="R4" s="574">
        <v>3480206.6349999998</v>
      </c>
      <c r="S4" s="578">
        <v>83.843650437669325</v>
      </c>
      <c r="T4" s="588"/>
      <c r="U4" s="580">
        <v>6184012</v>
      </c>
      <c r="V4" s="581">
        <v>6658.1684742686894</v>
      </c>
      <c r="W4" s="580">
        <v>489748</v>
      </c>
      <c r="X4" s="580">
        <v>131850</v>
      </c>
      <c r="Y4" s="581">
        <v>527.29921836117751</v>
      </c>
      <c r="Z4" s="581">
        <v>3.7144330678801669</v>
      </c>
      <c r="AA4" s="582">
        <v>10432.208000000001</v>
      </c>
      <c r="AB4" s="582">
        <v>0</v>
      </c>
      <c r="AC4" s="582">
        <v>0</v>
      </c>
      <c r="AD4" s="582">
        <v>0</v>
      </c>
      <c r="AE4" s="582">
        <v>0</v>
      </c>
      <c r="AF4" s="582" t="s">
        <v>434</v>
      </c>
      <c r="AG4" s="582">
        <v>10432.208000000001</v>
      </c>
      <c r="AH4" s="582">
        <v>5356.66</v>
      </c>
      <c r="AI4" s="582">
        <v>1256.7090000000001</v>
      </c>
      <c r="AJ4" s="582">
        <v>1.6579999999999999</v>
      </c>
      <c r="AK4" s="582">
        <v>584.37400000000002</v>
      </c>
      <c r="AL4" s="582">
        <v>1459.192</v>
      </c>
      <c r="AM4" s="582">
        <v>212.447</v>
      </c>
      <c r="AN4" s="582">
        <v>0</v>
      </c>
      <c r="AO4" s="582">
        <v>8871.0400000000009</v>
      </c>
      <c r="AP4" s="582">
        <v>0</v>
      </c>
      <c r="AQ4" s="582">
        <v>8871.0400000000009</v>
      </c>
      <c r="AR4" s="583" t="s">
        <v>434</v>
      </c>
      <c r="AS4" s="582">
        <v>5622.8919999999998</v>
      </c>
      <c r="AT4" s="582">
        <v>7935.21</v>
      </c>
      <c r="AU4" s="582">
        <v>1766.0229999999999</v>
      </c>
      <c r="AV4" s="582" t="s">
        <v>434</v>
      </c>
      <c r="AW4" s="582">
        <v>24195.165000000001</v>
      </c>
      <c r="AX4" s="582">
        <v>-13762.957</v>
      </c>
      <c r="AY4" s="571" t="s">
        <v>430</v>
      </c>
      <c r="AZ4" s="571" t="s">
        <v>431</v>
      </c>
      <c r="BA4" s="583"/>
      <c r="BB4" s="583"/>
      <c r="BC4" s="221" t="s">
        <v>552</v>
      </c>
      <c r="BD4" s="591">
        <v>0.11528475898886163</v>
      </c>
      <c r="BE4" s="653">
        <v>3.242303367871479E-2</v>
      </c>
      <c r="BF4" s="559" t="s">
        <v>574</v>
      </c>
      <c r="BG4" s="613" t="s">
        <v>574</v>
      </c>
    </row>
    <row r="5" spans="1:59">
      <c r="A5" s="536" t="s">
        <v>78</v>
      </c>
      <c r="B5" s="532" t="s">
        <v>232</v>
      </c>
      <c r="C5" s="536">
        <v>17</v>
      </c>
      <c r="D5" s="532">
        <v>2</v>
      </c>
      <c r="E5" s="535" t="s">
        <v>232</v>
      </c>
      <c r="F5" s="532">
        <v>2013</v>
      </c>
      <c r="G5" s="534" t="s">
        <v>567</v>
      </c>
      <c r="H5" s="551">
        <v>36147.328999999998</v>
      </c>
      <c r="I5" s="555">
        <v>310389.549</v>
      </c>
      <c r="J5" s="552">
        <v>0.87832075687355216</v>
      </c>
      <c r="K5" s="552">
        <v>407.27822959999997</v>
      </c>
      <c r="L5" s="555">
        <v>4115504.355</v>
      </c>
      <c r="M5" s="553">
        <v>576977</v>
      </c>
      <c r="N5" s="553">
        <v>6877765</v>
      </c>
      <c r="O5" s="554">
        <v>331.09323901005632</v>
      </c>
      <c r="P5" s="555">
        <v>2276873.5120000001</v>
      </c>
      <c r="Q5" s="555">
        <v>2277181.4909999999</v>
      </c>
      <c r="R5" s="555">
        <v>2058394.2720000001</v>
      </c>
      <c r="S5" s="556">
        <v>90.392192283983405</v>
      </c>
      <c r="T5" s="579"/>
      <c r="U5" s="565">
        <v>5099298</v>
      </c>
      <c r="V5" s="566">
        <v>8897.0146551968555</v>
      </c>
      <c r="W5" s="565">
        <v>235487</v>
      </c>
      <c r="X5" s="565">
        <v>51595</v>
      </c>
      <c r="Y5" s="566">
        <v>410.86661146462552</v>
      </c>
      <c r="Z5" s="566">
        <v>4.5641438123849207</v>
      </c>
      <c r="AA5" s="567">
        <v>289.99599999999998</v>
      </c>
      <c r="AB5" s="567">
        <v>0</v>
      </c>
      <c r="AC5" s="567">
        <v>0</v>
      </c>
      <c r="AD5" s="567">
        <v>0</v>
      </c>
      <c r="AE5" s="567">
        <v>0</v>
      </c>
      <c r="AF5" s="567" t="s">
        <v>434</v>
      </c>
      <c r="AG5" s="567">
        <v>289.99599999999998</v>
      </c>
      <c r="AH5" s="567">
        <v>-5012.6989999999996</v>
      </c>
      <c r="AI5" s="567">
        <v>-121.20399999999999</v>
      </c>
      <c r="AJ5" s="567">
        <v>-426.01299999999998</v>
      </c>
      <c r="AK5" s="567">
        <v>-236.46100000000001</v>
      </c>
      <c r="AL5" s="567">
        <v>-1508.809</v>
      </c>
      <c r="AM5" s="567">
        <v>-58.228999999999999</v>
      </c>
      <c r="AN5" s="567">
        <v>0</v>
      </c>
      <c r="AO5" s="567">
        <v>-7363.415</v>
      </c>
      <c r="AP5" s="567">
        <v>-1176.98</v>
      </c>
      <c r="AQ5" s="567">
        <v>-6186.4350000000004</v>
      </c>
      <c r="AR5" s="563" t="s">
        <v>434</v>
      </c>
      <c r="AS5" s="567">
        <v>-213.1</v>
      </c>
      <c r="AT5" s="567">
        <v>3220.6509999999998</v>
      </c>
      <c r="AU5" s="567">
        <v>0</v>
      </c>
      <c r="AV5" s="567" t="s">
        <v>434</v>
      </c>
      <c r="AW5" s="567">
        <v>-3178.8850000000002</v>
      </c>
      <c r="AX5" s="567">
        <v>3468.8809999999999</v>
      </c>
      <c r="AY5" s="571" t="s">
        <v>430</v>
      </c>
      <c r="AZ5" s="571" t="s">
        <v>431</v>
      </c>
      <c r="BA5" s="563"/>
      <c r="BB5" s="563"/>
      <c r="BC5" s="221" t="s">
        <v>552</v>
      </c>
      <c r="BD5" s="591">
        <v>7.5419565192028568E-2</v>
      </c>
      <c r="BE5" s="653">
        <v>2.0658511968137352E-2</v>
      </c>
      <c r="BF5" s="559" t="s">
        <v>573</v>
      </c>
      <c r="BG5" s="613" t="s">
        <v>573</v>
      </c>
    </row>
    <row r="6" spans="1:59">
      <c r="A6" s="532" t="s">
        <v>89</v>
      </c>
      <c r="B6" s="532" t="s">
        <v>418</v>
      </c>
      <c r="C6" s="532">
        <v>1</v>
      </c>
      <c r="D6" s="532">
        <v>3</v>
      </c>
      <c r="E6" s="535" t="s">
        <v>287</v>
      </c>
      <c r="F6" s="532">
        <v>2013</v>
      </c>
      <c r="G6" s="534" t="s">
        <v>567</v>
      </c>
      <c r="H6" s="551">
        <v>152048.83600000001</v>
      </c>
      <c r="I6" s="551">
        <v>334124.35100000002</v>
      </c>
      <c r="J6" s="568">
        <v>3.734366068824778</v>
      </c>
      <c r="K6" s="568">
        <v>402.09570660000003</v>
      </c>
      <c r="L6" s="551">
        <v>4071610.3670000001</v>
      </c>
      <c r="M6" s="557">
        <v>567234</v>
      </c>
      <c r="N6" s="557">
        <v>6831550</v>
      </c>
      <c r="O6" s="558">
        <v>375.87058998323954</v>
      </c>
      <c r="P6" s="551">
        <v>2567778.7289999998</v>
      </c>
      <c r="Q6" s="551">
        <v>2567778.7289999998</v>
      </c>
      <c r="R6" s="551">
        <v>2146045.2540000002</v>
      </c>
      <c r="S6" s="569">
        <v>83.575941718146396</v>
      </c>
      <c r="T6" s="579"/>
      <c r="U6" s="560">
        <v>5399191</v>
      </c>
      <c r="V6" s="561">
        <v>9483.9812341269553</v>
      </c>
      <c r="W6" s="560">
        <v>5373919</v>
      </c>
      <c r="X6" s="560">
        <v>351934</v>
      </c>
      <c r="Y6" s="561">
        <v>9439.5895514195163</v>
      </c>
      <c r="Z6" s="561">
        <v>15.269678405610144</v>
      </c>
      <c r="AA6" s="567">
        <v>12344611.403999999</v>
      </c>
      <c r="AB6" s="567">
        <v>-6505.3040000000001</v>
      </c>
      <c r="AC6" s="567">
        <v>0</v>
      </c>
      <c r="AD6" s="567">
        <v>0</v>
      </c>
      <c r="AE6" s="567">
        <v>3626.5610000000001</v>
      </c>
      <c r="AF6" s="567" t="s">
        <v>434</v>
      </c>
      <c r="AG6" s="567">
        <v>12341732.661</v>
      </c>
      <c r="AH6" s="567">
        <v>8880005.2939999998</v>
      </c>
      <c r="AI6" s="567">
        <v>419877.32400000002</v>
      </c>
      <c r="AJ6" s="567">
        <v>3780.0859999999998</v>
      </c>
      <c r="AK6" s="567">
        <v>92431.951000000001</v>
      </c>
      <c r="AL6" s="567">
        <v>1404327.5120000001</v>
      </c>
      <c r="AM6" s="567">
        <v>126237.795</v>
      </c>
      <c r="AN6" s="567">
        <v>14745.689</v>
      </c>
      <c r="AO6" s="567">
        <v>10941405.65</v>
      </c>
      <c r="AP6" s="567">
        <v>397410.21100000001</v>
      </c>
      <c r="AQ6" s="567">
        <v>10543995.438999999</v>
      </c>
      <c r="AR6" s="563" t="s">
        <v>434</v>
      </c>
      <c r="AS6" s="567">
        <v>580289.08200000005</v>
      </c>
      <c r="AT6" s="567">
        <v>976044.65700000001</v>
      </c>
      <c r="AU6" s="567">
        <v>17911.281999999999</v>
      </c>
      <c r="AV6" s="567" t="s">
        <v>434</v>
      </c>
      <c r="AW6" s="567">
        <v>12118240.460999999</v>
      </c>
      <c r="AX6" s="567">
        <v>223492.2</v>
      </c>
      <c r="AY6" s="571" t="s">
        <v>430</v>
      </c>
      <c r="AZ6" s="571" t="s">
        <v>433</v>
      </c>
      <c r="BA6" s="563"/>
      <c r="BB6" s="563"/>
      <c r="BC6" s="221" t="s">
        <v>552</v>
      </c>
      <c r="BD6" s="591">
        <v>8.2061965876706888E-2</v>
      </c>
      <c r="BE6" s="653">
        <v>8.2178616941829152E-2</v>
      </c>
      <c r="BF6" s="559" t="s">
        <v>576</v>
      </c>
      <c r="BG6" s="613" t="s">
        <v>576</v>
      </c>
    </row>
    <row r="7" spans="1:59">
      <c r="A7" s="532" t="s">
        <v>90</v>
      </c>
      <c r="B7" s="532" t="s">
        <v>420</v>
      </c>
      <c r="C7" s="532">
        <v>3</v>
      </c>
      <c r="D7" s="532">
        <v>4</v>
      </c>
      <c r="E7" s="535" t="s">
        <v>194</v>
      </c>
      <c r="F7" s="532">
        <v>2013</v>
      </c>
      <c r="G7" s="534" t="s">
        <v>567</v>
      </c>
      <c r="H7" s="551">
        <v>69307.247000000003</v>
      </c>
      <c r="I7" s="551">
        <v>162347.019</v>
      </c>
      <c r="J7" s="568">
        <v>2.6378041351695707</v>
      </c>
      <c r="K7" s="568">
        <v>399.51881539999999</v>
      </c>
      <c r="L7" s="551">
        <v>2627459.9419999998</v>
      </c>
      <c r="M7" s="557">
        <v>516685</v>
      </c>
      <c r="N7" s="557">
        <v>6429903</v>
      </c>
      <c r="O7" s="558">
        <v>340.70327095136582</v>
      </c>
      <c r="P7" s="551">
        <v>2213883.5729999999</v>
      </c>
      <c r="Q7" s="551">
        <v>2190688.9840000002</v>
      </c>
      <c r="R7" s="551">
        <v>1806730.0260000001</v>
      </c>
      <c r="S7" s="569">
        <v>82.473141518294128</v>
      </c>
      <c r="T7" s="579"/>
      <c r="U7" s="560">
        <v>2965629</v>
      </c>
      <c r="V7" s="561">
        <v>5534.6943803040267</v>
      </c>
      <c r="W7" s="560">
        <v>289663</v>
      </c>
      <c r="X7" s="560">
        <v>54229</v>
      </c>
      <c r="Y7" s="561">
        <v>540.59229198325386</v>
      </c>
      <c r="Z7" s="561">
        <v>5.3414778070773936</v>
      </c>
      <c r="AA7" s="567">
        <v>9658060.2449999992</v>
      </c>
      <c r="AB7" s="567">
        <v>-35344.767999999996</v>
      </c>
      <c r="AC7" s="567">
        <v>0</v>
      </c>
      <c r="AD7" s="567">
        <v>0</v>
      </c>
      <c r="AE7" s="567">
        <v>0</v>
      </c>
      <c r="AF7" s="567" t="s">
        <v>434</v>
      </c>
      <c r="AG7" s="567">
        <v>9622715.477</v>
      </c>
      <c r="AH7" s="567">
        <v>4677221.21</v>
      </c>
      <c r="AI7" s="567">
        <v>305073.245</v>
      </c>
      <c r="AJ7" s="567">
        <v>0</v>
      </c>
      <c r="AK7" s="567">
        <v>910392.27800000005</v>
      </c>
      <c r="AL7" s="567">
        <v>1215013.6540000001</v>
      </c>
      <c r="AM7" s="567">
        <v>1037988.186</v>
      </c>
      <c r="AN7" s="567">
        <v>19571.463</v>
      </c>
      <c r="AO7" s="567">
        <v>8165260.0360000003</v>
      </c>
      <c r="AP7" s="567">
        <v>4414.3680000000004</v>
      </c>
      <c r="AQ7" s="567">
        <v>8160845.6679999996</v>
      </c>
      <c r="AR7" s="563" t="s">
        <v>434</v>
      </c>
      <c r="AS7" s="567">
        <v>560902.32799999998</v>
      </c>
      <c r="AT7" s="567">
        <v>630513.75699999998</v>
      </c>
      <c r="AU7" s="567">
        <v>1591.818</v>
      </c>
      <c r="AV7" s="567" t="s">
        <v>434</v>
      </c>
      <c r="AW7" s="567">
        <v>9353853.5710000005</v>
      </c>
      <c r="AX7" s="567">
        <v>268861.90600000002</v>
      </c>
      <c r="AY7" s="571" t="s">
        <v>430</v>
      </c>
      <c r="AZ7" s="571" t="s">
        <v>433</v>
      </c>
      <c r="BA7" s="563"/>
      <c r="BB7" s="563"/>
      <c r="BC7" s="221" t="s">
        <v>552</v>
      </c>
      <c r="BD7" s="591">
        <v>6.1788580067341711E-2</v>
      </c>
      <c r="BE7" s="653">
        <v>0.11348000474971705</v>
      </c>
      <c r="BF7" s="559" t="s">
        <v>581</v>
      </c>
      <c r="BG7" s="613" t="s">
        <v>581</v>
      </c>
    </row>
    <row r="8" spans="1:59">
      <c r="A8" s="532" t="s">
        <v>85</v>
      </c>
      <c r="B8" s="532" t="s">
        <v>423</v>
      </c>
      <c r="C8" s="532">
        <v>7</v>
      </c>
      <c r="D8" s="532">
        <v>5</v>
      </c>
      <c r="E8" s="535" t="s">
        <v>288</v>
      </c>
      <c r="F8" s="532">
        <v>2013</v>
      </c>
      <c r="G8" s="534" t="s">
        <v>469</v>
      </c>
      <c r="H8" s="551">
        <v>2930.1750000000002</v>
      </c>
      <c r="I8" s="555">
        <v>172560.70199999999</v>
      </c>
      <c r="J8" s="552">
        <v>0.1065171818155064</v>
      </c>
      <c r="K8" s="552">
        <v>317.63907349999999</v>
      </c>
      <c r="L8" s="555">
        <v>2750894.2220000001</v>
      </c>
      <c r="M8" s="553">
        <v>471390</v>
      </c>
      <c r="N8" s="553">
        <v>5744614</v>
      </c>
      <c r="O8" s="554">
        <v>495.23518238127053</v>
      </c>
      <c r="P8" s="555">
        <v>2844934.9619999998</v>
      </c>
      <c r="Q8" s="555">
        <v>2844934.9619999998</v>
      </c>
      <c r="R8" s="555">
        <v>2672869.2220000001</v>
      </c>
      <c r="S8" s="556">
        <v>93.95185681576929</v>
      </c>
      <c r="T8" s="579"/>
      <c r="U8" s="565">
        <v>3764809</v>
      </c>
      <c r="V8" s="566">
        <v>7864.3592067282498</v>
      </c>
      <c r="W8" s="565">
        <v>269324</v>
      </c>
      <c r="X8" s="565">
        <v>50609</v>
      </c>
      <c r="Y8" s="566">
        <v>562.59445804365623</v>
      </c>
      <c r="Z8" s="566">
        <v>5.3216621549526764</v>
      </c>
      <c r="AA8" s="567">
        <v>4528011.3959999997</v>
      </c>
      <c r="AB8" s="567">
        <v>0</v>
      </c>
      <c r="AC8" s="567">
        <v>0</v>
      </c>
      <c r="AD8" s="567">
        <v>47811.224999999999</v>
      </c>
      <c r="AE8" s="567">
        <v>1503.559</v>
      </c>
      <c r="AF8" s="567" t="s">
        <v>434</v>
      </c>
      <c r="AG8" s="567">
        <v>4577326.18</v>
      </c>
      <c r="AH8" s="567">
        <v>3494397.284</v>
      </c>
      <c r="AI8" s="567">
        <v>254192.149</v>
      </c>
      <c r="AJ8" s="567">
        <v>37678.68</v>
      </c>
      <c r="AK8" s="567">
        <v>115205.36900000001</v>
      </c>
      <c r="AL8" s="567">
        <v>295947.54800000001</v>
      </c>
      <c r="AM8" s="567">
        <v>112489.13400000001</v>
      </c>
      <c r="AN8" s="567">
        <v>1153.598</v>
      </c>
      <c r="AO8" s="567">
        <v>4311063.7620000001</v>
      </c>
      <c r="AP8" s="567">
        <v>103175.298</v>
      </c>
      <c r="AQ8" s="567">
        <v>4207888.4639999997</v>
      </c>
      <c r="AR8" s="563" t="s">
        <v>434</v>
      </c>
      <c r="AS8" s="567">
        <v>56054.402000000002</v>
      </c>
      <c r="AT8" s="567">
        <v>304534.46000000002</v>
      </c>
      <c r="AU8" s="567">
        <v>4737.8680000000004</v>
      </c>
      <c r="AV8" s="567" t="s">
        <v>434</v>
      </c>
      <c r="AW8" s="567">
        <v>4573215.193</v>
      </c>
      <c r="AX8" s="567">
        <v>4110.9870000000001</v>
      </c>
      <c r="AY8" s="571" t="s">
        <v>430</v>
      </c>
      <c r="AZ8" s="571" t="s">
        <v>431</v>
      </c>
      <c r="BA8" s="563"/>
      <c r="BB8" s="563"/>
      <c r="BC8" s="221" t="s">
        <v>552</v>
      </c>
      <c r="BD8" s="591">
        <v>6.2728948506984794E-2</v>
      </c>
      <c r="BE8" s="653">
        <v>1.0651718181550641E-3</v>
      </c>
      <c r="BF8" s="559" t="s">
        <v>573</v>
      </c>
      <c r="BG8" s="613" t="s">
        <v>573</v>
      </c>
    </row>
    <row r="9" spans="1:59">
      <c r="A9" s="532" t="s">
        <v>380</v>
      </c>
      <c r="B9" s="532" t="s">
        <v>422</v>
      </c>
      <c r="C9" s="532">
        <v>4</v>
      </c>
      <c r="D9" s="532">
        <v>6</v>
      </c>
      <c r="E9" s="535" t="s">
        <v>293</v>
      </c>
      <c r="F9" s="532">
        <v>2013</v>
      </c>
      <c r="G9" s="534" t="s">
        <v>567</v>
      </c>
      <c r="H9" s="551">
        <v>10931.951999999999</v>
      </c>
      <c r="I9" s="555">
        <v>179687.93700000001</v>
      </c>
      <c r="J9" s="552">
        <v>0.60538108464142004</v>
      </c>
      <c r="K9" s="552">
        <v>244.0651584</v>
      </c>
      <c r="L9" s="555">
        <v>1805796.7579999999</v>
      </c>
      <c r="M9" s="553">
        <v>437243</v>
      </c>
      <c r="N9" s="553">
        <v>5472698</v>
      </c>
      <c r="O9" s="554">
        <v>246.90586727058573</v>
      </c>
      <c r="P9" s="555">
        <v>1351241.246</v>
      </c>
      <c r="Q9" s="555">
        <v>1351241.246</v>
      </c>
      <c r="R9" s="555">
        <v>1178570.693</v>
      </c>
      <c r="S9" s="556">
        <v>87.221337898680446</v>
      </c>
      <c r="T9" s="579"/>
      <c r="U9" s="560">
        <v>2246713</v>
      </c>
      <c r="V9" s="561">
        <v>4926.3737922319124</v>
      </c>
      <c r="W9" s="560">
        <v>258379</v>
      </c>
      <c r="X9" s="560">
        <v>54156</v>
      </c>
      <c r="Y9" s="561">
        <v>566.54834598949185</v>
      </c>
      <c r="Z9" s="561">
        <v>4.7710133687864689</v>
      </c>
      <c r="AA9" s="567">
        <v>4792619.1830000002</v>
      </c>
      <c r="AB9" s="567">
        <v>0</v>
      </c>
      <c r="AC9" s="567">
        <v>0</v>
      </c>
      <c r="AD9" s="567">
        <v>0</v>
      </c>
      <c r="AE9" s="567">
        <v>8.875</v>
      </c>
      <c r="AF9" s="567" t="s">
        <v>434</v>
      </c>
      <c r="AG9" s="567">
        <v>4792628.0580000002</v>
      </c>
      <c r="AH9" s="567">
        <v>3133131.696</v>
      </c>
      <c r="AI9" s="567">
        <v>96448.892999999996</v>
      </c>
      <c r="AJ9" s="567">
        <v>0</v>
      </c>
      <c r="AK9" s="567">
        <v>332557.34299999999</v>
      </c>
      <c r="AL9" s="567">
        <v>645836.57200000004</v>
      </c>
      <c r="AM9" s="567">
        <v>0</v>
      </c>
      <c r="AN9" s="567">
        <v>0</v>
      </c>
      <c r="AO9" s="567">
        <v>4207974.5039999997</v>
      </c>
      <c r="AP9" s="567">
        <v>44593.04</v>
      </c>
      <c r="AQ9" s="567">
        <v>4163381.4640000002</v>
      </c>
      <c r="AR9" s="563" t="s">
        <v>434</v>
      </c>
      <c r="AS9" s="567">
        <v>135561.003</v>
      </c>
      <c r="AT9" s="567">
        <v>356549.28</v>
      </c>
      <c r="AU9" s="567">
        <v>0</v>
      </c>
      <c r="AV9" s="567" t="s">
        <v>434</v>
      </c>
      <c r="AW9" s="567">
        <v>4655491.7470000004</v>
      </c>
      <c r="AX9" s="567">
        <v>137136.31099999999</v>
      </c>
      <c r="AY9" s="571" t="s">
        <v>430</v>
      </c>
      <c r="AZ9" s="571" t="s">
        <v>433</v>
      </c>
      <c r="BA9" s="563"/>
      <c r="BB9" s="563"/>
      <c r="BC9" s="221" t="s">
        <v>552</v>
      </c>
      <c r="BD9" s="591">
        <v>9.9506179864345512E-2</v>
      </c>
      <c r="BE9" s="653">
        <v>2.8280441148849977E-2</v>
      </c>
      <c r="BF9" s="559" t="s">
        <v>574</v>
      </c>
      <c r="BG9" s="613" t="s">
        <v>574</v>
      </c>
    </row>
    <row r="10" spans="1:59">
      <c r="A10" s="532" t="s">
        <v>90</v>
      </c>
      <c r="B10" s="532" t="s">
        <v>419</v>
      </c>
      <c r="C10" s="532">
        <v>2</v>
      </c>
      <c r="D10" s="532">
        <v>7</v>
      </c>
      <c r="E10" s="535" t="s">
        <v>200</v>
      </c>
      <c r="F10" s="532">
        <v>2013</v>
      </c>
      <c r="G10" s="534" t="s">
        <v>567</v>
      </c>
      <c r="H10" s="551">
        <v>-4567.5940000000001</v>
      </c>
      <c r="I10" s="551">
        <v>205920.35200000001</v>
      </c>
      <c r="J10" s="568">
        <v>-0.19666134456406398</v>
      </c>
      <c r="K10" s="568">
        <v>305.89990770000003</v>
      </c>
      <c r="L10" s="551">
        <v>2322568.2760000001</v>
      </c>
      <c r="M10" s="557">
        <v>413301</v>
      </c>
      <c r="N10" s="557">
        <v>5070747</v>
      </c>
      <c r="O10" s="558">
        <v>355.45811159578659</v>
      </c>
      <c r="P10" s="551">
        <v>1808534.4890000001</v>
      </c>
      <c r="Q10" s="551">
        <v>1802438.1529999999</v>
      </c>
      <c r="R10" s="551">
        <v>1660646.567</v>
      </c>
      <c r="S10" s="569">
        <v>92.133345282111335</v>
      </c>
      <c r="T10" s="579"/>
      <c r="U10" s="560">
        <v>2764717</v>
      </c>
      <c r="V10" s="561">
        <v>6542.7448855168677</v>
      </c>
      <c r="W10" s="560">
        <v>182721</v>
      </c>
      <c r="X10" s="560">
        <v>45744</v>
      </c>
      <c r="Y10" s="561">
        <v>432.41202923356263</v>
      </c>
      <c r="Z10" s="561">
        <v>3.9944254984260232</v>
      </c>
      <c r="AA10" s="567">
        <v>9237862.5319999997</v>
      </c>
      <c r="AB10" s="567">
        <v>-34010.415999999997</v>
      </c>
      <c r="AC10" s="567">
        <v>0</v>
      </c>
      <c r="AD10" s="567">
        <v>80171.712</v>
      </c>
      <c r="AE10" s="567">
        <v>0</v>
      </c>
      <c r="AF10" s="567" t="s">
        <v>434</v>
      </c>
      <c r="AG10" s="567">
        <v>9284023.8279999997</v>
      </c>
      <c r="AH10" s="567">
        <v>5674210.0810000002</v>
      </c>
      <c r="AI10" s="567">
        <v>668142.18299999996</v>
      </c>
      <c r="AJ10" s="567">
        <v>0</v>
      </c>
      <c r="AK10" s="567">
        <v>579505.304</v>
      </c>
      <c r="AL10" s="567">
        <v>1300842.585</v>
      </c>
      <c r="AM10" s="567">
        <v>45248.627999999997</v>
      </c>
      <c r="AN10" s="567">
        <v>27001.71</v>
      </c>
      <c r="AO10" s="567">
        <v>8294950.4910000004</v>
      </c>
      <c r="AP10" s="567">
        <v>10791.557000000001</v>
      </c>
      <c r="AQ10" s="567">
        <v>8284158.9349999996</v>
      </c>
      <c r="AR10" s="563" t="s">
        <v>434</v>
      </c>
      <c r="AS10" s="567">
        <v>269241.67</v>
      </c>
      <c r="AT10" s="567">
        <v>901097.33200000005</v>
      </c>
      <c r="AU10" s="567">
        <v>-57208.756000000001</v>
      </c>
      <c r="AV10" s="567" t="s">
        <v>434</v>
      </c>
      <c r="AW10" s="567">
        <v>9397289.1809999999</v>
      </c>
      <c r="AX10" s="567">
        <v>-113265.353</v>
      </c>
      <c r="AY10" s="571" t="s">
        <v>430</v>
      </c>
      <c r="AZ10" s="571" t="s">
        <v>433</v>
      </c>
      <c r="BA10" s="563"/>
      <c r="BB10" s="563"/>
      <c r="BC10" s="221" t="s">
        <v>552</v>
      </c>
      <c r="BD10" s="591">
        <v>8.8660623727558396E-2</v>
      </c>
      <c r="BE10" s="653">
        <v>-9.9940765486717376E-3</v>
      </c>
      <c r="BF10" s="559" t="s">
        <v>572</v>
      </c>
      <c r="BG10" s="613" t="s">
        <v>572</v>
      </c>
    </row>
    <row r="11" spans="1:59">
      <c r="A11" s="532" t="s">
        <v>56</v>
      </c>
      <c r="B11" s="532" t="s">
        <v>422</v>
      </c>
      <c r="C11" s="532">
        <v>4</v>
      </c>
      <c r="D11" s="532">
        <v>8</v>
      </c>
      <c r="E11" s="535" t="s">
        <v>292</v>
      </c>
      <c r="F11" s="532">
        <v>2013</v>
      </c>
      <c r="G11" s="534" t="s">
        <v>567</v>
      </c>
      <c r="H11" s="551">
        <v>42790.072999999997</v>
      </c>
      <c r="I11" s="555">
        <v>184976.83300000001</v>
      </c>
      <c r="J11" s="552">
        <v>2.1164274217055188</v>
      </c>
      <c r="K11" s="552">
        <v>237.49302589999999</v>
      </c>
      <c r="L11" s="555">
        <v>2021806.7749999999</v>
      </c>
      <c r="M11" s="553">
        <v>406477</v>
      </c>
      <c r="N11" s="553">
        <v>4715795</v>
      </c>
      <c r="O11" s="554">
        <v>211.60550511631655</v>
      </c>
      <c r="P11" s="555">
        <v>997888.18299999996</v>
      </c>
      <c r="Q11" s="555">
        <v>997888.18299999996</v>
      </c>
      <c r="R11" s="555">
        <v>869286.83499999996</v>
      </c>
      <c r="S11" s="556">
        <v>87.112649474074388</v>
      </c>
      <c r="T11" s="579"/>
      <c r="U11" s="560">
        <v>1481891</v>
      </c>
      <c r="V11" s="561">
        <v>3770.8789292155407</v>
      </c>
      <c r="W11" s="560">
        <v>153798</v>
      </c>
      <c r="X11" s="560">
        <v>43698</v>
      </c>
      <c r="Y11" s="561">
        <v>391.36052351724362</v>
      </c>
      <c r="Z11" s="561">
        <v>3.5195661128655775</v>
      </c>
      <c r="AA11" s="567">
        <v>1223272.05</v>
      </c>
      <c r="AB11" s="567">
        <v>0</v>
      </c>
      <c r="AC11" s="567">
        <v>0</v>
      </c>
      <c r="AD11" s="567">
        <v>0</v>
      </c>
      <c r="AE11" s="567">
        <v>0</v>
      </c>
      <c r="AF11" s="567" t="s">
        <v>434</v>
      </c>
      <c r="AG11" s="567">
        <v>1223272.05</v>
      </c>
      <c r="AH11" s="567">
        <v>800070.549</v>
      </c>
      <c r="AI11" s="567">
        <v>7860.692</v>
      </c>
      <c r="AJ11" s="567">
        <v>0</v>
      </c>
      <c r="AK11" s="567">
        <v>70877.290999999997</v>
      </c>
      <c r="AL11" s="567">
        <v>221085.10500000001</v>
      </c>
      <c r="AM11" s="567">
        <v>0</v>
      </c>
      <c r="AN11" s="567">
        <v>0</v>
      </c>
      <c r="AO11" s="567">
        <v>1099893.6370000001</v>
      </c>
      <c r="AP11" s="567">
        <v>13684.013999999999</v>
      </c>
      <c r="AQ11" s="567">
        <v>1086209.6229999999</v>
      </c>
      <c r="AR11" s="563" t="s">
        <v>434</v>
      </c>
      <c r="AS11" s="567">
        <v>37392.957000000002</v>
      </c>
      <c r="AT11" s="567">
        <v>58607.864999999998</v>
      </c>
      <c r="AU11" s="567">
        <v>0</v>
      </c>
      <c r="AV11" s="567" t="s">
        <v>434</v>
      </c>
      <c r="AW11" s="567">
        <v>1182210.4450000001</v>
      </c>
      <c r="AX11" s="567">
        <v>41061.605000000003</v>
      </c>
      <c r="AY11" s="571" t="s">
        <v>430</v>
      </c>
      <c r="AZ11" s="571" t="s">
        <v>433</v>
      </c>
      <c r="BA11" s="563"/>
      <c r="BB11" s="563"/>
      <c r="BC11" s="221" t="s">
        <v>552</v>
      </c>
      <c r="BD11" s="591">
        <v>9.1490856241690066E-2</v>
      </c>
      <c r="BE11" s="653">
        <v>3.738264901756605E-2</v>
      </c>
      <c r="BF11" s="559" t="s">
        <v>574</v>
      </c>
      <c r="BG11" s="613" t="s">
        <v>574</v>
      </c>
    </row>
    <row r="12" spans="1:59">
      <c r="A12" s="536" t="s">
        <v>89</v>
      </c>
      <c r="B12" s="536" t="s">
        <v>330</v>
      </c>
      <c r="C12" s="536">
        <v>20</v>
      </c>
      <c r="D12" s="536">
        <v>9</v>
      </c>
      <c r="E12" s="535" t="s">
        <v>330</v>
      </c>
      <c r="F12" s="532">
        <v>2013</v>
      </c>
      <c r="G12" s="534" t="s">
        <v>469</v>
      </c>
      <c r="H12" s="551">
        <v>42015.896999999997</v>
      </c>
      <c r="I12" s="555">
        <v>150263.83199999999</v>
      </c>
      <c r="J12" s="552">
        <v>2.5113335350876631</v>
      </c>
      <c r="K12" s="552">
        <v>488.5044168</v>
      </c>
      <c r="L12" s="555">
        <v>1673051.246</v>
      </c>
      <c r="M12" s="553">
        <v>382727</v>
      </c>
      <c r="N12" s="553">
        <v>4651133</v>
      </c>
      <c r="O12" s="554">
        <v>359.70832182180129</v>
      </c>
      <c r="P12" s="555">
        <v>1677051.246</v>
      </c>
      <c r="Q12" s="555">
        <v>1673051.246</v>
      </c>
      <c r="R12" s="555">
        <v>1368704.264</v>
      </c>
      <c r="S12" s="556">
        <v>81.808866720153048</v>
      </c>
      <c r="T12" s="579"/>
      <c r="U12" s="565">
        <v>4526510</v>
      </c>
      <c r="V12" s="566">
        <v>11678.470600604196</v>
      </c>
      <c r="W12" s="565">
        <v>317773</v>
      </c>
      <c r="X12" s="565">
        <v>44064</v>
      </c>
      <c r="Y12" s="566">
        <v>819.85959120068162</v>
      </c>
      <c r="Z12" s="566">
        <v>7.2116240014524324</v>
      </c>
      <c r="AA12" s="567" t="s">
        <v>20</v>
      </c>
      <c r="AB12" s="567" t="s">
        <v>20</v>
      </c>
      <c r="AC12" s="567" t="s">
        <v>20</v>
      </c>
      <c r="AD12" s="567" t="s">
        <v>20</v>
      </c>
      <c r="AE12" s="567" t="s">
        <v>20</v>
      </c>
      <c r="AF12" s="567" t="s">
        <v>20</v>
      </c>
      <c r="AG12" s="567" t="s">
        <v>20</v>
      </c>
      <c r="AH12" s="567" t="s">
        <v>20</v>
      </c>
      <c r="AI12" s="567" t="s">
        <v>20</v>
      </c>
      <c r="AJ12" s="567" t="s">
        <v>20</v>
      </c>
      <c r="AK12" s="567" t="s">
        <v>20</v>
      </c>
      <c r="AL12" s="567" t="s">
        <v>20</v>
      </c>
      <c r="AM12" s="567" t="s">
        <v>20</v>
      </c>
      <c r="AN12" s="567" t="s">
        <v>20</v>
      </c>
      <c r="AO12" s="567" t="s">
        <v>20</v>
      </c>
      <c r="AP12" s="567" t="s">
        <v>20</v>
      </c>
      <c r="AQ12" s="567" t="s">
        <v>20</v>
      </c>
      <c r="AR12" s="563" t="s">
        <v>20</v>
      </c>
      <c r="AS12" s="567" t="s">
        <v>20</v>
      </c>
      <c r="AT12" s="567" t="s">
        <v>20</v>
      </c>
      <c r="AU12" s="567" t="s">
        <v>20</v>
      </c>
      <c r="AV12" s="567" t="s">
        <v>20</v>
      </c>
      <c r="AW12" s="567" t="s">
        <v>20</v>
      </c>
      <c r="AX12" s="567" t="s">
        <v>20</v>
      </c>
      <c r="AY12" s="571" t="s">
        <v>430</v>
      </c>
      <c r="AZ12" s="571" t="s">
        <v>431</v>
      </c>
      <c r="BA12" s="563"/>
      <c r="BB12" s="563"/>
      <c r="BC12" s="221" t="s">
        <v>552</v>
      </c>
      <c r="BD12" s="591">
        <v>8.9814243502257904E-2</v>
      </c>
      <c r="BE12" s="653">
        <v>2.511333535087663E-2</v>
      </c>
      <c r="BF12" s="559" t="s">
        <v>574</v>
      </c>
      <c r="BG12" s="613" t="s">
        <v>574</v>
      </c>
    </row>
    <row r="13" spans="1:59">
      <c r="A13" s="532" t="s">
        <v>94</v>
      </c>
      <c r="B13" s="532" t="s">
        <v>421</v>
      </c>
      <c r="C13" s="532">
        <v>4</v>
      </c>
      <c r="D13" s="532">
        <v>10</v>
      </c>
      <c r="E13" s="535" t="s">
        <v>256</v>
      </c>
      <c r="F13" s="532">
        <v>2013</v>
      </c>
      <c r="G13" s="534" t="s">
        <v>567</v>
      </c>
      <c r="H13" s="551">
        <v>4969.3519999999999</v>
      </c>
      <c r="I13" s="555">
        <v>147045.26699999999</v>
      </c>
      <c r="J13" s="552">
        <v>0.41370614728467053</v>
      </c>
      <c r="K13" s="552">
        <v>297.1041543</v>
      </c>
      <c r="L13" s="555">
        <v>1201179.1540000001</v>
      </c>
      <c r="M13" s="553">
        <v>369141</v>
      </c>
      <c r="N13" s="553">
        <v>4538520</v>
      </c>
      <c r="O13" s="554">
        <v>232.34018468575658</v>
      </c>
      <c r="P13" s="555">
        <v>1054480.575</v>
      </c>
      <c r="Q13" s="555">
        <v>1054480.575</v>
      </c>
      <c r="R13" s="555">
        <v>890212.16700000002</v>
      </c>
      <c r="S13" s="556">
        <v>84.421864954695835</v>
      </c>
      <c r="T13" s="579"/>
      <c r="U13" s="560">
        <v>1838976</v>
      </c>
      <c r="V13" s="561">
        <v>4862.3145871341321</v>
      </c>
      <c r="W13" s="560">
        <v>110150</v>
      </c>
      <c r="X13" s="560">
        <v>27918</v>
      </c>
      <c r="Y13" s="561">
        <v>291.24031622643503</v>
      </c>
      <c r="Z13" s="561">
        <v>3.9454832008023497</v>
      </c>
      <c r="AA13" s="567">
        <v>1167038.8370000001</v>
      </c>
      <c r="AB13" s="567">
        <v>0</v>
      </c>
      <c r="AC13" s="567">
        <v>0</v>
      </c>
      <c r="AD13" s="567">
        <v>0</v>
      </c>
      <c r="AE13" s="567">
        <v>0</v>
      </c>
      <c r="AF13" s="567" t="s">
        <v>434</v>
      </c>
      <c r="AG13" s="567">
        <v>1167038.8370000001</v>
      </c>
      <c r="AH13" s="567">
        <v>597535.43299999996</v>
      </c>
      <c r="AI13" s="567">
        <v>5214.625</v>
      </c>
      <c r="AJ13" s="567">
        <v>66440.760999999999</v>
      </c>
      <c r="AK13" s="567">
        <v>109930.421</v>
      </c>
      <c r="AL13" s="567">
        <v>195440.73499999999</v>
      </c>
      <c r="AM13" s="567">
        <v>0</v>
      </c>
      <c r="AN13" s="567">
        <v>414.84399999999999</v>
      </c>
      <c r="AO13" s="567">
        <v>974976.81900000002</v>
      </c>
      <c r="AP13" s="567">
        <v>0</v>
      </c>
      <c r="AQ13" s="567">
        <v>974976.81900000002</v>
      </c>
      <c r="AR13" s="563" t="s">
        <v>434</v>
      </c>
      <c r="AS13" s="567">
        <v>44826.586000000003</v>
      </c>
      <c r="AT13" s="567">
        <v>144657.37</v>
      </c>
      <c r="AU13" s="567">
        <v>2234.5050000000001</v>
      </c>
      <c r="AV13" s="567" t="s">
        <v>434</v>
      </c>
      <c r="AW13" s="567">
        <v>1166695.28</v>
      </c>
      <c r="AX13" s="567">
        <v>343.55700000000002</v>
      </c>
      <c r="AY13" s="571" t="s">
        <v>430</v>
      </c>
      <c r="AZ13" s="571" t="s">
        <v>433</v>
      </c>
      <c r="BA13" s="563"/>
      <c r="BB13" s="563"/>
      <c r="BC13" s="221" t="s">
        <v>552</v>
      </c>
      <c r="BD13" s="591">
        <v>0.12241743166315387</v>
      </c>
      <c r="BE13" s="653">
        <v>3.3363918789887773E-2</v>
      </c>
      <c r="BF13" s="559" t="s">
        <v>574</v>
      </c>
      <c r="BG13" s="613" t="s">
        <v>574</v>
      </c>
    </row>
    <row r="14" spans="1:59">
      <c r="A14" s="532" t="s">
        <v>78</v>
      </c>
      <c r="B14" s="532" t="s">
        <v>418</v>
      </c>
      <c r="C14" s="532">
        <v>1</v>
      </c>
      <c r="D14" s="532">
        <v>11</v>
      </c>
      <c r="E14" s="535" t="s">
        <v>185</v>
      </c>
      <c r="F14" s="532">
        <v>2013</v>
      </c>
      <c r="G14" s="534" t="s">
        <v>567</v>
      </c>
      <c r="H14" s="551">
        <v>62286.976000000002</v>
      </c>
      <c r="I14" s="551">
        <v>114542.761</v>
      </c>
      <c r="J14" s="568">
        <v>3.6072665954841794</v>
      </c>
      <c r="K14" s="568">
        <v>361.24572360000002</v>
      </c>
      <c r="L14" s="551">
        <v>1726708.419</v>
      </c>
      <c r="M14" s="557">
        <v>348397</v>
      </c>
      <c r="N14" s="557">
        <v>4416450</v>
      </c>
      <c r="O14" s="558">
        <v>346.1208230592444</v>
      </c>
      <c r="P14" s="551">
        <v>1528625.3089999999</v>
      </c>
      <c r="Q14" s="551">
        <v>1528625.3089999999</v>
      </c>
      <c r="R14" s="551">
        <v>1329548.392</v>
      </c>
      <c r="S14" s="569">
        <v>86.976735513411555</v>
      </c>
      <c r="T14" s="579"/>
      <c r="U14" s="560">
        <v>3247575</v>
      </c>
      <c r="V14" s="561">
        <v>8824.0328770845354</v>
      </c>
      <c r="W14" s="560">
        <v>301036</v>
      </c>
      <c r="X14" s="560">
        <v>46617</v>
      </c>
      <c r="Y14" s="561">
        <v>817.94925788812282</v>
      </c>
      <c r="Z14" s="561">
        <v>6.4576442070489311</v>
      </c>
      <c r="AA14" s="567">
        <v>2565209.514</v>
      </c>
      <c r="AB14" s="567">
        <v>0</v>
      </c>
      <c r="AC14" s="567">
        <v>0</v>
      </c>
      <c r="AD14" s="567">
        <v>0</v>
      </c>
      <c r="AE14" s="567">
        <v>1435.819</v>
      </c>
      <c r="AF14" s="567" t="s">
        <v>434</v>
      </c>
      <c r="AG14" s="567">
        <v>2566645.3330000001</v>
      </c>
      <c r="AH14" s="567">
        <v>2134074.273</v>
      </c>
      <c r="AI14" s="567">
        <v>9881.6149999999998</v>
      </c>
      <c r="AJ14" s="567">
        <v>0</v>
      </c>
      <c r="AK14" s="567">
        <v>0</v>
      </c>
      <c r="AL14" s="567">
        <v>0</v>
      </c>
      <c r="AM14" s="567">
        <v>0</v>
      </c>
      <c r="AN14" s="567">
        <v>2089.364</v>
      </c>
      <c r="AO14" s="567">
        <v>2146045.2519999999</v>
      </c>
      <c r="AP14" s="567">
        <v>0</v>
      </c>
      <c r="AQ14" s="567">
        <v>2146045.2519999999</v>
      </c>
      <c r="AR14" s="563" t="s">
        <v>434</v>
      </c>
      <c r="AS14" s="567">
        <v>108751.186</v>
      </c>
      <c r="AT14" s="567">
        <v>225032.79300000001</v>
      </c>
      <c r="AU14" s="567">
        <v>0</v>
      </c>
      <c r="AV14" s="567" t="s">
        <v>434</v>
      </c>
      <c r="AW14" s="567">
        <v>2479829.2310000001</v>
      </c>
      <c r="AX14" s="567">
        <v>86816.101999999999</v>
      </c>
      <c r="AY14" s="571" t="s">
        <v>430</v>
      </c>
      <c r="AZ14" s="571" t="s">
        <v>433</v>
      </c>
      <c r="BA14" s="563"/>
      <c r="BB14" s="563"/>
      <c r="BC14" s="221" t="s">
        <v>552</v>
      </c>
      <c r="BD14" s="591">
        <v>6.6335902309630199E-2</v>
      </c>
      <c r="BE14" s="653">
        <v>6.3896742556254285E-2</v>
      </c>
      <c r="BF14" s="559" t="s">
        <v>575</v>
      </c>
      <c r="BG14" s="613" t="s">
        <v>575</v>
      </c>
    </row>
    <row r="15" spans="1:59">
      <c r="A15" s="532" t="s">
        <v>90</v>
      </c>
      <c r="B15" s="532" t="s">
        <v>419</v>
      </c>
      <c r="C15" s="532">
        <v>2</v>
      </c>
      <c r="D15" s="532">
        <v>12</v>
      </c>
      <c r="E15" s="535" t="s">
        <v>268</v>
      </c>
      <c r="F15" s="532">
        <v>2013</v>
      </c>
      <c r="G15" s="534" t="s">
        <v>469</v>
      </c>
      <c r="H15" s="551">
        <v>16799.419000000002</v>
      </c>
      <c r="I15" s="551">
        <v>148647.74799999999</v>
      </c>
      <c r="J15" s="568">
        <v>0.98617660844985777</v>
      </c>
      <c r="K15" s="568">
        <v>334.81344960000001</v>
      </c>
      <c r="L15" s="551">
        <v>1703489.9080000001</v>
      </c>
      <c r="M15" s="557">
        <v>346649</v>
      </c>
      <c r="N15" s="557">
        <v>4256714</v>
      </c>
      <c r="O15" s="558">
        <v>373.9484137294636</v>
      </c>
      <c r="P15" s="551">
        <v>1600375.426</v>
      </c>
      <c r="Q15" s="551">
        <v>1591791.4480000001</v>
      </c>
      <c r="R15" s="551">
        <v>1394614.827</v>
      </c>
      <c r="S15" s="569">
        <v>87.612911148144335</v>
      </c>
      <c r="T15" s="579"/>
      <c r="U15" s="560">
        <v>2071800</v>
      </c>
      <c r="V15" s="561">
        <v>5840.561522338593</v>
      </c>
      <c r="W15" s="560">
        <v>195421</v>
      </c>
      <c r="X15" s="560">
        <v>44065</v>
      </c>
      <c r="Y15" s="561">
        <v>550.90663831302743</v>
      </c>
      <c r="Z15" s="561">
        <v>4.4348349029842282</v>
      </c>
      <c r="AA15" s="567">
        <v>1851889.8559999999</v>
      </c>
      <c r="AB15" s="567">
        <v>-6096.3360000000002</v>
      </c>
      <c r="AC15" s="567">
        <v>0</v>
      </c>
      <c r="AD15" s="567">
        <v>0</v>
      </c>
      <c r="AE15" s="567">
        <v>0</v>
      </c>
      <c r="AF15" s="567" t="s">
        <v>434</v>
      </c>
      <c r="AG15" s="567">
        <v>1845793.52</v>
      </c>
      <c r="AH15" s="567">
        <v>1191919.2050000001</v>
      </c>
      <c r="AI15" s="567">
        <v>68100.410999999993</v>
      </c>
      <c r="AJ15" s="567">
        <v>0</v>
      </c>
      <c r="AK15" s="567">
        <v>68260.398000000001</v>
      </c>
      <c r="AL15" s="567">
        <v>332366.55300000001</v>
      </c>
      <c r="AM15" s="567">
        <v>0</v>
      </c>
      <c r="AN15" s="567">
        <v>0</v>
      </c>
      <c r="AO15" s="567">
        <v>1660646.567</v>
      </c>
      <c r="AP15" s="567">
        <v>-37379.714</v>
      </c>
      <c r="AQ15" s="567">
        <v>1698026.281</v>
      </c>
      <c r="AR15" s="563" t="s">
        <v>434</v>
      </c>
      <c r="AS15" s="567">
        <v>46242.93</v>
      </c>
      <c r="AT15" s="567">
        <v>159223.98300000001</v>
      </c>
      <c r="AU15" s="567">
        <v>-28455.347000000002</v>
      </c>
      <c r="AV15" s="567" t="s">
        <v>434</v>
      </c>
      <c r="AW15" s="567">
        <v>1875037.8470000001</v>
      </c>
      <c r="AX15" s="567">
        <v>-29244.327000000001</v>
      </c>
      <c r="AY15" s="571" t="s">
        <v>430</v>
      </c>
      <c r="AZ15" s="571" t="s">
        <v>433</v>
      </c>
      <c r="BA15" s="563"/>
      <c r="BB15" s="563"/>
      <c r="BC15" s="221" t="s">
        <v>552</v>
      </c>
      <c r="BD15" s="591">
        <v>8.7260715371376293E-2</v>
      </c>
      <c r="BE15" s="653">
        <v>9.8617660844985775E-3</v>
      </c>
      <c r="BF15" s="559" t="s">
        <v>573</v>
      </c>
      <c r="BG15" s="613" t="s">
        <v>573</v>
      </c>
    </row>
    <row r="16" spans="1:59">
      <c r="A16" s="532" t="s">
        <v>81</v>
      </c>
      <c r="B16" s="532" t="s">
        <v>418</v>
      </c>
      <c r="C16" s="532">
        <v>1</v>
      </c>
      <c r="D16" s="532">
        <v>13</v>
      </c>
      <c r="E16" s="535" t="s">
        <v>282</v>
      </c>
      <c r="F16" s="532">
        <v>2013</v>
      </c>
      <c r="G16" s="534" t="s">
        <v>567</v>
      </c>
      <c r="H16" s="551">
        <v>79925.111999999994</v>
      </c>
      <c r="I16" s="551">
        <v>148601.995</v>
      </c>
      <c r="J16" s="568">
        <v>4.2536255097563878</v>
      </c>
      <c r="K16" s="568">
        <v>611.65254489999995</v>
      </c>
      <c r="L16" s="551">
        <v>1878987.9790000001</v>
      </c>
      <c r="M16" s="557">
        <v>345277</v>
      </c>
      <c r="N16" s="557">
        <v>4001218</v>
      </c>
      <c r="O16" s="558">
        <v>356.59815411207285</v>
      </c>
      <c r="P16" s="551">
        <v>1426826.953</v>
      </c>
      <c r="Q16" s="551">
        <v>1426826.953</v>
      </c>
      <c r="R16" s="551">
        <v>1159703.72</v>
      </c>
      <c r="S16" s="569">
        <v>81.278512265390319</v>
      </c>
      <c r="T16" s="579"/>
      <c r="U16" s="560">
        <v>614867</v>
      </c>
      <c r="V16" s="561">
        <v>1844.0394899753026</v>
      </c>
      <c r="W16" s="560">
        <v>191914</v>
      </c>
      <c r="X16" s="560">
        <v>36828</v>
      </c>
      <c r="Y16" s="561">
        <v>575.56673992769197</v>
      </c>
      <c r="Z16" s="561">
        <v>5.2110893885087437</v>
      </c>
      <c r="AA16" s="567">
        <v>1528625.3089999999</v>
      </c>
      <c r="AB16" s="567">
        <v>0</v>
      </c>
      <c r="AC16" s="567">
        <v>0</v>
      </c>
      <c r="AD16" s="567">
        <v>0</v>
      </c>
      <c r="AE16" s="567">
        <v>0</v>
      </c>
      <c r="AF16" s="567" t="s">
        <v>434</v>
      </c>
      <c r="AG16" s="567">
        <v>1528625.3089999999</v>
      </c>
      <c r="AH16" s="567">
        <v>1038682.2340000001</v>
      </c>
      <c r="AI16" s="567">
        <v>73177.088000000003</v>
      </c>
      <c r="AJ16" s="567">
        <v>0</v>
      </c>
      <c r="AK16" s="567">
        <v>0</v>
      </c>
      <c r="AL16" s="567">
        <v>214459.71100000001</v>
      </c>
      <c r="AM16" s="567">
        <v>0.76300000000000001</v>
      </c>
      <c r="AN16" s="567">
        <v>673.63800000000003</v>
      </c>
      <c r="AO16" s="567">
        <v>1326993.4339999999</v>
      </c>
      <c r="AP16" s="567">
        <v>0</v>
      </c>
      <c r="AQ16" s="567">
        <v>1326993.4339999999</v>
      </c>
      <c r="AR16" s="563" t="s">
        <v>434</v>
      </c>
      <c r="AS16" s="567">
        <v>79364.862999999998</v>
      </c>
      <c r="AT16" s="567">
        <v>94708.52</v>
      </c>
      <c r="AU16" s="567">
        <v>-10784.199000000001</v>
      </c>
      <c r="AV16" s="567" t="s">
        <v>434</v>
      </c>
      <c r="AW16" s="567">
        <v>1490282.618</v>
      </c>
      <c r="AX16" s="567">
        <v>38342.690999999999</v>
      </c>
      <c r="AY16" s="571" t="s">
        <v>430</v>
      </c>
      <c r="AZ16" s="571" t="s">
        <v>433</v>
      </c>
      <c r="BA16" s="563"/>
      <c r="BB16" s="563"/>
      <c r="BC16" s="221" t="s">
        <v>552</v>
      </c>
      <c r="BD16" s="591">
        <v>7.9086187171397537E-2</v>
      </c>
      <c r="BE16" s="653">
        <v>0.10812869017469923</v>
      </c>
      <c r="BF16" s="559" t="s">
        <v>581</v>
      </c>
      <c r="BG16" s="613" t="s">
        <v>581</v>
      </c>
    </row>
    <row r="17" spans="1:59">
      <c r="A17" s="532" t="s">
        <v>57</v>
      </c>
      <c r="B17" s="532" t="s">
        <v>419</v>
      </c>
      <c r="C17" s="532">
        <v>2</v>
      </c>
      <c r="D17" s="532">
        <v>14</v>
      </c>
      <c r="E17" s="535" t="s">
        <v>260</v>
      </c>
      <c r="F17" s="532">
        <v>2013</v>
      </c>
      <c r="G17" s="534" t="s">
        <v>469</v>
      </c>
      <c r="H17" s="551">
        <v>-3850.5590000000002</v>
      </c>
      <c r="I17" s="551">
        <v>89242.873999999996</v>
      </c>
      <c r="J17" s="568">
        <v>-0.48195204245749074</v>
      </c>
      <c r="K17" s="568">
        <v>366.28633730000001</v>
      </c>
      <c r="L17" s="551">
        <v>798950.65500000003</v>
      </c>
      <c r="M17" s="557">
        <v>318672</v>
      </c>
      <c r="N17" s="557">
        <v>3674172</v>
      </c>
      <c r="O17" s="558">
        <v>219.66302775155873</v>
      </c>
      <c r="P17" s="551">
        <v>807079.74600000004</v>
      </c>
      <c r="Q17" s="551">
        <v>807079.74600000004</v>
      </c>
      <c r="R17" s="551">
        <v>689088.27599999995</v>
      </c>
      <c r="S17" s="569">
        <v>85.380444672935695</v>
      </c>
      <c r="T17" s="579"/>
      <c r="U17" s="560">
        <v>1452400</v>
      </c>
      <c r="V17" s="561">
        <v>4743.5993742263563</v>
      </c>
      <c r="W17" s="560">
        <v>117267</v>
      </c>
      <c r="X17" s="560">
        <v>25935</v>
      </c>
      <c r="Y17" s="561">
        <v>382.99894506843992</v>
      </c>
      <c r="Z17" s="561">
        <v>4.5215731636784264</v>
      </c>
      <c r="AA17" s="567">
        <v>801698.88399999996</v>
      </c>
      <c r="AB17" s="567">
        <v>0</v>
      </c>
      <c r="AC17" s="567">
        <v>0</v>
      </c>
      <c r="AD17" s="567">
        <v>0</v>
      </c>
      <c r="AE17" s="567">
        <v>0</v>
      </c>
      <c r="AF17" s="567" t="s">
        <v>434</v>
      </c>
      <c r="AG17" s="567">
        <v>801698.88399999996</v>
      </c>
      <c r="AH17" s="567">
        <v>568182.80700000003</v>
      </c>
      <c r="AI17" s="567">
        <v>115907.692</v>
      </c>
      <c r="AJ17" s="567">
        <v>0</v>
      </c>
      <c r="AK17" s="567">
        <v>19388.892</v>
      </c>
      <c r="AL17" s="567">
        <v>98475.134000000005</v>
      </c>
      <c r="AM17" s="567">
        <v>0</v>
      </c>
      <c r="AN17" s="567">
        <v>0</v>
      </c>
      <c r="AO17" s="567">
        <v>801954.52500000002</v>
      </c>
      <c r="AP17" s="567">
        <v>11601.728999999999</v>
      </c>
      <c r="AQ17" s="567">
        <v>790352.79599999997</v>
      </c>
      <c r="AR17" s="563" t="s">
        <v>434</v>
      </c>
      <c r="AS17" s="567">
        <v>26165.784</v>
      </c>
      <c r="AT17" s="567">
        <v>74075.243000000002</v>
      </c>
      <c r="AU17" s="567">
        <v>32936.087</v>
      </c>
      <c r="AV17" s="567" t="s">
        <v>434</v>
      </c>
      <c r="AW17" s="567">
        <v>923529.91</v>
      </c>
      <c r="AX17" s="567">
        <v>-121831.026</v>
      </c>
      <c r="AY17" s="571" t="s">
        <v>430</v>
      </c>
      <c r="AZ17" s="571" t="s">
        <v>433</v>
      </c>
      <c r="BA17" s="563"/>
      <c r="BB17" s="563"/>
      <c r="BC17" s="221" t="s">
        <v>552</v>
      </c>
      <c r="BD17" s="591">
        <v>0.1117001074365475</v>
      </c>
      <c r="BE17" s="653">
        <v>-4.8195204245749072E-3</v>
      </c>
      <c r="BF17" s="559" t="s">
        <v>572</v>
      </c>
      <c r="BG17" s="613" t="s">
        <v>572</v>
      </c>
    </row>
    <row r="18" spans="1:59">
      <c r="A18" s="532" t="s">
        <v>69</v>
      </c>
      <c r="B18" s="532" t="s">
        <v>425</v>
      </c>
      <c r="C18" s="532">
        <v>10</v>
      </c>
      <c r="D18" s="532">
        <v>15</v>
      </c>
      <c r="E18" s="535" t="s">
        <v>247</v>
      </c>
      <c r="F18" s="532">
        <v>2013</v>
      </c>
      <c r="G18" s="534" t="s">
        <v>469</v>
      </c>
      <c r="H18" s="551">
        <v>5694.8559999999998</v>
      </c>
      <c r="I18" s="555">
        <v>111871.077</v>
      </c>
      <c r="J18" s="552">
        <v>0.53796762359073658</v>
      </c>
      <c r="K18" s="552">
        <v>283.42588819999997</v>
      </c>
      <c r="L18" s="555">
        <v>1058587.125</v>
      </c>
      <c r="M18" s="553">
        <v>296102</v>
      </c>
      <c r="N18" s="553">
        <v>3536677</v>
      </c>
      <c r="O18" s="554">
        <v>297.59084304277718</v>
      </c>
      <c r="P18" s="555">
        <v>1056234.7609999999</v>
      </c>
      <c r="Q18" s="555">
        <v>1052482.69</v>
      </c>
      <c r="R18" s="555">
        <v>932064.36600000004</v>
      </c>
      <c r="S18" s="556">
        <v>88.558640902683166</v>
      </c>
      <c r="T18" s="562"/>
      <c r="U18" s="565">
        <v>3234711</v>
      </c>
      <c r="V18" s="566">
        <v>10975.424671238001</v>
      </c>
      <c r="W18" s="565">
        <v>134468</v>
      </c>
      <c r="X18" s="565">
        <v>37039</v>
      </c>
      <c r="Y18" s="566">
        <v>456.25201283577775</v>
      </c>
      <c r="Z18" s="566">
        <v>3.6304435864899158</v>
      </c>
      <c r="AA18" s="567">
        <v>1158461.3470000001</v>
      </c>
      <c r="AB18" s="567">
        <v>0</v>
      </c>
      <c r="AC18" s="567">
        <v>0</v>
      </c>
      <c r="AD18" s="567">
        <v>0</v>
      </c>
      <c r="AE18" s="567">
        <v>0</v>
      </c>
      <c r="AF18" s="567" t="s">
        <v>434</v>
      </c>
      <c r="AG18" s="567">
        <v>1158461.3470000001</v>
      </c>
      <c r="AH18" s="567">
        <v>831783.53300000005</v>
      </c>
      <c r="AI18" s="567">
        <v>6691.2879999999996</v>
      </c>
      <c r="AJ18" s="567">
        <v>38901.665000000001</v>
      </c>
      <c r="AK18" s="567">
        <v>17637.68</v>
      </c>
      <c r="AL18" s="567">
        <v>120616.613</v>
      </c>
      <c r="AM18" s="567">
        <v>352.12</v>
      </c>
      <c r="AN18" s="567">
        <v>17153.065999999999</v>
      </c>
      <c r="AO18" s="567">
        <v>1033135.965</v>
      </c>
      <c r="AP18" s="567">
        <v>1503.8320000000001</v>
      </c>
      <c r="AQ18" s="567">
        <v>1031632.133</v>
      </c>
      <c r="AR18" s="563" t="s">
        <v>434</v>
      </c>
      <c r="AS18" s="567">
        <v>4372.6139999999996</v>
      </c>
      <c r="AT18" s="567">
        <v>118722.61900000001</v>
      </c>
      <c r="AU18" s="567">
        <v>0</v>
      </c>
      <c r="AV18" s="567" t="s">
        <v>434</v>
      </c>
      <c r="AW18" s="567">
        <v>1154727.3659999999</v>
      </c>
      <c r="AX18" s="567">
        <v>3733.9810000000002</v>
      </c>
      <c r="AY18" s="571" t="s">
        <v>430</v>
      </c>
      <c r="AZ18" s="571" t="s">
        <v>433</v>
      </c>
      <c r="BA18" s="563"/>
      <c r="BB18" s="563"/>
      <c r="BC18" s="221" t="s">
        <v>552</v>
      </c>
      <c r="BD18" s="591">
        <v>0.10567961234178057</v>
      </c>
      <c r="BE18" s="653">
        <v>5.3796762359073656E-3</v>
      </c>
      <c r="BF18" s="559" t="s">
        <v>573</v>
      </c>
      <c r="BG18" s="613" t="s">
        <v>573</v>
      </c>
    </row>
    <row r="19" spans="1:59">
      <c r="A19" s="536" t="s">
        <v>62</v>
      </c>
      <c r="B19" s="536" t="s">
        <v>391</v>
      </c>
      <c r="C19" s="536">
        <v>45</v>
      </c>
      <c r="D19" s="536">
        <v>16</v>
      </c>
      <c r="E19" s="535" t="s">
        <v>391</v>
      </c>
      <c r="F19" s="532">
        <v>2013</v>
      </c>
      <c r="G19" s="534" t="s">
        <v>469</v>
      </c>
      <c r="H19" s="551">
        <v>-2701.058</v>
      </c>
      <c r="I19" s="555">
        <v>9297.4179999999997</v>
      </c>
      <c r="J19" s="552">
        <v>-0.60043134942189669</v>
      </c>
      <c r="K19" s="552">
        <v>391.49595690000001</v>
      </c>
      <c r="L19" s="555">
        <v>449852.92700000003</v>
      </c>
      <c r="M19" s="553">
        <v>281786</v>
      </c>
      <c r="N19" s="553">
        <v>3417155</v>
      </c>
      <c r="O19" s="554">
        <v>132.83350272375705</v>
      </c>
      <c r="P19" s="555">
        <v>453912.66800000001</v>
      </c>
      <c r="Q19" s="555">
        <v>453912.66800000001</v>
      </c>
      <c r="R19" s="555">
        <v>363526.15</v>
      </c>
      <c r="S19" s="556">
        <v>80.087244888261196</v>
      </c>
      <c r="T19" s="562"/>
      <c r="U19" s="565">
        <v>1626577</v>
      </c>
      <c r="V19" s="566">
        <v>5712.0394011977796</v>
      </c>
      <c r="W19" s="565">
        <v>117492</v>
      </c>
      <c r="X19" s="565">
        <v>31502</v>
      </c>
      <c r="Y19" s="566">
        <v>412.59585825050368</v>
      </c>
      <c r="Z19" s="566">
        <v>3.7296679575899945</v>
      </c>
      <c r="AA19" s="567">
        <v>457260.05900000001</v>
      </c>
      <c r="AB19" s="567">
        <v>0</v>
      </c>
      <c r="AC19" s="567">
        <v>0</v>
      </c>
      <c r="AD19" s="567">
        <v>0</v>
      </c>
      <c r="AE19" s="567">
        <v>3838.855</v>
      </c>
      <c r="AF19" s="567" t="s">
        <v>434</v>
      </c>
      <c r="AG19" s="567">
        <v>461098.91399999999</v>
      </c>
      <c r="AH19" s="567">
        <v>39625.616000000002</v>
      </c>
      <c r="AI19" s="567">
        <v>314054.83600000001</v>
      </c>
      <c r="AJ19" s="567">
        <v>0</v>
      </c>
      <c r="AK19" s="567">
        <v>0</v>
      </c>
      <c r="AL19" s="567">
        <v>0</v>
      </c>
      <c r="AM19" s="567">
        <v>0</v>
      </c>
      <c r="AN19" s="567">
        <v>0</v>
      </c>
      <c r="AO19" s="567">
        <v>353680.45199999999</v>
      </c>
      <c r="AP19" s="567">
        <v>0</v>
      </c>
      <c r="AQ19" s="567">
        <v>353680.45199999999</v>
      </c>
      <c r="AR19" s="563" t="s">
        <v>434</v>
      </c>
      <c r="AS19" s="567">
        <v>29484.668000000001</v>
      </c>
      <c r="AT19" s="567">
        <v>43064.898999999998</v>
      </c>
      <c r="AU19" s="567">
        <v>0</v>
      </c>
      <c r="AV19" s="567" t="s">
        <v>434</v>
      </c>
      <c r="AW19" s="567">
        <v>426230.01899999997</v>
      </c>
      <c r="AX19" s="567">
        <v>34868.894999999997</v>
      </c>
      <c r="AY19" s="571" t="s">
        <v>430</v>
      </c>
      <c r="AZ19" s="571" t="s">
        <v>433</v>
      </c>
      <c r="BA19" s="563"/>
      <c r="BB19" s="563"/>
      <c r="BC19" s="221" t="s">
        <v>552</v>
      </c>
      <c r="BD19" s="591">
        <v>2.0667683684983559E-2</v>
      </c>
      <c r="BE19" s="653">
        <v>-6.0043134942189668E-3</v>
      </c>
      <c r="BF19" s="559" t="s">
        <v>572</v>
      </c>
      <c r="BG19" s="613" t="s">
        <v>572</v>
      </c>
    </row>
    <row r="20" spans="1:59">
      <c r="A20" s="532" t="s">
        <v>85</v>
      </c>
      <c r="B20" s="532" t="s">
        <v>217</v>
      </c>
      <c r="C20" s="536" t="s">
        <v>20</v>
      </c>
      <c r="D20" s="536">
        <v>17</v>
      </c>
      <c r="E20" s="535" t="s">
        <v>217</v>
      </c>
      <c r="F20" s="532">
        <v>2013</v>
      </c>
      <c r="G20" s="534" t="s">
        <v>567</v>
      </c>
      <c r="H20" s="551">
        <v>20155.577000000001</v>
      </c>
      <c r="I20" s="555">
        <v>192462.28200000001</v>
      </c>
      <c r="J20" s="552">
        <v>1.1138485605080555</v>
      </c>
      <c r="K20" s="552">
        <v>410.94820479999998</v>
      </c>
      <c r="L20" s="555">
        <v>1809543.7490000001</v>
      </c>
      <c r="M20" s="553">
        <v>263322</v>
      </c>
      <c r="N20" s="553">
        <v>3220655</v>
      </c>
      <c r="O20" s="554">
        <v>414.99692888558383</v>
      </c>
      <c r="P20" s="555">
        <v>1336561.9339999999</v>
      </c>
      <c r="Q20" s="555">
        <v>1336561.9339999999</v>
      </c>
      <c r="R20" s="555">
        <v>1136627.4310000001</v>
      </c>
      <c r="S20" s="556">
        <v>85.041134427519921</v>
      </c>
      <c r="T20" s="562"/>
      <c r="U20" s="565">
        <v>1277708</v>
      </c>
      <c r="V20" s="566">
        <v>4760.6763220525017</v>
      </c>
      <c r="W20" s="565">
        <v>145554</v>
      </c>
      <c r="X20" s="565">
        <v>35018</v>
      </c>
      <c r="Y20" s="566">
        <v>542.32694902123944</v>
      </c>
      <c r="Z20" s="566">
        <v>4.1565480609972019</v>
      </c>
      <c r="AA20" s="567">
        <v>1562106.97</v>
      </c>
      <c r="AB20" s="567">
        <v>0</v>
      </c>
      <c r="AC20" s="567">
        <v>0</v>
      </c>
      <c r="AD20" s="567">
        <v>0</v>
      </c>
      <c r="AE20" s="567">
        <v>-27518.252</v>
      </c>
      <c r="AF20" s="567" t="s">
        <v>434</v>
      </c>
      <c r="AG20" s="567">
        <v>1534588.7180000001</v>
      </c>
      <c r="AH20" s="567">
        <v>607562.96799999999</v>
      </c>
      <c r="AI20" s="567">
        <v>503515.321</v>
      </c>
      <c r="AJ20" s="567">
        <v>13745.462</v>
      </c>
      <c r="AK20" s="567">
        <v>73324.262000000002</v>
      </c>
      <c r="AL20" s="567">
        <v>164023.008</v>
      </c>
      <c r="AM20" s="567">
        <v>0</v>
      </c>
      <c r="AN20" s="567">
        <v>11767.615</v>
      </c>
      <c r="AO20" s="567">
        <v>1373938.6359999999</v>
      </c>
      <c r="AP20" s="567">
        <v>1932.0540000000001</v>
      </c>
      <c r="AQ20" s="567">
        <v>1372006.5819999999</v>
      </c>
      <c r="AR20" s="563" t="s">
        <v>434</v>
      </c>
      <c r="AS20" s="567">
        <v>32536.571</v>
      </c>
      <c r="AT20" s="567">
        <v>82210.308000000005</v>
      </c>
      <c r="AU20" s="567">
        <v>0</v>
      </c>
      <c r="AV20" s="567" t="s">
        <v>434</v>
      </c>
      <c r="AW20" s="567">
        <v>1486753.4609999999</v>
      </c>
      <c r="AX20" s="567">
        <v>47835.256999999998</v>
      </c>
      <c r="AY20" s="571" t="s">
        <v>430</v>
      </c>
      <c r="AZ20" s="571" t="s">
        <v>431</v>
      </c>
      <c r="BA20" s="563"/>
      <c r="BB20" s="563"/>
      <c r="BC20" s="221" t="s">
        <v>552</v>
      </c>
      <c r="BD20" s="591">
        <v>0.10635956279385871</v>
      </c>
      <c r="BE20" s="653">
        <v>4.3229092930942029E-2</v>
      </c>
      <c r="BF20" s="559" t="s">
        <v>574</v>
      </c>
      <c r="BG20" s="613" t="s">
        <v>574</v>
      </c>
    </row>
    <row r="21" spans="1:59">
      <c r="A21" s="532" t="s">
        <v>373</v>
      </c>
      <c r="B21" s="532" t="s">
        <v>419</v>
      </c>
      <c r="C21" s="532">
        <v>2</v>
      </c>
      <c r="D21" s="532">
        <v>18</v>
      </c>
      <c r="E21" s="535" t="s">
        <v>207</v>
      </c>
      <c r="F21" s="532">
        <v>2013</v>
      </c>
      <c r="G21" s="534" t="s">
        <v>469</v>
      </c>
      <c r="H21" s="551">
        <v>4858.8999999999996</v>
      </c>
      <c r="I21" s="551">
        <v>56434.987999999998</v>
      </c>
      <c r="J21" s="568">
        <v>0.85248729744538021</v>
      </c>
      <c r="K21" s="568">
        <v>317.54532160000002</v>
      </c>
      <c r="L21" s="551">
        <v>569967.43700000003</v>
      </c>
      <c r="M21" s="557">
        <v>274706</v>
      </c>
      <c r="N21" s="557">
        <v>3178373</v>
      </c>
      <c r="O21" s="558">
        <v>179.4083491773936</v>
      </c>
      <c r="P21" s="551">
        <v>570226.65300000005</v>
      </c>
      <c r="Q21" s="551">
        <v>570226.65300000005</v>
      </c>
      <c r="R21" s="551">
        <v>486634.16499999998</v>
      </c>
      <c r="S21" s="569">
        <v>85.340480393153413</v>
      </c>
      <c r="T21" s="564"/>
      <c r="U21" s="560">
        <v>1427158</v>
      </c>
      <c r="V21" s="561">
        <v>5388.2587097234973</v>
      </c>
      <c r="W21" s="560">
        <v>95677</v>
      </c>
      <c r="X21" s="560">
        <v>21168</v>
      </c>
      <c r="Y21" s="561">
        <v>361.23010106114037</v>
      </c>
      <c r="Z21" s="561">
        <v>4.5198885109599392</v>
      </c>
      <c r="AA21" s="567">
        <v>779896.20600000001</v>
      </c>
      <c r="AB21" s="567">
        <v>0</v>
      </c>
      <c r="AC21" s="567">
        <v>0</v>
      </c>
      <c r="AD21" s="567">
        <v>0</v>
      </c>
      <c r="AE21" s="567">
        <v>0</v>
      </c>
      <c r="AF21" s="567" t="s">
        <v>434</v>
      </c>
      <c r="AG21" s="567">
        <v>779896.20600000001</v>
      </c>
      <c r="AH21" s="567">
        <v>423320.533</v>
      </c>
      <c r="AI21" s="567">
        <v>39465.976000000002</v>
      </c>
      <c r="AJ21" s="567">
        <v>0</v>
      </c>
      <c r="AK21" s="567">
        <v>49796.370999999999</v>
      </c>
      <c r="AL21" s="567">
        <v>99942.264999999999</v>
      </c>
      <c r="AM21" s="567">
        <v>0</v>
      </c>
      <c r="AN21" s="567">
        <v>0</v>
      </c>
      <c r="AO21" s="567">
        <v>612525.14500000002</v>
      </c>
      <c r="AP21" s="567">
        <v>6094.5439999999999</v>
      </c>
      <c r="AQ21" s="567">
        <v>606430.60100000002</v>
      </c>
      <c r="AR21" s="563" t="s">
        <v>434</v>
      </c>
      <c r="AS21" s="567">
        <v>23357.048999999999</v>
      </c>
      <c r="AT21" s="567">
        <v>130166.34699999999</v>
      </c>
      <c r="AU21" s="567">
        <v>0</v>
      </c>
      <c r="AV21" s="567" t="s">
        <v>434</v>
      </c>
      <c r="AW21" s="567">
        <v>759953.99699999997</v>
      </c>
      <c r="AX21" s="567">
        <v>19942.208999999999</v>
      </c>
      <c r="AY21" s="571" t="s">
        <v>430</v>
      </c>
      <c r="AZ21" s="571" t="s">
        <v>433</v>
      </c>
      <c r="BA21" s="563"/>
      <c r="BB21" s="563"/>
      <c r="BC21" s="221" t="s">
        <v>552</v>
      </c>
      <c r="BD21" s="591">
        <v>9.901440737920611E-2</v>
      </c>
      <c r="BE21" s="653">
        <v>8.5248729744538017E-3</v>
      </c>
      <c r="BF21" s="559" t="s">
        <v>573</v>
      </c>
      <c r="BG21" s="613" t="s">
        <v>573</v>
      </c>
    </row>
    <row r="22" spans="1:59">
      <c r="A22" s="532" t="s">
        <v>87</v>
      </c>
      <c r="B22" s="532" t="s">
        <v>423</v>
      </c>
      <c r="C22" s="532">
        <v>7</v>
      </c>
      <c r="D22" s="532">
        <v>19</v>
      </c>
      <c r="E22" s="535" t="s">
        <v>266</v>
      </c>
      <c r="F22" s="532">
        <v>2013</v>
      </c>
      <c r="G22" s="534" t="s">
        <v>469</v>
      </c>
      <c r="H22" s="551">
        <v>9708.1479999999992</v>
      </c>
      <c r="I22" s="555">
        <v>43150.023999999998</v>
      </c>
      <c r="J22" s="552">
        <v>1.1438831814738051</v>
      </c>
      <c r="K22" s="552">
        <v>259.66649619999998</v>
      </c>
      <c r="L22" s="555">
        <v>848701</v>
      </c>
      <c r="M22" s="553">
        <v>282109</v>
      </c>
      <c r="N22" s="553">
        <v>3174397</v>
      </c>
      <c r="O22" s="554">
        <v>266.83145271369648</v>
      </c>
      <c r="P22" s="555">
        <v>847028.96299999999</v>
      </c>
      <c r="Q22" s="555">
        <v>847028.96299999999</v>
      </c>
      <c r="R22" s="555">
        <v>776457.33700000006</v>
      </c>
      <c r="S22" s="556">
        <v>91.668333778097747</v>
      </c>
      <c r="T22" s="562"/>
      <c r="U22" s="565">
        <v>2091639</v>
      </c>
      <c r="V22" s="566">
        <v>7906.9089342007319</v>
      </c>
      <c r="W22" s="565">
        <v>145910</v>
      </c>
      <c r="X22" s="565">
        <v>27834</v>
      </c>
      <c r="Y22" s="566">
        <v>551.57562207877595</v>
      </c>
      <c r="Z22" s="566">
        <v>5.2421498886254225</v>
      </c>
      <c r="AA22" s="567">
        <v>2745311.3939999999</v>
      </c>
      <c r="AB22" s="567">
        <v>0</v>
      </c>
      <c r="AC22" s="567">
        <v>0</v>
      </c>
      <c r="AD22" s="567">
        <v>0</v>
      </c>
      <c r="AE22" s="567">
        <v>0</v>
      </c>
      <c r="AF22" s="567" t="s">
        <v>434</v>
      </c>
      <c r="AG22" s="567">
        <v>2745311.3939999999</v>
      </c>
      <c r="AH22" s="567">
        <v>2672869.2220000001</v>
      </c>
      <c r="AI22" s="567">
        <v>0</v>
      </c>
      <c r="AJ22" s="567">
        <v>0</v>
      </c>
      <c r="AK22" s="567">
        <v>0</v>
      </c>
      <c r="AL22" s="567">
        <v>0</v>
      </c>
      <c r="AM22" s="567">
        <v>0</v>
      </c>
      <c r="AN22" s="567">
        <v>0</v>
      </c>
      <c r="AO22" s="567">
        <v>2672869.2220000001</v>
      </c>
      <c r="AP22" s="567">
        <v>99623.567999999999</v>
      </c>
      <c r="AQ22" s="567">
        <v>2573245.6540000001</v>
      </c>
      <c r="AR22" s="563" t="s">
        <v>434</v>
      </c>
      <c r="AS22" s="567">
        <v>0</v>
      </c>
      <c r="AT22" s="567">
        <v>172560.70199999999</v>
      </c>
      <c r="AU22" s="567">
        <v>0</v>
      </c>
      <c r="AV22" s="567" t="s">
        <v>434</v>
      </c>
      <c r="AW22" s="567">
        <v>2745806.3560000001</v>
      </c>
      <c r="AX22" s="567">
        <v>-494.96199999999999</v>
      </c>
      <c r="AY22" s="571" t="s">
        <v>430</v>
      </c>
      <c r="AZ22" s="571" t="s">
        <v>431</v>
      </c>
      <c r="BA22" s="563"/>
      <c r="BB22" s="563"/>
      <c r="BC22" s="221" t="s">
        <v>552</v>
      </c>
      <c r="BD22" s="591">
        <v>5.0842433318683489E-2</v>
      </c>
      <c r="BE22" s="653">
        <v>1.1438831814738051E-2</v>
      </c>
      <c r="BF22" s="559" t="s">
        <v>573</v>
      </c>
      <c r="BG22" s="613" t="s">
        <v>573</v>
      </c>
    </row>
    <row r="23" spans="1:59">
      <c r="A23" s="532" t="s">
        <v>92</v>
      </c>
      <c r="B23" s="532" t="s">
        <v>420</v>
      </c>
      <c r="C23" s="532">
        <v>3</v>
      </c>
      <c r="D23" s="532">
        <v>20</v>
      </c>
      <c r="E23" s="535" t="s">
        <v>226</v>
      </c>
      <c r="F23" s="532">
        <v>2013</v>
      </c>
      <c r="G23" s="534" t="s">
        <v>567</v>
      </c>
      <c r="H23" s="551">
        <v>70344.209000000003</v>
      </c>
      <c r="I23" s="551">
        <v>71240.413</v>
      </c>
      <c r="J23" s="568">
        <v>4.2410484869016241</v>
      </c>
      <c r="K23" s="568">
        <v>446.08856809999997</v>
      </c>
      <c r="L23" s="551">
        <v>1658651.3740000001</v>
      </c>
      <c r="M23" s="557">
        <v>255303</v>
      </c>
      <c r="N23" s="557">
        <v>3027498</v>
      </c>
      <c r="O23" s="558">
        <v>294.45060706893946</v>
      </c>
      <c r="P23" s="551">
        <v>891448.62399999995</v>
      </c>
      <c r="Q23" s="551">
        <v>891448.62399999995</v>
      </c>
      <c r="R23" s="551">
        <v>829025.93</v>
      </c>
      <c r="S23" s="569">
        <v>92.997611716544654</v>
      </c>
      <c r="T23" s="562"/>
      <c r="U23" s="560">
        <v>1771327</v>
      </c>
      <c r="V23" s="561">
        <v>7020.9539362206024</v>
      </c>
      <c r="W23" s="560">
        <v>146873</v>
      </c>
      <c r="X23" s="560">
        <v>34964</v>
      </c>
      <c r="Y23" s="561">
        <v>582.15595848453074</v>
      </c>
      <c r="Z23" s="561">
        <v>4.2006921404873587</v>
      </c>
      <c r="AA23" s="567">
        <v>2212757.1159999999</v>
      </c>
      <c r="AB23" s="567">
        <v>-23194.59</v>
      </c>
      <c r="AC23" s="567">
        <v>0</v>
      </c>
      <c r="AD23" s="567">
        <v>0</v>
      </c>
      <c r="AE23" s="567">
        <v>0</v>
      </c>
      <c r="AF23" s="567" t="s">
        <v>434</v>
      </c>
      <c r="AG23" s="567">
        <v>2189562.5260000001</v>
      </c>
      <c r="AH23" s="567">
        <v>638071.86600000004</v>
      </c>
      <c r="AI23" s="567">
        <v>37604.936999999998</v>
      </c>
      <c r="AJ23" s="567">
        <v>0</v>
      </c>
      <c r="AK23" s="567">
        <v>334900.288</v>
      </c>
      <c r="AL23" s="567">
        <v>411873.56099999999</v>
      </c>
      <c r="AM23" s="567">
        <v>382331.89500000002</v>
      </c>
      <c r="AN23" s="567">
        <v>1947.479</v>
      </c>
      <c r="AO23" s="567">
        <v>1806730.0260000001</v>
      </c>
      <c r="AP23" s="567">
        <v>765.79899999999998</v>
      </c>
      <c r="AQ23" s="567">
        <v>1805964.227</v>
      </c>
      <c r="AR23" s="563" t="s">
        <v>434</v>
      </c>
      <c r="AS23" s="567">
        <v>152545.016</v>
      </c>
      <c r="AT23" s="567">
        <v>148210.01</v>
      </c>
      <c r="AU23" s="567">
        <v>0</v>
      </c>
      <c r="AV23" s="567" t="s">
        <v>434</v>
      </c>
      <c r="AW23" s="567">
        <v>2106719.253</v>
      </c>
      <c r="AX23" s="567">
        <v>82843.273000000001</v>
      </c>
      <c r="AY23" s="571" t="s">
        <v>430</v>
      </c>
      <c r="AZ23" s="571" t="s">
        <v>433</v>
      </c>
      <c r="BA23" s="563"/>
      <c r="BB23" s="563"/>
      <c r="BC23" s="221" t="s">
        <v>552</v>
      </c>
      <c r="BD23" s="591">
        <v>4.2950805767095451E-2</v>
      </c>
      <c r="BE23" s="653">
        <v>2.7073077067457957E-2</v>
      </c>
      <c r="BF23" s="559" t="s">
        <v>574</v>
      </c>
      <c r="BG23" s="613" t="s">
        <v>574</v>
      </c>
    </row>
    <row r="24" spans="1:59">
      <c r="A24" s="536" t="s">
        <v>94</v>
      </c>
      <c r="B24" s="536" t="s">
        <v>147</v>
      </c>
      <c r="C24" s="536">
        <v>26</v>
      </c>
      <c r="D24" s="536">
        <v>21</v>
      </c>
      <c r="E24" s="535" t="s">
        <v>147</v>
      </c>
      <c r="F24" s="532">
        <v>2013</v>
      </c>
      <c r="G24" s="534" t="s">
        <v>567</v>
      </c>
      <c r="H24" s="551">
        <v>18443.4781</v>
      </c>
      <c r="I24" s="555">
        <v>89907.873999999996</v>
      </c>
      <c r="J24" s="552">
        <v>2.11328239690376</v>
      </c>
      <c r="K24" s="552">
        <v>475.8938655</v>
      </c>
      <c r="L24" s="555">
        <v>872740.81906999997</v>
      </c>
      <c r="M24" s="553">
        <v>238339</v>
      </c>
      <c r="N24" s="553">
        <v>3004890</v>
      </c>
      <c r="O24" s="554">
        <v>241.24886069040798</v>
      </c>
      <c r="P24" s="555">
        <v>724926.28899999999</v>
      </c>
      <c r="Q24" s="555">
        <v>724926.28899999999</v>
      </c>
      <c r="R24" s="555">
        <v>610026.01899999997</v>
      </c>
      <c r="S24" s="556">
        <v>84.150075429255125</v>
      </c>
      <c r="T24" s="562"/>
      <c r="U24" s="565">
        <v>841686</v>
      </c>
      <c r="V24" s="566">
        <v>3361.2651378253445</v>
      </c>
      <c r="W24" s="565">
        <v>53514</v>
      </c>
      <c r="X24" s="565">
        <v>13634</v>
      </c>
      <c r="Y24" s="566">
        <v>213.70765651987261</v>
      </c>
      <c r="Z24" s="566">
        <v>3.9250403403256566</v>
      </c>
      <c r="AA24" s="567">
        <v>683728.33</v>
      </c>
      <c r="AB24" s="567">
        <v>0</v>
      </c>
      <c r="AC24" s="567">
        <v>0</v>
      </c>
      <c r="AD24" s="567">
        <v>0</v>
      </c>
      <c r="AE24" s="567">
        <v>0</v>
      </c>
      <c r="AF24" s="567" t="s">
        <v>434</v>
      </c>
      <c r="AG24" s="567">
        <v>683728.33</v>
      </c>
      <c r="AH24" s="567">
        <v>291214.64500000002</v>
      </c>
      <c r="AI24" s="567">
        <v>185827.42300000001</v>
      </c>
      <c r="AJ24" s="567">
        <v>0</v>
      </c>
      <c r="AK24" s="567">
        <v>26208.737000000001</v>
      </c>
      <c r="AL24" s="567">
        <v>110334.087</v>
      </c>
      <c r="AM24" s="567">
        <v>33533.481</v>
      </c>
      <c r="AN24" s="567">
        <v>0</v>
      </c>
      <c r="AO24" s="567">
        <v>647118.37300000002</v>
      </c>
      <c r="AP24" s="567">
        <v>1482.4159999999999</v>
      </c>
      <c r="AQ24" s="567">
        <v>645635.95700000005</v>
      </c>
      <c r="AR24" s="563" t="s">
        <v>434</v>
      </c>
      <c r="AS24" s="567">
        <v>419.36099999999999</v>
      </c>
      <c r="AT24" s="567">
        <v>50992.535000000003</v>
      </c>
      <c r="AU24" s="567">
        <v>0</v>
      </c>
      <c r="AV24" s="567" t="s">
        <v>434</v>
      </c>
      <c r="AW24" s="567">
        <v>697047.853</v>
      </c>
      <c r="AX24" s="567">
        <v>-13319.522999999999</v>
      </c>
      <c r="AY24" s="571" t="s">
        <v>435</v>
      </c>
      <c r="AZ24" s="571" t="s">
        <v>431</v>
      </c>
      <c r="BA24" s="563"/>
      <c r="BB24" s="563"/>
      <c r="BC24" s="221" t="s">
        <v>555</v>
      </c>
      <c r="BD24" s="591">
        <v>0.1030178399307673</v>
      </c>
      <c r="BE24" s="653">
        <v>5.5481405776681481E-2</v>
      </c>
      <c r="BF24" s="559" t="s">
        <v>575</v>
      </c>
      <c r="BG24" s="613" t="s">
        <v>575</v>
      </c>
    </row>
    <row r="25" spans="1:59">
      <c r="A25" s="532" t="s">
        <v>82</v>
      </c>
      <c r="B25" s="532" t="s">
        <v>421</v>
      </c>
      <c r="C25" s="532">
        <v>4</v>
      </c>
      <c r="D25" s="532">
        <v>22</v>
      </c>
      <c r="E25" s="535" t="s">
        <v>254</v>
      </c>
      <c r="F25" s="532">
        <v>2013</v>
      </c>
      <c r="G25" s="534" t="s">
        <v>469</v>
      </c>
      <c r="H25" s="551">
        <v>34003.851999999999</v>
      </c>
      <c r="I25" s="555">
        <v>210797.02499999999</v>
      </c>
      <c r="J25" s="552">
        <v>2.7241455614245056</v>
      </c>
      <c r="K25" s="552">
        <v>389.75936289999999</v>
      </c>
      <c r="L25" s="555">
        <v>1248239.172</v>
      </c>
      <c r="M25" s="553">
        <v>254657</v>
      </c>
      <c r="N25" s="553">
        <v>3002315</v>
      </c>
      <c r="O25" s="554">
        <v>414.10250023731686</v>
      </c>
      <c r="P25" s="555">
        <v>1243266.148</v>
      </c>
      <c r="Q25" s="555">
        <v>1243266.148</v>
      </c>
      <c r="R25" s="555">
        <v>955773.17500000005</v>
      </c>
      <c r="S25" s="556">
        <v>76.875991237879333</v>
      </c>
      <c r="T25" s="562"/>
      <c r="U25" s="560">
        <v>1205852</v>
      </c>
      <c r="V25" s="561">
        <v>4819.6888068040826</v>
      </c>
      <c r="W25" s="560">
        <v>159141</v>
      </c>
      <c r="X25" s="560">
        <v>32170</v>
      </c>
      <c r="Y25" s="561">
        <v>636.07316354213333</v>
      </c>
      <c r="Z25" s="561">
        <v>4.9468759714019273</v>
      </c>
      <c r="AA25" s="567">
        <v>5322553.1239999998</v>
      </c>
      <c r="AB25" s="567">
        <v>0</v>
      </c>
      <c r="AC25" s="567">
        <v>0</v>
      </c>
      <c r="AD25" s="567">
        <v>0</v>
      </c>
      <c r="AE25" s="567">
        <v>4021.6610000000001</v>
      </c>
      <c r="AF25" s="567" t="s">
        <v>434</v>
      </c>
      <c r="AG25" s="567">
        <v>5326574.7850000001</v>
      </c>
      <c r="AH25" s="567">
        <v>2951628.4410000001</v>
      </c>
      <c r="AI25" s="567">
        <v>111370.863</v>
      </c>
      <c r="AJ25" s="567">
        <v>200934.04</v>
      </c>
      <c r="AK25" s="567">
        <v>357053.761</v>
      </c>
      <c r="AL25" s="567">
        <v>694502.21799999999</v>
      </c>
      <c r="AM25" s="567">
        <v>51725.921999999999</v>
      </c>
      <c r="AN25" s="567">
        <v>15423.22</v>
      </c>
      <c r="AO25" s="567">
        <v>4382638.4649999999</v>
      </c>
      <c r="AP25" s="567">
        <v>7372.6490000000003</v>
      </c>
      <c r="AQ25" s="567">
        <v>4375265.8159999996</v>
      </c>
      <c r="AR25" s="563" t="s">
        <v>434</v>
      </c>
      <c r="AS25" s="567">
        <v>151215.196</v>
      </c>
      <c r="AT25" s="567">
        <v>702440.18700000003</v>
      </c>
      <c r="AU25" s="567">
        <v>2234.5050000000001</v>
      </c>
      <c r="AV25" s="567" t="s">
        <v>434</v>
      </c>
      <c r="AW25" s="567">
        <v>5231155.7039999999</v>
      </c>
      <c r="AX25" s="567">
        <v>95419.081000000006</v>
      </c>
      <c r="AY25" s="571" t="s">
        <v>430</v>
      </c>
      <c r="AZ25" s="571" t="s">
        <v>433</v>
      </c>
      <c r="BA25" s="563"/>
      <c r="BB25" s="563"/>
      <c r="BC25" s="221" t="s">
        <v>552</v>
      </c>
      <c r="BD25" s="591">
        <v>0.1688755085792164</v>
      </c>
      <c r="BE25" s="653">
        <v>2.7241455614245055E-2</v>
      </c>
      <c r="BF25" s="559" t="s">
        <v>574</v>
      </c>
      <c r="BG25" s="613" t="s">
        <v>574</v>
      </c>
    </row>
    <row r="26" spans="1:59">
      <c r="A26" s="532" t="s">
        <v>71</v>
      </c>
      <c r="B26" s="532" t="s">
        <v>424</v>
      </c>
      <c r="C26" s="532">
        <v>5</v>
      </c>
      <c r="D26" s="532">
        <v>23</v>
      </c>
      <c r="E26" s="535" t="s">
        <v>313</v>
      </c>
      <c r="F26" s="532">
        <v>2013</v>
      </c>
      <c r="G26" s="534" t="s">
        <v>469</v>
      </c>
      <c r="H26" s="551">
        <v>32867.302000000003</v>
      </c>
      <c r="I26" s="555">
        <v>46133.875</v>
      </c>
      <c r="J26" s="552">
        <v>4.9102907886568525</v>
      </c>
      <c r="K26" s="552">
        <v>549.91320399999995</v>
      </c>
      <c r="L26" s="555">
        <v>669355.51100000006</v>
      </c>
      <c r="M26" s="553">
        <v>242763</v>
      </c>
      <c r="N26" s="553">
        <v>2984692</v>
      </c>
      <c r="O26" s="554">
        <v>227.34494748536866</v>
      </c>
      <c r="P26" s="555">
        <v>678554.64599999995</v>
      </c>
      <c r="Q26" s="555">
        <v>678554.64599999995</v>
      </c>
      <c r="R26" s="555">
        <v>569915.21100000001</v>
      </c>
      <c r="S26" s="556">
        <v>83.989582026972087</v>
      </c>
      <c r="T26" s="562"/>
      <c r="U26" s="565">
        <v>1053246</v>
      </c>
      <c r="V26" s="566">
        <v>4234.5917099653834</v>
      </c>
      <c r="W26" s="565">
        <v>96808</v>
      </c>
      <c r="X26" s="565">
        <v>28447</v>
      </c>
      <c r="Y26" s="566">
        <v>389.21804996964511</v>
      </c>
      <c r="Z26" s="566">
        <v>3.4031005026892114</v>
      </c>
      <c r="AA26" s="567">
        <v>1086777.8019999999</v>
      </c>
      <c r="AB26" s="567">
        <v>0</v>
      </c>
      <c r="AC26" s="567">
        <v>0</v>
      </c>
      <c r="AD26" s="567">
        <v>0</v>
      </c>
      <c r="AE26" s="567">
        <v>24.224</v>
      </c>
      <c r="AF26" s="567" t="s">
        <v>434</v>
      </c>
      <c r="AG26" s="567">
        <v>1086802.0260000001</v>
      </c>
      <c r="AH26" s="567">
        <v>730859.22</v>
      </c>
      <c r="AI26" s="567">
        <v>0</v>
      </c>
      <c r="AJ26" s="567">
        <v>0</v>
      </c>
      <c r="AK26" s="567">
        <v>0</v>
      </c>
      <c r="AL26" s="567">
        <v>151706.924</v>
      </c>
      <c r="AM26" s="567">
        <v>0</v>
      </c>
      <c r="AN26" s="567">
        <v>8257.1090000000004</v>
      </c>
      <c r="AO26" s="567">
        <v>890823.25300000003</v>
      </c>
      <c r="AP26" s="567">
        <v>-13705.272000000001</v>
      </c>
      <c r="AQ26" s="567">
        <v>904528.52500000002</v>
      </c>
      <c r="AR26" s="563" t="s">
        <v>434</v>
      </c>
      <c r="AS26" s="567">
        <v>25801.922999999999</v>
      </c>
      <c r="AT26" s="567">
        <v>36925.921999999999</v>
      </c>
      <c r="AU26" s="567">
        <v>0</v>
      </c>
      <c r="AV26" s="567" t="s">
        <v>434</v>
      </c>
      <c r="AW26" s="567">
        <v>967256.37</v>
      </c>
      <c r="AX26" s="567">
        <v>119545.656</v>
      </c>
      <c r="AY26" s="571" t="s">
        <v>430</v>
      </c>
      <c r="AZ26" s="571" t="s">
        <v>433</v>
      </c>
      <c r="BA26" s="563"/>
      <c r="BB26" s="563"/>
      <c r="BC26" s="221" t="s">
        <v>555</v>
      </c>
      <c r="BD26" s="591">
        <v>6.8922828365269098E-2</v>
      </c>
      <c r="BE26" s="653">
        <v>4.9102907886568528E-2</v>
      </c>
      <c r="BF26" s="559" t="s">
        <v>574</v>
      </c>
      <c r="BG26" s="613" t="s">
        <v>574</v>
      </c>
    </row>
    <row r="27" spans="1:59">
      <c r="A27" s="536" t="s">
        <v>85</v>
      </c>
      <c r="B27" s="532" t="s">
        <v>329</v>
      </c>
      <c r="C27" s="536">
        <v>18</v>
      </c>
      <c r="D27" s="532">
        <v>24</v>
      </c>
      <c r="E27" s="535" t="s">
        <v>329</v>
      </c>
      <c r="F27" s="532">
        <v>2013</v>
      </c>
      <c r="G27" s="534" t="s">
        <v>567</v>
      </c>
      <c r="H27" s="551">
        <v>29961.149000000001</v>
      </c>
      <c r="I27" s="555">
        <v>159385.495</v>
      </c>
      <c r="J27" s="552">
        <v>1.9288447911850199</v>
      </c>
      <c r="K27" s="552">
        <v>331.82252629999999</v>
      </c>
      <c r="L27" s="555">
        <v>1553320.8859999999</v>
      </c>
      <c r="M27" s="553">
        <v>252708</v>
      </c>
      <c r="N27" s="553">
        <v>2971236</v>
      </c>
      <c r="O27" s="554">
        <v>425.2239886027229</v>
      </c>
      <c r="P27" s="555">
        <v>1264831.743</v>
      </c>
      <c r="Q27" s="555">
        <v>1263440.8230000001</v>
      </c>
      <c r="R27" s="555">
        <v>1133393.6089999999</v>
      </c>
      <c r="S27" s="556">
        <v>89.706901056813479</v>
      </c>
      <c r="T27" s="562"/>
      <c r="U27" s="565">
        <v>2032982</v>
      </c>
      <c r="V27" s="566">
        <v>8210.6517287754996</v>
      </c>
      <c r="W27" s="565">
        <v>174495</v>
      </c>
      <c r="X27" s="565">
        <v>33426</v>
      </c>
      <c r="Y27" s="566">
        <v>704.73701853370108</v>
      </c>
      <c r="Z27" s="566">
        <v>5.2203374618560403</v>
      </c>
      <c r="AA27" s="567">
        <v>1677051.246</v>
      </c>
      <c r="AB27" s="567">
        <v>-4000</v>
      </c>
      <c r="AC27" s="567">
        <v>0</v>
      </c>
      <c r="AD27" s="567">
        <v>0</v>
      </c>
      <c r="AE27" s="567">
        <v>0</v>
      </c>
      <c r="AF27" s="567" t="s">
        <v>434</v>
      </c>
      <c r="AG27" s="567">
        <v>1673051.246</v>
      </c>
      <c r="AH27" s="567">
        <v>1037825.2610000001</v>
      </c>
      <c r="AI27" s="567">
        <v>288464.39199999999</v>
      </c>
      <c r="AJ27" s="567">
        <v>0</v>
      </c>
      <c r="AK27" s="567">
        <v>41012.68</v>
      </c>
      <c r="AL27" s="567">
        <v>0</v>
      </c>
      <c r="AM27" s="567">
        <v>0</v>
      </c>
      <c r="AN27" s="567">
        <v>1401.931</v>
      </c>
      <c r="AO27" s="567">
        <v>1368704.264</v>
      </c>
      <c r="AP27" s="567">
        <v>0</v>
      </c>
      <c r="AQ27" s="567">
        <v>1368704.264</v>
      </c>
      <c r="AR27" s="563" t="s">
        <v>434</v>
      </c>
      <c r="AS27" s="567">
        <v>93906.058999999994</v>
      </c>
      <c r="AT27" s="567">
        <v>152576.85500000001</v>
      </c>
      <c r="AU27" s="567">
        <v>0</v>
      </c>
      <c r="AV27" s="567" t="s">
        <v>434</v>
      </c>
      <c r="AW27" s="567">
        <v>1615187.1780000001</v>
      </c>
      <c r="AX27" s="567">
        <v>57864.067999999999</v>
      </c>
      <c r="AY27" s="571" t="s">
        <v>435</v>
      </c>
      <c r="AZ27" s="571" t="s">
        <v>431</v>
      </c>
      <c r="BA27" s="563"/>
      <c r="BB27" s="563"/>
      <c r="BC27" s="221" t="s">
        <v>552</v>
      </c>
      <c r="BD27" s="591">
        <v>0.10260951000951132</v>
      </c>
      <c r="BE27" s="653">
        <v>3.2147942235385973E-4</v>
      </c>
      <c r="BF27" s="559" t="s">
        <v>573</v>
      </c>
      <c r="BG27" s="613" t="s">
        <v>573</v>
      </c>
    </row>
    <row r="28" spans="1:59">
      <c r="A28" s="532" t="s">
        <v>64</v>
      </c>
      <c r="B28" s="532" t="s">
        <v>424</v>
      </c>
      <c r="C28" s="532">
        <v>5</v>
      </c>
      <c r="D28" s="532">
        <v>25</v>
      </c>
      <c r="E28" s="535" t="s">
        <v>209</v>
      </c>
      <c r="F28" s="532">
        <v>2013</v>
      </c>
      <c r="G28" s="534" t="s">
        <v>567</v>
      </c>
      <c r="H28" s="551">
        <v>117856.607</v>
      </c>
      <c r="I28" s="555">
        <v>271599.76</v>
      </c>
      <c r="J28" s="552">
        <v>3.4249217036536992</v>
      </c>
      <c r="K28" s="552">
        <v>501.63278400000002</v>
      </c>
      <c r="L28" s="555">
        <v>3441147.483</v>
      </c>
      <c r="M28" s="553">
        <v>256251</v>
      </c>
      <c r="N28" s="553">
        <v>2904645</v>
      </c>
      <c r="O28" s="554">
        <v>365.29768319364325</v>
      </c>
      <c r="P28" s="555">
        <v>1061060.0889999999</v>
      </c>
      <c r="Q28" s="555">
        <v>1061060.0889999999</v>
      </c>
      <c r="R28" s="555">
        <v>890823.25300000003</v>
      </c>
      <c r="S28" s="556">
        <v>83.955966512656204</v>
      </c>
      <c r="T28" s="562"/>
      <c r="U28" s="565">
        <v>4110571</v>
      </c>
      <c r="V28" s="566">
        <v>16982.058736954084</v>
      </c>
      <c r="W28" s="565">
        <v>118963</v>
      </c>
      <c r="X28" s="565">
        <v>25441</v>
      </c>
      <c r="Y28" s="566">
        <v>491.47348471155681</v>
      </c>
      <c r="Z28" s="566">
        <v>4.6760347470618298</v>
      </c>
      <c r="AA28" s="567">
        <v>3900187.5580000002</v>
      </c>
      <c r="AB28" s="567">
        <v>-20848.11</v>
      </c>
      <c r="AC28" s="567">
        <v>0</v>
      </c>
      <c r="AD28" s="567">
        <v>0</v>
      </c>
      <c r="AE28" s="567">
        <v>3132.1860000000001</v>
      </c>
      <c r="AF28" s="567" t="s">
        <v>434</v>
      </c>
      <c r="AG28" s="567">
        <v>3882471.6340000001</v>
      </c>
      <c r="AH28" s="567">
        <v>2588455.7629999998</v>
      </c>
      <c r="AI28" s="567">
        <v>35753.364000000001</v>
      </c>
      <c r="AJ28" s="567">
        <v>44531.239000000001</v>
      </c>
      <c r="AK28" s="567">
        <v>184766.973</v>
      </c>
      <c r="AL28" s="567">
        <v>442390.45699999999</v>
      </c>
      <c r="AM28" s="567">
        <v>7509.44</v>
      </c>
      <c r="AN28" s="567">
        <v>29601.025000000001</v>
      </c>
      <c r="AO28" s="567">
        <v>3333008.2609999999</v>
      </c>
      <c r="AP28" s="567">
        <v>23408.371999999999</v>
      </c>
      <c r="AQ28" s="567">
        <v>3309599.889</v>
      </c>
      <c r="AR28" s="563" t="s">
        <v>434</v>
      </c>
      <c r="AS28" s="567">
        <v>105575.97</v>
      </c>
      <c r="AT28" s="567">
        <v>234875.076</v>
      </c>
      <c r="AU28" s="567">
        <v>0</v>
      </c>
      <c r="AV28" s="567" t="s">
        <v>434</v>
      </c>
      <c r="AW28" s="567">
        <v>3650050.9339999999</v>
      </c>
      <c r="AX28" s="567">
        <v>232420.7</v>
      </c>
      <c r="AY28" s="571" t="s">
        <v>430</v>
      </c>
      <c r="AZ28" s="571" t="s">
        <v>433</v>
      </c>
      <c r="BA28" s="563"/>
      <c r="BB28" s="563"/>
      <c r="BC28" s="221" t="s">
        <v>552</v>
      </c>
      <c r="BD28" s="591">
        <v>7.8927090844481546E-2</v>
      </c>
      <c r="BE28" s="653">
        <v>8.1513244028956461E-2</v>
      </c>
      <c r="BF28" s="559" t="s">
        <v>576</v>
      </c>
      <c r="BG28" s="613" t="s">
        <v>576</v>
      </c>
    </row>
    <row r="29" spans="1:59">
      <c r="A29" s="532" t="s">
        <v>373</v>
      </c>
      <c r="B29" s="532" t="s">
        <v>420</v>
      </c>
      <c r="C29" s="532">
        <v>3</v>
      </c>
      <c r="D29" s="532">
        <v>26</v>
      </c>
      <c r="E29" s="535" t="s">
        <v>199</v>
      </c>
      <c r="F29" s="532">
        <v>2013</v>
      </c>
      <c r="G29" s="534" t="s">
        <v>567</v>
      </c>
      <c r="H29" s="551">
        <v>374416.23700000002</v>
      </c>
      <c r="I29" s="551">
        <v>271802.06400000001</v>
      </c>
      <c r="J29" s="568">
        <v>7.4755951067720732</v>
      </c>
      <c r="K29" s="568">
        <v>584.10839290000001</v>
      </c>
      <c r="L29" s="551">
        <v>5008514.1270000003</v>
      </c>
      <c r="M29" s="557">
        <v>237651</v>
      </c>
      <c r="N29" s="557">
        <v>2893117</v>
      </c>
      <c r="O29" s="558">
        <v>144.61016059841342</v>
      </c>
      <c r="P29" s="551">
        <v>422347.25900000002</v>
      </c>
      <c r="Q29" s="551">
        <v>418374.114</v>
      </c>
      <c r="R29" s="551">
        <v>363446.19500000001</v>
      </c>
      <c r="S29" s="569">
        <v>86.871100012655177</v>
      </c>
      <c r="T29" s="562"/>
      <c r="U29" s="560">
        <v>0</v>
      </c>
      <c r="V29" s="561">
        <v>0</v>
      </c>
      <c r="W29" s="560">
        <v>0</v>
      </c>
      <c r="X29" s="560">
        <v>0</v>
      </c>
      <c r="Y29" s="561">
        <v>0</v>
      </c>
      <c r="Z29" s="561" t="s">
        <v>434</v>
      </c>
      <c r="AA29" s="567">
        <v>436264.8</v>
      </c>
      <c r="AB29" s="567">
        <v>0</v>
      </c>
      <c r="AC29" s="567">
        <v>0</v>
      </c>
      <c r="AD29" s="567">
        <v>0</v>
      </c>
      <c r="AE29" s="567">
        <v>0</v>
      </c>
      <c r="AF29" s="567" t="s">
        <v>434</v>
      </c>
      <c r="AG29" s="567">
        <v>436264.8</v>
      </c>
      <c r="AH29" s="567">
        <v>245917.36499999999</v>
      </c>
      <c r="AI29" s="567">
        <v>9869.2520000000004</v>
      </c>
      <c r="AJ29" s="567">
        <v>0</v>
      </c>
      <c r="AK29" s="567">
        <v>61595.555999999997</v>
      </c>
      <c r="AL29" s="567">
        <v>61634.32</v>
      </c>
      <c r="AM29" s="567">
        <v>1265.0930000000001</v>
      </c>
      <c r="AN29" s="567">
        <v>28.349</v>
      </c>
      <c r="AO29" s="567">
        <v>380309.935</v>
      </c>
      <c r="AP29" s="567">
        <v>0</v>
      </c>
      <c r="AQ29" s="567">
        <v>380309.935</v>
      </c>
      <c r="AR29" s="563" t="s">
        <v>434</v>
      </c>
      <c r="AS29" s="567">
        <v>28880.446</v>
      </c>
      <c r="AT29" s="567">
        <v>17951.237000000001</v>
      </c>
      <c r="AU29" s="567">
        <v>0</v>
      </c>
      <c r="AV29" s="567" t="s">
        <v>434</v>
      </c>
      <c r="AW29" s="567">
        <v>427141.61800000002</v>
      </c>
      <c r="AX29" s="567">
        <v>9123.1820000000007</v>
      </c>
      <c r="AY29" s="571" t="s">
        <v>430</v>
      </c>
      <c r="AZ29" s="571" t="s">
        <v>433</v>
      </c>
      <c r="BA29" s="563"/>
      <c r="BB29" s="563"/>
      <c r="BC29" s="221" t="s">
        <v>555</v>
      </c>
      <c r="BD29" s="591">
        <v>5.4268003864612037E-2</v>
      </c>
      <c r="BE29" s="653">
        <v>7.702099600883619E-2</v>
      </c>
      <c r="BF29" s="559" t="s">
        <v>576</v>
      </c>
      <c r="BG29" s="613" t="s">
        <v>576</v>
      </c>
    </row>
    <row r="30" spans="1:59">
      <c r="A30" s="532" t="s">
        <v>57</v>
      </c>
      <c r="B30" s="532" t="s">
        <v>420</v>
      </c>
      <c r="C30" s="532">
        <v>3</v>
      </c>
      <c r="D30" s="532">
        <v>27</v>
      </c>
      <c r="E30" s="535" t="s">
        <v>198</v>
      </c>
      <c r="F30" s="532">
        <v>2013</v>
      </c>
      <c r="G30" s="534" t="s">
        <v>567</v>
      </c>
      <c r="H30" s="551">
        <v>25740.111000000001</v>
      </c>
      <c r="I30" s="551">
        <v>59063.523000000001</v>
      </c>
      <c r="J30" s="568">
        <v>3.2378568153611447</v>
      </c>
      <c r="K30" s="568">
        <v>443.2251923</v>
      </c>
      <c r="L30" s="551">
        <v>794973.72699999996</v>
      </c>
      <c r="M30" s="557">
        <v>244192</v>
      </c>
      <c r="N30" s="557">
        <v>2880438</v>
      </c>
      <c r="O30" s="558">
        <v>243.50915624637642</v>
      </c>
      <c r="P30" s="551">
        <v>701413.027</v>
      </c>
      <c r="Q30" s="551">
        <v>701413.027</v>
      </c>
      <c r="R30" s="551">
        <v>556273.25300000003</v>
      </c>
      <c r="S30" s="569">
        <v>79.307516625293587</v>
      </c>
      <c r="T30" s="562"/>
      <c r="U30" s="560">
        <v>1474546</v>
      </c>
      <c r="V30" s="561">
        <v>6143.0074176219032</v>
      </c>
      <c r="W30" s="560">
        <v>118855</v>
      </c>
      <c r="X30" s="560">
        <v>24771</v>
      </c>
      <c r="Y30" s="561">
        <v>495.15386201681827</v>
      </c>
      <c r="Z30" s="561">
        <v>4.7981510637438944</v>
      </c>
      <c r="AA30" s="567">
        <v>712237.95799999998</v>
      </c>
      <c r="AB30" s="567">
        <v>-6527.7309999999998</v>
      </c>
      <c r="AC30" s="567">
        <v>0</v>
      </c>
      <c r="AD30" s="567">
        <v>0</v>
      </c>
      <c r="AE30" s="567">
        <v>0</v>
      </c>
      <c r="AF30" s="567" t="s">
        <v>434</v>
      </c>
      <c r="AG30" s="567">
        <v>705710.22699999996</v>
      </c>
      <c r="AH30" s="567">
        <v>383707.62900000002</v>
      </c>
      <c r="AI30" s="567">
        <v>13963.941000000001</v>
      </c>
      <c r="AJ30" s="567">
        <v>0</v>
      </c>
      <c r="AK30" s="567">
        <v>126114.98</v>
      </c>
      <c r="AL30" s="567">
        <v>54489.368999999999</v>
      </c>
      <c r="AM30" s="567">
        <v>7343</v>
      </c>
      <c r="AN30" s="567">
        <v>1252.9659999999999</v>
      </c>
      <c r="AO30" s="567">
        <v>586871.88500000001</v>
      </c>
      <c r="AP30" s="567">
        <v>0</v>
      </c>
      <c r="AQ30" s="567">
        <v>586871.88500000001</v>
      </c>
      <c r="AR30" s="563" t="s">
        <v>434</v>
      </c>
      <c r="AS30" s="567">
        <v>39691.332000000002</v>
      </c>
      <c r="AT30" s="567">
        <v>38993.438000000002</v>
      </c>
      <c r="AU30" s="567">
        <v>0</v>
      </c>
      <c r="AV30" s="567" t="s">
        <v>434</v>
      </c>
      <c r="AW30" s="567">
        <v>665556.65500000003</v>
      </c>
      <c r="AX30" s="567">
        <v>40153.572</v>
      </c>
      <c r="AY30" s="571" t="s">
        <v>430</v>
      </c>
      <c r="AZ30" s="571" t="s">
        <v>433</v>
      </c>
      <c r="BA30" s="563"/>
      <c r="BB30" s="563"/>
      <c r="BC30" s="221" t="s">
        <v>555</v>
      </c>
      <c r="BD30" s="591">
        <v>7.4296194948339472E-2</v>
      </c>
      <c r="BE30" s="653">
        <v>0.13262863879872469</v>
      </c>
      <c r="BF30" s="559" t="s">
        <v>581</v>
      </c>
      <c r="BG30" s="613" t="s">
        <v>581</v>
      </c>
    </row>
    <row r="31" spans="1:59">
      <c r="A31" s="532" t="s">
        <v>64</v>
      </c>
      <c r="B31" s="532" t="s">
        <v>422</v>
      </c>
      <c r="C31" s="532">
        <v>4</v>
      </c>
      <c r="D31" s="532">
        <v>28</v>
      </c>
      <c r="E31" s="535" t="s">
        <v>290</v>
      </c>
      <c r="F31" s="532">
        <v>2013</v>
      </c>
      <c r="G31" s="534" t="s">
        <v>567</v>
      </c>
      <c r="H31" s="551">
        <v>38874.044000000002</v>
      </c>
      <c r="I31" s="555">
        <v>74134.413</v>
      </c>
      <c r="J31" s="552">
        <v>2.7694198036386699</v>
      </c>
      <c r="K31" s="552">
        <v>273.83513169999998</v>
      </c>
      <c r="L31" s="555">
        <v>1403689.1029999999</v>
      </c>
      <c r="M31" s="553">
        <v>260354</v>
      </c>
      <c r="N31" s="553">
        <v>2788384</v>
      </c>
      <c r="O31" s="554">
        <v>439.07293256595938</v>
      </c>
      <c r="P31" s="555">
        <v>1224303.94</v>
      </c>
      <c r="Q31" s="555">
        <v>1224303.94</v>
      </c>
      <c r="R31" s="555">
        <v>1099893.6359999999</v>
      </c>
      <c r="S31" s="556">
        <v>89.838282804186676</v>
      </c>
      <c r="T31" s="562"/>
      <c r="U31" s="560">
        <v>1750764</v>
      </c>
      <c r="V31" s="561">
        <v>7534.5318291885196</v>
      </c>
      <c r="W31" s="560">
        <v>207815</v>
      </c>
      <c r="X31" s="560">
        <v>42874</v>
      </c>
      <c r="Y31" s="561">
        <v>894.34597243421274</v>
      </c>
      <c r="Z31" s="561">
        <v>4.8471101366795724</v>
      </c>
      <c r="AA31" s="567">
        <v>1350395.6070000001</v>
      </c>
      <c r="AB31" s="567">
        <v>0</v>
      </c>
      <c r="AC31" s="567">
        <v>0</v>
      </c>
      <c r="AD31" s="567">
        <v>0</v>
      </c>
      <c r="AE31" s="567">
        <v>0</v>
      </c>
      <c r="AF31" s="567" t="s">
        <v>434</v>
      </c>
      <c r="AG31" s="567">
        <v>1350395.6070000001</v>
      </c>
      <c r="AH31" s="567">
        <v>941722.61499999999</v>
      </c>
      <c r="AI31" s="567">
        <v>14205.423000000001</v>
      </c>
      <c r="AJ31" s="567">
        <v>0</v>
      </c>
      <c r="AK31" s="567">
        <v>79300.072</v>
      </c>
      <c r="AL31" s="567">
        <v>143342.58300000001</v>
      </c>
      <c r="AM31" s="567">
        <v>0</v>
      </c>
      <c r="AN31" s="567">
        <v>0</v>
      </c>
      <c r="AO31" s="567">
        <v>1178570.693</v>
      </c>
      <c r="AP31" s="567">
        <v>390.57299999999998</v>
      </c>
      <c r="AQ31" s="567">
        <v>1178180.1200000001</v>
      </c>
      <c r="AR31" s="563" t="s">
        <v>434</v>
      </c>
      <c r="AS31" s="567">
        <v>40360.453000000001</v>
      </c>
      <c r="AT31" s="567">
        <v>129909.398</v>
      </c>
      <c r="AU31" s="567">
        <v>0</v>
      </c>
      <c r="AV31" s="567" t="s">
        <v>434</v>
      </c>
      <c r="AW31" s="567">
        <v>1348449.9709999999</v>
      </c>
      <c r="AX31" s="567">
        <v>1945.636</v>
      </c>
      <c r="AY31" s="571" t="s">
        <v>430</v>
      </c>
      <c r="AZ31" s="571" t="s">
        <v>433</v>
      </c>
      <c r="BA31" s="563"/>
      <c r="BB31" s="563"/>
      <c r="BC31" s="221" t="s">
        <v>552</v>
      </c>
      <c r="BD31" s="591">
        <v>5.2813983410969038E-2</v>
      </c>
      <c r="BE31" s="653">
        <v>4.8803188547164207E-2</v>
      </c>
      <c r="BF31" s="559" t="s">
        <v>574</v>
      </c>
      <c r="BG31" s="613" t="s">
        <v>574</v>
      </c>
    </row>
    <row r="32" spans="1:59">
      <c r="A32" s="532" t="s">
        <v>69</v>
      </c>
      <c r="B32" s="532" t="s">
        <v>418</v>
      </c>
      <c r="C32" s="532">
        <v>1</v>
      </c>
      <c r="D32" s="532">
        <v>29</v>
      </c>
      <c r="E32" s="535" t="s">
        <v>275</v>
      </c>
      <c r="F32" s="532">
        <v>2013</v>
      </c>
      <c r="G32" s="534" t="s">
        <v>469</v>
      </c>
      <c r="H32" s="551">
        <v>-3177.451</v>
      </c>
      <c r="I32" s="551">
        <v>47288.233</v>
      </c>
      <c r="J32" s="568">
        <v>-0.35393455620731445</v>
      </c>
      <c r="K32" s="568">
        <v>279.37076330000002</v>
      </c>
      <c r="L32" s="551">
        <v>897750.995</v>
      </c>
      <c r="M32" s="557">
        <v>228951</v>
      </c>
      <c r="N32" s="557">
        <v>2773932</v>
      </c>
      <c r="O32" s="558">
        <v>301.10496472155768</v>
      </c>
      <c r="P32" s="551">
        <v>835244.69700000004</v>
      </c>
      <c r="Q32" s="551">
        <v>835244.69700000004</v>
      </c>
      <c r="R32" s="551">
        <v>769923.35600000003</v>
      </c>
      <c r="S32" s="569">
        <v>92.179376746165687</v>
      </c>
      <c r="T32" s="562"/>
      <c r="U32" s="560">
        <v>1611269</v>
      </c>
      <c r="V32" s="561">
        <v>6970.3323657537385</v>
      </c>
      <c r="W32" s="560">
        <v>111080</v>
      </c>
      <c r="X32" s="560">
        <v>23937</v>
      </c>
      <c r="Y32" s="561">
        <v>480.53088540021889</v>
      </c>
      <c r="Z32" s="561">
        <v>4.6405146843798306</v>
      </c>
      <c r="AA32" s="567">
        <v>834751.44900000002</v>
      </c>
      <c r="AB32" s="567">
        <v>0</v>
      </c>
      <c r="AC32" s="567">
        <v>0</v>
      </c>
      <c r="AD32" s="567">
        <v>0</v>
      </c>
      <c r="AE32" s="567">
        <v>739.33600000000001</v>
      </c>
      <c r="AF32" s="567" t="s">
        <v>434</v>
      </c>
      <c r="AG32" s="567">
        <v>835490.78500000003</v>
      </c>
      <c r="AH32" s="567">
        <v>328188.58299999998</v>
      </c>
      <c r="AI32" s="567">
        <v>156298.31599999999</v>
      </c>
      <c r="AJ32" s="567">
        <v>0</v>
      </c>
      <c r="AK32" s="567">
        <v>29190.496999999999</v>
      </c>
      <c r="AL32" s="567">
        <v>156760.538</v>
      </c>
      <c r="AM32" s="567">
        <v>52315.212</v>
      </c>
      <c r="AN32" s="567">
        <v>0</v>
      </c>
      <c r="AO32" s="567">
        <v>722753.14599999995</v>
      </c>
      <c r="AP32" s="567">
        <v>0</v>
      </c>
      <c r="AQ32" s="567">
        <v>722753.14599999995</v>
      </c>
      <c r="AR32" s="563" t="s">
        <v>434</v>
      </c>
      <c r="AS32" s="567">
        <v>35673.218999999997</v>
      </c>
      <c r="AT32" s="567">
        <v>86756.692999999999</v>
      </c>
      <c r="AU32" s="567">
        <v>0</v>
      </c>
      <c r="AV32" s="567" t="s">
        <v>434</v>
      </c>
      <c r="AW32" s="567">
        <v>845183.05799999996</v>
      </c>
      <c r="AX32" s="567">
        <v>-9692.2729999999992</v>
      </c>
      <c r="AY32" s="571" t="s">
        <v>430</v>
      </c>
      <c r="AZ32" s="571" t="s">
        <v>433</v>
      </c>
      <c r="BA32" s="563"/>
      <c r="BB32" s="563"/>
      <c r="BC32" s="221" t="s">
        <v>555</v>
      </c>
      <c r="BD32" s="591">
        <v>5.267410814732653E-2</v>
      </c>
      <c r="BE32" s="653">
        <v>-3.5393455620731447E-3</v>
      </c>
      <c r="BF32" s="559" t="s">
        <v>572</v>
      </c>
      <c r="BG32" s="613" t="s">
        <v>572</v>
      </c>
    </row>
    <row r="33" spans="1:59">
      <c r="A33" s="536" t="s">
        <v>67</v>
      </c>
      <c r="B33" s="536" t="s">
        <v>386</v>
      </c>
      <c r="C33" s="536">
        <v>25</v>
      </c>
      <c r="D33" s="536">
        <v>30</v>
      </c>
      <c r="E33" s="535" t="s">
        <v>386</v>
      </c>
      <c r="F33" s="532">
        <v>2013</v>
      </c>
      <c r="G33" s="534" t="s">
        <v>567</v>
      </c>
      <c r="H33" s="551" t="s">
        <v>434</v>
      </c>
      <c r="I33" s="555" t="s">
        <v>434</v>
      </c>
      <c r="J33" s="552" t="s">
        <v>434</v>
      </c>
      <c r="K33" s="552" t="s">
        <v>434</v>
      </c>
      <c r="L33" s="555" t="s">
        <v>434</v>
      </c>
      <c r="M33" s="553">
        <v>218839</v>
      </c>
      <c r="N33" s="553">
        <v>2657723</v>
      </c>
      <c r="O33" s="554">
        <v>328.79494477039179</v>
      </c>
      <c r="P33" s="555">
        <v>876526.36</v>
      </c>
      <c r="Q33" s="555">
        <v>873845.88699999999</v>
      </c>
      <c r="R33" s="555">
        <v>785821.94499999995</v>
      </c>
      <c r="S33" s="556">
        <v>89.926834547199746</v>
      </c>
      <c r="T33" s="562"/>
      <c r="U33" s="565">
        <v>3570808</v>
      </c>
      <c r="V33" s="566">
        <v>16122.709552500392</v>
      </c>
      <c r="W33" s="565">
        <v>90903</v>
      </c>
      <c r="X33" s="565">
        <v>20920</v>
      </c>
      <c r="Y33" s="566">
        <v>410.4400646719015</v>
      </c>
      <c r="Z33" s="566">
        <v>4.3452676864244744</v>
      </c>
      <c r="AA33" s="567">
        <v>1562106.97</v>
      </c>
      <c r="AB33" s="567">
        <v>0</v>
      </c>
      <c r="AC33" s="567">
        <v>0</v>
      </c>
      <c r="AD33" s="567">
        <v>0</v>
      </c>
      <c r="AE33" s="567">
        <v>-27518.252</v>
      </c>
      <c r="AF33" s="567" t="s">
        <v>434</v>
      </c>
      <c r="AG33" s="567">
        <v>1534588.7180000001</v>
      </c>
      <c r="AH33" s="567">
        <v>607562.96799999999</v>
      </c>
      <c r="AI33" s="567">
        <v>503515.321</v>
      </c>
      <c r="AJ33" s="567">
        <v>13745.462</v>
      </c>
      <c r="AK33" s="567">
        <v>73324.262000000002</v>
      </c>
      <c r="AL33" s="567">
        <v>164023.008</v>
      </c>
      <c r="AM33" s="567">
        <v>0</v>
      </c>
      <c r="AN33" s="567">
        <v>11767.615</v>
      </c>
      <c r="AO33" s="567">
        <v>1373938.6359999999</v>
      </c>
      <c r="AP33" s="567">
        <v>1932.0540000000001</v>
      </c>
      <c r="AQ33" s="567">
        <v>1372006.5819999999</v>
      </c>
      <c r="AR33" s="563" t="s">
        <v>434</v>
      </c>
      <c r="AS33" s="567">
        <v>32536.571</v>
      </c>
      <c r="AT33" s="567">
        <v>82210.308000000005</v>
      </c>
      <c r="AU33" s="567">
        <v>0</v>
      </c>
      <c r="AV33" s="567" t="s">
        <v>434</v>
      </c>
      <c r="AW33" s="567">
        <v>1486753.4609999999</v>
      </c>
      <c r="AX33" s="567">
        <v>47835.256999999998</v>
      </c>
      <c r="AY33" s="571" t="s">
        <v>435</v>
      </c>
      <c r="AZ33" s="571" t="s">
        <v>431</v>
      </c>
      <c r="BA33" s="563"/>
      <c r="BB33" s="563"/>
      <c r="BC33" s="221" t="s">
        <v>555</v>
      </c>
      <c r="BD33" s="591">
        <v>0</v>
      </c>
      <c r="BE33" s="653">
        <v>-100</v>
      </c>
      <c r="BF33" s="559" t="s">
        <v>455</v>
      </c>
      <c r="BG33" s="613" t="s">
        <v>455</v>
      </c>
    </row>
    <row r="34" spans="1:59">
      <c r="A34" s="536" t="s">
        <v>70</v>
      </c>
      <c r="B34" s="532" t="s">
        <v>326</v>
      </c>
      <c r="C34" s="536">
        <v>19</v>
      </c>
      <c r="D34" s="532">
        <v>31</v>
      </c>
      <c r="E34" s="535" t="s">
        <v>326</v>
      </c>
      <c r="F34" s="532">
        <v>2013</v>
      </c>
      <c r="G34" s="534" t="s">
        <v>567</v>
      </c>
      <c r="H34" s="551">
        <v>47183.896000000001</v>
      </c>
      <c r="I34" s="555">
        <v>131168.33900000001</v>
      </c>
      <c r="J34" s="552">
        <v>1.9552334377797882</v>
      </c>
      <c r="K34" s="552">
        <v>500.60011270000001</v>
      </c>
      <c r="L34" s="555">
        <v>2413210.3659999999</v>
      </c>
      <c r="M34" s="553">
        <v>221243</v>
      </c>
      <c r="N34" s="553">
        <v>2590935</v>
      </c>
      <c r="O34" s="554">
        <v>604.48041382744066</v>
      </c>
      <c r="P34" s="555">
        <v>1566169.4609999999</v>
      </c>
      <c r="Q34" s="555">
        <v>1566169.4609999999</v>
      </c>
      <c r="R34" s="555">
        <v>1373938.6359999999</v>
      </c>
      <c r="S34" s="556">
        <v>87.726052015006061</v>
      </c>
      <c r="T34" s="562"/>
      <c r="U34" s="565">
        <v>884480</v>
      </c>
      <c r="V34" s="566">
        <v>4096.4979823885969</v>
      </c>
      <c r="W34" s="565">
        <v>115599</v>
      </c>
      <c r="X34" s="565">
        <v>36500</v>
      </c>
      <c r="Y34" s="566">
        <v>535.40054073143483</v>
      </c>
      <c r="Z34" s="566">
        <v>3.167095890410959</v>
      </c>
      <c r="AA34" s="567">
        <v>1263440.824</v>
      </c>
      <c r="AB34" s="567">
        <v>0</v>
      </c>
      <c r="AC34" s="567">
        <v>0</v>
      </c>
      <c r="AD34" s="567">
        <v>0</v>
      </c>
      <c r="AE34" s="567">
        <v>56087.044999999998</v>
      </c>
      <c r="AF34" s="567" t="s">
        <v>434</v>
      </c>
      <c r="AG34" s="567">
        <v>1319527.8689999999</v>
      </c>
      <c r="AH34" s="567">
        <v>589924.21900000004</v>
      </c>
      <c r="AI34" s="567">
        <v>131422.89199999999</v>
      </c>
      <c r="AJ34" s="567">
        <v>0</v>
      </c>
      <c r="AK34" s="567">
        <v>60632.949000000001</v>
      </c>
      <c r="AL34" s="567">
        <v>298796.66800000001</v>
      </c>
      <c r="AM34" s="567">
        <v>52616.881999999998</v>
      </c>
      <c r="AN34" s="567">
        <v>0</v>
      </c>
      <c r="AO34" s="567">
        <v>1133393.6089999999</v>
      </c>
      <c r="AP34" s="567">
        <v>373.31700000000001</v>
      </c>
      <c r="AQ34" s="567">
        <v>1133020.2919999999</v>
      </c>
      <c r="AR34" s="563" t="s">
        <v>434</v>
      </c>
      <c r="AS34" s="567">
        <v>18944.967000000001</v>
      </c>
      <c r="AT34" s="567">
        <v>153022.658</v>
      </c>
      <c r="AU34" s="567">
        <v>0</v>
      </c>
      <c r="AV34" s="567" t="s">
        <v>434</v>
      </c>
      <c r="AW34" s="567">
        <v>1304987.916</v>
      </c>
      <c r="AX34" s="567">
        <v>14539.951999999999</v>
      </c>
      <c r="AY34" s="571" t="s">
        <v>430</v>
      </c>
      <c r="AZ34" s="571" t="s">
        <v>431</v>
      </c>
      <c r="BA34" s="563"/>
      <c r="BB34" s="563"/>
      <c r="BC34" s="221" t="s">
        <v>555</v>
      </c>
      <c r="BD34" s="591">
        <v>5.4354291216400327E-2</v>
      </c>
      <c r="BE34" s="653">
        <v>6.8385188633539054E-2</v>
      </c>
      <c r="BF34" s="559" t="s">
        <v>575</v>
      </c>
      <c r="BG34" s="613" t="s">
        <v>575</v>
      </c>
    </row>
    <row r="35" spans="1:59">
      <c r="A35" s="532" t="s">
        <v>56</v>
      </c>
      <c r="B35" s="532" t="s">
        <v>419</v>
      </c>
      <c r="C35" s="532">
        <v>2</v>
      </c>
      <c r="D35" s="532">
        <v>32</v>
      </c>
      <c r="E35" s="535" t="s">
        <v>323</v>
      </c>
      <c r="F35" s="532">
        <v>2013</v>
      </c>
      <c r="G35" s="534" t="s">
        <v>567</v>
      </c>
      <c r="H35" s="551">
        <v>5864.527</v>
      </c>
      <c r="I35" s="551">
        <v>51522.847999999998</v>
      </c>
      <c r="J35" s="568">
        <v>0.76033154181705764</v>
      </c>
      <c r="K35" s="568">
        <v>225.48098400000001</v>
      </c>
      <c r="L35" s="551">
        <v>771311.81299999997</v>
      </c>
      <c r="M35" s="557">
        <v>205801</v>
      </c>
      <c r="N35" s="557">
        <v>2524199</v>
      </c>
      <c r="O35" s="558">
        <v>224.96672172043489</v>
      </c>
      <c r="P35" s="551">
        <v>567860.77399999998</v>
      </c>
      <c r="Q35" s="551">
        <v>567860.77399999998</v>
      </c>
      <c r="R35" s="551">
        <v>489500.53200000001</v>
      </c>
      <c r="S35" s="569">
        <v>86.200800339133835</v>
      </c>
      <c r="T35" s="564"/>
      <c r="U35" s="560">
        <v>955882</v>
      </c>
      <c r="V35" s="561">
        <v>4544.2471057155162</v>
      </c>
      <c r="W35" s="560">
        <v>74778</v>
      </c>
      <c r="X35" s="560">
        <v>18165</v>
      </c>
      <c r="Y35" s="561">
        <v>355.49336641049297</v>
      </c>
      <c r="Z35" s="561">
        <v>4.1165978530140377</v>
      </c>
      <c r="AA35" s="567">
        <v>566705.99199999997</v>
      </c>
      <c r="AB35" s="567">
        <v>0</v>
      </c>
      <c r="AC35" s="567">
        <v>0</v>
      </c>
      <c r="AD35" s="567">
        <v>0</v>
      </c>
      <c r="AE35" s="567">
        <v>0</v>
      </c>
      <c r="AF35" s="567" t="s">
        <v>434</v>
      </c>
      <c r="AG35" s="567">
        <v>566705.99199999997</v>
      </c>
      <c r="AH35" s="567">
        <v>353458.99300000002</v>
      </c>
      <c r="AI35" s="567">
        <v>48980.008000000002</v>
      </c>
      <c r="AJ35" s="567">
        <v>0</v>
      </c>
      <c r="AK35" s="567">
        <v>42709.025000000001</v>
      </c>
      <c r="AL35" s="567">
        <v>33568.307999999997</v>
      </c>
      <c r="AM35" s="567">
        <v>0</v>
      </c>
      <c r="AN35" s="567">
        <v>7917.8310000000001</v>
      </c>
      <c r="AO35" s="567">
        <v>486634.16499999998</v>
      </c>
      <c r="AP35" s="567">
        <v>4917.3680000000004</v>
      </c>
      <c r="AQ35" s="567">
        <v>481716.79700000002</v>
      </c>
      <c r="AR35" s="563" t="s">
        <v>434</v>
      </c>
      <c r="AS35" s="567">
        <v>17606.794000000002</v>
      </c>
      <c r="AT35" s="567">
        <v>56038.279000000002</v>
      </c>
      <c r="AU35" s="567">
        <v>3462.346</v>
      </c>
      <c r="AV35" s="567" t="s">
        <v>434</v>
      </c>
      <c r="AW35" s="567">
        <v>558824.21600000001</v>
      </c>
      <c r="AX35" s="567">
        <v>7881.7759999999998</v>
      </c>
      <c r="AY35" s="571" t="s">
        <v>430</v>
      </c>
      <c r="AZ35" s="571" t="s">
        <v>433</v>
      </c>
      <c r="BA35" s="563"/>
      <c r="BB35" s="563"/>
      <c r="BC35" s="221" t="s">
        <v>555</v>
      </c>
      <c r="BD35" s="591">
        <v>6.6798987298798185E-2</v>
      </c>
      <c r="BE35" s="653">
        <v>7.1193009309863498E-2</v>
      </c>
      <c r="BF35" s="559" t="s">
        <v>575</v>
      </c>
      <c r="BG35" s="613" t="s">
        <v>575</v>
      </c>
    </row>
    <row r="36" spans="1:59">
      <c r="A36" s="536" t="s">
        <v>81</v>
      </c>
      <c r="B36" s="536" t="s">
        <v>152</v>
      </c>
      <c r="C36" s="536">
        <v>35</v>
      </c>
      <c r="D36" s="536">
        <v>33</v>
      </c>
      <c r="E36" s="535" t="s">
        <v>152</v>
      </c>
      <c r="F36" s="532">
        <v>2013</v>
      </c>
      <c r="G36" s="534" t="s">
        <v>567</v>
      </c>
      <c r="H36" s="551">
        <v>52557.239000000001</v>
      </c>
      <c r="I36" s="555">
        <v>472515.06300000002</v>
      </c>
      <c r="J36" s="552">
        <v>0.8355093478165716</v>
      </c>
      <c r="K36" s="552">
        <v>565.6612073</v>
      </c>
      <c r="L36" s="555">
        <v>6290442.966</v>
      </c>
      <c r="M36" s="553">
        <v>217222</v>
      </c>
      <c r="N36" s="553">
        <v>2513592</v>
      </c>
      <c r="O36" s="554">
        <v>363.55940741377282</v>
      </c>
      <c r="P36" s="555">
        <v>913840.01800000004</v>
      </c>
      <c r="Q36" s="555">
        <v>913840.01800000004</v>
      </c>
      <c r="R36" s="555">
        <v>941200.66799999995</v>
      </c>
      <c r="S36" s="556">
        <v>102.99403062473458</v>
      </c>
      <c r="T36" s="562"/>
      <c r="U36" s="565">
        <v>2019858</v>
      </c>
      <c r="V36" s="566">
        <v>9642.8919251811749</v>
      </c>
      <c r="W36" s="565">
        <v>130393</v>
      </c>
      <c r="X36" s="565">
        <v>28662</v>
      </c>
      <c r="Y36" s="566">
        <v>622.50198122845711</v>
      </c>
      <c r="Z36" s="566">
        <v>4.549333612448538</v>
      </c>
      <c r="AA36" s="567">
        <v>1619.057</v>
      </c>
      <c r="AB36" s="567">
        <v>0</v>
      </c>
      <c r="AC36" s="567">
        <v>0</v>
      </c>
      <c r="AD36" s="567">
        <v>0</v>
      </c>
      <c r="AE36" s="567">
        <v>0</v>
      </c>
      <c r="AF36" s="567" t="s">
        <v>434</v>
      </c>
      <c r="AG36" s="567">
        <v>1619.057</v>
      </c>
      <c r="AH36" s="567">
        <v>65813.054000000004</v>
      </c>
      <c r="AI36" s="567">
        <v>6759.1850000000004</v>
      </c>
      <c r="AJ36" s="567">
        <v>0</v>
      </c>
      <c r="AK36" s="567">
        <v>0</v>
      </c>
      <c r="AL36" s="567">
        <v>9336.2090000000007</v>
      </c>
      <c r="AM36" s="567">
        <v>0</v>
      </c>
      <c r="AN36" s="567">
        <v>0</v>
      </c>
      <c r="AO36" s="567">
        <v>81908.448000000004</v>
      </c>
      <c r="AP36" s="567">
        <v>81908.448000000004</v>
      </c>
      <c r="AQ36" s="567">
        <v>0</v>
      </c>
      <c r="AR36" s="563" t="s">
        <v>434</v>
      </c>
      <c r="AS36" s="567">
        <v>17.414000000000001</v>
      </c>
      <c r="AT36" s="567">
        <v>-452.28300000000002</v>
      </c>
      <c r="AU36" s="567">
        <v>0</v>
      </c>
      <c r="AV36" s="567" t="s">
        <v>434</v>
      </c>
      <c r="AW36" s="567">
        <v>-434.86900000000003</v>
      </c>
      <c r="AX36" s="567">
        <v>2053.9259999999999</v>
      </c>
      <c r="AY36" s="571" t="s">
        <v>430</v>
      </c>
      <c r="AZ36" s="571" t="s">
        <v>431</v>
      </c>
      <c r="BA36" s="563"/>
      <c r="BB36" s="563"/>
      <c r="BC36" s="221" t="s">
        <v>555</v>
      </c>
      <c r="BD36" s="591">
        <v>7.5116341655739605E-2</v>
      </c>
      <c r="BE36" s="653">
        <v>-0.10505664790308539</v>
      </c>
      <c r="BF36" s="559" t="s">
        <v>579</v>
      </c>
      <c r="BG36" s="613" t="s">
        <v>579</v>
      </c>
    </row>
    <row r="37" spans="1:59">
      <c r="A37" s="532" t="s">
        <v>67</v>
      </c>
      <c r="B37" s="532" t="s">
        <v>420</v>
      </c>
      <c r="C37" s="532">
        <v>3</v>
      </c>
      <c r="D37" s="532">
        <v>34</v>
      </c>
      <c r="E37" s="535" t="s">
        <v>190</v>
      </c>
      <c r="F37" s="532">
        <v>2013</v>
      </c>
      <c r="G37" s="534" t="s">
        <v>469</v>
      </c>
      <c r="H37" s="551">
        <v>31426.45</v>
      </c>
      <c r="I37" s="551">
        <v>41298.862000000001</v>
      </c>
      <c r="J37" s="568">
        <v>4.1122942260550568</v>
      </c>
      <c r="K37" s="568">
        <v>350.94230160000001</v>
      </c>
      <c r="L37" s="551">
        <v>764207.23499999999</v>
      </c>
      <c r="M37" s="557">
        <v>221705</v>
      </c>
      <c r="N37" s="557">
        <v>2440859</v>
      </c>
      <c r="O37" s="558">
        <v>289.32484547448257</v>
      </c>
      <c r="P37" s="551">
        <v>712728.88300000003</v>
      </c>
      <c r="Q37" s="551">
        <v>706201.15300000005</v>
      </c>
      <c r="R37" s="551">
        <v>586871.88500000001</v>
      </c>
      <c r="S37" s="569">
        <v>83.102651773778675</v>
      </c>
      <c r="T37" s="562"/>
      <c r="U37" s="560">
        <v>1079138</v>
      </c>
      <c r="V37" s="561">
        <v>5305.3683150071347</v>
      </c>
      <c r="W37" s="560">
        <v>73567</v>
      </c>
      <c r="X37" s="560">
        <v>15200</v>
      </c>
      <c r="Y37" s="561">
        <v>361.67758973377818</v>
      </c>
      <c r="Z37" s="561">
        <v>4.8399342105263159</v>
      </c>
      <c r="AA37" s="567">
        <v>865968.87199999997</v>
      </c>
      <c r="AB37" s="567">
        <v>0</v>
      </c>
      <c r="AC37" s="567">
        <v>0</v>
      </c>
      <c r="AD37" s="567">
        <v>0</v>
      </c>
      <c r="AE37" s="567">
        <v>0</v>
      </c>
      <c r="AF37" s="567" t="s">
        <v>434</v>
      </c>
      <c r="AG37" s="567">
        <v>865968.87199999997</v>
      </c>
      <c r="AH37" s="567">
        <v>555572.83700000006</v>
      </c>
      <c r="AI37" s="567">
        <v>22490.114000000001</v>
      </c>
      <c r="AJ37" s="567">
        <v>0</v>
      </c>
      <c r="AK37" s="567">
        <v>47191.925000000003</v>
      </c>
      <c r="AL37" s="567">
        <v>0</v>
      </c>
      <c r="AM37" s="567">
        <v>85131.183999999994</v>
      </c>
      <c r="AN37" s="567">
        <v>493.18799999999999</v>
      </c>
      <c r="AO37" s="567">
        <v>710879.24800000002</v>
      </c>
      <c r="AP37" s="567">
        <v>-140.626</v>
      </c>
      <c r="AQ37" s="567">
        <v>711019.87399999995</v>
      </c>
      <c r="AR37" s="563" t="s">
        <v>434</v>
      </c>
      <c r="AS37" s="567">
        <v>47053.697</v>
      </c>
      <c r="AT37" s="567">
        <v>74028.092999999993</v>
      </c>
      <c r="AU37" s="567">
        <v>0</v>
      </c>
      <c r="AV37" s="567" t="s">
        <v>434</v>
      </c>
      <c r="AW37" s="567">
        <v>832101.66399999999</v>
      </c>
      <c r="AX37" s="567">
        <v>33867.207999999999</v>
      </c>
      <c r="AY37" s="571" t="s">
        <v>430</v>
      </c>
      <c r="AZ37" s="571" t="s">
        <v>433</v>
      </c>
      <c r="BA37" s="563"/>
      <c r="BB37" s="563"/>
      <c r="BC37" s="221" t="s">
        <v>555</v>
      </c>
      <c r="BD37" s="591">
        <v>5.4041443352731415E-2</v>
      </c>
      <c r="BE37" s="653">
        <v>4.112294226055057E-2</v>
      </c>
      <c r="BF37" s="559" t="s">
        <v>574</v>
      </c>
      <c r="BG37" s="613" t="s">
        <v>574</v>
      </c>
    </row>
    <row r="38" spans="1:59">
      <c r="A38" s="532" t="s">
        <v>69</v>
      </c>
      <c r="B38" s="532" t="s">
        <v>421</v>
      </c>
      <c r="C38" s="532">
        <v>4</v>
      </c>
      <c r="D38" s="532">
        <v>35</v>
      </c>
      <c r="E38" s="535" t="s">
        <v>252</v>
      </c>
      <c r="F38" s="532">
        <v>2013</v>
      </c>
      <c r="G38" s="534" t="s">
        <v>567</v>
      </c>
      <c r="H38" s="551">
        <v>18550.126</v>
      </c>
      <c r="I38" s="555">
        <v>77645.947</v>
      </c>
      <c r="J38" s="552">
        <v>2.0998915187561713</v>
      </c>
      <c r="K38" s="552">
        <v>398.98940270000003</v>
      </c>
      <c r="L38" s="555">
        <v>883384.96699999995</v>
      </c>
      <c r="M38" s="553">
        <v>198226</v>
      </c>
      <c r="N38" s="553">
        <v>2440217</v>
      </c>
      <c r="O38" s="554">
        <v>298.00340830344186</v>
      </c>
      <c r="P38" s="555">
        <v>727192.98300000001</v>
      </c>
      <c r="Q38" s="555">
        <v>727192.98300000001</v>
      </c>
      <c r="R38" s="555">
        <v>619723.429</v>
      </c>
      <c r="S38" s="556">
        <v>85.221315866300102</v>
      </c>
      <c r="T38" s="562"/>
      <c r="U38" s="560">
        <v>1005160</v>
      </c>
      <c r="V38" s="561">
        <v>4942.9702358437798</v>
      </c>
      <c r="W38" s="560">
        <v>100788</v>
      </c>
      <c r="X38" s="560">
        <v>16929</v>
      </c>
      <c r="Y38" s="561">
        <v>495.63460954497077</v>
      </c>
      <c r="Z38" s="561">
        <v>5.9535707956760584</v>
      </c>
      <c r="AA38" s="567">
        <v>1054013.169</v>
      </c>
      <c r="AB38" s="567">
        <v>0</v>
      </c>
      <c r="AC38" s="567">
        <v>0</v>
      </c>
      <c r="AD38" s="567">
        <v>0</v>
      </c>
      <c r="AE38" s="567">
        <v>0</v>
      </c>
      <c r="AF38" s="567" t="s">
        <v>434</v>
      </c>
      <c r="AG38" s="567">
        <v>1054013.169</v>
      </c>
      <c r="AH38" s="567">
        <v>607436.14800000004</v>
      </c>
      <c r="AI38" s="567">
        <v>6174.027</v>
      </c>
      <c r="AJ38" s="567">
        <v>30226.751</v>
      </c>
      <c r="AK38" s="567">
        <v>88334.869000000006</v>
      </c>
      <c r="AL38" s="567">
        <v>152373.736</v>
      </c>
      <c r="AM38" s="567">
        <v>0</v>
      </c>
      <c r="AN38" s="567">
        <v>5666.6350000000002</v>
      </c>
      <c r="AO38" s="567">
        <v>890212.16599999997</v>
      </c>
      <c r="AP38" s="567">
        <v>1321.5229999999999</v>
      </c>
      <c r="AQ38" s="567">
        <v>888890.64300000004</v>
      </c>
      <c r="AR38" s="563" t="s">
        <v>434</v>
      </c>
      <c r="AS38" s="567">
        <v>24115.326000000001</v>
      </c>
      <c r="AT38" s="567">
        <v>129029.42600000001</v>
      </c>
      <c r="AU38" s="567">
        <v>0</v>
      </c>
      <c r="AV38" s="567" t="s">
        <v>434</v>
      </c>
      <c r="AW38" s="567">
        <v>1042035.395</v>
      </c>
      <c r="AX38" s="567">
        <v>11977.773999999999</v>
      </c>
      <c r="AY38" s="571" t="s">
        <v>430</v>
      </c>
      <c r="AZ38" s="571" t="s">
        <v>433</v>
      </c>
      <c r="BA38" s="563"/>
      <c r="BB38" s="563"/>
      <c r="BC38" s="221" t="s">
        <v>555</v>
      </c>
      <c r="BD38" s="591">
        <v>8.7895934276182905E-2</v>
      </c>
      <c r="BE38" s="653">
        <v>5.9890907060816026E-2</v>
      </c>
      <c r="BF38" s="559" t="s">
        <v>575</v>
      </c>
      <c r="BG38" s="613" t="s">
        <v>575</v>
      </c>
    </row>
    <row r="39" spans="1:59">
      <c r="A39" s="532" t="s">
        <v>89</v>
      </c>
      <c r="B39" s="532" t="s">
        <v>420</v>
      </c>
      <c r="C39" s="532">
        <v>3</v>
      </c>
      <c r="D39" s="532">
        <v>36</v>
      </c>
      <c r="E39" s="535" t="s">
        <v>193</v>
      </c>
      <c r="F39" s="532">
        <v>2013</v>
      </c>
      <c r="G39" s="534" t="s">
        <v>469</v>
      </c>
      <c r="H39" s="551">
        <v>23828.77</v>
      </c>
      <c r="I39" s="551">
        <v>76382.471999999994</v>
      </c>
      <c r="J39" s="568">
        <v>2.5985042106850429</v>
      </c>
      <c r="K39" s="568">
        <v>364.70285519999999</v>
      </c>
      <c r="L39" s="551">
        <v>917018.71799999999</v>
      </c>
      <c r="M39" s="557">
        <v>199765</v>
      </c>
      <c r="N39" s="557">
        <v>2383779</v>
      </c>
      <c r="O39" s="558">
        <v>363.27565265068614</v>
      </c>
      <c r="P39" s="551">
        <v>865968.87199999997</v>
      </c>
      <c r="Q39" s="551">
        <v>865968.87199999997</v>
      </c>
      <c r="R39" s="551">
        <v>710879.24800000002</v>
      </c>
      <c r="S39" s="569">
        <v>82.09062369161002</v>
      </c>
      <c r="T39" s="562"/>
      <c r="U39" s="560">
        <v>1284835</v>
      </c>
      <c r="V39" s="561">
        <v>6467.8898505272509</v>
      </c>
      <c r="W39" s="560">
        <v>133086</v>
      </c>
      <c r="X39" s="560">
        <v>20357</v>
      </c>
      <c r="Y39" s="561">
        <v>669.95807916757383</v>
      </c>
      <c r="Z39" s="561">
        <v>6.5376037726580538</v>
      </c>
      <c r="AA39" s="567">
        <v>888700.96400000004</v>
      </c>
      <c r="AB39" s="567">
        <v>0</v>
      </c>
      <c r="AC39" s="567">
        <v>0</v>
      </c>
      <c r="AD39" s="567">
        <v>0</v>
      </c>
      <c r="AE39" s="567">
        <v>0</v>
      </c>
      <c r="AF39" s="567" t="s">
        <v>434</v>
      </c>
      <c r="AG39" s="567">
        <v>888700.96400000004</v>
      </c>
      <c r="AH39" s="567">
        <v>450006.16399999999</v>
      </c>
      <c r="AI39" s="567">
        <v>412.09</v>
      </c>
      <c r="AJ39" s="567">
        <v>0</v>
      </c>
      <c r="AK39" s="567">
        <v>33524.080999999998</v>
      </c>
      <c r="AL39" s="567">
        <v>173199.073</v>
      </c>
      <c r="AM39" s="567">
        <v>171800.2</v>
      </c>
      <c r="AN39" s="567">
        <v>84.322000000000003</v>
      </c>
      <c r="AO39" s="567">
        <v>829025.93</v>
      </c>
      <c r="AP39" s="567">
        <v>4716.808</v>
      </c>
      <c r="AQ39" s="567">
        <v>824309.12199999997</v>
      </c>
      <c r="AR39" s="563" t="s">
        <v>434</v>
      </c>
      <c r="AS39" s="567">
        <v>20667.048999999999</v>
      </c>
      <c r="AT39" s="567">
        <v>32568.241000000002</v>
      </c>
      <c r="AU39" s="567">
        <v>0</v>
      </c>
      <c r="AV39" s="567" t="s">
        <v>434</v>
      </c>
      <c r="AW39" s="567">
        <v>877544.41200000001</v>
      </c>
      <c r="AX39" s="567">
        <v>11156.552</v>
      </c>
      <c r="AY39" s="571" t="s">
        <v>430</v>
      </c>
      <c r="AZ39" s="571" t="s">
        <v>433</v>
      </c>
      <c r="BA39" s="563"/>
      <c r="BB39" s="563"/>
      <c r="BC39" s="221" t="s">
        <v>555</v>
      </c>
      <c r="BD39" s="591">
        <v>8.3294343398560802E-2</v>
      </c>
      <c r="BE39" s="653">
        <v>2.5985042106850428E-2</v>
      </c>
      <c r="BF39" s="559" t="s">
        <v>574</v>
      </c>
      <c r="BG39" s="613" t="s">
        <v>574</v>
      </c>
    </row>
    <row r="40" spans="1:59">
      <c r="A40" s="536" t="s">
        <v>81</v>
      </c>
      <c r="B40" s="536" t="s">
        <v>331</v>
      </c>
      <c r="C40" s="536">
        <v>24</v>
      </c>
      <c r="D40" s="536">
        <v>37</v>
      </c>
      <c r="E40" s="535" t="s">
        <v>331</v>
      </c>
      <c r="F40" s="532">
        <v>2013</v>
      </c>
      <c r="G40" s="534" t="s">
        <v>567</v>
      </c>
      <c r="H40" s="551">
        <v>171737.1</v>
      </c>
      <c r="I40" s="555">
        <v>416620.20600000001</v>
      </c>
      <c r="J40" s="552">
        <v>3.4476768256679122</v>
      </c>
      <c r="K40" s="552">
        <v>718.85582099999999</v>
      </c>
      <c r="L40" s="555">
        <v>4981241.2439999999</v>
      </c>
      <c r="M40" s="553">
        <v>194275</v>
      </c>
      <c r="N40" s="553">
        <v>2377557</v>
      </c>
      <c r="O40" s="554">
        <v>450.62498438523238</v>
      </c>
      <c r="P40" s="555">
        <v>1071386.5859999999</v>
      </c>
      <c r="Q40" s="555">
        <v>1071386.5859999999</v>
      </c>
      <c r="R40" s="555">
        <v>856038.74300000002</v>
      </c>
      <c r="S40" s="556">
        <v>79.900080343175034</v>
      </c>
      <c r="T40" s="562"/>
      <c r="U40" s="565">
        <v>1400129</v>
      </c>
      <c r="V40" s="566">
        <v>7066.7277377577066</v>
      </c>
      <c r="W40" s="565">
        <v>81604</v>
      </c>
      <c r="X40" s="565">
        <v>18416</v>
      </c>
      <c r="Y40" s="566">
        <v>411.87151349052829</v>
      </c>
      <c r="Z40" s="566">
        <v>4.4311468288444829</v>
      </c>
      <c r="AA40" s="567">
        <v>562100</v>
      </c>
      <c r="AB40" s="567">
        <v>0</v>
      </c>
      <c r="AC40" s="567">
        <v>0</v>
      </c>
      <c r="AD40" s="567">
        <v>0</v>
      </c>
      <c r="AE40" s="567">
        <v>0</v>
      </c>
      <c r="AF40" s="567" t="s">
        <v>434</v>
      </c>
      <c r="AG40" s="567">
        <v>562100</v>
      </c>
      <c r="AH40" s="567">
        <v>415665</v>
      </c>
      <c r="AI40" s="567">
        <v>23802</v>
      </c>
      <c r="AJ40" s="567">
        <v>0</v>
      </c>
      <c r="AK40" s="567">
        <v>0</v>
      </c>
      <c r="AL40" s="567">
        <v>62409</v>
      </c>
      <c r="AM40" s="567">
        <v>0</v>
      </c>
      <c r="AN40" s="567">
        <v>0</v>
      </c>
      <c r="AO40" s="567">
        <v>501876</v>
      </c>
      <c r="AP40" s="567">
        <v>0</v>
      </c>
      <c r="AQ40" s="567">
        <v>501876</v>
      </c>
      <c r="AR40" s="563" t="s">
        <v>434</v>
      </c>
      <c r="AS40" s="567">
        <v>11373</v>
      </c>
      <c r="AT40" s="567">
        <v>29657</v>
      </c>
      <c r="AU40" s="567">
        <v>0</v>
      </c>
      <c r="AV40" s="567" t="s">
        <v>434</v>
      </c>
      <c r="AW40" s="567">
        <v>542906</v>
      </c>
      <c r="AX40" s="567">
        <v>19194</v>
      </c>
      <c r="AY40" s="571" t="s">
        <v>430</v>
      </c>
      <c r="AZ40" s="571" t="s">
        <v>433</v>
      </c>
      <c r="BA40" s="563"/>
      <c r="BB40" s="563"/>
      <c r="BC40" s="221" t="s">
        <v>555</v>
      </c>
      <c r="BD40" s="591">
        <v>8.3637829527294427E-2</v>
      </c>
      <c r="BE40" s="653">
        <v>0.11736136704095518</v>
      </c>
      <c r="BF40" s="559" t="s">
        <v>581</v>
      </c>
      <c r="BG40" s="613" t="s">
        <v>581</v>
      </c>
    </row>
    <row r="41" spans="1:59">
      <c r="A41" s="536" t="s">
        <v>66</v>
      </c>
      <c r="B41" s="536" t="s">
        <v>142</v>
      </c>
      <c r="C41" s="536">
        <v>21</v>
      </c>
      <c r="D41" s="536">
        <v>38</v>
      </c>
      <c r="E41" s="535" t="s">
        <v>142</v>
      </c>
      <c r="F41" s="570">
        <v>2013</v>
      </c>
      <c r="G41" s="534" t="s">
        <v>567</v>
      </c>
      <c r="H41" s="551">
        <v>-768.976</v>
      </c>
      <c r="I41" s="555">
        <v>46611.544999999998</v>
      </c>
      <c r="J41" s="552">
        <v>-5.4673572990103711E-2</v>
      </c>
      <c r="K41" s="552">
        <v>435.19265089999999</v>
      </c>
      <c r="L41" s="555">
        <v>1406485.726</v>
      </c>
      <c r="M41" s="553">
        <v>237996</v>
      </c>
      <c r="N41" s="553">
        <v>2357641</v>
      </c>
      <c r="O41" s="554">
        <v>442.21792079455696</v>
      </c>
      <c r="P41" s="555">
        <v>1042591.101</v>
      </c>
      <c r="Q41" s="555">
        <v>1042591.101</v>
      </c>
      <c r="R41" s="555">
        <v>974122.21499999997</v>
      </c>
      <c r="S41" s="556">
        <v>93.432815038002133</v>
      </c>
      <c r="T41" s="562"/>
      <c r="U41" s="565">
        <v>2167477</v>
      </c>
      <c r="V41" s="566">
        <v>11032.09691382191</v>
      </c>
      <c r="W41" s="565">
        <v>139268</v>
      </c>
      <c r="X41" s="565">
        <v>31096</v>
      </c>
      <c r="Y41" s="566">
        <v>708.85092344423936</v>
      </c>
      <c r="Z41" s="566">
        <v>4.4786467712889122</v>
      </c>
      <c r="AA41" s="567">
        <v>1071386.5859999999</v>
      </c>
      <c r="AB41" s="567">
        <v>0</v>
      </c>
      <c r="AC41" s="567">
        <v>0</v>
      </c>
      <c r="AD41" s="567">
        <v>351.61799999999999</v>
      </c>
      <c r="AE41" s="567">
        <v>0</v>
      </c>
      <c r="AF41" s="567" t="s">
        <v>434</v>
      </c>
      <c r="AG41" s="567">
        <v>1071738.2039999999</v>
      </c>
      <c r="AH41" s="567">
        <v>649343.93599999999</v>
      </c>
      <c r="AI41" s="567">
        <v>0</v>
      </c>
      <c r="AJ41" s="567">
        <v>0</v>
      </c>
      <c r="AK41" s="567">
        <v>0</v>
      </c>
      <c r="AL41" s="567">
        <v>177746.022</v>
      </c>
      <c r="AM41" s="567">
        <v>21991.885999999999</v>
      </c>
      <c r="AN41" s="567">
        <v>6956.9</v>
      </c>
      <c r="AO41" s="567">
        <v>856038.74300000002</v>
      </c>
      <c r="AP41" s="567">
        <v>0</v>
      </c>
      <c r="AQ41" s="567">
        <v>856038.74300000002</v>
      </c>
      <c r="AR41" s="563" t="s">
        <v>434</v>
      </c>
      <c r="AS41" s="567">
        <v>54234.464999999997</v>
      </c>
      <c r="AT41" s="567">
        <v>85407.543000000005</v>
      </c>
      <c r="AU41" s="567">
        <v>0</v>
      </c>
      <c r="AV41" s="567" t="s">
        <v>434</v>
      </c>
      <c r="AW41" s="567">
        <v>995680.75100000005</v>
      </c>
      <c r="AX41" s="567">
        <v>76057.452999999994</v>
      </c>
      <c r="AY41" s="571" t="s">
        <v>435</v>
      </c>
      <c r="AZ41" s="571" t="s">
        <v>431</v>
      </c>
      <c r="BA41" s="563"/>
      <c r="BB41" s="563"/>
      <c r="BC41" s="221" t="s">
        <v>555</v>
      </c>
      <c r="BD41" s="591">
        <v>3.3140432311788703E-2</v>
      </c>
      <c r="BE41" s="653">
        <v>3.2531417308189925E-2</v>
      </c>
      <c r="BF41" s="559" t="s">
        <v>574</v>
      </c>
      <c r="BG41" s="613" t="s">
        <v>574</v>
      </c>
    </row>
    <row r="42" spans="1:59">
      <c r="A42" s="532" t="s">
        <v>90</v>
      </c>
      <c r="B42" s="536" t="s">
        <v>146</v>
      </c>
      <c r="C42" s="536">
        <v>30</v>
      </c>
      <c r="D42" s="536">
        <v>39</v>
      </c>
      <c r="E42" s="535" t="s">
        <v>146</v>
      </c>
      <c r="F42" s="532">
        <v>2013</v>
      </c>
      <c r="G42" s="534" t="s">
        <v>567</v>
      </c>
      <c r="H42" s="551">
        <v>-3249.4690000000001</v>
      </c>
      <c r="I42" s="555">
        <v>52040.016000000003</v>
      </c>
      <c r="J42" s="552">
        <v>-0.48761808449706245</v>
      </c>
      <c r="K42" s="552">
        <v>370.04207409999998</v>
      </c>
      <c r="L42" s="555">
        <v>666396.326</v>
      </c>
      <c r="M42" s="553">
        <v>193814</v>
      </c>
      <c r="N42" s="553">
        <v>2332326</v>
      </c>
      <c r="O42" s="554">
        <v>248.07817989423435</v>
      </c>
      <c r="P42" s="555">
        <v>578599.18900000001</v>
      </c>
      <c r="Q42" s="555">
        <v>578599.18900000001</v>
      </c>
      <c r="R42" s="555">
        <v>534354.86399999994</v>
      </c>
      <c r="S42" s="556">
        <v>92.35319961708413</v>
      </c>
      <c r="T42" s="562"/>
      <c r="U42" s="565">
        <v>1623519</v>
      </c>
      <c r="V42" s="566">
        <v>8353.1324523244184</v>
      </c>
      <c r="W42" s="565">
        <v>152145</v>
      </c>
      <c r="X42" s="565">
        <v>48090</v>
      </c>
      <c r="Y42" s="566">
        <v>782.79794505570828</v>
      </c>
      <c r="Z42" s="566">
        <v>3.1637554585152841</v>
      </c>
      <c r="AA42" s="567">
        <v>605324.29299999995</v>
      </c>
      <c r="AB42" s="567">
        <v>0</v>
      </c>
      <c r="AC42" s="567">
        <v>0</v>
      </c>
      <c r="AD42" s="567">
        <v>0</v>
      </c>
      <c r="AE42" s="567">
        <v>0</v>
      </c>
      <c r="AF42" s="567" t="s">
        <v>434</v>
      </c>
      <c r="AG42" s="567">
        <v>605324.29299999995</v>
      </c>
      <c r="AH42" s="567">
        <v>429420.87</v>
      </c>
      <c r="AI42" s="567">
        <v>21716.859</v>
      </c>
      <c r="AJ42" s="567">
        <v>556.13499999999999</v>
      </c>
      <c r="AK42" s="567">
        <v>18104.329000000002</v>
      </c>
      <c r="AL42" s="567">
        <v>83105.695999999996</v>
      </c>
      <c r="AM42" s="567">
        <v>0</v>
      </c>
      <c r="AN42" s="567">
        <v>3231.0940000000001</v>
      </c>
      <c r="AO42" s="567">
        <v>556134.98300000001</v>
      </c>
      <c r="AP42" s="567">
        <v>0</v>
      </c>
      <c r="AQ42" s="567">
        <v>556134.98300000001</v>
      </c>
      <c r="AR42" s="563" t="s">
        <v>434</v>
      </c>
      <c r="AS42" s="567">
        <v>28531.850999999999</v>
      </c>
      <c r="AT42" s="567">
        <v>30221.745999999999</v>
      </c>
      <c r="AU42" s="567">
        <v>-48216</v>
      </c>
      <c r="AV42" s="567" t="s">
        <v>434</v>
      </c>
      <c r="AW42" s="567">
        <v>566672.57999999996</v>
      </c>
      <c r="AX42" s="567">
        <v>38651.713000000003</v>
      </c>
      <c r="AY42" s="571" t="s">
        <v>435</v>
      </c>
      <c r="AZ42" s="571" t="s">
        <v>431</v>
      </c>
      <c r="BA42" s="563"/>
      <c r="BB42" s="563"/>
      <c r="BC42" s="221" t="s">
        <v>555</v>
      </c>
      <c r="BD42" s="591">
        <v>7.8091691039725214E-2</v>
      </c>
      <c r="BE42" s="653">
        <v>-1.6236872105664657E-3</v>
      </c>
      <c r="BF42" s="559" t="s">
        <v>572</v>
      </c>
      <c r="BG42" s="613" t="s">
        <v>572</v>
      </c>
    </row>
    <row r="43" spans="1:59">
      <c r="A43" s="532" t="s">
        <v>90</v>
      </c>
      <c r="B43" s="532" t="s">
        <v>421</v>
      </c>
      <c r="C43" s="532">
        <v>4</v>
      </c>
      <c r="D43" s="532">
        <v>40</v>
      </c>
      <c r="E43" s="535" t="s">
        <v>258</v>
      </c>
      <c r="F43" s="532">
        <v>2013</v>
      </c>
      <c r="G43" s="534" t="s">
        <v>567</v>
      </c>
      <c r="H43" s="551">
        <v>16722.413</v>
      </c>
      <c r="I43" s="555">
        <v>162559.95600000001</v>
      </c>
      <c r="J43" s="552">
        <v>1.2741494716395998</v>
      </c>
      <c r="K43" s="552">
        <v>258.17987349999999</v>
      </c>
      <c r="L43" s="555">
        <v>1312437.3060000001</v>
      </c>
      <c r="M43" s="553">
        <v>182533</v>
      </c>
      <c r="N43" s="553">
        <v>2271084</v>
      </c>
      <c r="O43" s="554">
        <v>514.17404728314762</v>
      </c>
      <c r="P43" s="555">
        <v>1167732.452</v>
      </c>
      <c r="Q43" s="555">
        <v>1167732.452</v>
      </c>
      <c r="R43" s="555">
        <v>974976.81900000002</v>
      </c>
      <c r="S43" s="556">
        <v>83.493168090870185</v>
      </c>
      <c r="T43" s="562"/>
      <c r="U43" s="560">
        <v>1092479</v>
      </c>
      <c r="V43" s="561">
        <v>5772.4628415329416</v>
      </c>
      <c r="W43" s="560">
        <v>131184</v>
      </c>
      <c r="X43" s="560">
        <v>27621</v>
      </c>
      <c r="Y43" s="561">
        <v>693.15269712613008</v>
      </c>
      <c r="Z43" s="561">
        <v>4.7494297816878461</v>
      </c>
      <c r="AA43" s="567">
        <v>1238775.8289999999</v>
      </c>
      <c r="AB43" s="567">
        <v>0</v>
      </c>
      <c r="AC43" s="567">
        <v>0</v>
      </c>
      <c r="AD43" s="567">
        <v>0</v>
      </c>
      <c r="AE43" s="567">
        <v>4071.4369999999999</v>
      </c>
      <c r="AF43" s="567" t="s">
        <v>434</v>
      </c>
      <c r="AG43" s="567">
        <v>1242847.2660000001</v>
      </c>
      <c r="AH43" s="567">
        <v>669640.17200000002</v>
      </c>
      <c r="AI43" s="567">
        <v>30360.144</v>
      </c>
      <c r="AJ43" s="567">
        <v>24604.346000000001</v>
      </c>
      <c r="AK43" s="567">
        <v>54662.506000000001</v>
      </c>
      <c r="AL43" s="567">
        <v>175795.734</v>
      </c>
      <c r="AM43" s="567">
        <v>0</v>
      </c>
      <c r="AN43" s="567">
        <v>710.27300000000002</v>
      </c>
      <c r="AO43" s="567">
        <v>955773.17500000005</v>
      </c>
      <c r="AP43" s="567">
        <v>3186.5630000000001</v>
      </c>
      <c r="AQ43" s="567">
        <v>952586.61199999996</v>
      </c>
      <c r="AR43" s="563" t="s">
        <v>434</v>
      </c>
      <c r="AS43" s="567">
        <v>27568.249</v>
      </c>
      <c r="AT43" s="567">
        <v>209881.815</v>
      </c>
      <c r="AU43" s="567">
        <v>0</v>
      </c>
      <c r="AV43" s="567" t="s">
        <v>434</v>
      </c>
      <c r="AW43" s="567">
        <v>1190036.676</v>
      </c>
      <c r="AX43" s="567">
        <v>52810.59</v>
      </c>
      <c r="AY43" s="571" t="s">
        <v>430</v>
      </c>
      <c r="AZ43" s="571" t="s">
        <v>433</v>
      </c>
      <c r="BA43" s="563"/>
      <c r="BB43" s="563"/>
      <c r="BC43" s="221" t="s">
        <v>555</v>
      </c>
      <c r="BD43" s="591">
        <v>0.12386112102790225</v>
      </c>
      <c r="BE43" s="653">
        <v>4.12071980633959E-2</v>
      </c>
      <c r="BF43" s="559" t="s">
        <v>574</v>
      </c>
      <c r="BG43" s="613" t="s">
        <v>574</v>
      </c>
    </row>
    <row r="44" spans="1:59">
      <c r="A44" s="532" t="s">
        <v>67</v>
      </c>
      <c r="B44" s="532" t="s">
        <v>418</v>
      </c>
      <c r="C44" s="532">
        <v>1</v>
      </c>
      <c r="D44" s="532">
        <v>41</v>
      </c>
      <c r="E44" s="535" t="s">
        <v>272</v>
      </c>
      <c r="F44" s="532">
        <v>2013</v>
      </c>
      <c r="G44" s="534" t="s">
        <v>567</v>
      </c>
      <c r="H44" s="551">
        <v>-126.044</v>
      </c>
      <c r="I44" s="551">
        <v>54571.099000000002</v>
      </c>
      <c r="J44" s="568">
        <v>-1.7102105762646421E-2</v>
      </c>
      <c r="K44" s="568">
        <v>452.63543729999998</v>
      </c>
      <c r="L44" s="551">
        <v>737008.65700000001</v>
      </c>
      <c r="M44" s="557">
        <v>192564</v>
      </c>
      <c r="N44" s="557">
        <v>2200021</v>
      </c>
      <c r="O44" s="558">
        <v>299.79424150951286</v>
      </c>
      <c r="P44" s="551">
        <v>659553.62699999998</v>
      </c>
      <c r="Q44" s="551">
        <v>659553.62699999998</v>
      </c>
      <c r="R44" s="551">
        <v>595731.77300000004</v>
      </c>
      <c r="S44" s="569">
        <v>90.323477669238869</v>
      </c>
      <c r="T44" s="562"/>
      <c r="U44" s="560">
        <v>1611802</v>
      </c>
      <c r="V44" s="561">
        <v>8791.5633532589</v>
      </c>
      <c r="W44" s="560">
        <v>64262</v>
      </c>
      <c r="X44" s="560">
        <v>14177</v>
      </c>
      <c r="Y44" s="561">
        <v>350.5166541592103</v>
      </c>
      <c r="Z44" s="561">
        <v>4.532834873386471</v>
      </c>
      <c r="AA44" s="567">
        <v>666284.4</v>
      </c>
      <c r="AB44" s="567">
        <v>-376.46800000000002</v>
      </c>
      <c r="AC44" s="567">
        <v>0</v>
      </c>
      <c r="AD44" s="567">
        <v>0</v>
      </c>
      <c r="AE44" s="567">
        <v>1451.4059999999999</v>
      </c>
      <c r="AF44" s="567" t="s">
        <v>434</v>
      </c>
      <c r="AG44" s="567">
        <v>667359.33799999999</v>
      </c>
      <c r="AH44" s="567">
        <v>371523.13799999998</v>
      </c>
      <c r="AI44" s="567">
        <v>27037.877</v>
      </c>
      <c r="AJ44" s="567">
        <v>0</v>
      </c>
      <c r="AK44" s="567">
        <v>10147.477999999999</v>
      </c>
      <c r="AL44" s="567">
        <v>104310.626</v>
      </c>
      <c r="AM44" s="567">
        <v>0</v>
      </c>
      <c r="AN44" s="567">
        <v>904.86699999999996</v>
      </c>
      <c r="AO44" s="567">
        <v>513923.98599999998</v>
      </c>
      <c r="AP44" s="567">
        <v>3306.74</v>
      </c>
      <c r="AQ44" s="567">
        <v>510617.24599999998</v>
      </c>
      <c r="AR44" s="563" t="s">
        <v>434</v>
      </c>
      <c r="AS44" s="567">
        <v>34212.845999999998</v>
      </c>
      <c r="AT44" s="567">
        <v>85918.824999999997</v>
      </c>
      <c r="AU44" s="567">
        <v>0</v>
      </c>
      <c r="AV44" s="567" t="s">
        <v>434</v>
      </c>
      <c r="AW44" s="567">
        <v>630748.91700000002</v>
      </c>
      <c r="AX44" s="567">
        <v>36610.421000000002</v>
      </c>
      <c r="AY44" s="571" t="s">
        <v>430</v>
      </c>
      <c r="AZ44" s="571" t="s">
        <v>433</v>
      </c>
      <c r="BA44" s="563"/>
      <c r="BB44" s="563"/>
      <c r="BC44" s="221" t="s">
        <v>555</v>
      </c>
      <c r="BD44" s="591">
        <v>7.404404070656663E-2</v>
      </c>
      <c r="BE44" s="653">
        <v>2.2721182601044651E-2</v>
      </c>
      <c r="BF44" s="559" t="s">
        <v>573</v>
      </c>
      <c r="BG44" s="613" t="s">
        <v>573</v>
      </c>
    </row>
    <row r="45" spans="1:59">
      <c r="A45" s="532" t="s">
        <v>56</v>
      </c>
      <c r="B45" s="532" t="s">
        <v>420</v>
      </c>
      <c r="C45" s="532">
        <v>3</v>
      </c>
      <c r="D45" s="532">
        <v>42</v>
      </c>
      <c r="E45" s="535" t="s">
        <v>186</v>
      </c>
      <c r="F45" s="532">
        <v>2013</v>
      </c>
      <c r="G45" s="534" t="s">
        <v>567</v>
      </c>
      <c r="H45" s="551">
        <v>6759.1030000000001</v>
      </c>
      <c r="I45" s="551">
        <v>25603.756000000001</v>
      </c>
      <c r="J45" s="568">
        <v>1.1275263798242452</v>
      </c>
      <c r="K45" s="568">
        <v>393.86125759999999</v>
      </c>
      <c r="L45" s="551">
        <v>599462.95900000003</v>
      </c>
      <c r="M45" s="557">
        <v>176270</v>
      </c>
      <c r="N45" s="557">
        <v>2182834</v>
      </c>
      <c r="O45" s="558">
        <v>199.88862414640784</v>
      </c>
      <c r="P45" s="551">
        <v>436323.685</v>
      </c>
      <c r="Q45" s="551">
        <v>436323.685</v>
      </c>
      <c r="R45" s="551">
        <v>380309.935</v>
      </c>
      <c r="S45" s="569">
        <v>87.162340270388938</v>
      </c>
      <c r="T45" s="562"/>
      <c r="U45" s="560">
        <v>1069153</v>
      </c>
      <c r="V45" s="561">
        <v>5877.6049850790305</v>
      </c>
      <c r="W45" s="560">
        <v>69046</v>
      </c>
      <c r="X45" s="560">
        <v>14426</v>
      </c>
      <c r="Y45" s="561">
        <v>379.57627561234614</v>
      </c>
      <c r="Z45" s="561">
        <v>4.7862193262165533</v>
      </c>
      <c r="AA45" s="567">
        <v>449697.90399999998</v>
      </c>
      <c r="AB45" s="567">
        <v>-315.154</v>
      </c>
      <c r="AC45" s="567">
        <v>0</v>
      </c>
      <c r="AD45" s="567">
        <v>0</v>
      </c>
      <c r="AE45" s="567">
        <v>0</v>
      </c>
      <c r="AF45" s="567" t="s">
        <v>434</v>
      </c>
      <c r="AG45" s="567">
        <v>449382.75</v>
      </c>
      <c r="AH45" s="567">
        <v>175534.73699999999</v>
      </c>
      <c r="AI45" s="567">
        <v>7577.134</v>
      </c>
      <c r="AJ45" s="567">
        <v>0</v>
      </c>
      <c r="AK45" s="567">
        <v>14736.665000000001</v>
      </c>
      <c r="AL45" s="567">
        <v>13337.633</v>
      </c>
      <c r="AM45" s="567">
        <v>160079.9</v>
      </c>
      <c r="AN45" s="567">
        <v>0</v>
      </c>
      <c r="AO45" s="567">
        <v>371266.06900000002</v>
      </c>
      <c r="AP45" s="567">
        <v>0</v>
      </c>
      <c r="AQ45" s="567">
        <v>371266.06900000002</v>
      </c>
      <c r="AR45" s="563" t="s">
        <v>434</v>
      </c>
      <c r="AS45" s="567">
        <v>23227.547999999999</v>
      </c>
      <c r="AT45" s="567">
        <v>45796.023000000001</v>
      </c>
      <c r="AU45" s="567">
        <v>0</v>
      </c>
      <c r="AV45" s="567" t="s">
        <v>434</v>
      </c>
      <c r="AW45" s="567">
        <v>440289.64</v>
      </c>
      <c r="AX45" s="567">
        <v>9093.11</v>
      </c>
      <c r="AY45" s="571" t="s">
        <v>430</v>
      </c>
      <c r="AZ45" s="571" t="s">
        <v>433</v>
      </c>
      <c r="BA45" s="563"/>
      <c r="BB45" s="563"/>
      <c r="BC45" s="221" t="s">
        <v>555</v>
      </c>
      <c r="BD45" s="591">
        <v>4.2711156069944932E-2</v>
      </c>
      <c r="BE45" s="653">
        <v>8.5665441226165678E-2</v>
      </c>
      <c r="BF45" s="559" t="s">
        <v>576</v>
      </c>
      <c r="BG45" s="613" t="s">
        <v>576</v>
      </c>
    </row>
    <row r="46" spans="1:59">
      <c r="A46" s="536" t="s">
        <v>92</v>
      </c>
      <c r="B46" s="536" t="s">
        <v>388</v>
      </c>
      <c r="C46" s="536">
        <v>34</v>
      </c>
      <c r="D46" s="536">
        <v>43</v>
      </c>
      <c r="E46" s="535" t="s">
        <v>388</v>
      </c>
      <c r="F46" s="532">
        <v>2013</v>
      </c>
      <c r="G46" s="534" t="s">
        <v>469</v>
      </c>
      <c r="H46" s="551">
        <v>27834.494999999999</v>
      </c>
      <c r="I46" s="555">
        <v>38869.822999999997</v>
      </c>
      <c r="J46" s="552">
        <v>3.8934578800672579</v>
      </c>
      <c r="K46" s="552">
        <v>389.2816277</v>
      </c>
      <c r="L46" s="555">
        <v>714904.228</v>
      </c>
      <c r="M46" s="553">
        <v>175491</v>
      </c>
      <c r="N46" s="553">
        <v>2083505</v>
      </c>
      <c r="O46" s="554">
        <v>339.48761102085189</v>
      </c>
      <c r="P46" s="555">
        <v>707324.13500000001</v>
      </c>
      <c r="Q46" s="555">
        <v>707324.13500000001</v>
      </c>
      <c r="R46" s="555">
        <v>660764.50600000005</v>
      </c>
      <c r="S46" s="556">
        <v>93.417497481547144</v>
      </c>
      <c r="T46" s="562"/>
      <c r="U46" s="565">
        <v>0</v>
      </c>
      <c r="V46" s="566">
        <v>0</v>
      </c>
      <c r="W46" s="565">
        <v>0</v>
      </c>
      <c r="X46" s="565">
        <v>0</v>
      </c>
      <c r="Y46" s="566">
        <v>0</v>
      </c>
      <c r="Z46" s="566" t="s">
        <v>434</v>
      </c>
      <c r="AA46" s="567">
        <v>425.86200000000002</v>
      </c>
      <c r="AB46" s="567">
        <v>0</v>
      </c>
      <c r="AC46" s="567">
        <v>0</v>
      </c>
      <c r="AD46" s="567">
        <v>0</v>
      </c>
      <c r="AE46" s="567">
        <v>0</v>
      </c>
      <c r="AF46" s="567" t="s">
        <v>434</v>
      </c>
      <c r="AG46" s="567">
        <v>425.86200000000002</v>
      </c>
      <c r="AH46" s="567">
        <v>223.32</v>
      </c>
      <c r="AI46" s="567">
        <v>0</v>
      </c>
      <c r="AJ46" s="567">
        <v>0</v>
      </c>
      <c r="AK46" s="567">
        <v>0</v>
      </c>
      <c r="AL46" s="567">
        <v>4.2720000000000002</v>
      </c>
      <c r="AM46" s="567">
        <v>0</v>
      </c>
      <c r="AN46" s="567">
        <v>0</v>
      </c>
      <c r="AO46" s="567">
        <v>227.59200000000001</v>
      </c>
      <c r="AP46" s="567">
        <v>0</v>
      </c>
      <c r="AQ46" s="567">
        <v>227.59200000000001</v>
      </c>
      <c r="AR46" s="563" t="s">
        <v>434</v>
      </c>
      <c r="AS46" s="567">
        <v>0</v>
      </c>
      <c r="AT46" s="567">
        <v>4337.1369999999997</v>
      </c>
      <c r="AU46" s="567">
        <v>0</v>
      </c>
      <c r="AV46" s="567" t="s">
        <v>434</v>
      </c>
      <c r="AW46" s="567">
        <v>4564.7290000000003</v>
      </c>
      <c r="AX46" s="567">
        <v>-4138.8670000000002</v>
      </c>
      <c r="AY46" s="571" t="s">
        <v>435</v>
      </c>
      <c r="AZ46" s="571" t="s">
        <v>431</v>
      </c>
      <c r="BA46" s="563"/>
      <c r="BB46" s="563"/>
      <c r="BC46" s="221" t="s">
        <v>555</v>
      </c>
      <c r="BD46" s="591">
        <v>5.4370671591551976E-2</v>
      </c>
      <c r="BE46" s="653">
        <v>3.8934578800672581E-2</v>
      </c>
      <c r="BF46" s="559" t="s">
        <v>574</v>
      </c>
      <c r="BG46" s="613" t="s">
        <v>574</v>
      </c>
    </row>
    <row r="47" spans="1:59">
      <c r="A47" s="532" t="s">
        <v>85</v>
      </c>
      <c r="B47" s="532" t="s">
        <v>418</v>
      </c>
      <c r="C47" s="532">
        <v>1</v>
      </c>
      <c r="D47" s="532">
        <v>44</v>
      </c>
      <c r="E47" s="535" t="s">
        <v>283</v>
      </c>
      <c r="F47" s="532">
        <v>2013</v>
      </c>
      <c r="G47" s="534" t="s">
        <v>567</v>
      </c>
      <c r="H47" s="551">
        <v>12265.347</v>
      </c>
      <c r="I47" s="551">
        <v>100514.067</v>
      </c>
      <c r="J47" s="568">
        <v>1.1131620303032705</v>
      </c>
      <c r="K47" s="568">
        <v>438.04201399999999</v>
      </c>
      <c r="L47" s="551">
        <v>1101847.4099999999</v>
      </c>
      <c r="M47" s="557">
        <v>169026</v>
      </c>
      <c r="N47" s="557">
        <v>2040330</v>
      </c>
      <c r="O47" s="558">
        <v>409.12570466542178</v>
      </c>
      <c r="P47" s="551">
        <v>834751.44900000002</v>
      </c>
      <c r="Q47" s="551">
        <v>834751.44900000002</v>
      </c>
      <c r="R47" s="551">
        <v>722753.14599999995</v>
      </c>
      <c r="S47" s="569">
        <v>86.583035808542803</v>
      </c>
      <c r="T47" s="562"/>
      <c r="U47" s="560">
        <v>1635531</v>
      </c>
      <c r="V47" s="561">
        <v>9619.2145388246026</v>
      </c>
      <c r="W47" s="560">
        <v>120490</v>
      </c>
      <c r="X47" s="560">
        <v>18079</v>
      </c>
      <c r="Y47" s="561">
        <v>708.65007131199366</v>
      </c>
      <c r="Z47" s="561">
        <v>6.6646385308921952</v>
      </c>
      <c r="AA47" s="567">
        <v>990307.52399999998</v>
      </c>
      <c r="AB47" s="567">
        <v>-9710.8819999999996</v>
      </c>
      <c r="AC47" s="567">
        <v>0</v>
      </c>
      <c r="AD47" s="567">
        <v>0</v>
      </c>
      <c r="AE47" s="567">
        <v>0</v>
      </c>
      <c r="AF47" s="567" t="s">
        <v>434</v>
      </c>
      <c r="AG47" s="567">
        <v>980596.64199999999</v>
      </c>
      <c r="AH47" s="567">
        <v>659614.353</v>
      </c>
      <c r="AI47" s="567">
        <v>10284.166999999999</v>
      </c>
      <c r="AJ47" s="567">
        <v>0</v>
      </c>
      <c r="AK47" s="567">
        <v>0</v>
      </c>
      <c r="AL47" s="567">
        <v>185790.913</v>
      </c>
      <c r="AM47" s="567">
        <v>0</v>
      </c>
      <c r="AN47" s="567">
        <v>1219.702</v>
      </c>
      <c r="AO47" s="567">
        <v>856909.13500000001</v>
      </c>
      <c r="AP47" s="567">
        <v>24443.822</v>
      </c>
      <c r="AQ47" s="567">
        <v>832465.31299999997</v>
      </c>
      <c r="AR47" s="563" t="s">
        <v>434</v>
      </c>
      <c r="AS47" s="567">
        <v>59453.258999999998</v>
      </c>
      <c r="AT47" s="567">
        <v>78063.241999999998</v>
      </c>
      <c r="AU47" s="567">
        <v>0</v>
      </c>
      <c r="AV47" s="567" t="s">
        <v>434</v>
      </c>
      <c r="AW47" s="567">
        <v>969981.81400000001</v>
      </c>
      <c r="AX47" s="567">
        <v>10614.828</v>
      </c>
      <c r="AY47" s="571" t="s">
        <v>430</v>
      </c>
      <c r="AZ47" s="571" t="s">
        <v>433</v>
      </c>
      <c r="BA47" s="563"/>
      <c r="BB47" s="563"/>
      <c r="BC47" s="221" t="s">
        <v>555</v>
      </c>
      <c r="BD47" s="591">
        <v>9.122321846724675E-2</v>
      </c>
      <c r="BE47" s="653">
        <v>4.2946423447325174E-2</v>
      </c>
      <c r="BF47" s="559" t="s">
        <v>574</v>
      </c>
      <c r="BG47" s="613" t="s">
        <v>574</v>
      </c>
    </row>
    <row r="48" spans="1:59">
      <c r="A48" s="536" t="s">
        <v>85</v>
      </c>
      <c r="B48" s="536" t="s">
        <v>156</v>
      </c>
      <c r="C48" s="536">
        <v>31</v>
      </c>
      <c r="D48" s="536">
        <v>45</v>
      </c>
      <c r="E48" s="535" t="s">
        <v>156</v>
      </c>
      <c r="F48" s="532">
        <v>2013</v>
      </c>
      <c r="G48" s="534" t="s">
        <v>469</v>
      </c>
      <c r="H48" s="551">
        <v>-243.74</v>
      </c>
      <c r="I48" s="555">
        <v>237068.45</v>
      </c>
      <c r="J48" s="552">
        <v>-2.4367639631806225E-2</v>
      </c>
      <c r="K48" s="552">
        <v>303.89143230000002</v>
      </c>
      <c r="L48" s="555">
        <v>1000261.017</v>
      </c>
      <c r="M48" s="553">
        <v>177391</v>
      </c>
      <c r="N48" s="553">
        <v>2014212</v>
      </c>
      <c r="O48" s="554">
        <v>490.58599591304193</v>
      </c>
      <c r="P48" s="555">
        <v>1089928.338</v>
      </c>
      <c r="Q48" s="555">
        <v>988144.2</v>
      </c>
      <c r="R48" s="555">
        <v>843121.81900000002</v>
      </c>
      <c r="S48" s="556">
        <v>85.323763373807196</v>
      </c>
      <c r="T48" s="562"/>
      <c r="U48" s="565">
        <v>1331499</v>
      </c>
      <c r="V48" s="566">
        <v>7932.6247683957799</v>
      </c>
      <c r="W48" s="565">
        <v>137868</v>
      </c>
      <c r="X48" s="565">
        <v>35874</v>
      </c>
      <c r="Y48" s="566">
        <v>821.3713352914192</v>
      </c>
      <c r="Z48" s="566">
        <v>3.8431175781903328</v>
      </c>
      <c r="AA48" s="567">
        <v>1042591.101</v>
      </c>
      <c r="AB48" s="567">
        <v>0</v>
      </c>
      <c r="AC48" s="567">
        <v>0</v>
      </c>
      <c r="AD48" s="567">
        <v>0</v>
      </c>
      <c r="AE48" s="567">
        <v>0</v>
      </c>
      <c r="AF48" s="567" t="s">
        <v>434</v>
      </c>
      <c r="AG48" s="567">
        <v>1042591.101</v>
      </c>
      <c r="AH48" s="567">
        <v>625161.01599999995</v>
      </c>
      <c r="AI48" s="567">
        <v>86462.880999999994</v>
      </c>
      <c r="AJ48" s="567">
        <v>0</v>
      </c>
      <c r="AK48" s="567">
        <v>90916.619000000006</v>
      </c>
      <c r="AL48" s="567">
        <v>170796.92499999999</v>
      </c>
      <c r="AM48" s="567">
        <v>0</v>
      </c>
      <c r="AN48" s="567">
        <v>784.774</v>
      </c>
      <c r="AO48" s="567">
        <v>974122.21499999997</v>
      </c>
      <c r="AP48" s="567">
        <v>817.08500000000004</v>
      </c>
      <c r="AQ48" s="567">
        <v>973305.13</v>
      </c>
      <c r="AR48" s="563" t="s">
        <v>434</v>
      </c>
      <c r="AS48" s="567">
        <v>33841.949000000001</v>
      </c>
      <c r="AT48" s="567">
        <v>32283.282999999999</v>
      </c>
      <c r="AU48" s="567">
        <v>0</v>
      </c>
      <c r="AV48" s="567" t="s">
        <v>434</v>
      </c>
      <c r="AW48" s="567">
        <v>1039430.362</v>
      </c>
      <c r="AX48" s="567">
        <v>3160.739</v>
      </c>
      <c r="AY48" s="571" t="s">
        <v>435</v>
      </c>
      <c r="AZ48" s="571" t="s">
        <v>431</v>
      </c>
      <c r="BA48" s="563"/>
      <c r="BB48" s="563"/>
      <c r="BC48" s="221" t="s">
        <v>555</v>
      </c>
      <c r="BD48" s="591">
        <v>0.23700658725161536</v>
      </c>
      <c r="BE48" s="653">
        <v>-2.4367639631806226E-4</v>
      </c>
      <c r="BF48" s="559" t="s">
        <v>572</v>
      </c>
      <c r="BG48" s="613" t="s">
        <v>572</v>
      </c>
    </row>
    <row r="49" spans="1:59">
      <c r="A49" s="536" t="s">
        <v>70</v>
      </c>
      <c r="B49" s="536" t="s">
        <v>327</v>
      </c>
      <c r="C49" s="536">
        <v>40</v>
      </c>
      <c r="D49" s="536">
        <v>45</v>
      </c>
      <c r="E49" s="535" t="s">
        <v>327</v>
      </c>
      <c r="F49" s="532">
        <v>2013</v>
      </c>
      <c r="G49" s="534" t="s">
        <v>469</v>
      </c>
      <c r="H49" s="551">
        <v>-243.74</v>
      </c>
      <c r="I49" s="555">
        <v>237068.45</v>
      </c>
      <c r="J49" s="552">
        <v>-2.4367639631806225E-2</v>
      </c>
      <c r="K49" s="552">
        <v>303.89143230000002</v>
      </c>
      <c r="L49" s="555">
        <v>1000261.017</v>
      </c>
      <c r="M49" s="553">
        <v>177391</v>
      </c>
      <c r="N49" s="553">
        <v>2014212</v>
      </c>
      <c r="O49" s="554">
        <v>490.58599591304193</v>
      </c>
      <c r="P49" s="555">
        <v>1089928.338</v>
      </c>
      <c r="Q49" s="555">
        <v>988144.2</v>
      </c>
      <c r="R49" s="555">
        <v>843121.81900000002</v>
      </c>
      <c r="S49" s="556">
        <v>85.323763373807196</v>
      </c>
      <c r="T49" s="562"/>
      <c r="U49" s="565">
        <v>1331499</v>
      </c>
      <c r="V49" s="566">
        <v>7932.6247683957799</v>
      </c>
      <c r="W49" s="565">
        <v>137868</v>
      </c>
      <c r="X49" s="565">
        <v>35874</v>
      </c>
      <c r="Y49" s="566">
        <v>821.3713352914192</v>
      </c>
      <c r="Z49" s="566">
        <v>3.8431175781903328</v>
      </c>
      <c r="AA49" s="567"/>
      <c r="AB49" s="567"/>
      <c r="AC49" s="567"/>
      <c r="AD49" s="567"/>
      <c r="AE49" s="567"/>
      <c r="AF49" s="567"/>
      <c r="AG49" s="567"/>
      <c r="AH49" s="567"/>
      <c r="AI49" s="567"/>
      <c r="AJ49" s="567"/>
      <c r="AK49" s="567"/>
      <c r="AL49" s="567"/>
      <c r="AM49" s="567"/>
      <c r="AN49" s="567"/>
      <c r="AO49" s="567"/>
      <c r="AP49" s="567"/>
      <c r="AQ49" s="567"/>
      <c r="AR49" s="563"/>
      <c r="AS49" s="567"/>
      <c r="AT49" s="567"/>
      <c r="AU49" s="567"/>
      <c r="AV49" s="567"/>
      <c r="AW49" s="567"/>
      <c r="AX49" s="567"/>
      <c r="AY49" s="571" t="s">
        <v>435</v>
      </c>
      <c r="AZ49" s="571" t="s">
        <v>431</v>
      </c>
      <c r="BA49" s="563"/>
      <c r="BB49" s="563"/>
      <c r="BC49" s="221" t="s">
        <v>555</v>
      </c>
      <c r="BD49" s="591">
        <v>0.23700658725161536</v>
      </c>
      <c r="BE49" s="653">
        <v>-2.4367639631806226E-4</v>
      </c>
      <c r="BF49" s="559" t="s">
        <v>572</v>
      </c>
      <c r="BG49" s="613" t="s">
        <v>572</v>
      </c>
    </row>
    <row r="50" spans="1:59">
      <c r="A50" s="536" t="s">
        <v>92</v>
      </c>
      <c r="B50" s="536" t="s">
        <v>390</v>
      </c>
      <c r="C50" s="536">
        <v>37</v>
      </c>
      <c r="D50" s="536">
        <v>47</v>
      </c>
      <c r="E50" s="535" t="s">
        <v>390</v>
      </c>
      <c r="F50" s="532">
        <v>2013</v>
      </c>
      <c r="G50" s="534" t="s">
        <v>567</v>
      </c>
      <c r="H50" s="551">
        <v>48908.625</v>
      </c>
      <c r="I50" s="555">
        <v>82060.517999999996</v>
      </c>
      <c r="J50" s="552">
        <v>3.7551505648948651</v>
      </c>
      <c r="K50" s="552">
        <v>480.9484842</v>
      </c>
      <c r="L50" s="555">
        <v>1302441.118</v>
      </c>
      <c r="M50" s="553">
        <v>168070</v>
      </c>
      <c r="N50" s="553">
        <v>2010008</v>
      </c>
      <c r="O50" s="554">
        <v>317.78603119987582</v>
      </c>
      <c r="P50" s="555">
        <v>638752.46499999997</v>
      </c>
      <c r="Q50" s="555">
        <v>638752.46499999997</v>
      </c>
      <c r="R50" s="555">
        <v>579090.94700000004</v>
      </c>
      <c r="S50" s="556">
        <v>90.659680976730172</v>
      </c>
      <c r="T50" s="562"/>
      <c r="U50" s="565">
        <v>931116</v>
      </c>
      <c r="V50" s="566">
        <v>5558.8793676443083</v>
      </c>
      <c r="W50" s="565">
        <v>73632</v>
      </c>
      <c r="X50" s="565">
        <v>15981</v>
      </c>
      <c r="Y50" s="566">
        <v>439.59228022973042</v>
      </c>
      <c r="Z50" s="566">
        <v>4.6074713722545519</v>
      </c>
      <c r="AA50" s="567">
        <v>639573.47699999996</v>
      </c>
      <c r="AB50" s="567">
        <v>0</v>
      </c>
      <c r="AC50" s="567">
        <v>0</v>
      </c>
      <c r="AD50" s="567">
        <v>0</v>
      </c>
      <c r="AE50" s="567">
        <v>0</v>
      </c>
      <c r="AF50" s="567" t="s">
        <v>434</v>
      </c>
      <c r="AG50" s="567">
        <v>639573.47699999996</v>
      </c>
      <c r="AH50" s="567">
        <v>546207.98800000001</v>
      </c>
      <c r="AI50" s="567">
        <v>0</v>
      </c>
      <c r="AJ50" s="567">
        <v>0</v>
      </c>
      <c r="AK50" s="567">
        <v>0</v>
      </c>
      <c r="AL50" s="567">
        <v>59259.824000000001</v>
      </c>
      <c r="AM50" s="567">
        <v>0</v>
      </c>
      <c r="AN50" s="567">
        <v>4558.2070000000003</v>
      </c>
      <c r="AO50" s="567">
        <v>610026.01899999997</v>
      </c>
      <c r="AP50" s="567">
        <v>65661.672000000006</v>
      </c>
      <c r="AQ50" s="567">
        <v>544364.34699999995</v>
      </c>
      <c r="AR50" s="563" t="s">
        <v>434</v>
      </c>
      <c r="AS50" s="567">
        <v>11852.717000000001</v>
      </c>
      <c r="AT50" s="567">
        <v>63701.239000000001</v>
      </c>
      <c r="AU50" s="567">
        <v>0</v>
      </c>
      <c r="AV50" s="567" t="s">
        <v>434</v>
      </c>
      <c r="AW50" s="567">
        <v>619918.30299999996</v>
      </c>
      <c r="AX50" s="567">
        <v>19655.173999999999</v>
      </c>
      <c r="AY50" s="571" t="s">
        <v>435</v>
      </c>
      <c r="AZ50" s="571" t="s">
        <v>431</v>
      </c>
      <c r="BA50" s="563"/>
      <c r="BB50" s="563"/>
      <c r="BC50" s="221" t="s">
        <v>555</v>
      </c>
      <c r="BD50" s="591">
        <v>6.300516535135986E-2</v>
      </c>
      <c r="BE50" s="653">
        <v>3.0398024881338415E-2</v>
      </c>
      <c r="BF50" s="559" t="s">
        <v>574</v>
      </c>
      <c r="BG50" s="613" t="s">
        <v>574</v>
      </c>
    </row>
    <row r="51" spans="1:59">
      <c r="A51" s="536" t="s">
        <v>79</v>
      </c>
      <c r="B51" s="536" t="s">
        <v>261</v>
      </c>
      <c r="C51" s="536">
        <v>27</v>
      </c>
      <c r="D51" s="536">
        <v>48</v>
      </c>
      <c r="E51" s="535" t="s">
        <v>261</v>
      </c>
      <c r="F51" s="532">
        <v>2013</v>
      </c>
      <c r="G51" s="534" t="s">
        <v>567</v>
      </c>
      <c r="H51" s="551">
        <v>16562.767</v>
      </c>
      <c r="I51" s="555">
        <v>84685.778000000006</v>
      </c>
      <c r="J51" s="552">
        <v>1.5160774221900462</v>
      </c>
      <c r="K51" s="552">
        <v>581.16386609999995</v>
      </c>
      <c r="L51" s="555">
        <v>1092475.0120000001</v>
      </c>
      <c r="M51" s="553">
        <v>163502</v>
      </c>
      <c r="N51" s="553">
        <v>1981712</v>
      </c>
      <c r="O51" s="554">
        <v>278.75413531330486</v>
      </c>
      <c r="P51" s="555">
        <v>552410.41500000004</v>
      </c>
      <c r="Q51" s="555">
        <v>552410.41500000004</v>
      </c>
      <c r="R51" s="555">
        <v>475582.10700000002</v>
      </c>
      <c r="S51" s="556">
        <v>86.092168808946155</v>
      </c>
      <c r="T51" s="562"/>
      <c r="U51" s="565">
        <v>1030975</v>
      </c>
      <c r="V51" s="566">
        <v>6242.9354013095744</v>
      </c>
      <c r="W51" s="565">
        <v>47120</v>
      </c>
      <c r="X51" s="565">
        <v>16059</v>
      </c>
      <c r="Y51" s="566">
        <v>285.3290488224323</v>
      </c>
      <c r="Z51" s="566">
        <v>2.9341802104738774</v>
      </c>
      <c r="AA51" s="567">
        <v>562100</v>
      </c>
      <c r="AB51" s="567">
        <v>0</v>
      </c>
      <c r="AC51" s="567">
        <v>0</v>
      </c>
      <c r="AD51" s="567">
        <v>0</v>
      </c>
      <c r="AE51" s="567">
        <v>0</v>
      </c>
      <c r="AF51" s="567" t="s">
        <v>434</v>
      </c>
      <c r="AG51" s="567">
        <v>562100</v>
      </c>
      <c r="AH51" s="567">
        <v>415665</v>
      </c>
      <c r="AI51" s="567">
        <v>23802</v>
      </c>
      <c r="AJ51" s="567">
        <v>0</v>
      </c>
      <c r="AK51" s="567">
        <v>0</v>
      </c>
      <c r="AL51" s="567">
        <v>62409</v>
      </c>
      <c r="AM51" s="567">
        <v>0</v>
      </c>
      <c r="AN51" s="567">
        <v>0</v>
      </c>
      <c r="AO51" s="567">
        <v>501876</v>
      </c>
      <c r="AP51" s="567">
        <v>0</v>
      </c>
      <c r="AQ51" s="567">
        <v>501876</v>
      </c>
      <c r="AR51" s="563" t="s">
        <v>434</v>
      </c>
      <c r="AS51" s="567">
        <v>11373</v>
      </c>
      <c r="AT51" s="567">
        <v>29657</v>
      </c>
      <c r="AU51" s="567">
        <v>0</v>
      </c>
      <c r="AV51" s="567" t="s">
        <v>434</v>
      </c>
      <c r="AW51" s="567">
        <v>542906</v>
      </c>
      <c r="AX51" s="567">
        <v>19194</v>
      </c>
      <c r="AY51" s="571" t="s">
        <v>435</v>
      </c>
      <c r="AZ51" s="571" t="s">
        <v>431</v>
      </c>
      <c r="BA51" s="563"/>
      <c r="BB51" s="563"/>
      <c r="BC51" s="221" t="s">
        <v>555</v>
      </c>
      <c r="BD51" s="591">
        <v>7.7517359271188524E-2</v>
      </c>
      <c r="BE51" s="653">
        <v>6.1560952639349908E-2</v>
      </c>
      <c r="BF51" s="559" t="s">
        <v>575</v>
      </c>
      <c r="BG51" s="613" t="s">
        <v>575</v>
      </c>
    </row>
    <row r="52" spans="1:59">
      <c r="A52" s="536" t="s">
        <v>90</v>
      </c>
      <c r="B52" s="536" t="s">
        <v>164</v>
      </c>
      <c r="C52" s="536">
        <v>49</v>
      </c>
      <c r="D52" s="536">
        <v>49</v>
      </c>
      <c r="E52" s="535" t="s">
        <v>164</v>
      </c>
      <c r="F52" s="532">
        <v>2013</v>
      </c>
      <c r="G52" s="534" t="s">
        <v>567</v>
      </c>
      <c r="H52" s="551">
        <v>27252.966</v>
      </c>
      <c r="I52" s="555">
        <v>56775.633999999998</v>
      </c>
      <c r="J52" s="552">
        <v>5.2554412802640416</v>
      </c>
      <c r="K52" s="552">
        <v>623.66427399999998</v>
      </c>
      <c r="L52" s="555">
        <v>518566.65399999998</v>
      </c>
      <c r="M52" s="553">
        <v>159637</v>
      </c>
      <c r="N52" s="553">
        <v>1957462</v>
      </c>
      <c r="O52" s="554">
        <v>228.0711370131323</v>
      </c>
      <c r="P52" s="555">
        <v>446440.58399999997</v>
      </c>
      <c r="Q52" s="555">
        <v>446440.58399999997</v>
      </c>
      <c r="R52" s="555">
        <v>366053.68099999998</v>
      </c>
      <c r="S52" s="556">
        <v>81.993818241219756</v>
      </c>
      <c r="T52" s="562"/>
      <c r="U52" s="565">
        <v>1312152</v>
      </c>
      <c r="V52" s="566">
        <v>8043.9998324360831</v>
      </c>
      <c r="W52" s="565">
        <v>41507</v>
      </c>
      <c r="X52" s="565">
        <v>6765</v>
      </c>
      <c r="Y52" s="566">
        <v>254.45398173757653</v>
      </c>
      <c r="Z52" s="566">
        <v>6.1355506282335552</v>
      </c>
      <c r="AA52" s="567">
        <v>449852.92700000003</v>
      </c>
      <c r="AB52" s="567">
        <v>0</v>
      </c>
      <c r="AC52" s="567">
        <v>0</v>
      </c>
      <c r="AD52" s="567">
        <v>0</v>
      </c>
      <c r="AE52" s="567">
        <v>0</v>
      </c>
      <c r="AF52" s="567" t="s">
        <v>434</v>
      </c>
      <c r="AG52" s="567">
        <v>449852.92700000003</v>
      </c>
      <c r="AH52" s="567">
        <v>298267.16100000002</v>
      </c>
      <c r="AI52" s="567">
        <v>35433.082000000002</v>
      </c>
      <c r="AJ52" s="567">
        <v>0</v>
      </c>
      <c r="AK52" s="567">
        <v>25237.544000000002</v>
      </c>
      <c r="AL52" s="567">
        <v>60</v>
      </c>
      <c r="AM52" s="567">
        <v>4528.3630000000003</v>
      </c>
      <c r="AN52" s="567">
        <v>0</v>
      </c>
      <c r="AO52" s="567">
        <v>363526.15</v>
      </c>
      <c r="AP52" s="567">
        <v>0</v>
      </c>
      <c r="AQ52" s="567">
        <v>363526.15</v>
      </c>
      <c r="AR52" s="563" t="s">
        <v>434</v>
      </c>
      <c r="AS52" s="567">
        <v>80359.455000000002</v>
      </c>
      <c r="AT52" s="567">
        <v>4439.4089999999997</v>
      </c>
      <c r="AU52" s="567">
        <v>0</v>
      </c>
      <c r="AV52" s="567" t="s">
        <v>434</v>
      </c>
      <c r="AW52" s="567">
        <v>448325.01400000002</v>
      </c>
      <c r="AX52" s="567">
        <v>1527.913</v>
      </c>
      <c r="AY52" s="571" t="s">
        <v>435</v>
      </c>
      <c r="AZ52" s="571" t="s">
        <v>431</v>
      </c>
      <c r="BA52" s="563"/>
      <c r="BB52" s="563"/>
      <c r="BC52" s="221" t="s">
        <v>555</v>
      </c>
      <c r="BD52" s="591">
        <v>0.10948570171656274</v>
      </c>
      <c r="BE52" s="653">
        <v>7.0576115871239742E-2</v>
      </c>
      <c r="BF52" s="559" t="s">
        <v>575</v>
      </c>
      <c r="BG52" s="613" t="s">
        <v>575</v>
      </c>
    </row>
    <row r="53" spans="1:59">
      <c r="A53" s="532" t="s">
        <v>82</v>
      </c>
      <c r="B53" s="532" t="s">
        <v>419</v>
      </c>
      <c r="C53" s="532">
        <v>2</v>
      </c>
      <c r="D53" s="532">
        <v>50</v>
      </c>
      <c r="E53" s="535" t="s">
        <v>201</v>
      </c>
      <c r="F53" s="532">
        <v>2013</v>
      </c>
      <c r="G53" s="534" t="s">
        <v>469</v>
      </c>
      <c r="H53" s="551">
        <v>13140.305</v>
      </c>
      <c r="I53" s="551">
        <v>131994.15</v>
      </c>
      <c r="J53" s="568">
        <v>1.652798626563768</v>
      </c>
      <c r="K53" s="568">
        <v>455.92345829999999</v>
      </c>
      <c r="L53" s="551">
        <v>795033.63500000001</v>
      </c>
      <c r="M53" s="557">
        <v>170851</v>
      </c>
      <c r="N53" s="557">
        <v>1950988</v>
      </c>
      <c r="O53" s="558">
        <v>403.80439090348068</v>
      </c>
      <c r="P53" s="551">
        <v>787817.52099999995</v>
      </c>
      <c r="Q53" s="551">
        <v>787817.52099999995</v>
      </c>
      <c r="R53" s="551">
        <v>612525.14599999995</v>
      </c>
      <c r="S53" s="569">
        <v>77.749622174244578</v>
      </c>
      <c r="T53" s="564"/>
      <c r="U53" s="560">
        <v>1052171</v>
      </c>
      <c r="V53" s="561">
        <v>6471.6195076545828</v>
      </c>
      <c r="W53" s="560">
        <v>94172</v>
      </c>
      <c r="X53" s="560">
        <v>17575</v>
      </c>
      <c r="Y53" s="561">
        <v>579.22652522721819</v>
      </c>
      <c r="Z53" s="561">
        <v>5.3582930298719775</v>
      </c>
      <c r="AA53" s="567">
        <v>798555.647</v>
      </c>
      <c r="AB53" s="567">
        <v>0</v>
      </c>
      <c r="AC53" s="567">
        <v>0</v>
      </c>
      <c r="AD53" s="567">
        <v>0</v>
      </c>
      <c r="AE53" s="567">
        <v>0</v>
      </c>
      <c r="AF53" s="567" t="s">
        <v>434</v>
      </c>
      <c r="AG53" s="567">
        <v>798555.647</v>
      </c>
      <c r="AH53" s="567">
        <v>461257.83</v>
      </c>
      <c r="AI53" s="567">
        <v>103875.56</v>
      </c>
      <c r="AJ53" s="567">
        <v>0</v>
      </c>
      <c r="AK53" s="567">
        <v>46884.207999999999</v>
      </c>
      <c r="AL53" s="567">
        <v>72427.012000000002</v>
      </c>
      <c r="AM53" s="567">
        <v>0</v>
      </c>
      <c r="AN53" s="567">
        <v>4643.6660000000002</v>
      </c>
      <c r="AO53" s="567">
        <v>689088.27599999995</v>
      </c>
      <c r="AP53" s="567">
        <v>7878.2669999999998</v>
      </c>
      <c r="AQ53" s="567">
        <v>681210.00899999996</v>
      </c>
      <c r="AR53" s="563" t="s">
        <v>434</v>
      </c>
      <c r="AS53" s="567">
        <v>24385.392</v>
      </c>
      <c r="AT53" s="567">
        <v>89186.785000000003</v>
      </c>
      <c r="AU53" s="567">
        <v>-717.18600000000004</v>
      </c>
      <c r="AV53" s="567" t="s">
        <v>434</v>
      </c>
      <c r="AW53" s="567">
        <v>794065</v>
      </c>
      <c r="AX53" s="567">
        <v>4490.6469999999999</v>
      </c>
      <c r="AY53" s="571" t="s">
        <v>430</v>
      </c>
      <c r="AZ53" s="571" t="s">
        <v>433</v>
      </c>
      <c r="BA53" s="563"/>
      <c r="BB53" s="563"/>
      <c r="BC53" s="221" t="s">
        <v>555</v>
      </c>
      <c r="BD53" s="591">
        <v>0.166023353213226</v>
      </c>
      <c r="BE53" s="653">
        <v>1.652798626563768E-2</v>
      </c>
      <c r="BF53" s="559" t="s">
        <v>573</v>
      </c>
      <c r="BG53" s="613" t="s">
        <v>573</v>
      </c>
    </row>
    <row r="54" spans="1:59">
      <c r="A54" s="536" t="s">
        <v>66</v>
      </c>
      <c r="B54" s="536" t="s">
        <v>162</v>
      </c>
      <c r="C54" s="536">
        <v>23</v>
      </c>
      <c r="D54" s="536">
        <v>51</v>
      </c>
      <c r="E54" s="535" t="s">
        <v>162</v>
      </c>
      <c r="F54" s="532">
        <v>2013</v>
      </c>
      <c r="G54" s="534" t="s">
        <v>567</v>
      </c>
      <c r="H54" s="551">
        <v>-61772.002</v>
      </c>
      <c r="I54" s="555">
        <v>66090.179999999993</v>
      </c>
      <c r="J54" s="552">
        <v>-4.5321612835352685</v>
      </c>
      <c r="K54" s="552">
        <v>184.3628908</v>
      </c>
      <c r="L54" s="555">
        <v>1362970.074</v>
      </c>
      <c r="M54" s="553">
        <v>170083</v>
      </c>
      <c r="N54" s="553">
        <v>1936381</v>
      </c>
      <c r="O54" s="554">
        <v>453.77777203969674</v>
      </c>
      <c r="P54" s="555">
        <v>878686.65599999996</v>
      </c>
      <c r="Q54" s="555">
        <v>878686.65599999996</v>
      </c>
      <c r="R54" s="555">
        <v>810692.57799999998</v>
      </c>
      <c r="S54" s="556">
        <v>92.261851533113528</v>
      </c>
      <c r="T54" s="562"/>
      <c r="U54" s="565">
        <v>1227192</v>
      </c>
      <c r="V54" s="566">
        <v>7605.0653254705558</v>
      </c>
      <c r="W54" s="565">
        <v>100862</v>
      </c>
      <c r="X54" s="565">
        <v>19443</v>
      </c>
      <c r="Y54" s="566">
        <v>625.05467673975318</v>
      </c>
      <c r="Z54" s="566">
        <v>5.1875739340636731</v>
      </c>
      <c r="AA54" s="567">
        <v>913840.01800000004</v>
      </c>
      <c r="AB54" s="567">
        <v>0</v>
      </c>
      <c r="AC54" s="567">
        <v>0</v>
      </c>
      <c r="AD54" s="567">
        <v>0</v>
      </c>
      <c r="AE54" s="567">
        <v>0</v>
      </c>
      <c r="AF54" s="567" t="s">
        <v>434</v>
      </c>
      <c r="AG54" s="567">
        <v>913840.01800000004</v>
      </c>
      <c r="AH54" s="567">
        <v>606047.33400000003</v>
      </c>
      <c r="AI54" s="567">
        <v>54578.612999999998</v>
      </c>
      <c r="AJ54" s="567">
        <v>0</v>
      </c>
      <c r="AK54" s="567">
        <v>55198.074999999997</v>
      </c>
      <c r="AL54" s="567">
        <v>194878.91500000001</v>
      </c>
      <c r="AM54" s="567">
        <v>30497.732</v>
      </c>
      <c r="AN54" s="567">
        <v>0</v>
      </c>
      <c r="AO54" s="567">
        <v>941200.66899999999</v>
      </c>
      <c r="AP54" s="567">
        <v>0</v>
      </c>
      <c r="AQ54" s="567">
        <v>941200.66899999999</v>
      </c>
      <c r="AR54" s="563" t="s">
        <v>434</v>
      </c>
      <c r="AS54" s="567">
        <v>24503.002</v>
      </c>
      <c r="AT54" s="567">
        <v>50584.125999999997</v>
      </c>
      <c r="AU54" s="567">
        <v>-32900</v>
      </c>
      <c r="AV54" s="567" t="s">
        <v>434</v>
      </c>
      <c r="AW54" s="567">
        <v>983387.79700000002</v>
      </c>
      <c r="AX54" s="567">
        <v>-69547.778999999995</v>
      </c>
      <c r="AY54" s="571" t="s">
        <v>435</v>
      </c>
      <c r="AZ54" s="571" t="s">
        <v>431</v>
      </c>
      <c r="BA54" s="563"/>
      <c r="BB54" s="563"/>
      <c r="BC54" s="221" t="s">
        <v>555</v>
      </c>
      <c r="BD54" s="591">
        <v>4.848982472963672E-2</v>
      </c>
      <c r="BE54" s="653">
        <v>2.8891659939228022E-2</v>
      </c>
      <c r="BF54" s="559" t="s">
        <v>574</v>
      </c>
      <c r="BG54" s="613" t="s">
        <v>574</v>
      </c>
    </row>
    <row r="55" spans="1:59">
      <c r="A55" s="536" t="s">
        <v>67</v>
      </c>
      <c r="B55" s="536" t="s">
        <v>387</v>
      </c>
      <c r="C55" s="536">
        <v>28</v>
      </c>
      <c r="D55" s="536">
        <v>52</v>
      </c>
      <c r="E55" s="535" t="s">
        <v>387</v>
      </c>
      <c r="F55" s="532">
        <v>2013</v>
      </c>
      <c r="G55" s="534" t="s">
        <v>567</v>
      </c>
      <c r="H55" s="551" t="s">
        <v>434</v>
      </c>
      <c r="I55" s="555" t="s">
        <v>434</v>
      </c>
      <c r="J55" s="552" t="s">
        <v>434</v>
      </c>
      <c r="K55" s="552" t="s">
        <v>434</v>
      </c>
      <c r="L55" s="555" t="s">
        <v>434</v>
      </c>
      <c r="M55" s="553">
        <v>166738</v>
      </c>
      <c r="N55" s="553">
        <v>1935034</v>
      </c>
      <c r="O55" s="554">
        <v>345.56022891587435</v>
      </c>
      <c r="P55" s="555">
        <v>668670.79200000002</v>
      </c>
      <c r="Q55" s="555">
        <v>668670.79200000002</v>
      </c>
      <c r="R55" s="555">
        <v>613825.26399999997</v>
      </c>
      <c r="S55" s="556">
        <v>91.797828070827407</v>
      </c>
      <c r="T55" s="562"/>
      <c r="U55" s="565">
        <v>2538480</v>
      </c>
      <c r="V55" s="566">
        <v>15742.235020159853</v>
      </c>
      <c r="W55" s="565">
        <v>79547</v>
      </c>
      <c r="X55" s="565">
        <v>19944</v>
      </c>
      <c r="Y55" s="566">
        <v>493.3060607720588</v>
      </c>
      <c r="Z55" s="566">
        <v>3.9885178499799436</v>
      </c>
      <c r="AA55" s="567"/>
      <c r="AB55" s="567"/>
      <c r="AC55" s="567"/>
      <c r="AD55" s="567"/>
      <c r="AE55" s="567"/>
      <c r="AF55" s="567"/>
      <c r="AG55" s="567"/>
      <c r="AH55" s="567"/>
      <c r="AI55" s="567"/>
      <c r="AJ55" s="567"/>
      <c r="AK55" s="567"/>
      <c r="AL55" s="567"/>
      <c r="AM55" s="567"/>
      <c r="AN55" s="567"/>
      <c r="AO55" s="567"/>
      <c r="AP55" s="567"/>
      <c r="AQ55" s="567"/>
      <c r="AR55" s="563"/>
      <c r="AS55" s="567"/>
      <c r="AT55" s="567"/>
      <c r="AU55" s="567"/>
      <c r="AV55" s="567"/>
      <c r="AW55" s="567"/>
      <c r="AX55" s="567"/>
      <c r="AY55" s="571" t="s">
        <v>435</v>
      </c>
      <c r="AZ55" s="571" t="s">
        <v>433</v>
      </c>
      <c r="BA55" s="563"/>
      <c r="BB55" s="563"/>
      <c r="BC55" s="221" t="s">
        <v>555</v>
      </c>
      <c r="BD55" s="591">
        <v>0</v>
      </c>
      <c r="BE55" s="653">
        <v>-100</v>
      </c>
      <c r="BF55" s="559" t="s">
        <v>455</v>
      </c>
      <c r="BG55" s="613" t="s">
        <v>455</v>
      </c>
    </row>
    <row r="56" spans="1:59">
      <c r="A56" s="532" t="s">
        <v>90</v>
      </c>
      <c r="B56" s="532" t="s">
        <v>418</v>
      </c>
      <c r="C56" s="532">
        <v>1</v>
      </c>
      <c r="D56" s="532">
        <v>53</v>
      </c>
      <c r="E56" s="535" t="s">
        <v>277</v>
      </c>
      <c r="F56" s="532">
        <v>2013</v>
      </c>
      <c r="G56" s="534" t="s">
        <v>567</v>
      </c>
      <c r="H56" s="551">
        <v>44808.758000000002</v>
      </c>
      <c r="I56" s="551">
        <v>106849.629</v>
      </c>
      <c r="J56" s="568">
        <v>3.0812418459019519</v>
      </c>
      <c r="K56" s="568">
        <v>357.48313760000002</v>
      </c>
      <c r="L56" s="551">
        <v>1454243.459</v>
      </c>
      <c r="M56" s="557">
        <v>163424</v>
      </c>
      <c r="N56" s="557">
        <v>1910663</v>
      </c>
      <c r="O56" s="558">
        <v>527.80100206054124</v>
      </c>
      <c r="P56" s="551">
        <v>1018160.728</v>
      </c>
      <c r="Q56" s="551">
        <v>1008449.846</v>
      </c>
      <c r="R56" s="551">
        <v>856909.13500000001</v>
      </c>
      <c r="S56" s="569">
        <v>84.972905534064608</v>
      </c>
      <c r="T56" s="562"/>
      <c r="U56" s="560">
        <v>2036448</v>
      </c>
      <c r="V56" s="561">
        <v>12789.998026862926</v>
      </c>
      <c r="W56" s="560">
        <v>131065</v>
      </c>
      <c r="X56" s="560">
        <v>24810</v>
      </c>
      <c r="Y56" s="561">
        <v>823.15929078021611</v>
      </c>
      <c r="Z56" s="561">
        <v>5.2827488915759773</v>
      </c>
      <c r="AA56" s="567">
        <v>1426826.953</v>
      </c>
      <c r="AB56" s="567">
        <v>0</v>
      </c>
      <c r="AC56" s="567">
        <v>0</v>
      </c>
      <c r="AD56" s="567">
        <v>0</v>
      </c>
      <c r="AE56" s="567">
        <v>0</v>
      </c>
      <c r="AF56" s="567" t="s">
        <v>434</v>
      </c>
      <c r="AG56" s="567">
        <v>1426826.953</v>
      </c>
      <c r="AH56" s="567">
        <v>866912.60600000003</v>
      </c>
      <c r="AI56" s="567">
        <v>58066.574000000001</v>
      </c>
      <c r="AJ56" s="567">
        <v>0</v>
      </c>
      <c r="AK56" s="567">
        <v>0</v>
      </c>
      <c r="AL56" s="567">
        <v>232293.93599999999</v>
      </c>
      <c r="AM56" s="567">
        <v>0</v>
      </c>
      <c r="AN56" s="567">
        <v>2430.6030000000001</v>
      </c>
      <c r="AO56" s="567">
        <v>1159703.719</v>
      </c>
      <c r="AP56" s="567">
        <v>0</v>
      </c>
      <c r="AQ56" s="567">
        <v>1159703.719</v>
      </c>
      <c r="AR56" s="563" t="s">
        <v>434</v>
      </c>
      <c r="AS56" s="567">
        <v>60862.120999999999</v>
      </c>
      <c r="AT56" s="567">
        <v>123002.723</v>
      </c>
      <c r="AU56" s="567">
        <v>0</v>
      </c>
      <c r="AV56" s="567" t="s">
        <v>434</v>
      </c>
      <c r="AW56" s="567">
        <v>1343568.5630000001</v>
      </c>
      <c r="AX56" s="567">
        <v>83258.39</v>
      </c>
      <c r="AY56" s="571" t="s">
        <v>430</v>
      </c>
      <c r="AZ56" s="571" t="s">
        <v>433</v>
      </c>
      <c r="BA56" s="563"/>
      <c r="BB56" s="563"/>
      <c r="BC56" s="221" t="s">
        <v>555</v>
      </c>
      <c r="BD56" s="591">
        <v>7.3474374829558708E-2</v>
      </c>
      <c r="BE56" s="653">
        <v>7.6796569829795158E-2</v>
      </c>
      <c r="BF56" s="559" t="s">
        <v>576</v>
      </c>
      <c r="BG56" s="613" t="s">
        <v>576</v>
      </c>
    </row>
    <row r="57" spans="1:59">
      <c r="A57" s="532" t="s">
        <v>65</v>
      </c>
      <c r="B57" s="532" t="s">
        <v>419</v>
      </c>
      <c r="C57" s="532">
        <v>2</v>
      </c>
      <c r="D57" s="532">
        <v>54</v>
      </c>
      <c r="E57" s="535" t="s">
        <v>240</v>
      </c>
      <c r="F57" s="532">
        <v>2013</v>
      </c>
      <c r="G57" s="534" t="s">
        <v>469</v>
      </c>
      <c r="H57" s="551">
        <v>4052.7310000000002</v>
      </c>
      <c r="I57" s="551">
        <v>49842.718999999997</v>
      </c>
      <c r="J57" s="568">
        <v>0.88745269623933132</v>
      </c>
      <c r="K57" s="568">
        <v>317.28291869999998</v>
      </c>
      <c r="L57" s="551">
        <v>456670.087</v>
      </c>
      <c r="M57" s="557">
        <v>151657</v>
      </c>
      <c r="N57" s="557">
        <v>1879053</v>
      </c>
      <c r="O57" s="558">
        <v>246.10641477382489</v>
      </c>
      <c r="P57" s="551">
        <v>462446.99699999997</v>
      </c>
      <c r="Q57" s="551">
        <v>462446.99699999997</v>
      </c>
      <c r="R57" s="551">
        <v>390913.46899999998</v>
      </c>
      <c r="S57" s="569">
        <v>84.531518538545086</v>
      </c>
      <c r="T57" s="564"/>
      <c r="U57" s="560">
        <v>743061</v>
      </c>
      <c r="V57" s="561">
        <v>4745.3328884283728</v>
      </c>
      <c r="W57" s="560">
        <v>79761</v>
      </c>
      <c r="X57" s="560">
        <v>17345</v>
      </c>
      <c r="Y57" s="561">
        <v>509.36934721905129</v>
      </c>
      <c r="Z57" s="561">
        <v>4.5985010089362932</v>
      </c>
      <c r="AA57" s="567">
        <v>566055.77300000004</v>
      </c>
      <c r="AB57" s="567">
        <v>0</v>
      </c>
      <c r="AC57" s="567">
        <v>0</v>
      </c>
      <c r="AD57" s="567">
        <v>0</v>
      </c>
      <c r="AE57" s="567">
        <v>0</v>
      </c>
      <c r="AF57" s="567" t="s">
        <v>434</v>
      </c>
      <c r="AG57" s="567">
        <v>566055.77300000004</v>
      </c>
      <c r="AH57" s="567">
        <v>288338.87400000001</v>
      </c>
      <c r="AI57" s="567">
        <v>60060.139000000003</v>
      </c>
      <c r="AJ57" s="567">
        <v>0</v>
      </c>
      <c r="AK57" s="567">
        <v>73658.217999999993</v>
      </c>
      <c r="AL57" s="567">
        <v>66396.301000000007</v>
      </c>
      <c r="AM57" s="567">
        <v>0</v>
      </c>
      <c r="AN57" s="567">
        <v>1047</v>
      </c>
      <c r="AO57" s="567">
        <v>489500.53200000001</v>
      </c>
      <c r="AP57" s="567">
        <v>1359.865</v>
      </c>
      <c r="AQ57" s="567">
        <v>488140.66700000002</v>
      </c>
      <c r="AR57" s="563" t="s">
        <v>434</v>
      </c>
      <c r="AS57" s="567">
        <v>16942.373</v>
      </c>
      <c r="AT57" s="567">
        <v>44644.851000000002</v>
      </c>
      <c r="AU57" s="567">
        <v>0</v>
      </c>
      <c r="AV57" s="567" t="s">
        <v>434</v>
      </c>
      <c r="AW57" s="567">
        <v>549727.89099999995</v>
      </c>
      <c r="AX57" s="567">
        <v>16327.882</v>
      </c>
      <c r="AY57" s="571" t="s">
        <v>430</v>
      </c>
      <c r="AZ57" s="571" t="s">
        <v>433</v>
      </c>
      <c r="BA57" s="563"/>
      <c r="BB57" s="563"/>
      <c r="BC57" s="221" t="s">
        <v>555</v>
      </c>
      <c r="BD57" s="591">
        <v>0.10914382268265362</v>
      </c>
      <c r="BE57" s="653">
        <v>8.8745269623933132E-3</v>
      </c>
      <c r="BF57" s="559" t="s">
        <v>573</v>
      </c>
      <c r="BG57" s="613" t="s">
        <v>573</v>
      </c>
    </row>
    <row r="58" spans="1:59">
      <c r="A58" s="532" t="s">
        <v>65</v>
      </c>
      <c r="B58" s="532" t="s">
        <v>423</v>
      </c>
      <c r="C58" s="532">
        <v>7</v>
      </c>
      <c r="D58" s="532">
        <v>55</v>
      </c>
      <c r="E58" s="535" t="s">
        <v>196</v>
      </c>
      <c r="F58" s="532">
        <v>2013</v>
      </c>
      <c r="G58" s="534" t="s">
        <v>469</v>
      </c>
      <c r="H58" s="551">
        <v>12379.048000000001</v>
      </c>
      <c r="I58" s="555">
        <v>39237.601999999999</v>
      </c>
      <c r="J58" s="552">
        <v>2.5230330583715568</v>
      </c>
      <c r="K58" s="552">
        <v>241.89069509999999</v>
      </c>
      <c r="L58" s="555">
        <v>490641.53</v>
      </c>
      <c r="M58" s="553">
        <v>144687</v>
      </c>
      <c r="N58" s="553">
        <v>1779027</v>
      </c>
      <c r="O58" s="554">
        <v>276.02445887555388</v>
      </c>
      <c r="P58" s="555">
        <v>491054.96500000003</v>
      </c>
      <c r="Q58" s="555">
        <v>491054.96500000003</v>
      </c>
      <c r="R58" s="555">
        <v>421866.06199999998</v>
      </c>
      <c r="S58" s="556">
        <v>85.910151015375632</v>
      </c>
      <c r="T58" s="562"/>
      <c r="U58" s="565">
        <v>1136361</v>
      </c>
      <c r="V58" s="566">
        <v>7665.0506147461501</v>
      </c>
      <c r="W58" s="565">
        <v>96086</v>
      </c>
      <c r="X58" s="565">
        <v>18255</v>
      </c>
      <c r="Y58" s="566">
        <v>648.12507061444262</v>
      </c>
      <c r="Z58" s="566">
        <v>5.2635442344563135</v>
      </c>
      <c r="AA58" s="567">
        <v>847028.96299999999</v>
      </c>
      <c r="AB58" s="567">
        <v>0</v>
      </c>
      <c r="AC58" s="567">
        <v>0</v>
      </c>
      <c r="AD58" s="567">
        <v>0</v>
      </c>
      <c r="AE58" s="567">
        <v>0</v>
      </c>
      <c r="AF58" s="567" t="s">
        <v>434</v>
      </c>
      <c r="AG58" s="567">
        <v>847028.96299999999</v>
      </c>
      <c r="AH58" s="567">
        <v>338883.88199999998</v>
      </c>
      <c r="AI58" s="567">
        <v>110615.245</v>
      </c>
      <c r="AJ58" s="567">
        <v>37677.021999999997</v>
      </c>
      <c r="AK58" s="567">
        <v>53882.951999999997</v>
      </c>
      <c r="AL58" s="567">
        <v>143490.296</v>
      </c>
      <c r="AM58" s="567">
        <v>91907.938999999998</v>
      </c>
      <c r="AN58" s="567">
        <v>0</v>
      </c>
      <c r="AO58" s="567">
        <v>776457.33600000001</v>
      </c>
      <c r="AP58" s="567">
        <v>0</v>
      </c>
      <c r="AQ58" s="567">
        <v>776457.33600000001</v>
      </c>
      <c r="AR58" s="563" t="s">
        <v>434</v>
      </c>
      <c r="AS58" s="567">
        <v>17442.751</v>
      </c>
      <c r="AT58" s="567">
        <v>39139.235000000001</v>
      </c>
      <c r="AU58" s="567">
        <v>0</v>
      </c>
      <c r="AV58" s="567" t="s">
        <v>434</v>
      </c>
      <c r="AW58" s="567">
        <v>833039.32200000004</v>
      </c>
      <c r="AX58" s="567">
        <v>13989.641</v>
      </c>
      <c r="AY58" s="571" t="s">
        <v>430</v>
      </c>
      <c r="AZ58" s="571" t="s">
        <v>431</v>
      </c>
      <c r="BA58" s="563"/>
      <c r="BB58" s="563"/>
      <c r="BC58" s="221" t="s">
        <v>555</v>
      </c>
      <c r="BD58" s="591">
        <v>7.9972035795665308E-2</v>
      </c>
      <c r="BE58" s="653">
        <v>2.5230330583715568E-2</v>
      </c>
      <c r="BF58" s="559" t="s">
        <v>574</v>
      </c>
      <c r="BG58" s="613" t="s">
        <v>574</v>
      </c>
    </row>
    <row r="59" spans="1:59">
      <c r="A59" s="532" t="s">
        <v>61</v>
      </c>
      <c r="B59" s="532" t="s">
        <v>422</v>
      </c>
      <c r="C59" s="532">
        <v>4</v>
      </c>
      <c r="D59" s="532">
        <v>56</v>
      </c>
      <c r="E59" s="535" t="s">
        <v>319</v>
      </c>
      <c r="F59" s="532">
        <v>2013</v>
      </c>
      <c r="G59" s="534" t="s">
        <v>567</v>
      </c>
      <c r="H59" s="551">
        <v>6577.4769999999999</v>
      </c>
      <c r="I59" s="555">
        <v>48452.536</v>
      </c>
      <c r="J59" s="552">
        <v>1.7869703215345047</v>
      </c>
      <c r="K59" s="552">
        <v>438.94472769999999</v>
      </c>
      <c r="L59" s="555">
        <v>368079.81199999998</v>
      </c>
      <c r="M59" s="553">
        <v>141470</v>
      </c>
      <c r="N59" s="553">
        <v>1722337</v>
      </c>
      <c r="O59" s="554">
        <v>116.65222717737586</v>
      </c>
      <c r="P59" s="555">
        <v>200914.44699999999</v>
      </c>
      <c r="Q59" s="555">
        <v>200914.44699999999</v>
      </c>
      <c r="R59" s="555">
        <v>171219.87299999999</v>
      </c>
      <c r="S59" s="556">
        <v>85.220289310504398</v>
      </c>
      <c r="T59" s="562"/>
      <c r="U59" s="560">
        <v>218671</v>
      </c>
      <c r="V59" s="561">
        <v>1523.541560101188</v>
      </c>
      <c r="W59" s="560">
        <v>34635</v>
      </c>
      <c r="X59" s="560">
        <v>9256</v>
      </c>
      <c r="Y59" s="561">
        <v>241.31165968100319</v>
      </c>
      <c r="Z59" s="561">
        <v>3.7418971477960241</v>
      </c>
      <c r="AA59" s="567">
        <v>289209.45400000003</v>
      </c>
      <c r="AB59" s="567">
        <v>0</v>
      </c>
      <c r="AC59" s="567">
        <v>0</v>
      </c>
      <c r="AD59" s="567">
        <v>0</v>
      </c>
      <c r="AE59" s="567">
        <v>0</v>
      </c>
      <c r="AF59" s="567" t="s">
        <v>434</v>
      </c>
      <c r="AG59" s="567">
        <v>289209.45400000003</v>
      </c>
      <c r="AH59" s="567">
        <v>211453.606</v>
      </c>
      <c r="AI59" s="567">
        <v>11365.666999999999</v>
      </c>
      <c r="AJ59" s="567">
        <v>0</v>
      </c>
      <c r="AK59" s="567">
        <v>36382.658000000003</v>
      </c>
      <c r="AL59" s="567">
        <v>44.866999999999997</v>
      </c>
      <c r="AM59" s="567">
        <v>0</v>
      </c>
      <c r="AN59" s="567">
        <v>0</v>
      </c>
      <c r="AO59" s="567">
        <v>259246.79800000001</v>
      </c>
      <c r="AP59" s="567">
        <v>570.16999999999996</v>
      </c>
      <c r="AQ59" s="567">
        <v>258676.628</v>
      </c>
      <c r="AR59" s="563" t="s">
        <v>434</v>
      </c>
      <c r="AS59" s="567">
        <v>6078.1120000000001</v>
      </c>
      <c r="AT59" s="567">
        <v>6378.7349999999997</v>
      </c>
      <c r="AU59" s="567">
        <v>0</v>
      </c>
      <c r="AV59" s="567" t="s">
        <v>434</v>
      </c>
      <c r="AW59" s="567">
        <v>271133.47499999998</v>
      </c>
      <c r="AX59" s="567">
        <v>18075.978999999999</v>
      </c>
      <c r="AY59" s="571" t="s">
        <v>430</v>
      </c>
      <c r="AZ59" s="571" t="s">
        <v>433</v>
      </c>
      <c r="BA59" s="563"/>
      <c r="BB59" s="563"/>
      <c r="BC59" s="221" t="s">
        <v>555</v>
      </c>
      <c r="BD59" s="591">
        <v>0.13163595073777098</v>
      </c>
      <c r="BE59" s="653">
        <v>1.616115615718508E-2</v>
      </c>
      <c r="BF59" s="559" t="s">
        <v>573</v>
      </c>
      <c r="BG59" s="613" t="s">
        <v>573</v>
      </c>
    </row>
    <row r="60" spans="1:59">
      <c r="A60" s="536" t="s">
        <v>70</v>
      </c>
      <c r="B60" s="536" t="s">
        <v>244</v>
      </c>
      <c r="C60" s="536">
        <v>22</v>
      </c>
      <c r="D60" s="536">
        <v>57</v>
      </c>
      <c r="E60" s="535" t="s">
        <v>244</v>
      </c>
      <c r="F60" s="532">
        <v>2013</v>
      </c>
      <c r="G60" s="534" t="s">
        <v>567</v>
      </c>
      <c r="H60" s="551">
        <v>-4314.643</v>
      </c>
      <c r="I60" s="555">
        <v>88998.051999999996</v>
      </c>
      <c r="J60" s="552">
        <v>-0.24259069472480935</v>
      </c>
      <c r="K60" s="552">
        <v>609.09159450000004</v>
      </c>
      <c r="L60" s="555">
        <v>1778569.044</v>
      </c>
      <c r="M60" s="553">
        <v>140036</v>
      </c>
      <c r="N60" s="553">
        <v>1693759</v>
      </c>
      <c r="O60" s="554">
        <v>726.77343175741055</v>
      </c>
      <c r="P60" s="555">
        <v>1230979.041</v>
      </c>
      <c r="Q60" s="555">
        <v>1230979.041</v>
      </c>
      <c r="R60" s="555">
        <v>1198754.4850000001</v>
      </c>
      <c r="S60" s="556">
        <v>97.382201083308303</v>
      </c>
      <c r="T60" s="562"/>
      <c r="U60" s="565">
        <v>1914537</v>
      </c>
      <c r="V60" s="566">
        <v>13564.175304751148</v>
      </c>
      <c r="W60" s="565">
        <v>131682</v>
      </c>
      <c r="X60" s="565">
        <v>27624</v>
      </c>
      <c r="Y60" s="566">
        <v>932.94500575347502</v>
      </c>
      <c r="Z60" s="566">
        <v>4.7669417897480448</v>
      </c>
      <c r="AA60" s="567">
        <v>1336473.997</v>
      </c>
      <c r="AB60" s="567">
        <v>0</v>
      </c>
      <c r="AC60" s="567">
        <v>0</v>
      </c>
      <c r="AD60" s="567">
        <v>0</v>
      </c>
      <c r="AE60" s="567">
        <v>0</v>
      </c>
      <c r="AF60" s="567" t="s">
        <v>434</v>
      </c>
      <c r="AG60" s="567">
        <v>1336473.997</v>
      </c>
      <c r="AH60" s="567">
        <v>506686.99599999998</v>
      </c>
      <c r="AI60" s="567">
        <v>242028.171</v>
      </c>
      <c r="AJ60" s="567">
        <v>0</v>
      </c>
      <c r="AK60" s="567">
        <v>52379.921000000002</v>
      </c>
      <c r="AL60" s="567">
        <v>301154.54200000002</v>
      </c>
      <c r="AM60" s="567">
        <v>34377.802000000003</v>
      </c>
      <c r="AN60" s="567">
        <v>0</v>
      </c>
      <c r="AO60" s="567">
        <v>1136627.4310000001</v>
      </c>
      <c r="AP60" s="567">
        <v>0</v>
      </c>
      <c r="AQ60" s="567">
        <v>1136627.4310000001</v>
      </c>
      <c r="AR60" s="563" t="s">
        <v>434</v>
      </c>
      <c r="AS60" s="567">
        <v>50604.451000000001</v>
      </c>
      <c r="AT60" s="567">
        <v>149930.61499999999</v>
      </c>
      <c r="AU60" s="567">
        <v>0</v>
      </c>
      <c r="AV60" s="567" t="s">
        <v>434</v>
      </c>
      <c r="AW60" s="567">
        <v>1337162.497</v>
      </c>
      <c r="AX60" s="567">
        <v>-688.5</v>
      </c>
      <c r="AY60" s="571" t="s">
        <v>430</v>
      </c>
      <c r="AZ60" s="571" t="s">
        <v>431</v>
      </c>
      <c r="BA60" s="563"/>
      <c r="BB60" s="563"/>
      <c r="BC60" s="221" t="s">
        <v>555</v>
      </c>
      <c r="BD60" s="591">
        <v>5.0039132470136478E-2</v>
      </c>
      <c r="BE60" s="653">
        <v>-2.3861143303219541E-2</v>
      </c>
      <c r="BF60" s="559" t="s">
        <v>572</v>
      </c>
      <c r="BG60" s="613" t="s">
        <v>572</v>
      </c>
    </row>
    <row r="61" spans="1:59">
      <c r="A61" s="532" t="s">
        <v>82</v>
      </c>
      <c r="B61" s="532" t="s">
        <v>418</v>
      </c>
      <c r="C61" s="532">
        <v>1</v>
      </c>
      <c r="D61" s="532">
        <v>58</v>
      </c>
      <c r="E61" s="535" t="s">
        <v>276</v>
      </c>
      <c r="F61" s="532">
        <v>2013</v>
      </c>
      <c r="G61" s="534" t="s">
        <v>469</v>
      </c>
      <c r="H61" s="551">
        <v>24268.098999999998</v>
      </c>
      <c r="I61" s="551">
        <v>85918.824999999997</v>
      </c>
      <c r="J61" s="568">
        <v>3.6364365669518812</v>
      </c>
      <c r="K61" s="568">
        <v>690.65390620000005</v>
      </c>
      <c r="L61" s="551">
        <v>667359.33799999999</v>
      </c>
      <c r="M61" s="557">
        <v>167699</v>
      </c>
      <c r="N61" s="557">
        <v>1679642</v>
      </c>
      <c r="O61" s="558">
        <v>399.72957868402909</v>
      </c>
      <c r="P61" s="551">
        <v>671779.05599999998</v>
      </c>
      <c r="Q61" s="551">
        <v>671402.58900000004</v>
      </c>
      <c r="R61" s="551">
        <v>513923.98599999998</v>
      </c>
      <c r="S61" s="569">
        <v>76.544832328610511</v>
      </c>
      <c r="T61" s="562"/>
      <c r="U61" s="560">
        <v>1682813</v>
      </c>
      <c r="V61" s="561">
        <v>12022.65482763589</v>
      </c>
      <c r="W61" s="560">
        <v>82208</v>
      </c>
      <c r="X61" s="560">
        <v>15282</v>
      </c>
      <c r="Y61" s="561">
        <v>587.32515619399851</v>
      </c>
      <c r="Z61" s="561">
        <v>5.3794006020154432</v>
      </c>
      <c r="AA61" s="567">
        <v>833434.43500000006</v>
      </c>
      <c r="AB61" s="567">
        <v>0</v>
      </c>
      <c r="AC61" s="567">
        <v>0</v>
      </c>
      <c r="AD61" s="567">
        <v>0</v>
      </c>
      <c r="AE61" s="567">
        <v>0</v>
      </c>
      <c r="AF61" s="567" t="s">
        <v>434</v>
      </c>
      <c r="AG61" s="567">
        <v>833434.43500000006</v>
      </c>
      <c r="AH61" s="567">
        <v>627388.50300000003</v>
      </c>
      <c r="AI61" s="567">
        <v>4794.3440000000001</v>
      </c>
      <c r="AJ61" s="567">
        <v>0</v>
      </c>
      <c r="AK61" s="567">
        <v>29428.258999999998</v>
      </c>
      <c r="AL61" s="567">
        <v>104725.243</v>
      </c>
      <c r="AM61" s="567">
        <v>0</v>
      </c>
      <c r="AN61" s="567">
        <v>3587.0070000000001</v>
      </c>
      <c r="AO61" s="567">
        <v>769923.35600000003</v>
      </c>
      <c r="AP61" s="567">
        <v>1280.8520000000001</v>
      </c>
      <c r="AQ61" s="567">
        <v>768642.50399999996</v>
      </c>
      <c r="AR61" s="563" t="s">
        <v>434</v>
      </c>
      <c r="AS61" s="567">
        <v>30055.472000000002</v>
      </c>
      <c r="AT61" s="567">
        <v>43465.911999999997</v>
      </c>
      <c r="AU61" s="567">
        <v>0</v>
      </c>
      <c r="AV61" s="567" t="s">
        <v>434</v>
      </c>
      <c r="AW61" s="567">
        <v>842163.88800000004</v>
      </c>
      <c r="AX61" s="567">
        <v>-8729.4529999999995</v>
      </c>
      <c r="AY61" s="571" t="s">
        <v>430</v>
      </c>
      <c r="AZ61" s="571" t="s">
        <v>433</v>
      </c>
      <c r="BA61" s="563"/>
      <c r="BB61" s="563"/>
      <c r="BC61" s="221" t="s">
        <v>555</v>
      </c>
      <c r="BD61" s="591">
        <v>0.12874447109332274</v>
      </c>
      <c r="BE61" s="653">
        <v>3.6364365669518811E-2</v>
      </c>
      <c r="BF61" s="559" t="s">
        <v>574</v>
      </c>
      <c r="BG61" s="613" t="s">
        <v>574</v>
      </c>
    </row>
    <row r="62" spans="1:59">
      <c r="A62" s="532" t="s">
        <v>63</v>
      </c>
      <c r="B62" s="532" t="s">
        <v>419</v>
      </c>
      <c r="C62" s="532">
        <v>2</v>
      </c>
      <c r="D62" s="532">
        <v>59</v>
      </c>
      <c r="E62" s="535" t="s">
        <v>267</v>
      </c>
      <c r="F62" s="532">
        <v>2013</v>
      </c>
      <c r="G62" s="534" t="s">
        <v>469</v>
      </c>
      <c r="H62" s="551">
        <v>-91039.532999999996</v>
      </c>
      <c r="I62" s="551">
        <v>74075.243000000002</v>
      </c>
      <c r="J62" s="568">
        <v>-11.355826335414982</v>
      </c>
      <c r="K62" s="568">
        <v>254.60615039999999</v>
      </c>
      <c r="L62" s="551">
        <v>801698.88399999996</v>
      </c>
      <c r="M62" s="557">
        <v>139904</v>
      </c>
      <c r="N62" s="557">
        <v>1654649</v>
      </c>
      <c r="O62" s="558">
        <v>487.47063576625618</v>
      </c>
      <c r="P62" s="551">
        <v>806592.8</v>
      </c>
      <c r="Q62" s="551">
        <v>806592.8</v>
      </c>
      <c r="R62" s="551">
        <v>801954.52399999998</v>
      </c>
      <c r="S62" s="569">
        <v>99.424954450374443</v>
      </c>
      <c r="T62" s="564"/>
      <c r="U62" s="560">
        <v>726080</v>
      </c>
      <c r="V62" s="561">
        <v>5265.7451822108496</v>
      </c>
      <c r="W62" s="560">
        <v>67800</v>
      </c>
      <c r="X62" s="560">
        <v>15830</v>
      </c>
      <c r="Y62" s="561">
        <v>491.70549161785976</v>
      </c>
      <c r="Z62" s="561">
        <v>4.2830069488313329</v>
      </c>
      <c r="AA62" s="567">
        <v>1600223.652</v>
      </c>
      <c r="AB62" s="567">
        <v>-8583.9779999999992</v>
      </c>
      <c r="AC62" s="567">
        <v>0</v>
      </c>
      <c r="AD62" s="567">
        <v>0</v>
      </c>
      <c r="AE62" s="567">
        <v>0</v>
      </c>
      <c r="AF62" s="567" t="s">
        <v>434</v>
      </c>
      <c r="AG62" s="567">
        <v>1591639.6740000001</v>
      </c>
      <c r="AH62" s="567">
        <v>953185.69499999995</v>
      </c>
      <c r="AI62" s="567">
        <v>62053.534</v>
      </c>
      <c r="AJ62" s="567">
        <v>0</v>
      </c>
      <c r="AK62" s="567">
        <v>94045.975000000006</v>
      </c>
      <c r="AL62" s="567">
        <v>282457.05200000003</v>
      </c>
      <c r="AM62" s="567">
        <v>0</v>
      </c>
      <c r="AN62" s="567">
        <v>2872.5709999999999</v>
      </c>
      <c r="AO62" s="567">
        <v>1394614.827</v>
      </c>
      <c r="AP62" s="567">
        <v>-1556.7619999999999</v>
      </c>
      <c r="AQ62" s="567">
        <v>1396171.5889999999</v>
      </c>
      <c r="AR62" s="563" t="s">
        <v>434</v>
      </c>
      <c r="AS62" s="567">
        <v>39803.508000000002</v>
      </c>
      <c r="AT62" s="567">
        <v>139307.76300000001</v>
      </c>
      <c r="AU62" s="567">
        <v>-3371.096</v>
      </c>
      <c r="AV62" s="567" t="s">
        <v>434</v>
      </c>
      <c r="AW62" s="567">
        <v>1571911.764</v>
      </c>
      <c r="AX62" s="567">
        <v>19727.91</v>
      </c>
      <c r="AY62" s="571" t="s">
        <v>430</v>
      </c>
      <c r="AZ62" s="571" t="s">
        <v>433</v>
      </c>
      <c r="BA62" s="563"/>
      <c r="BB62" s="563"/>
      <c r="BC62" s="221" t="s">
        <v>555</v>
      </c>
      <c r="BD62" s="591">
        <v>9.2397837240846159E-2</v>
      </c>
      <c r="BE62" s="653">
        <v>-0.11355826335414981</v>
      </c>
      <c r="BF62" s="559" t="s">
        <v>579</v>
      </c>
      <c r="BG62" s="613" t="s">
        <v>579</v>
      </c>
    </row>
    <row r="63" spans="1:59">
      <c r="A63" s="532" t="s">
        <v>78</v>
      </c>
      <c r="B63" s="532" t="s">
        <v>420</v>
      </c>
      <c r="C63" s="532">
        <v>3</v>
      </c>
      <c r="D63" s="532">
        <v>60</v>
      </c>
      <c r="E63" s="535" t="s">
        <v>192</v>
      </c>
      <c r="F63" s="532">
        <v>2013</v>
      </c>
      <c r="G63" s="534" t="s">
        <v>567</v>
      </c>
      <c r="H63" s="551">
        <v>25022.927</v>
      </c>
      <c r="I63" s="551">
        <v>47466.243999999999</v>
      </c>
      <c r="J63" s="568">
        <v>3.8765734454179785</v>
      </c>
      <c r="K63" s="568">
        <v>528.88414369999998</v>
      </c>
      <c r="L63" s="551">
        <v>645490.853</v>
      </c>
      <c r="M63" s="557">
        <v>135937</v>
      </c>
      <c r="N63" s="557">
        <v>1646334</v>
      </c>
      <c r="O63" s="558">
        <v>338.56132170021391</v>
      </c>
      <c r="P63" s="551">
        <v>557385.01500000001</v>
      </c>
      <c r="Q63" s="551">
        <v>557385.01500000001</v>
      </c>
      <c r="R63" s="551">
        <v>456272.20899999997</v>
      </c>
      <c r="S63" s="569">
        <v>81.859432299233944</v>
      </c>
      <c r="T63" s="562"/>
      <c r="U63" s="560">
        <v>743499</v>
      </c>
      <c r="V63" s="561">
        <v>5419.306167521293</v>
      </c>
      <c r="W63" s="560">
        <v>86968</v>
      </c>
      <c r="X63" s="560">
        <v>11971</v>
      </c>
      <c r="Y63" s="561">
        <v>633.90296258231922</v>
      </c>
      <c r="Z63" s="561">
        <v>7.2648901511987303</v>
      </c>
      <c r="AA63" s="567">
        <v>694805.98600000003</v>
      </c>
      <c r="AB63" s="567">
        <v>0</v>
      </c>
      <c r="AC63" s="567">
        <v>0</v>
      </c>
      <c r="AD63" s="567">
        <v>0</v>
      </c>
      <c r="AE63" s="567">
        <v>0</v>
      </c>
      <c r="AF63" s="567" t="s">
        <v>434</v>
      </c>
      <c r="AG63" s="567">
        <v>694805.98600000003</v>
      </c>
      <c r="AH63" s="567">
        <v>431752.05599999998</v>
      </c>
      <c r="AI63" s="567">
        <v>36664.612999999998</v>
      </c>
      <c r="AJ63" s="567">
        <v>0</v>
      </c>
      <c r="AK63" s="567">
        <v>27933.528999999999</v>
      </c>
      <c r="AL63" s="567">
        <v>86267.248999999996</v>
      </c>
      <c r="AM63" s="567">
        <v>88205.756999999998</v>
      </c>
      <c r="AN63" s="567">
        <v>0</v>
      </c>
      <c r="AO63" s="567">
        <v>670823.20400000003</v>
      </c>
      <c r="AP63" s="567">
        <v>0</v>
      </c>
      <c r="AQ63" s="567">
        <v>670823.20400000003</v>
      </c>
      <c r="AR63" s="563" t="s">
        <v>434</v>
      </c>
      <c r="AS63" s="567">
        <v>40786.839</v>
      </c>
      <c r="AT63" s="567">
        <v>25682.47</v>
      </c>
      <c r="AU63" s="567">
        <v>2973.9929999999999</v>
      </c>
      <c r="AV63" s="567" t="s">
        <v>434</v>
      </c>
      <c r="AW63" s="567">
        <v>740266.50600000005</v>
      </c>
      <c r="AX63" s="567">
        <v>-45460.52</v>
      </c>
      <c r="AY63" s="571" t="s">
        <v>430</v>
      </c>
      <c r="AZ63" s="571" t="s">
        <v>433</v>
      </c>
      <c r="BA63" s="563"/>
      <c r="BB63" s="563"/>
      <c r="BC63" s="221" t="s">
        <v>555</v>
      </c>
      <c r="BD63" s="591">
        <v>7.3535114834539728E-2</v>
      </c>
      <c r="BE63" s="653">
        <v>0.1078705621731208</v>
      </c>
      <c r="BF63" s="559" t="s">
        <v>581</v>
      </c>
      <c r="BG63" s="613" t="s">
        <v>581</v>
      </c>
    </row>
    <row r="64" spans="1:59">
      <c r="A64" s="536" t="s">
        <v>66</v>
      </c>
      <c r="B64" s="536" t="s">
        <v>270</v>
      </c>
      <c r="C64" s="536">
        <v>14</v>
      </c>
      <c r="D64" s="536">
        <v>61</v>
      </c>
      <c r="E64" s="535" t="s">
        <v>324</v>
      </c>
      <c r="F64" s="532">
        <v>2013</v>
      </c>
      <c r="G64" s="534" t="s">
        <v>567</v>
      </c>
      <c r="H64" s="551">
        <v>-66055.141690000004</v>
      </c>
      <c r="I64" s="555">
        <v>50880.864509999999</v>
      </c>
      <c r="J64" s="552">
        <v>-6.1574632325841687</v>
      </c>
      <c r="K64" s="552">
        <v>312.39907790000001</v>
      </c>
      <c r="L64" s="555">
        <v>1072765.5074</v>
      </c>
      <c r="M64" s="553">
        <v>136649</v>
      </c>
      <c r="N64" s="553">
        <v>1644612</v>
      </c>
      <c r="O64" s="554">
        <v>446.61250373948383</v>
      </c>
      <c r="P64" s="555">
        <v>734504.28300000005</v>
      </c>
      <c r="Q64" s="555">
        <v>734504.28300000005</v>
      </c>
      <c r="R64" s="555">
        <v>732763.522</v>
      </c>
      <c r="S64" s="556">
        <v>99.76300192656602</v>
      </c>
      <c r="T64" s="562"/>
      <c r="U64" s="565">
        <v>1958235</v>
      </c>
      <c r="V64" s="566">
        <v>14288.367104216679</v>
      </c>
      <c r="W64" s="565">
        <v>124696</v>
      </c>
      <c r="X64" s="565">
        <v>23911</v>
      </c>
      <c r="Y64" s="566">
        <v>909.85107733617417</v>
      </c>
      <c r="Z64" s="566">
        <v>5.2150056459370164</v>
      </c>
      <c r="AA64" s="567">
        <v>733823.55900000001</v>
      </c>
      <c r="AB64" s="567">
        <v>0</v>
      </c>
      <c r="AC64" s="567">
        <v>0</v>
      </c>
      <c r="AD64" s="567">
        <v>0</v>
      </c>
      <c r="AE64" s="567">
        <v>0</v>
      </c>
      <c r="AF64" s="567" t="s">
        <v>434</v>
      </c>
      <c r="AG64" s="567">
        <v>733823.55900000001</v>
      </c>
      <c r="AH64" s="567">
        <v>576564.93500000006</v>
      </c>
      <c r="AI64" s="567">
        <v>2707.7550000000001</v>
      </c>
      <c r="AJ64" s="567">
        <v>0</v>
      </c>
      <c r="AK64" s="567">
        <v>40540.900999999998</v>
      </c>
      <c r="AL64" s="567">
        <v>112356.90399999999</v>
      </c>
      <c r="AM64" s="567">
        <v>0</v>
      </c>
      <c r="AN64" s="567">
        <v>820.61900000000003</v>
      </c>
      <c r="AO64" s="567">
        <v>732991.11399999994</v>
      </c>
      <c r="AP64" s="567">
        <v>614.07500000000005</v>
      </c>
      <c r="AQ64" s="567">
        <v>732377.03899999999</v>
      </c>
      <c r="AR64" s="563" t="s">
        <v>434</v>
      </c>
      <c r="AS64" s="567">
        <v>18682.05</v>
      </c>
      <c r="AT64" s="567">
        <v>38666.273999999998</v>
      </c>
      <c r="AU64" s="567">
        <v>16343</v>
      </c>
      <c r="AV64" s="567" t="s">
        <v>434</v>
      </c>
      <c r="AW64" s="567">
        <v>806068.36300000001</v>
      </c>
      <c r="AX64" s="567">
        <v>-72244.804000000004</v>
      </c>
      <c r="AY64" s="571" t="s">
        <v>430</v>
      </c>
      <c r="AZ64" s="571" t="s">
        <v>431</v>
      </c>
      <c r="BA64" s="563"/>
      <c r="BB64" s="563"/>
      <c r="BC64" s="221" t="s">
        <v>555</v>
      </c>
      <c r="BD64" s="591">
        <v>4.7429623863762198E-2</v>
      </c>
      <c r="BE64" s="653">
        <v>-4.5059643129422393E-2</v>
      </c>
      <c r="BF64" s="559" t="s">
        <v>571</v>
      </c>
      <c r="BG64" s="613" t="s">
        <v>571</v>
      </c>
    </row>
    <row r="65" spans="1:59">
      <c r="A65" s="536" t="s">
        <v>58</v>
      </c>
      <c r="B65" s="536" t="s">
        <v>155</v>
      </c>
      <c r="C65" s="536">
        <v>47</v>
      </c>
      <c r="D65" s="536">
        <v>62</v>
      </c>
      <c r="E65" s="535" t="s">
        <v>155</v>
      </c>
      <c r="F65" s="532">
        <v>2013</v>
      </c>
      <c r="G65" s="534" t="s">
        <v>567</v>
      </c>
      <c r="H65" s="551">
        <v>-44412.241000000002</v>
      </c>
      <c r="I65" s="555">
        <v>153151.63699999999</v>
      </c>
      <c r="J65" s="552">
        <v>-1.6822589493012468</v>
      </c>
      <c r="K65" s="552">
        <v>410.26536929999997</v>
      </c>
      <c r="L65" s="555">
        <v>2640035.9479999999</v>
      </c>
      <c r="M65" s="553">
        <v>138668</v>
      </c>
      <c r="N65" s="553">
        <v>1591764</v>
      </c>
      <c r="O65" s="554">
        <v>254.15721488863926</v>
      </c>
      <c r="P65" s="555">
        <v>404558.30499999999</v>
      </c>
      <c r="Q65" s="555">
        <v>404558.30499999999</v>
      </c>
      <c r="R65" s="555">
        <v>369349.20400000003</v>
      </c>
      <c r="S65" s="556">
        <v>91.296903174438611</v>
      </c>
      <c r="T65" s="562"/>
      <c r="U65" s="565">
        <v>873064</v>
      </c>
      <c r="V65" s="566">
        <v>6581.8601249934036</v>
      </c>
      <c r="W65" s="565">
        <v>42372</v>
      </c>
      <c r="X65" s="565">
        <v>0</v>
      </c>
      <c r="Y65" s="566">
        <v>319.43428799746698</v>
      </c>
      <c r="Z65" s="566" t="s">
        <v>434</v>
      </c>
      <c r="AA65" s="567">
        <v>426287.125</v>
      </c>
      <c r="AB65" s="567">
        <v>0</v>
      </c>
      <c r="AC65" s="567">
        <v>0</v>
      </c>
      <c r="AD65" s="567">
        <v>0</v>
      </c>
      <c r="AE65" s="567">
        <v>0</v>
      </c>
      <c r="AF65" s="567" t="s">
        <v>434</v>
      </c>
      <c r="AG65" s="567">
        <v>426287.125</v>
      </c>
      <c r="AH65" s="567">
        <v>263075.19400000002</v>
      </c>
      <c r="AI65" s="567">
        <v>0</v>
      </c>
      <c r="AJ65" s="567">
        <v>0</v>
      </c>
      <c r="AK65" s="567">
        <v>7855.6949999999997</v>
      </c>
      <c r="AL65" s="567">
        <v>99291.304999999993</v>
      </c>
      <c r="AM65" s="567">
        <v>0</v>
      </c>
      <c r="AN65" s="567">
        <v>2526.8339999999998</v>
      </c>
      <c r="AO65" s="567">
        <v>372749.02799999999</v>
      </c>
      <c r="AP65" s="567">
        <v>0</v>
      </c>
      <c r="AQ65" s="567">
        <v>372749.02799999999</v>
      </c>
      <c r="AR65" s="563" t="s">
        <v>434</v>
      </c>
      <c r="AS65" s="567">
        <v>9996.8850000000002</v>
      </c>
      <c r="AT65" s="567">
        <v>53687.815000000002</v>
      </c>
      <c r="AU65" s="567">
        <v>0</v>
      </c>
      <c r="AV65" s="567" t="s">
        <v>434</v>
      </c>
      <c r="AW65" s="567">
        <v>436433.728</v>
      </c>
      <c r="AX65" s="567">
        <v>-10146.602999999999</v>
      </c>
      <c r="AY65" s="571" t="s">
        <v>430</v>
      </c>
      <c r="AZ65" s="571" t="s">
        <v>431</v>
      </c>
      <c r="BA65" s="563"/>
      <c r="BB65" s="563"/>
      <c r="BC65" s="221" t="s">
        <v>555</v>
      </c>
      <c r="BD65" s="591">
        <v>5.8011193793032392E-2</v>
      </c>
      <c r="BE65" s="653">
        <v>2.9019774462581457E-2</v>
      </c>
      <c r="BF65" s="559" t="s">
        <v>574</v>
      </c>
      <c r="BG65" s="613" t="s">
        <v>574</v>
      </c>
    </row>
    <row r="66" spans="1:59">
      <c r="A66" s="532" t="s">
        <v>56</v>
      </c>
      <c r="B66" s="532" t="s">
        <v>418</v>
      </c>
      <c r="C66" s="532">
        <v>1</v>
      </c>
      <c r="D66" s="532">
        <v>63</v>
      </c>
      <c r="E66" s="535" t="s">
        <v>278</v>
      </c>
      <c r="F66" s="532">
        <v>2013</v>
      </c>
      <c r="G66" s="534" t="s">
        <v>567</v>
      </c>
      <c r="H66" s="551">
        <v>-40015.836000000003</v>
      </c>
      <c r="I66" s="551">
        <v>116809.78</v>
      </c>
      <c r="J66" s="568">
        <v>-2.3983331180882073</v>
      </c>
      <c r="K66" s="568">
        <v>109.20819109999999</v>
      </c>
      <c r="L66" s="551">
        <v>1668485.32</v>
      </c>
      <c r="M66" s="557">
        <v>135940</v>
      </c>
      <c r="N66" s="557">
        <v>1508656</v>
      </c>
      <c r="O66" s="558">
        <v>344.99991847047971</v>
      </c>
      <c r="P66" s="551">
        <v>514723.56400000001</v>
      </c>
      <c r="Q66" s="551">
        <v>520486.19699999999</v>
      </c>
      <c r="R66" s="551">
        <v>475722.62400000001</v>
      </c>
      <c r="S66" s="569">
        <v>91.399661843482079</v>
      </c>
      <c r="T66" s="562"/>
      <c r="U66" s="560">
        <v>1024501</v>
      </c>
      <c r="V66" s="561">
        <v>8148.9829358051138</v>
      </c>
      <c r="W66" s="560">
        <v>46893</v>
      </c>
      <c r="X66" s="560">
        <v>10421</v>
      </c>
      <c r="Y66" s="561">
        <v>372.99158986541664</v>
      </c>
      <c r="Z66" s="561">
        <v>4.4998560598790904</v>
      </c>
      <c r="AA66" s="567">
        <v>658891.40899999999</v>
      </c>
      <c r="AB66" s="567">
        <v>0</v>
      </c>
      <c r="AC66" s="567">
        <v>0</v>
      </c>
      <c r="AD66" s="567">
        <v>0</v>
      </c>
      <c r="AE66" s="567">
        <v>0</v>
      </c>
      <c r="AF66" s="567" t="s">
        <v>434</v>
      </c>
      <c r="AG66" s="567">
        <v>658891.40899999999</v>
      </c>
      <c r="AH66" s="567">
        <v>520887.65600000002</v>
      </c>
      <c r="AI66" s="567">
        <v>5773.1859999999997</v>
      </c>
      <c r="AJ66" s="567">
        <v>0</v>
      </c>
      <c r="AK66" s="567">
        <v>0</v>
      </c>
      <c r="AL66" s="567">
        <v>68947.835000000006</v>
      </c>
      <c r="AM66" s="567">
        <v>0</v>
      </c>
      <c r="AN66" s="567">
        <v>123.096</v>
      </c>
      <c r="AO66" s="567">
        <v>595731.77300000004</v>
      </c>
      <c r="AP66" s="567">
        <v>0</v>
      </c>
      <c r="AQ66" s="567">
        <v>595731.77300000004</v>
      </c>
      <c r="AR66" s="563" t="s">
        <v>434</v>
      </c>
      <c r="AS66" s="567">
        <v>32364.959999999999</v>
      </c>
      <c r="AT66" s="567">
        <v>47777.786999999997</v>
      </c>
      <c r="AU66" s="567">
        <v>228</v>
      </c>
      <c r="AV66" s="567" t="s">
        <v>434</v>
      </c>
      <c r="AW66" s="567">
        <v>676102.52</v>
      </c>
      <c r="AX66" s="567">
        <v>-17211.111000000001</v>
      </c>
      <c r="AY66" s="571" t="s">
        <v>430</v>
      </c>
      <c r="AZ66" s="571" t="s">
        <v>433</v>
      </c>
      <c r="BA66" s="563"/>
      <c r="BB66" s="563"/>
      <c r="BC66" s="221" t="s">
        <v>555</v>
      </c>
      <c r="BD66" s="591">
        <v>7.0009474221804951E-2</v>
      </c>
      <c r="BE66" s="653">
        <v>1.599390734337422E-2</v>
      </c>
      <c r="BF66" s="559" t="s">
        <v>573</v>
      </c>
      <c r="BG66" s="613" t="s">
        <v>573</v>
      </c>
    </row>
    <row r="67" spans="1:59">
      <c r="A67" s="532" t="s">
        <v>79</v>
      </c>
      <c r="B67" s="532" t="s">
        <v>421</v>
      </c>
      <c r="C67" s="532">
        <v>4</v>
      </c>
      <c r="D67" s="532">
        <v>64</v>
      </c>
      <c r="E67" s="535" t="s">
        <v>253</v>
      </c>
      <c r="F67" s="532">
        <v>2013</v>
      </c>
      <c r="G67" s="534" t="s">
        <v>469</v>
      </c>
      <c r="H67" s="551">
        <v>1046.2650000000001</v>
      </c>
      <c r="I67" s="555">
        <v>78512.475000000006</v>
      </c>
      <c r="J67" s="552">
        <v>0.20938549453446056</v>
      </c>
      <c r="K67" s="552">
        <v>275.7587833</v>
      </c>
      <c r="L67" s="555">
        <v>499683.61099999998</v>
      </c>
      <c r="M67" s="553">
        <v>167247</v>
      </c>
      <c r="N67" s="553">
        <v>1481769</v>
      </c>
      <c r="O67" s="554">
        <v>325.99282209305227</v>
      </c>
      <c r="P67" s="555">
        <v>483046.05800000002</v>
      </c>
      <c r="Q67" s="555">
        <v>483046.05800000002</v>
      </c>
      <c r="R67" s="555">
        <v>396623.022</v>
      </c>
      <c r="S67" s="556">
        <v>82.108737962208977</v>
      </c>
      <c r="T67" s="562"/>
      <c r="U67" s="560">
        <v>502576</v>
      </c>
      <c r="V67" s="561">
        <v>4070.0757000585113</v>
      </c>
      <c r="W67" s="560">
        <v>41446</v>
      </c>
      <c r="X67" s="560">
        <v>11146</v>
      </c>
      <c r="Y67" s="561">
        <v>335.64745921935202</v>
      </c>
      <c r="Z67" s="561">
        <v>3.7184640229678809</v>
      </c>
      <c r="AA67" s="567">
        <v>727015.78700000001</v>
      </c>
      <c r="AB67" s="567">
        <v>0</v>
      </c>
      <c r="AC67" s="567">
        <v>0</v>
      </c>
      <c r="AD67" s="567">
        <v>0</v>
      </c>
      <c r="AE67" s="567">
        <v>0</v>
      </c>
      <c r="AF67" s="567" t="s">
        <v>434</v>
      </c>
      <c r="AG67" s="567">
        <v>727015.78700000001</v>
      </c>
      <c r="AH67" s="567">
        <v>459048.201</v>
      </c>
      <c r="AI67" s="567">
        <v>6456.4979999999996</v>
      </c>
      <c r="AJ67" s="567">
        <v>36595.964999999997</v>
      </c>
      <c r="AK67" s="567">
        <v>29174.22</v>
      </c>
      <c r="AL67" s="567">
        <v>82979.577000000005</v>
      </c>
      <c r="AM67" s="567">
        <v>0</v>
      </c>
      <c r="AN67" s="567">
        <v>5468.9679999999998</v>
      </c>
      <c r="AO67" s="567">
        <v>619723.429</v>
      </c>
      <c r="AP67" s="567">
        <v>0</v>
      </c>
      <c r="AQ67" s="567">
        <v>619723.429</v>
      </c>
      <c r="AR67" s="563" t="s">
        <v>434</v>
      </c>
      <c r="AS67" s="567">
        <v>18023.144</v>
      </c>
      <c r="AT67" s="567">
        <v>63901.732000000004</v>
      </c>
      <c r="AU67" s="567">
        <v>0</v>
      </c>
      <c r="AV67" s="567" t="s">
        <v>434</v>
      </c>
      <c r="AW67" s="567">
        <v>701648.30500000005</v>
      </c>
      <c r="AX67" s="567">
        <v>25367.482</v>
      </c>
      <c r="AY67" s="571" t="s">
        <v>430</v>
      </c>
      <c r="AZ67" s="571" t="s">
        <v>433</v>
      </c>
      <c r="BA67" s="563"/>
      <c r="BB67" s="563"/>
      <c r="BC67" s="221" t="s">
        <v>555</v>
      </c>
      <c r="BD67" s="591">
        <v>0.15712437484766736</v>
      </c>
      <c r="BE67" s="653">
        <v>2.0938549453446056E-3</v>
      </c>
      <c r="BF67" s="559" t="s">
        <v>573</v>
      </c>
      <c r="BG67" s="613" t="s">
        <v>573</v>
      </c>
    </row>
    <row r="68" spans="1:59">
      <c r="A68" s="536" t="s">
        <v>69</v>
      </c>
      <c r="B68" s="536" t="s">
        <v>243</v>
      </c>
      <c r="C68" s="536">
        <v>41</v>
      </c>
      <c r="D68" s="536">
        <v>65</v>
      </c>
      <c r="E68" s="535" t="s">
        <v>243</v>
      </c>
      <c r="F68" s="532">
        <v>2013</v>
      </c>
      <c r="G68" s="534" t="s">
        <v>567</v>
      </c>
      <c r="H68" s="551">
        <v>-174.14699999999999</v>
      </c>
      <c r="I68" s="555">
        <v>23354.449000000001</v>
      </c>
      <c r="J68" s="552">
        <v>-3.2695755677604542E-2</v>
      </c>
      <c r="K68" s="552">
        <v>239.51666420000001</v>
      </c>
      <c r="L68" s="555">
        <v>532628.76599999995</v>
      </c>
      <c r="M68" s="553">
        <v>125501</v>
      </c>
      <c r="N68" s="553">
        <v>1478299</v>
      </c>
      <c r="O68" s="554">
        <v>297.72013307186165</v>
      </c>
      <c r="P68" s="555">
        <v>440119.375</v>
      </c>
      <c r="Q68" s="555">
        <v>440119.375</v>
      </c>
      <c r="R68" s="555">
        <v>409641.01899999997</v>
      </c>
      <c r="S68" s="556">
        <v>93.074979714310459</v>
      </c>
      <c r="T68" s="562"/>
      <c r="U68" s="565">
        <v>967176</v>
      </c>
      <c r="V68" s="566">
        <v>7850.9909023817236</v>
      </c>
      <c r="W68" s="565">
        <v>99182</v>
      </c>
      <c r="X68" s="565">
        <v>22482</v>
      </c>
      <c r="Y68" s="566">
        <v>805.10370364858534</v>
      </c>
      <c r="Z68" s="566">
        <v>4.4116181834356372</v>
      </c>
      <c r="AA68" s="567">
        <v>444503.00300000003</v>
      </c>
      <c r="AB68" s="567">
        <v>0</v>
      </c>
      <c r="AC68" s="567">
        <v>0</v>
      </c>
      <c r="AD68" s="567">
        <v>0</v>
      </c>
      <c r="AE68" s="567">
        <v>-865.79</v>
      </c>
      <c r="AF68" s="567" t="s">
        <v>434</v>
      </c>
      <c r="AG68" s="567">
        <v>443637.21399999998</v>
      </c>
      <c r="AH68" s="567">
        <v>191297.58</v>
      </c>
      <c r="AI68" s="567">
        <v>50177.036</v>
      </c>
      <c r="AJ68" s="567">
        <v>26144.83</v>
      </c>
      <c r="AK68" s="567">
        <v>41695.519</v>
      </c>
      <c r="AL68" s="567">
        <v>56738.716</v>
      </c>
      <c r="AM68" s="567">
        <v>0</v>
      </c>
      <c r="AN68" s="567">
        <v>0</v>
      </c>
      <c r="AO68" s="567">
        <v>366053.68099999998</v>
      </c>
      <c r="AP68" s="567">
        <v>-8.5039999999999996</v>
      </c>
      <c r="AQ68" s="567">
        <v>366062.18400000001</v>
      </c>
      <c r="AR68" s="563" t="s">
        <v>434</v>
      </c>
      <c r="AS68" s="567">
        <v>1566.229</v>
      </c>
      <c r="AT68" s="567">
        <v>48765.43</v>
      </c>
      <c r="AU68" s="567">
        <v>0</v>
      </c>
      <c r="AV68" s="567" t="s">
        <v>434</v>
      </c>
      <c r="AW68" s="567">
        <v>416393.84299999999</v>
      </c>
      <c r="AX68" s="567">
        <v>27243.37</v>
      </c>
      <c r="AY68" s="571" t="s">
        <v>435</v>
      </c>
      <c r="AZ68" s="571" t="s">
        <v>431</v>
      </c>
      <c r="BA68" s="563"/>
      <c r="BB68" s="563"/>
      <c r="BC68" s="221" t="s">
        <v>555</v>
      </c>
      <c r="BD68" s="591">
        <v>4.3847517240554003E-2</v>
      </c>
      <c r="BE68" s="653">
        <v>2.5402685616341424E-2</v>
      </c>
      <c r="BF68" s="559" t="s">
        <v>574</v>
      </c>
      <c r="BG68" s="613" t="s">
        <v>574</v>
      </c>
    </row>
    <row r="69" spans="1:59">
      <c r="A69" s="532" t="s">
        <v>64</v>
      </c>
      <c r="B69" s="536" t="s">
        <v>176</v>
      </c>
      <c r="C69" s="536" t="s">
        <v>20</v>
      </c>
      <c r="D69" s="536">
        <v>66</v>
      </c>
      <c r="E69" s="535" t="s">
        <v>176</v>
      </c>
      <c r="F69" s="532">
        <v>2013</v>
      </c>
      <c r="G69" s="534" t="s">
        <v>469</v>
      </c>
      <c r="H69" s="551">
        <v>-3458.107</v>
      </c>
      <c r="I69" s="555">
        <v>51296.578999999998</v>
      </c>
      <c r="J69" s="552">
        <v>-0.50455980795769761</v>
      </c>
      <c r="K69" s="552">
        <v>416.87645309999999</v>
      </c>
      <c r="L69" s="555">
        <v>685371.07900000003</v>
      </c>
      <c r="M69" s="553">
        <v>131518</v>
      </c>
      <c r="N69" s="553">
        <v>1471226</v>
      </c>
      <c r="O69" s="554">
        <v>464.73371868088248</v>
      </c>
      <c r="P69" s="555">
        <v>685387.19</v>
      </c>
      <c r="Q69" s="555">
        <v>683728.33</v>
      </c>
      <c r="R69" s="555">
        <v>647118.37199999997</v>
      </c>
      <c r="S69" s="556">
        <v>94.645540283521669</v>
      </c>
      <c r="T69" s="562"/>
      <c r="U69" s="565">
        <v>866270</v>
      </c>
      <c r="V69" s="566">
        <v>7065.6989476803701</v>
      </c>
      <c r="W69" s="565">
        <v>73973</v>
      </c>
      <c r="X69" s="565">
        <v>17513</v>
      </c>
      <c r="Y69" s="566">
        <v>603.35801569575301</v>
      </c>
      <c r="Z69" s="566">
        <v>4.2238908239593442</v>
      </c>
      <c r="AA69" s="567">
        <v>707324.13500000001</v>
      </c>
      <c r="AB69" s="567">
        <v>0</v>
      </c>
      <c r="AC69" s="567">
        <v>0</v>
      </c>
      <c r="AD69" s="567">
        <v>0</v>
      </c>
      <c r="AE69" s="567">
        <v>7580.0929999999998</v>
      </c>
      <c r="AF69" s="567" t="s">
        <v>434</v>
      </c>
      <c r="AG69" s="567">
        <v>714904.228</v>
      </c>
      <c r="AH69" s="567">
        <v>325983.53899999999</v>
      </c>
      <c r="AI69" s="567">
        <v>119198.47199999999</v>
      </c>
      <c r="AJ69" s="567">
        <v>23054.968000000001</v>
      </c>
      <c r="AK69" s="567">
        <v>37632.904000000002</v>
      </c>
      <c r="AL69" s="567">
        <v>154894.62299999999</v>
      </c>
      <c r="AM69" s="567">
        <v>0</v>
      </c>
      <c r="AN69" s="567">
        <v>0</v>
      </c>
      <c r="AO69" s="567">
        <v>660764.50600000005</v>
      </c>
      <c r="AP69" s="567">
        <v>4490.5050000000001</v>
      </c>
      <c r="AQ69" s="567">
        <v>656274.00100000005</v>
      </c>
      <c r="AR69" s="563" t="s">
        <v>434</v>
      </c>
      <c r="AS69" s="567">
        <v>12864.847</v>
      </c>
      <c r="AT69" s="567">
        <v>38869.822999999997</v>
      </c>
      <c r="AU69" s="567">
        <v>0</v>
      </c>
      <c r="AV69" s="567" t="s">
        <v>434</v>
      </c>
      <c r="AW69" s="567">
        <v>708008.67099999997</v>
      </c>
      <c r="AX69" s="567">
        <v>6895.5569999999998</v>
      </c>
      <c r="AY69" s="571" t="s">
        <v>430</v>
      </c>
      <c r="AZ69" s="571" t="s">
        <v>433</v>
      </c>
      <c r="BA69" s="563"/>
      <c r="BB69" s="563"/>
      <c r="BC69" s="221" t="s">
        <v>555</v>
      </c>
      <c r="BD69" s="591">
        <v>7.4844971682850939E-2</v>
      </c>
      <c r="BE69" s="653">
        <v>-5.0455980795769762E-3</v>
      </c>
      <c r="BF69" s="559" t="s">
        <v>572</v>
      </c>
      <c r="BG69" s="613" t="s">
        <v>572</v>
      </c>
    </row>
    <row r="70" spans="1:59">
      <c r="A70" s="536" t="s">
        <v>95</v>
      </c>
      <c r="B70" s="536" t="s">
        <v>144</v>
      </c>
      <c r="C70" s="536">
        <v>62</v>
      </c>
      <c r="D70" s="536">
        <v>67</v>
      </c>
      <c r="E70" s="535" t="s">
        <v>144</v>
      </c>
      <c r="F70" s="532">
        <v>2013</v>
      </c>
      <c r="G70" s="534" t="s">
        <v>469</v>
      </c>
      <c r="H70" s="551">
        <v>-2035.7280000000001</v>
      </c>
      <c r="I70" s="555">
        <v>3383.038</v>
      </c>
      <c r="J70" s="552">
        <v>-0.74048329909395405</v>
      </c>
      <c r="K70" s="552">
        <v>268.40053130000001</v>
      </c>
      <c r="L70" s="555">
        <v>274918.82699999999</v>
      </c>
      <c r="M70" s="553">
        <v>136334</v>
      </c>
      <c r="N70" s="553">
        <v>1449449</v>
      </c>
      <c r="O70" s="554">
        <v>189.79501175964108</v>
      </c>
      <c r="P70" s="555">
        <v>275098.19</v>
      </c>
      <c r="Q70" s="555">
        <v>275098.19</v>
      </c>
      <c r="R70" s="555">
        <v>260961.24</v>
      </c>
      <c r="S70" s="556">
        <v>94.861125767494144</v>
      </c>
      <c r="T70" s="562"/>
      <c r="U70" s="565">
        <v>378018</v>
      </c>
      <c r="V70" s="566">
        <v>3129.6140809369631</v>
      </c>
      <c r="W70" s="565">
        <v>43524</v>
      </c>
      <c r="X70" s="565">
        <v>12669</v>
      </c>
      <c r="Y70" s="566">
        <v>360.33554819797041</v>
      </c>
      <c r="Z70" s="566">
        <v>3.4354724129765568</v>
      </c>
      <c r="AA70" s="567">
        <v>286630.34899999999</v>
      </c>
      <c r="AB70" s="567">
        <v>-981.08699999999999</v>
      </c>
      <c r="AC70" s="567">
        <v>0</v>
      </c>
      <c r="AD70" s="567">
        <v>0</v>
      </c>
      <c r="AE70" s="567">
        <v>0</v>
      </c>
      <c r="AF70" s="567" t="s">
        <v>434</v>
      </c>
      <c r="AG70" s="567">
        <v>285649.26199999999</v>
      </c>
      <c r="AH70" s="567">
        <v>191911.77499999999</v>
      </c>
      <c r="AI70" s="567">
        <v>0</v>
      </c>
      <c r="AJ70" s="567">
        <v>25704.76</v>
      </c>
      <c r="AK70" s="567">
        <v>7418.42</v>
      </c>
      <c r="AL70" s="567">
        <v>57881.175999999999</v>
      </c>
      <c r="AM70" s="567">
        <v>0</v>
      </c>
      <c r="AN70" s="567">
        <v>0</v>
      </c>
      <c r="AO70" s="567">
        <v>282916.13099999999</v>
      </c>
      <c r="AP70" s="567">
        <v>1937.7429999999999</v>
      </c>
      <c r="AQ70" s="567">
        <v>280978.38799999998</v>
      </c>
      <c r="AR70" s="563" t="s">
        <v>434</v>
      </c>
      <c r="AS70" s="567">
        <v>2665.5949999999998</v>
      </c>
      <c r="AT70" s="567">
        <v>27238.37</v>
      </c>
      <c r="AU70" s="567">
        <v>0</v>
      </c>
      <c r="AV70" s="567" t="s">
        <v>434</v>
      </c>
      <c r="AW70" s="567">
        <v>310882.35200000001</v>
      </c>
      <c r="AX70" s="567">
        <v>-25233.09</v>
      </c>
      <c r="AY70" s="571" t="s">
        <v>435</v>
      </c>
      <c r="AZ70" s="571" t="s">
        <v>431</v>
      </c>
      <c r="BA70" s="563"/>
      <c r="BB70" s="563"/>
      <c r="BC70" s="221" t="s">
        <v>555</v>
      </c>
      <c r="BD70" s="591">
        <v>1.2305588660175682E-2</v>
      </c>
      <c r="BE70" s="653">
        <v>-7.4048329909395406E-3</v>
      </c>
      <c r="BF70" s="559" t="s">
        <v>572</v>
      </c>
      <c r="BG70" s="613" t="s">
        <v>572</v>
      </c>
    </row>
    <row r="71" spans="1:59">
      <c r="A71" s="532" t="s">
        <v>95</v>
      </c>
      <c r="B71" s="532" t="s">
        <v>418</v>
      </c>
      <c r="C71" s="532">
        <v>1</v>
      </c>
      <c r="D71" s="532">
        <v>68</v>
      </c>
      <c r="E71" s="535" t="s">
        <v>286</v>
      </c>
      <c r="F71" s="532">
        <v>2013</v>
      </c>
      <c r="G71" s="534" t="s">
        <v>567</v>
      </c>
      <c r="H71" s="551">
        <v>20449.2</v>
      </c>
      <c r="I71" s="551">
        <v>102633.838</v>
      </c>
      <c r="J71" s="568">
        <v>1.5389509955458578</v>
      </c>
      <c r="K71" s="568">
        <v>393.03541150000001</v>
      </c>
      <c r="L71" s="551">
        <v>1328775.254</v>
      </c>
      <c r="M71" s="557">
        <v>117941</v>
      </c>
      <c r="N71" s="557">
        <v>1430966</v>
      </c>
      <c r="O71" s="558">
        <v>223.64205928023446</v>
      </c>
      <c r="P71" s="551">
        <v>321971.29300000001</v>
      </c>
      <c r="Q71" s="551">
        <v>320024.18300000002</v>
      </c>
      <c r="R71" s="551">
        <v>269271.06300000002</v>
      </c>
      <c r="S71" s="569">
        <v>84.140848505814319</v>
      </c>
      <c r="T71" s="562"/>
      <c r="U71" s="560">
        <v>1203996</v>
      </c>
      <c r="V71" s="561">
        <v>10096.642407995718</v>
      </c>
      <c r="W71" s="560">
        <v>60640</v>
      </c>
      <c r="X71" s="560">
        <v>12436</v>
      </c>
      <c r="Y71" s="561">
        <v>508.52361272035813</v>
      </c>
      <c r="Z71" s="561">
        <v>4.8761659697651982</v>
      </c>
      <c r="AA71" s="567">
        <v>334861.44300000003</v>
      </c>
      <c r="AB71" s="567">
        <v>0</v>
      </c>
      <c r="AC71" s="567">
        <v>0</v>
      </c>
      <c r="AD71" s="567">
        <v>0</v>
      </c>
      <c r="AE71" s="567">
        <v>0</v>
      </c>
      <c r="AF71" s="567" t="s">
        <v>434</v>
      </c>
      <c r="AG71" s="567">
        <v>334861.44300000003</v>
      </c>
      <c r="AH71" s="567">
        <v>216133.02</v>
      </c>
      <c r="AI71" s="567">
        <v>8422.9490000000005</v>
      </c>
      <c r="AJ71" s="567">
        <v>0</v>
      </c>
      <c r="AK71" s="567">
        <v>0</v>
      </c>
      <c r="AL71" s="567">
        <v>78482.850000000006</v>
      </c>
      <c r="AM71" s="567">
        <v>0</v>
      </c>
      <c r="AN71" s="567">
        <v>6.2389999999999999</v>
      </c>
      <c r="AO71" s="567">
        <v>303045.05800000002</v>
      </c>
      <c r="AP71" s="567">
        <v>-231.435</v>
      </c>
      <c r="AQ71" s="567">
        <v>303276.49300000002</v>
      </c>
      <c r="AR71" s="563" t="s">
        <v>434</v>
      </c>
      <c r="AS71" s="567">
        <v>7271.4009999999998</v>
      </c>
      <c r="AT71" s="567">
        <v>23463.917000000001</v>
      </c>
      <c r="AU71" s="567">
        <v>4784</v>
      </c>
      <c r="AV71" s="567" t="s">
        <v>434</v>
      </c>
      <c r="AW71" s="567">
        <v>338795.81099999999</v>
      </c>
      <c r="AX71" s="567">
        <v>-3934.3679999999999</v>
      </c>
      <c r="AY71" s="571" t="s">
        <v>430</v>
      </c>
      <c r="AZ71" s="571" t="s">
        <v>433</v>
      </c>
      <c r="BA71" s="563"/>
      <c r="BB71" s="563"/>
      <c r="BC71" s="221" t="s">
        <v>555</v>
      </c>
      <c r="BD71" s="591">
        <v>7.7239426073779066E-2</v>
      </c>
      <c r="BE71" s="653">
        <v>8.1352088868077793E-2</v>
      </c>
      <c r="BF71" s="559" t="s">
        <v>576</v>
      </c>
      <c r="BG71" s="613" t="s">
        <v>576</v>
      </c>
    </row>
    <row r="72" spans="1:59">
      <c r="A72" s="536" t="s">
        <v>70</v>
      </c>
      <c r="B72" s="536" t="s">
        <v>394</v>
      </c>
      <c r="C72" s="536">
        <v>51</v>
      </c>
      <c r="D72" s="536">
        <v>69</v>
      </c>
      <c r="E72" s="535" t="s">
        <v>394</v>
      </c>
      <c r="F72" s="532">
        <v>2013</v>
      </c>
      <c r="G72" s="534" t="s">
        <v>567</v>
      </c>
      <c r="H72" s="551">
        <v>73182.350999999995</v>
      </c>
      <c r="I72" s="555">
        <v>54250.625</v>
      </c>
      <c r="J72" s="552">
        <v>7.1982188586533855</v>
      </c>
      <c r="K72" s="552">
        <v>1161.9651346999999</v>
      </c>
      <c r="L72" s="555">
        <v>1016673.047</v>
      </c>
      <c r="M72" s="553">
        <v>116219</v>
      </c>
      <c r="N72" s="553">
        <v>1424653</v>
      </c>
      <c r="O72" s="554">
        <v>424.89244258075473</v>
      </c>
      <c r="P72" s="555">
        <v>605324.29299999995</v>
      </c>
      <c r="Q72" s="555">
        <v>605324.29299999995</v>
      </c>
      <c r="R72" s="555">
        <v>556134.98300000001</v>
      </c>
      <c r="S72" s="556">
        <v>91.873891306060642</v>
      </c>
      <c r="T72" s="562"/>
      <c r="U72" s="565">
        <v>822738</v>
      </c>
      <c r="V72" s="566">
        <v>6930.0075176200799</v>
      </c>
      <c r="W72" s="565">
        <v>116703</v>
      </c>
      <c r="X72" s="565">
        <v>22320</v>
      </c>
      <c r="Y72" s="566">
        <v>983.00147474507833</v>
      </c>
      <c r="Z72" s="566">
        <v>5.2286290322580644</v>
      </c>
      <c r="AA72" s="567">
        <v>614268.38600000006</v>
      </c>
      <c r="AB72" s="567">
        <v>0</v>
      </c>
      <c r="AC72" s="567">
        <v>0</v>
      </c>
      <c r="AD72" s="567">
        <v>0</v>
      </c>
      <c r="AE72" s="567">
        <v>186.88900000000001</v>
      </c>
      <c r="AF72" s="567" t="s">
        <v>434</v>
      </c>
      <c r="AG72" s="567">
        <v>614455.27500000002</v>
      </c>
      <c r="AH72" s="567">
        <v>281104.11900000001</v>
      </c>
      <c r="AI72" s="567">
        <v>126257.84600000001</v>
      </c>
      <c r="AJ72" s="567">
        <v>0</v>
      </c>
      <c r="AK72" s="567">
        <v>56417.012000000002</v>
      </c>
      <c r="AL72" s="567">
        <v>95735.486000000004</v>
      </c>
      <c r="AM72" s="567">
        <v>0</v>
      </c>
      <c r="AN72" s="567">
        <v>3386.232</v>
      </c>
      <c r="AO72" s="567">
        <v>562900.69700000004</v>
      </c>
      <c r="AP72" s="567">
        <v>1866.0650000000001</v>
      </c>
      <c r="AQ72" s="567">
        <v>561034.63100000005</v>
      </c>
      <c r="AR72" s="563" t="s">
        <v>434</v>
      </c>
      <c r="AS72" s="567">
        <v>19401.257000000001</v>
      </c>
      <c r="AT72" s="567">
        <v>34683.317999999999</v>
      </c>
      <c r="AU72" s="567">
        <v>0</v>
      </c>
      <c r="AV72" s="567" t="s">
        <v>434</v>
      </c>
      <c r="AW72" s="567">
        <v>615119.20700000005</v>
      </c>
      <c r="AX72" s="567">
        <v>-663.93200000000002</v>
      </c>
      <c r="AY72" s="571" t="s">
        <v>430</v>
      </c>
      <c r="AZ72" s="571" t="s">
        <v>431</v>
      </c>
      <c r="BA72" s="563"/>
      <c r="BB72" s="563"/>
      <c r="BC72" s="221" t="s">
        <v>555</v>
      </c>
      <c r="BD72" s="591">
        <v>5.3360935612567682E-2</v>
      </c>
      <c r="BE72" s="653">
        <v>2.7900151326825919E-2</v>
      </c>
      <c r="BF72" s="559" t="s">
        <v>574</v>
      </c>
      <c r="BG72" s="613" t="s">
        <v>574</v>
      </c>
    </row>
    <row r="73" spans="1:59">
      <c r="A73" s="536" t="s">
        <v>52</v>
      </c>
      <c r="B73" s="536" t="s">
        <v>402</v>
      </c>
      <c r="C73" s="536">
        <v>74</v>
      </c>
      <c r="D73" s="536">
        <v>70</v>
      </c>
      <c r="E73" s="535" t="s">
        <v>402</v>
      </c>
      <c r="F73" s="532">
        <v>2013</v>
      </c>
      <c r="G73" s="534" t="s">
        <v>567</v>
      </c>
      <c r="H73" s="551">
        <v>-1984.9570000000001</v>
      </c>
      <c r="I73" s="555">
        <v>25124.741999999998</v>
      </c>
      <c r="J73" s="552">
        <v>-1.1552534042999825</v>
      </c>
      <c r="K73" s="552" t="s">
        <v>434</v>
      </c>
      <c r="L73" s="555">
        <v>171820.052</v>
      </c>
      <c r="M73" s="553">
        <v>119820</v>
      </c>
      <c r="N73" s="553">
        <v>1421899</v>
      </c>
      <c r="O73" s="554">
        <v>37.78107587107101</v>
      </c>
      <c r="P73" s="555">
        <v>53720.874000000003</v>
      </c>
      <c r="Q73" s="555">
        <v>53720.874000000003</v>
      </c>
      <c r="R73" s="555">
        <v>46617.120999999999</v>
      </c>
      <c r="S73" s="556">
        <v>86.776549837964282</v>
      </c>
      <c r="T73" s="562"/>
      <c r="U73" s="565">
        <v>191685</v>
      </c>
      <c r="V73" s="566">
        <v>1617.7098373372512</v>
      </c>
      <c r="W73" s="565">
        <v>5196</v>
      </c>
      <c r="X73" s="565">
        <v>575</v>
      </c>
      <c r="Y73" s="566">
        <v>43.851215873982611</v>
      </c>
      <c r="Z73" s="566">
        <v>9.0365217391304355</v>
      </c>
      <c r="AA73" s="567" t="s">
        <v>20</v>
      </c>
      <c r="AB73" s="567" t="s">
        <v>20</v>
      </c>
      <c r="AC73" s="567" t="s">
        <v>20</v>
      </c>
      <c r="AD73" s="567" t="s">
        <v>20</v>
      </c>
      <c r="AE73" s="567" t="s">
        <v>20</v>
      </c>
      <c r="AF73" s="567" t="s">
        <v>20</v>
      </c>
      <c r="AG73" s="567" t="s">
        <v>20</v>
      </c>
      <c r="AH73" s="567" t="s">
        <v>20</v>
      </c>
      <c r="AI73" s="567" t="s">
        <v>20</v>
      </c>
      <c r="AJ73" s="567" t="s">
        <v>20</v>
      </c>
      <c r="AK73" s="567" t="s">
        <v>20</v>
      </c>
      <c r="AL73" s="567" t="s">
        <v>20</v>
      </c>
      <c r="AM73" s="567" t="s">
        <v>20</v>
      </c>
      <c r="AN73" s="567" t="s">
        <v>20</v>
      </c>
      <c r="AO73" s="567" t="s">
        <v>20</v>
      </c>
      <c r="AP73" s="567" t="s">
        <v>20</v>
      </c>
      <c r="AQ73" s="567" t="s">
        <v>20</v>
      </c>
      <c r="AR73" s="563" t="s">
        <v>20</v>
      </c>
      <c r="AS73" s="567" t="s">
        <v>20</v>
      </c>
      <c r="AT73" s="567" t="s">
        <v>20</v>
      </c>
      <c r="AU73" s="567" t="s">
        <v>20</v>
      </c>
      <c r="AV73" s="567" t="s">
        <v>20</v>
      </c>
      <c r="AW73" s="567" t="s">
        <v>20</v>
      </c>
      <c r="AX73" s="567" t="s">
        <v>20</v>
      </c>
      <c r="AY73" s="571" t="s">
        <v>435</v>
      </c>
      <c r="AZ73" s="571" t="s">
        <v>431</v>
      </c>
      <c r="BA73" s="563"/>
      <c r="BB73" s="563"/>
      <c r="BC73" s="221" t="s">
        <v>555</v>
      </c>
      <c r="BD73" s="591">
        <v>0.14622706551153877</v>
      </c>
      <c r="BE73" s="653">
        <v>-1.3992563891181559E-2</v>
      </c>
      <c r="BF73" s="559" t="s">
        <v>572</v>
      </c>
      <c r="BG73" s="613" t="s">
        <v>572</v>
      </c>
    </row>
    <row r="74" spans="1:59">
      <c r="A74" s="536" t="s">
        <v>82</v>
      </c>
      <c r="B74" s="536" t="s">
        <v>389</v>
      </c>
      <c r="C74" s="536">
        <v>36</v>
      </c>
      <c r="D74" s="536">
        <v>71</v>
      </c>
      <c r="E74" s="535" t="s">
        <v>389</v>
      </c>
      <c r="F74" s="532">
        <v>2013</v>
      </c>
      <c r="G74" s="534" t="s">
        <v>469</v>
      </c>
      <c r="H74" s="551">
        <v>5459.3990000000003</v>
      </c>
      <c r="I74" s="555">
        <v>60320.057999999997</v>
      </c>
      <c r="J74" s="552">
        <v>1.3998994525636723</v>
      </c>
      <c r="K74" s="552">
        <v>486.60827289999997</v>
      </c>
      <c r="L74" s="555">
        <v>389985.08</v>
      </c>
      <c r="M74" s="553">
        <v>141165</v>
      </c>
      <c r="N74" s="553">
        <v>1408889</v>
      </c>
      <c r="O74" s="554">
        <v>276.66752242369699</v>
      </c>
      <c r="P74" s="555">
        <v>389793.82900000003</v>
      </c>
      <c r="Q74" s="555">
        <v>389793.82900000003</v>
      </c>
      <c r="R74" s="555">
        <v>316889.97100000002</v>
      </c>
      <c r="S74" s="556">
        <v>81.296815758465996</v>
      </c>
      <c r="T74" s="562"/>
      <c r="U74" s="565">
        <v>31068</v>
      </c>
      <c r="V74" s="566">
        <v>264.61701383146578</v>
      </c>
      <c r="W74" s="565">
        <v>41677</v>
      </c>
      <c r="X74" s="565">
        <v>12172</v>
      </c>
      <c r="Y74" s="566">
        <v>354.97757452858247</v>
      </c>
      <c r="Z74" s="566">
        <v>3.4240059152152482</v>
      </c>
      <c r="AA74" s="567">
        <v>404558.30499999999</v>
      </c>
      <c r="AB74" s="567">
        <v>0</v>
      </c>
      <c r="AC74" s="567">
        <v>0</v>
      </c>
      <c r="AD74" s="567">
        <v>0</v>
      </c>
      <c r="AE74" s="567">
        <v>0</v>
      </c>
      <c r="AF74" s="567" t="s">
        <v>434</v>
      </c>
      <c r="AG74" s="567">
        <v>404558.30499999999</v>
      </c>
      <c r="AH74" s="567">
        <v>315241.64600000001</v>
      </c>
      <c r="AI74" s="567">
        <v>1525.0119999999999</v>
      </c>
      <c r="AJ74" s="567">
        <v>0</v>
      </c>
      <c r="AK74" s="567">
        <v>0</v>
      </c>
      <c r="AL74" s="567">
        <v>52582.546000000002</v>
      </c>
      <c r="AM74" s="567">
        <v>0</v>
      </c>
      <c r="AN74" s="567">
        <v>0</v>
      </c>
      <c r="AO74" s="567">
        <v>369349.20400000003</v>
      </c>
      <c r="AP74" s="567">
        <v>0</v>
      </c>
      <c r="AQ74" s="567">
        <v>369349.20400000003</v>
      </c>
      <c r="AR74" s="563" t="s">
        <v>434</v>
      </c>
      <c r="AS74" s="567">
        <v>11629.796</v>
      </c>
      <c r="AT74" s="567">
        <v>20794.485000000001</v>
      </c>
      <c r="AU74" s="567">
        <v>7685</v>
      </c>
      <c r="AV74" s="567" t="s">
        <v>434</v>
      </c>
      <c r="AW74" s="567">
        <v>409458.48499999999</v>
      </c>
      <c r="AX74" s="567">
        <v>-4900.18</v>
      </c>
      <c r="AY74" s="571" t="s">
        <v>435</v>
      </c>
      <c r="AZ74" s="571" t="s">
        <v>431</v>
      </c>
      <c r="BA74" s="563"/>
      <c r="BB74" s="563"/>
      <c r="BC74" s="221" t="s">
        <v>555</v>
      </c>
      <c r="BD74" s="591">
        <v>0.1546727326081295</v>
      </c>
      <c r="BE74" s="653">
        <v>1.3998994525636722E-2</v>
      </c>
      <c r="BF74" s="559" t="s">
        <v>573</v>
      </c>
      <c r="BG74" s="613" t="s">
        <v>573</v>
      </c>
    </row>
    <row r="75" spans="1:59">
      <c r="A75" s="532" t="s">
        <v>65</v>
      </c>
      <c r="B75" s="532" t="s">
        <v>420</v>
      </c>
      <c r="C75" s="532">
        <v>3</v>
      </c>
      <c r="D75" s="532">
        <v>72</v>
      </c>
      <c r="E75" s="535" t="s">
        <v>189</v>
      </c>
      <c r="F75" s="532">
        <v>2013</v>
      </c>
      <c r="G75" s="534" t="s">
        <v>469</v>
      </c>
      <c r="H75" s="551">
        <v>9858.5779999999995</v>
      </c>
      <c r="I75" s="551">
        <v>24846.286</v>
      </c>
      <c r="J75" s="568">
        <v>2.3989219140171136</v>
      </c>
      <c r="K75" s="568">
        <v>331.71881250000001</v>
      </c>
      <c r="L75" s="551">
        <v>410958.68699999998</v>
      </c>
      <c r="M75" s="557">
        <v>113201</v>
      </c>
      <c r="N75" s="557">
        <v>1396026</v>
      </c>
      <c r="O75" s="558">
        <v>278.11323571337499</v>
      </c>
      <c r="P75" s="551">
        <v>388253.30800000002</v>
      </c>
      <c r="Q75" s="551">
        <v>388253.30800000002</v>
      </c>
      <c r="R75" s="551">
        <v>336430.27899999998</v>
      </c>
      <c r="S75" s="569">
        <v>86.652263372344521</v>
      </c>
      <c r="T75" s="562"/>
      <c r="U75" s="560">
        <v>661955</v>
      </c>
      <c r="V75" s="561">
        <v>5690.051617949809</v>
      </c>
      <c r="W75" s="560">
        <v>80695</v>
      </c>
      <c r="X75" s="560">
        <v>15805</v>
      </c>
      <c r="Y75" s="561">
        <v>693.64037632536929</v>
      </c>
      <c r="Z75" s="561">
        <v>5.1056627649478017</v>
      </c>
      <c r="AA75" s="567">
        <v>394968.06800000003</v>
      </c>
      <c r="AB75" s="567">
        <v>-912.26199999999994</v>
      </c>
      <c r="AC75" s="567">
        <v>0</v>
      </c>
      <c r="AD75" s="567">
        <v>0</v>
      </c>
      <c r="AE75" s="567">
        <v>0</v>
      </c>
      <c r="AF75" s="567" t="s">
        <v>434</v>
      </c>
      <c r="AG75" s="567">
        <v>394055.80599999998</v>
      </c>
      <c r="AH75" s="567">
        <v>154029.88099999999</v>
      </c>
      <c r="AI75" s="567">
        <v>8338.9680000000008</v>
      </c>
      <c r="AJ75" s="567">
        <v>0</v>
      </c>
      <c r="AK75" s="567">
        <v>72818.83</v>
      </c>
      <c r="AL75" s="567">
        <v>93286.195000000007</v>
      </c>
      <c r="AM75" s="567">
        <v>10871.154</v>
      </c>
      <c r="AN75" s="567">
        <v>188.73</v>
      </c>
      <c r="AO75" s="567">
        <v>339533.75799999997</v>
      </c>
      <c r="AP75" s="567">
        <v>101.85299999999999</v>
      </c>
      <c r="AQ75" s="567">
        <v>339431.90500000003</v>
      </c>
      <c r="AR75" s="563" t="s">
        <v>434</v>
      </c>
      <c r="AS75" s="567">
        <v>24869.621999999999</v>
      </c>
      <c r="AT75" s="567">
        <v>16069.415999999999</v>
      </c>
      <c r="AU75" s="567">
        <v>0</v>
      </c>
      <c r="AV75" s="567" t="s">
        <v>434</v>
      </c>
      <c r="AW75" s="567">
        <v>380370.94300000003</v>
      </c>
      <c r="AX75" s="567">
        <v>13684.862999999999</v>
      </c>
      <c r="AY75" s="571" t="s">
        <v>430</v>
      </c>
      <c r="AZ75" s="571" t="s">
        <v>433</v>
      </c>
      <c r="BA75" s="563"/>
      <c r="BB75" s="563"/>
      <c r="BC75" s="221" t="s">
        <v>555</v>
      </c>
      <c r="BD75" s="591">
        <v>6.0459327873996251E-2</v>
      </c>
      <c r="BE75" s="653">
        <v>2.3989219140171138E-2</v>
      </c>
      <c r="BF75" s="559" t="s">
        <v>573</v>
      </c>
      <c r="BG75" s="613" t="s">
        <v>573</v>
      </c>
    </row>
    <row r="76" spans="1:59">
      <c r="A76" s="532" t="s">
        <v>90</v>
      </c>
      <c r="B76" s="532" t="s">
        <v>420</v>
      </c>
      <c r="C76" s="532">
        <v>3</v>
      </c>
      <c r="D76" s="532">
        <v>73</v>
      </c>
      <c r="E76" s="535" t="s">
        <v>187</v>
      </c>
      <c r="F76" s="532">
        <v>2013</v>
      </c>
      <c r="G76" s="534" t="s">
        <v>469</v>
      </c>
      <c r="H76" s="551">
        <v>16324.42</v>
      </c>
      <c r="I76" s="551">
        <v>16069.415999999999</v>
      </c>
      <c r="J76" s="568">
        <v>4.142667041429152</v>
      </c>
      <c r="K76" s="568">
        <v>688.17743529999996</v>
      </c>
      <c r="L76" s="551">
        <v>394055.80599999998</v>
      </c>
      <c r="M76" s="557">
        <v>107368</v>
      </c>
      <c r="N76" s="557">
        <v>1349705</v>
      </c>
      <c r="O76" s="558">
        <v>292.83125275523167</v>
      </c>
      <c r="P76" s="551">
        <v>395235.80599999998</v>
      </c>
      <c r="Q76" s="551">
        <v>395235.80599999998</v>
      </c>
      <c r="R76" s="551">
        <v>339533.75799999997</v>
      </c>
      <c r="S76" s="569">
        <v>85.906629117504593</v>
      </c>
      <c r="T76" s="562"/>
      <c r="U76" s="560">
        <v>588165</v>
      </c>
      <c r="V76" s="561">
        <v>5229.2760269836745</v>
      </c>
      <c r="W76" s="560">
        <v>71659</v>
      </c>
      <c r="X76" s="560">
        <v>14735</v>
      </c>
      <c r="Y76" s="561">
        <v>637.1081088089619</v>
      </c>
      <c r="Z76" s="561">
        <v>4.8631828978622327</v>
      </c>
      <c r="AA76" s="567">
        <v>420509.96399999998</v>
      </c>
      <c r="AB76" s="567">
        <v>3973.145</v>
      </c>
      <c r="AC76" s="567">
        <v>0</v>
      </c>
      <c r="AD76" s="567">
        <v>0</v>
      </c>
      <c r="AE76" s="567">
        <v>0</v>
      </c>
      <c r="AF76" s="567" t="s">
        <v>434</v>
      </c>
      <c r="AG76" s="567">
        <v>424483.109</v>
      </c>
      <c r="AH76" s="567">
        <v>335345.88400000002</v>
      </c>
      <c r="AI76" s="567">
        <v>21321.469000000001</v>
      </c>
      <c r="AJ76" s="567">
        <v>0</v>
      </c>
      <c r="AK76" s="567">
        <v>2005.7339999999999</v>
      </c>
      <c r="AL76" s="567">
        <v>4640.9369999999999</v>
      </c>
      <c r="AM76" s="567">
        <v>0</v>
      </c>
      <c r="AN76" s="567">
        <v>132.17099999999999</v>
      </c>
      <c r="AO76" s="567">
        <v>363446.19500000001</v>
      </c>
      <c r="AP76" s="567">
        <v>873.01300000000003</v>
      </c>
      <c r="AQ76" s="567">
        <v>362573.18199999997</v>
      </c>
      <c r="AR76" s="563" t="s">
        <v>434</v>
      </c>
      <c r="AS76" s="567">
        <v>22279.127</v>
      </c>
      <c r="AT76" s="567">
        <v>37723.669000000002</v>
      </c>
      <c r="AU76" s="567">
        <v>0</v>
      </c>
      <c r="AV76" s="567" t="s">
        <v>434</v>
      </c>
      <c r="AW76" s="567">
        <v>422575.978</v>
      </c>
      <c r="AX76" s="567">
        <v>1907.1310000000001</v>
      </c>
      <c r="AY76" s="571" t="s">
        <v>430</v>
      </c>
      <c r="AZ76" s="571" t="s">
        <v>433</v>
      </c>
      <c r="BA76" s="563"/>
      <c r="BB76" s="563"/>
      <c r="BC76" s="221" t="s">
        <v>555</v>
      </c>
      <c r="BD76" s="591">
        <v>4.0779543798930853E-2</v>
      </c>
      <c r="BE76" s="653">
        <v>4.1426670414291517E-2</v>
      </c>
      <c r="BF76" s="559" t="s">
        <v>574</v>
      </c>
      <c r="BG76" s="613" t="s">
        <v>574</v>
      </c>
    </row>
    <row r="77" spans="1:59">
      <c r="A77" s="532" t="s">
        <v>63</v>
      </c>
      <c r="B77" s="532" t="s">
        <v>420</v>
      </c>
      <c r="C77" s="532">
        <v>3</v>
      </c>
      <c r="D77" s="532">
        <v>74</v>
      </c>
      <c r="E77" s="535" t="s">
        <v>188</v>
      </c>
      <c r="F77" s="532">
        <v>2013</v>
      </c>
      <c r="G77" s="534" t="s">
        <v>469</v>
      </c>
      <c r="H77" s="551">
        <v>-34209.343000000001</v>
      </c>
      <c r="I77" s="551">
        <v>26584.521000000001</v>
      </c>
      <c r="J77" s="568">
        <v>-4.7473578593498349</v>
      </c>
      <c r="K77" s="568">
        <v>268.48089850000002</v>
      </c>
      <c r="L77" s="551">
        <v>720597.52</v>
      </c>
      <c r="M77" s="557">
        <v>105517</v>
      </c>
      <c r="N77" s="557">
        <v>1259629</v>
      </c>
      <c r="O77" s="558">
        <v>551.64587271331482</v>
      </c>
      <c r="P77" s="551">
        <v>694869.13899999997</v>
      </c>
      <c r="Q77" s="551">
        <v>694869.13899999997</v>
      </c>
      <c r="R77" s="551">
        <v>670823.20400000003</v>
      </c>
      <c r="S77" s="569">
        <v>96.53950166291672</v>
      </c>
      <c r="T77" s="562"/>
      <c r="U77" s="560">
        <v>667470</v>
      </c>
      <c r="V77" s="561">
        <v>6358.7294354131254</v>
      </c>
      <c r="W77" s="560">
        <v>105087</v>
      </c>
      <c r="X77" s="560">
        <v>11541</v>
      </c>
      <c r="Y77" s="561">
        <v>1001.1233466361921</v>
      </c>
      <c r="Z77" s="561">
        <v>9.1055367819079809</v>
      </c>
      <c r="AA77" s="567">
        <v>701195.36199999996</v>
      </c>
      <c r="AB77" s="567">
        <v>0</v>
      </c>
      <c r="AC77" s="567">
        <v>0</v>
      </c>
      <c r="AD77" s="567">
        <v>0</v>
      </c>
      <c r="AE77" s="567">
        <v>0</v>
      </c>
      <c r="AF77" s="567" t="s">
        <v>434</v>
      </c>
      <c r="AG77" s="567">
        <v>701195.36199999996</v>
      </c>
      <c r="AH77" s="567">
        <v>371450.89199999999</v>
      </c>
      <c r="AI77" s="567">
        <v>56267.468000000001</v>
      </c>
      <c r="AJ77" s="567">
        <v>0</v>
      </c>
      <c r="AK77" s="567">
        <v>65456.625999999997</v>
      </c>
      <c r="AL77" s="567">
        <v>51231.525999999998</v>
      </c>
      <c r="AM77" s="567">
        <v>9710.0030000000006</v>
      </c>
      <c r="AN77" s="567">
        <v>2156.7379999999998</v>
      </c>
      <c r="AO77" s="567">
        <v>556273.25300000003</v>
      </c>
      <c r="AP77" s="567">
        <v>1.6E-2</v>
      </c>
      <c r="AQ77" s="567">
        <v>556273.23699999996</v>
      </c>
      <c r="AR77" s="563" t="s">
        <v>434</v>
      </c>
      <c r="AS77" s="567">
        <v>58313.502</v>
      </c>
      <c r="AT77" s="567">
        <v>58716.027000000002</v>
      </c>
      <c r="AU77" s="567">
        <v>0</v>
      </c>
      <c r="AV77" s="567" t="s">
        <v>434</v>
      </c>
      <c r="AW77" s="567">
        <v>673302.76599999995</v>
      </c>
      <c r="AX77" s="567">
        <v>27892.596000000001</v>
      </c>
      <c r="AY77" s="571" t="s">
        <v>430</v>
      </c>
      <c r="AZ77" s="571" t="s">
        <v>433</v>
      </c>
      <c r="BA77" s="563"/>
      <c r="BB77" s="563"/>
      <c r="BC77" s="221" t="s">
        <v>555</v>
      </c>
      <c r="BD77" s="591">
        <v>3.6892329299162731E-2</v>
      </c>
      <c r="BE77" s="653">
        <v>-4.747357859349835E-2</v>
      </c>
      <c r="BF77" s="559" t="s">
        <v>571</v>
      </c>
      <c r="BG77" s="613" t="s">
        <v>571</v>
      </c>
    </row>
    <row r="78" spans="1:59">
      <c r="A78" s="532" t="s">
        <v>63</v>
      </c>
      <c r="B78" s="532" t="s">
        <v>418</v>
      </c>
      <c r="C78" s="532">
        <v>1</v>
      </c>
      <c r="D78" s="532">
        <v>75</v>
      </c>
      <c r="E78" s="535" t="s">
        <v>284</v>
      </c>
      <c r="F78" s="532">
        <v>2013</v>
      </c>
      <c r="G78" s="534" t="s">
        <v>567</v>
      </c>
      <c r="H78" s="551">
        <v>38021.928</v>
      </c>
      <c r="I78" s="551">
        <v>50704.127999999997</v>
      </c>
      <c r="J78" s="568">
        <v>4.5936944806715498</v>
      </c>
      <c r="K78" s="568">
        <v>358.87229200000002</v>
      </c>
      <c r="L78" s="551">
        <v>827698.23199999996</v>
      </c>
      <c r="M78" s="557">
        <v>103775</v>
      </c>
      <c r="N78" s="557">
        <v>1253840</v>
      </c>
      <c r="O78" s="558">
        <v>521.12641006827027</v>
      </c>
      <c r="P78" s="551">
        <v>653409.13800000004</v>
      </c>
      <c r="Q78" s="551">
        <v>653409.13800000004</v>
      </c>
      <c r="R78" s="551">
        <v>612478.23100000003</v>
      </c>
      <c r="S78" s="569">
        <v>93.735792075806572</v>
      </c>
      <c r="T78" s="562"/>
      <c r="U78" s="560">
        <v>1506657</v>
      </c>
      <c r="V78" s="561">
        <v>14419.610157595866</v>
      </c>
      <c r="W78" s="560">
        <v>1094120</v>
      </c>
      <c r="X78" s="560">
        <v>99697</v>
      </c>
      <c r="Y78" s="561">
        <v>10471.383908632681</v>
      </c>
      <c r="Z78" s="561">
        <v>10.974452591351795</v>
      </c>
      <c r="AA78" s="567">
        <v>255935.728</v>
      </c>
      <c r="AB78" s="567">
        <v>229.33500000000001</v>
      </c>
      <c r="AC78" s="567">
        <v>0</v>
      </c>
      <c r="AD78" s="567">
        <v>0</v>
      </c>
      <c r="AE78" s="567">
        <v>0</v>
      </c>
      <c r="AF78" s="567" t="s">
        <v>434</v>
      </c>
      <c r="AG78" s="567">
        <v>256165.06299999999</v>
      </c>
      <c r="AH78" s="567">
        <v>188143.47700000001</v>
      </c>
      <c r="AI78" s="567">
        <v>0</v>
      </c>
      <c r="AJ78" s="567">
        <v>0</v>
      </c>
      <c r="AK78" s="567">
        <v>0</v>
      </c>
      <c r="AL78" s="567">
        <v>44591.165000000001</v>
      </c>
      <c r="AM78" s="567">
        <v>0</v>
      </c>
      <c r="AN78" s="567">
        <v>203.78399999999999</v>
      </c>
      <c r="AO78" s="567">
        <v>232938.42600000001</v>
      </c>
      <c r="AP78" s="567">
        <v>83.858000000000004</v>
      </c>
      <c r="AQ78" s="567">
        <v>232854.568</v>
      </c>
      <c r="AR78" s="563" t="s">
        <v>434</v>
      </c>
      <c r="AS78" s="567">
        <v>9726.2459999999992</v>
      </c>
      <c r="AT78" s="567">
        <v>15226.501</v>
      </c>
      <c r="AU78" s="567">
        <v>0</v>
      </c>
      <c r="AV78" s="567" t="s">
        <v>434</v>
      </c>
      <c r="AW78" s="567">
        <v>257807.315</v>
      </c>
      <c r="AX78" s="567">
        <v>-1642.252</v>
      </c>
      <c r="AY78" s="571" t="s">
        <v>430</v>
      </c>
      <c r="AZ78" s="571" t="s">
        <v>433</v>
      </c>
      <c r="BA78" s="563"/>
      <c r="BB78" s="563"/>
      <c r="BC78" s="221" t="s">
        <v>555</v>
      </c>
      <c r="BD78" s="591">
        <v>6.1259195730648849E-2</v>
      </c>
      <c r="BE78" s="653">
        <v>1.3828835112854737E-3</v>
      </c>
      <c r="BF78" s="559" t="s">
        <v>573</v>
      </c>
      <c r="BG78" s="613" t="s">
        <v>573</v>
      </c>
    </row>
    <row r="79" spans="1:59">
      <c r="A79" s="532" t="s">
        <v>76</v>
      </c>
      <c r="B79" s="532" t="s">
        <v>424</v>
      </c>
      <c r="C79" s="532">
        <v>5</v>
      </c>
      <c r="D79" s="532">
        <v>76</v>
      </c>
      <c r="E79" s="535" t="s">
        <v>211</v>
      </c>
      <c r="F79" s="532">
        <v>2013</v>
      </c>
      <c r="G79" s="534" t="s">
        <v>567</v>
      </c>
      <c r="H79" s="551">
        <v>13952.465</v>
      </c>
      <c r="I79" s="555">
        <v>20676.217000000001</v>
      </c>
      <c r="J79" s="552">
        <v>3.7162089519387389</v>
      </c>
      <c r="K79" s="552">
        <v>414.54254150000003</v>
      </c>
      <c r="L79" s="555">
        <v>375448.88299999997</v>
      </c>
      <c r="M79" s="553">
        <v>97895</v>
      </c>
      <c r="N79" s="553">
        <v>1191178</v>
      </c>
      <c r="O79" s="554">
        <v>211.56336752357751</v>
      </c>
      <c r="P79" s="555">
        <v>252009.62899999999</v>
      </c>
      <c r="Q79" s="555">
        <v>252009.62899999999</v>
      </c>
      <c r="R79" s="555">
        <v>214683.35699999999</v>
      </c>
      <c r="S79" s="556">
        <v>85.188553251669603</v>
      </c>
      <c r="T79" s="562"/>
      <c r="U79" s="565">
        <v>535471</v>
      </c>
      <c r="V79" s="566">
        <v>5394.3675924169183</v>
      </c>
      <c r="W79" s="565">
        <v>29694</v>
      </c>
      <c r="X79" s="565">
        <v>7831</v>
      </c>
      <c r="Y79" s="566">
        <v>299.13917147563171</v>
      </c>
      <c r="Z79" s="566">
        <v>3.7918528923509132</v>
      </c>
      <c r="AA79" s="567">
        <v>305880.72100000002</v>
      </c>
      <c r="AB79" s="567">
        <v>0</v>
      </c>
      <c r="AC79" s="567">
        <v>0</v>
      </c>
      <c r="AD79" s="567">
        <v>0</v>
      </c>
      <c r="AE79" s="567">
        <v>0</v>
      </c>
      <c r="AF79" s="567" t="s">
        <v>434</v>
      </c>
      <c r="AG79" s="567">
        <v>305880.72100000002</v>
      </c>
      <c r="AH79" s="567">
        <v>214836.83</v>
      </c>
      <c r="AI79" s="567">
        <v>10284.486999999999</v>
      </c>
      <c r="AJ79" s="567">
        <v>6527.6769999999997</v>
      </c>
      <c r="AK79" s="567">
        <v>13761.001</v>
      </c>
      <c r="AL79" s="567">
        <v>49552.39</v>
      </c>
      <c r="AM79" s="567">
        <v>0</v>
      </c>
      <c r="AN79" s="567">
        <v>0</v>
      </c>
      <c r="AO79" s="567">
        <v>294962.38500000001</v>
      </c>
      <c r="AP79" s="567">
        <v>21706.965</v>
      </c>
      <c r="AQ79" s="567">
        <v>273255.42</v>
      </c>
      <c r="AR79" s="563" t="s">
        <v>434</v>
      </c>
      <c r="AS79" s="567">
        <v>13739.875</v>
      </c>
      <c r="AT79" s="567">
        <v>33660.059000000001</v>
      </c>
      <c r="AU79" s="567">
        <v>0</v>
      </c>
      <c r="AV79" s="567" t="s">
        <v>434</v>
      </c>
      <c r="AW79" s="567">
        <v>320655.35399999999</v>
      </c>
      <c r="AX79" s="567">
        <v>-14774.633</v>
      </c>
      <c r="AY79" s="571" t="s">
        <v>430</v>
      </c>
      <c r="AZ79" s="571" t="s">
        <v>433</v>
      </c>
      <c r="BA79" s="563"/>
      <c r="BB79" s="563"/>
      <c r="BC79" s="221" t="s">
        <v>551</v>
      </c>
      <c r="BD79" s="591">
        <v>5.5070657914302552E-2</v>
      </c>
      <c r="BE79" s="653">
        <v>9.3043809569001379E-2</v>
      </c>
      <c r="BF79" s="559" t="s">
        <v>576</v>
      </c>
      <c r="BG79" s="613" t="s">
        <v>576</v>
      </c>
    </row>
    <row r="80" spans="1:59">
      <c r="A80" s="532" t="s">
        <v>80</v>
      </c>
      <c r="B80" s="532" t="s">
        <v>418</v>
      </c>
      <c r="C80" s="532">
        <v>1</v>
      </c>
      <c r="D80" s="532">
        <v>77</v>
      </c>
      <c r="E80" s="535" t="s">
        <v>224</v>
      </c>
      <c r="F80" s="532">
        <v>2013</v>
      </c>
      <c r="G80" s="534" t="s">
        <v>567</v>
      </c>
      <c r="H80" s="551">
        <v>97561.877999999997</v>
      </c>
      <c r="I80" s="551">
        <v>89621.093999999997</v>
      </c>
      <c r="J80" s="568">
        <v>6.2372438798881022</v>
      </c>
      <c r="K80" s="568">
        <v>589.11332809999999</v>
      </c>
      <c r="L80" s="551">
        <v>1564182.5120000001</v>
      </c>
      <c r="M80" s="557">
        <v>106089</v>
      </c>
      <c r="N80" s="557">
        <v>1165395</v>
      </c>
      <c r="O80" s="558">
        <v>166.27168470776002</v>
      </c>
      <c r="P80" s="551">
        <v>193772.19</v>
      </c>
      <c r="Q80" s="551">
        <v>193772.19</v>
      </c>
      <c r="R80" s="551">
        <v>145859.476</v>
      </c>
      <c r="S80" s="569">
        <v>75.273689170773167</v>
      </c>
      <c r="T80" s="562"/>
      <c r="U80" s="560">
        <v>591441</v>
      </c>
      <c r="V80" s="561">
        <v>6090.0312769490174</v>
      </c>
      <c r="W80" s="560">
        <v>25971</v>
      </c>
      <c r="X80" s="560">
        <v>7004</v>
      </c>
      <c r="Y80" s="561">
        <v>267.42177544952568</v>
      </c>
      <c r="Z80" s="561">
        <v>3.7080239862935467</v>
      </c>
      <c r="AA80" s="567">
        <v>203084.95499999999</v>
      </c>
      <c r="AB80" s="567">
        <v>0</v>
      </c>
      <c r="AC80" s="567">
        <v>0</v>
      </c>
      <c r="AD80" s="567">
        <v>0</v>
      </c>
      <c r="AE80" s="567">
        <v>0</v>
      </c>
      <c r="AF80" s="567" t="s">
        <v>434</v>
      </c>
      <c r="AG80" s="567">
        <v>203084.95499999999</v>
      </c>
      <c r="AH80" s="567">
        <v>150489.96900000001</v>
      </c>
      <c r="AI80" s="567">
        <v>424.733</v>
      </c>
      <c r="AJ80" s="567">
        <v>0</v>
      </c>
      <c r="AK80" s="567">
        <v>0</v>
      </c>
      <c r="AL80" s="567">
        <v>31647.132000000001</v>
      </c>
      <c r="AM80" s="567">
        <v>0</v>
      </c>
      <c r="AN80" s="567">
        <v>271.66500000000002</v>
      </c>
      <c r="AO80" s="567">
        <v>182833.49900000001</v>
      </c>
      <c r="AP80" s="567">
        <v>0</v>
      </c>
      <c r="AQ80" s="567">
        <v>182833.49900000001</v>
      </c>
      <c r="AR80" s="563" t="s">
        <v>434</v>
      </c>
      <c r="AS80" s="567">
        <v>8485.0259999999998</v>
      </c>
      <c r="AT80" s="567">
        <v>20044.672999999999</v>
      </c>
      <c r="AU80" s="567">
        <v>-2743</v>
      </c>
      <c r="AV80" s="567" t="s">
        <v>434</v>
      </c>
      <c r="AW80" s="567">
        <v>208620.198</v>
      </c>
      <c r="AX80" s="567">
        <v>-5535.2430000000004</v>
      </c>
      <c r="AY80" s="571" t="s">
        <v>430</v>
      </c>
      <c r="AZ80" s="571" t="s">
        <v>433</v>
      </c>
      <c r="BA80" s="563"/>
      <c r="BB80" s="563"/>
      <c r="BC80" s="221" t="s">
        <v>555</v>
      </c>
      <c r="BD80" s="591">
        <v>5.7295803598653196E-2</v>
      </c>
      <c r="BE80" s="653">
        <v>0.18996730469361509</v>
      </c>
      <c r="BF80" s="559" t="s">
        <v>582</v>
      </c>
      <c r="BG80" s="613" t="s">
        <v>582</v>
      </c>
    </row>
    <row r="81" spans="1:59">
      <c r="A81" s="536" t="s">
        <v>90</v>
      </c>
      <c r="B81" s="536" t="s">
        <v>149</v>
      </c>
      <c r="C81" s="536">
        <v>52</v>
      </c>
      <c r="D81" s="536">
        <v>78</v>
      </c>
      <c r="E81" s="535" t="s">
        <v>149</v>
      </c>
      <c r="F81" s="532">
        <v>2013</v>
      </c>
      <c r="G81" s="534" t="s">
        <v>469</v>
      </c>
      <c r="H81" s="551">
        <v>1401.595</v>
      </c>
      <c r="I81" s="555">
        <v>16123.366</v>
      </c>
      <c r="J81" s="552">
        <v>0.44410402825431855</v>
      </c>
      <c r="K81" s="552">
        <v>274.73744809999999</v>
      </c>
      <c r="L81" s="555">
        <v>315600.60499999998</v>
      </c>
      <c r="M81" s="553">
        <v>99570</v>
      </c>
      <c r="N81" s="553">
        <v>1163161</v>
      </c>
      <c r="O81" s="554">
        <v>254.71789373955971</v>
      </c>
      <c r="P81" s="555">
        <v>296277.92</v>
      </c>
      <c r="Q81" s="555">
        <v>296277.92</v>
      </c>
      <c r="R81" s="555">
        <v>261918.40700000001</v>
      </c>
      <c r="S81" s="556">
        <v>88.402945113155923</v>
      </c>
      <c r="T81" s="562"/>
      <c r="U81" s="565">
        <v>842364</v>
      </c>
      <c r="V81" s="566">
        <v>8690.4289260042242</v>
      </c>
      <c r="W81" s="565">
        <v>54697</v>
      </c>
      <c r="X81" s="565">
        <v>14986</v>
      </c>
      <c r="Y81" s="566">
        <v>564.2933351444899</v>
      </c>
      <c r="Z81" s="566">
        <v>3.6498732150006674</v>
      </c>
      <c r="AA81" s="567">
        <v>316538.59399999998</v>
      </c>
      <c r="AB81" s="567">
        <v>0</v>
      </c>
      <c r="AC81" s="567">
        <v>0</v>
      </c>
      <c r="AD81" s="567">
        <v>0</v>
      </c>
      <c r="AE81" s="567">
        <v>-2268.317</v>
      </c>
      <c r="AF81" s="567" t="s">
        <v>434</v>
      </c>
      <c r="AG81" s="567">
        <v>314270.277</v>
      </c>
      <c r="AH81" s="567">
        <v>218479.13399999999</v>
      </c>
      <c r="AI81" s="567">
        <v>1584.4349999999999</v>
      </c>
      <c r="AJ81" s="567">
        <v>0</v>
      </c>
      <c r="AK81" s="567">
        <v>0</v>
      </c>
      <c r="AL81" s="567">
        <v>34886.856</v>
      </c>
      <c r="AM81" s="567">
        <v>0</v>
      </c>
      <c r="AN81" s="567">
        <v>0</v>
      </c>
      <c r="AO81" s="567">
        <v>254950.42600000001</v>
      </c>
      <c r="AP81" s="567">
        <v>0</v>
      </c>
      <c r="AQ81" s="567">
        <v>254950.42600000001</v>
      </c>
      <c r="AR81" s="563" t="s">
        <v>434</v>
      </c>
      <c r="AS81" s="567">
        <v>0</v>
      </c>
      <c r="AT81" s="567">
        <v>0</v>
      </c>
      <c r="AU81" s="567">
        <v>9207.6090000000004</v>
      </c>
      <c r="AV81" s="567" t="s">
        <v>434</v>
      </c>
      <c r="AW81" s="567">
        <v>264158.03499999997</v>
      </c>
      <c r="AX81" s="567">
        <v>50112.241999999998</v>
      </c>
      <c r="AY81" s="571" t="s">
        <v>435</v>
      </c>
      <c r="AZ81" s="571" t="s">
        <v>431</v>
      </c>
      <c r="BA81" s="563"/>
      <c r="BB81" s="563"/>
      <c r="BC81" s="221" t="s">
        <v>551</v>
      </c>
      <c r="BD81" s="591">
        <v>5.1087880519113713E-2</v>
      </c>
      <c r="BE81" s="653">
        <v>4.4410402825431853E-3</v>
      </c>
      <c r="BF81" s="559" t="s">
        <v>573</v>
      </c>
      <c r="BG81" s="613" t="s">
        <v>573</v>
      </c>
    </row>
    <row r="82" spans="1:59">
      <c r="A82" s="532" t="s">
        <v>71</v>
      </c>
      <c r="B82" s="532" t="s">
        <v>422</v>
      </c>
      <c r="C82" s="532">
        <v>4</v>
      </c>
      <c r="D82" s="532">
        <v>79</v>
      </c>
      <c r="E82" s="535" t="s">
        <v>249</v>
      </c>
      <c r="F82" s="532">
        <v>2013</v>
      </c>
      <c r="G82" s="534" t="s">
        <v>469</v>
      </c>
      <c r="H82" s="551">
        <v>11357.098</v>
      </c>
      <c r="I82" s="555">
        <v>6668.2560000000003</v>
      </c>
      <c r="J82" s="552">
        <v>3.7208338751516794</v>
      </c>
      <c r="K82" s="552">
        <v>394.9420705</v>
      </c>
      <c r="L82" s="555">
        <v>305229.913</v>
      </c>
      <c r="M82" s="553">
        <v>95616</v>
      </c>
      <c r="N82" s="553">
        <v>1155023</v>
      </c>
      <c r="O82" s="554">
        <v>250.60881211889287</v>
      </c>
      <c r="P82" s="555">
        <v>289458.94199999998</v>
      </c>
      <c r="Q82" s="555">
        <v>289458.94199999998</v>
      </c>
      <c r="R82" s="555">
        <v>259246.79800000001</v>
      </c>
      <c r="S82" s="556">
        <v>89.562545972409453</v>
      </c>
      <c r="T82" s="562"/>
      <c r="U82" s="560">
        <v>346598</v>
      </c>
      <c r="V82" s="561">
        <v>3600.946474658946</v>
      </c>
      <c r="W82" s="560">
        <v>42956</v>
      </c>
      <c r="X82" s="560">
        <v>12432</v>
      </c>
      <c r="Y82" s="561">
        <v>446.28721679135396</v>
      </c>
      <c r="Z82" s="561">
        <v>3.4552767052767055</v>
      </c>
      <c r="AA82" s="567">
        <v>437335.663</v>
      </c>
      <c r="AB82" s="567">
        <v>0</v>
      </c>
      <c r="AC82" s="567">
        <v>0</v>
      </c>
      <c r="AD82" s="567">
        <v>0</v>
      </c>
      <c r="AE82" s="567">
        <v>0</v>
      </c>
      <c r="AF82" s="567" t="s">
        <v>434</v>
      </c>
      <c r="AG82" s="567">
        <v>437335.663</v>
      </c>
      <c r="AH82" s="567">
        <v>313071.90000000002</v>
      </c>
      <c r="AI82" s="567">
        <v>888.26199999999994</v>
      </c>
      <c r="AJ82" s="567">
        <v>0</v>
      </c>
      <c r="AK82" s="567">
        <v>13086.362999999999</v>
      </c>
      <c r="AL82" s="567">
        <v>46332.294000000002</v>
      </c>
      <c r="AM82" s="567">
        <v>0</v>
      </c>
      <c r="AN82" s="567">
        <v>0</v>
      </c>
      <c r="AO82" s="567">
        <v>373378.81900000002</v>
      </c>
      <c r="AP82" s="567">
        <v>332.39</v>
      </c>
      <c r="AQ82" s="567">
        <v>373046.429</v>
      </c>
      <c r="AR82" s="563" t="s">
        <v>434</v>
      </c>
      <c r="AS82" s="567">
        <v>12958.368</v>
      </c>
      <c r="AT82" s="567">
        <v>29797.469000000001</v>
      </c>
      <c r="AU82" s="567">
        <v>0</v>
      </c>
      <c r="AV82" s="567" t="s">
        <v>434</v>
      </c>
      <c r="AW82" s="567">
        <v>415802.266</v>
      </c>
      <c r="AX82" s="567">
        <v>21533.397000000001</v>
      </c>
      <c r="AY82" s="571" t="s">
        <v>430</v>
      </c>
      <c r="AZ82" s="571" t="s">
        <v>433</v>
      </c>
      <c r="BA82" s="563"/>
      <c r="BB82" s="563"/>
      <c r="BC82" s="221" t="s">
        <v>551</v>
      </c>
      <c r="BD82" s="591">
        <v>2.1846666122792496E-2</v>
      </c>
      <c r="BE82" s="653">
        <v>3.7208338751516794E-2</v>
      </c>
      <c r="BF82" s="559" t="s">
        <v>574</v>
      </c>
      <c r="BG82" s="613" t="s">
        <v>574</v>
      </c>
    </row>
    <row r="83" spans="1:59">
      <c r="A83" s="536" t="s">
        <v>85</v>
      </c>
      <c r="B83" s="536" t="s">
        <v>218</v>
      </c>
      <c r="C83" s="536">
        <v>44</v>
      </c>
      <c r="D83" s="536">
        <v>80</v>
      </c>
      <c r="E83" s="535" t="s">
        <v>218</v>
      </c>
      <c r="F83" s="532">
        <v>2013</v>
      </c>
      <c r="G83" s="534" t="s">
        <v>567</v>
      </c>
      <c r="H83" s="551">
        <v>44020.508000000002</v>
      </c>
      <c r="I83" s="555">
        <v>146224.74799999999</v>
      </c>
      <c r="J83" s="552">
        <v>3.0021922734348907</v>
      </c>
      <c r="K83" s="552">
        <v>336.75052799999997</v>
      </c>
      <c r="L83" s="555">
        <v>1466278.7720000001</v>
      </c>
      <c r="M83" s="553">
        <v>120012</v>
      </c>
      <c r="N83" s="553">
        <v>1151001</v>
      </c>
      <c r="O83" s="554">
        <v>370.55783704792611</v>
      </c>
      <c r="P83" s="555">
        <v>426512.44099999999</v>
      </c>
      <c r="Q83" s="555">
        <v>426512.44099999999</v>
      </c>
      <c r="R83" s="555">
        <v>372749.02799999999</v>
      </c>
      <c r="S83" s="556">
        <v>87.394643665271175</v>
      </c>
      <c r="T83" s="562"/>
      <c r="U83" s="565">
        <v>680553</v>
      </c>
      <c r="V83" s="566">
        <v>7095.2466592122855</v>
      </c>
      <c r="W83" s="565">
        <v>23965</v>
      </c>
      <c r="X83" s="565">
        <v>7061</v>
      </c>
      <c r="Y83" s="566">
        <v>249.85208527186336</v>
      </c>
      <c r="Z83" s="566">
        <v>3.3939951848180145</v>
      </c>
      <c r="AA83" s="567">
        <v>426398.77600000001</v>
      </c>
      <c r="AB83" s="567">
        <v>0</v>
      </c>
      <c r="AC83" s="567">
        <v>0</v>
      </c>
      <c r="AD83" s="567">
        <v>0</v>
      </c>
      <c r="AE83" s="567">
        <v>1751.471</v>
      </c>
      <c r="AF83" s="567" t="s">
        <v>434</v>
      </c>
      <c r="AG83" s="567">
        <v>428150.24699999997</v>
      </c>
      <c r="AH83" s="567">
        <v>144857.57800000001</v>
      </c>
      <c r="AI83" s="567">
        <v>90136.296000000002</v>
      </c>
      <c r="AJ83" s="567">
        <v>55148.13</v>
      </c>
      <c r="AK83" s="567">
        <v>23809.378000000001</v>
      </c>
      <c r="AL83" s="567">
        <v>58423.639000000003</v>
      </c>
      <c r="AM83" s="567">
        <v>4005.2539999999999</v>
      </c>
      <c r="AN83" s="567">
        <v>7795.924</v>
      </c>
      <c r="AO83" s="567">
        <v>384176.19900000002</v>
      </c>
      <c r="AP83" s="567">
        <v>1568.2560000000001</v>
      </c>
      <c r="AQ83" s="567">
        <v>382607.94300000003</v>
      </c>
      <c r="AR83" s="563" t="s">
        <v>434</v>
      </c>
      <c r="AS83" s="567">
        <v>11650.196</v>
      </c>
      <c r="AT83" s="567">
        <v>41314.338000000003</v>
      </c>
      <c r="AU83" s="567">
        <v>-4300</v>
      </c>
      <c r="AV83" s="567" t="s">
        <v>434</v>
      </c>
      <c r="AW83" s="567">
        <v>431272.47700000001</v>
      </c>
      <c r="AX83" s="567">
        <v>-3122.23</v>
      </c>
      <c r="AY83" s="571" t="s">
        <v>435</v>
      </c>
      <c r="AZ83" s="571" t="s">
        <v>431</v>
      </c>
      <c r="BA83" s="563"/>
      <c r="BB83" s="563"/>
      <c r="BC83" s="221" t="s">
        <v>555</v>
      </c>
      <c r="BD83" s="591">
        <v>9.97250664691475E-2</v>
      </c>
      <c r="BE83" s="653">
        <v>2.6328496878140734E-2</v>
      </c>
      <c r="BF83" s="559" t="s">
        <v>574</v>
      </c>
      <c r="BG83" s="613" t="s">
        <v>574</v>
      </c>
    </row>
    <row r="84" spans="1:59">
      <c r="A84" s="536" t="s">
        <v>86</v>
      </c>
      <c r="B84" s="536" t="s">
        <v>163</v>
      </c>
      <c r="C84" s="536">
        <v>29</v>
      </c>
      <c r="D84" s="536">
        <v>81</v>
      </c>
      <c r="E84" s="535" t="s">
        <v>163</v>
      </c>
      <c r="F84" s="532">
        <v>2013</v>
      </c>
      <c r="G84" s="534" t="s">
        <v>469</v>
      </c>
      <c r="H84" s="551">
        <v>-3795.1390000000001</v>
      </c>
      <c r="I84" s="555">
        <v>41314.338000000003</v>
      </c>
      <c r="J84" s="552">
        <v>-0.88640355262950488</v>
      </c>
      <c r="K84" s="552">
        <v>237.3588809</v>
      </c>
      <c r="L84" s="555">
        <v>428150.24699999997</v>
      </c>
      <c r="M84" s="553">
        <v>99194</v>
      </c>
      <c r="N84" s="553">
        <v>1110948</v>
      </c>
      <c r="O84" s="554">
        <v>386.82821338172442</v>
      </c>
      <c r="P84" s="555">
        <v>429746.03</v>
      </c>
      <c r="Q84" s="555">
        <v>429746.03</v>
      </c>
      <c r="R84" s="555">
        <v>384176.19900000002</v>
      </c>
      <c r="S84" s="556">
        <v>89.39610192559546</v>
      </c>
      <c r="T84" s="562"/>
      <c r="U84" s="565">
        <v>1556240</v>
      </c>
      <c r="V84" s="566">
        <v>16809.85968740211</v>
      </c>
      <c r="W84" s="565">
        <v>69336</v>
      </c>
      <c r="X84" s="565">
        <v>13278</v>
      </c>
      <c r="Y84" s="566">
        <v>748.93874420764973</v>
      </c>
      <c r="Z84" s="566">
        <v>5.2218707636692274</v>
      </c>
      <c r="AA84" s="567">
        <v>439529.511</v>
      </c>
      <c r="AB84" s="567">
        <v>0</v>
      </c>
      <c r="AC84" s="567">
        <v>0</v>
      </c>
      <c r="AD84" s="567">
        <v>0</v>
      </c>
      <c r="AE84" s="567">
        <v>-2039.116</v>
      </c>
      <c r="AF84" s="567" t="s">
        <v>434</v>
      </c>
      <c r="AG84" s="567">
        <v>437490.39399999997</v>
      </c>
      <c r="AH84" s="567">
        <v>336957.16800000001</v>
      </c>
      <c r="AI84" s="567">
        <v>5003.491</v>
      </c>
      <c r="AJ84" s="567">
        <v>0</v>
      </c>
      <c r="AK84" s="567">
        <v>17133.445</v>
      </c>
      <c r="AL84" s="567">
        <v>50546.915000000001</v>
      </c>
      <c r="AM84" s="567">
        <v>0</v>
      </c>
      <c r="AN84" s="567">
        <v>0</v>
      </c>
      <c r="AO84" s="567">
        <v>409641.01899999997</v>
      </c>
      <c r="AP84" s="567">
        <v>688.54100000000005</v>
      </c>
      <c r="AQ84" s="567">
        <v>408952.478</v>
      </c>
      <c r="AR84" s="563" t="s">
        <v>434</v>
      </c>
      <c r="AS84" s="567">
        <v>2907.83</v>
      </c>
      <c r="AT84" s="567">
        <v>14586.883</v>
      </c>
      <c r="AU84" s="567">
        <v>0</v>
      </c>
      <c r="AV84" s="567" t="s">
        <v>434</v>
      </c>
      <c r="AW84" s="567">
        <v>426447.19099999999</v>
      </c>
      <c r="AX84" s="567">
        <v>11043.204</v>
      </c>
      <c r="AY84" s="571" t="s">
        <v>435</v>
      </c>
      <c r="AZ84" s="571" t="s">
        <v>431</v>
      </c>
      <c r="BA84" s="563"/>
      <c r="BB84" s="563"/>
      <c r="BC84" s="221" t="s">
        <v>551</v>
      </c>
      <c r="BD84" s="591">
        <v>9.6494953090614483E-2</v>
      </c>
      <c r="BE84" s="653">
        <v>-8.8640355262950485E-3</v>
      </c>
      <c r="BF84" s="559" t="s">
        <v>572</v>
      </c>
      <c r="BG84" s="613" t="s">
        <v>572</v>
      </c>
    </row>
    <row r="85" spans="1:59">
      <c r="A85" s="532" t="s">
        <v>87</v>
      </c>
      <c r="B85" s="532" t="s">
        <v>419</v>
      </c>
      <c r="C85" s="532">
        <v>2</v>
      </c>
      <c r="D85" s="532">
        <v>82</v>
      </c>
      <c r="E85" s="535" t="s">
        <v>178</v>
      </c>
      <c r="F85" s="532">
        <v>2013</v>
      </c>
      <c r="G85" s="534" t="s">
        <v>469</v>
      </c>
      <c r="H85" s="551">
        <v>-20234.14</v>
      </c>
      <c r="I85" s="551">
        <v>33399.436999999998</v>
      </c>
      <c r="J85" s="568">
        <v>-6.1426574508418144</v>
      </c>
      <c r="K85" s="568">
        <v>341.68226220000003</v>
      </c>
      <c r="L85" s="551">
        <v>329403.685</v>
      </c>
      <c r="M85" s="557">
        <v>91922</v>
      </c>
      <c r="N85" s="557">
        <v>1083419</v>
      </c>
      <c r="O85" s="558">
        <v>305.56051813748883</v>
      </c>
      <c r="P85" s="551">
        <v>331050.071</v>
      </c>
      <c r="Q85" s="551">
        <v>331050.071</v>
      </c>
      <c r="R85" s="551">
        <v>318744.31</v>
      </c>
      <c r="S85" s="569">
        <v>96.28280973847005</v>
      </c>
      <c r="T85" s="564"/>
      <c r="U85" s="560">
        <v>581496</v>
      </c>
      <c r="V85" s="561">
        <v>6440.6771526067014</v>
      </c>
      <c r="W85" s="560">
        <v>55565</v>
      </c>
      <c r="X85" s="560">
        <v>11255</v>
      </c>
      <c r="Y85" s="561">
        <v>615.44056362312267</v>
      </c>
      <c r="Z85" s="561">
        <v>4.9369169258107508</v>
      </c>
      <c r="AA85" s="567">
        <v>406624.91</v>
      </c>
      <c r="AB85" s="567">
        <v>0</v>
      </c>
      <c r="AC85" s="567">
        <v>0</v>
      </c>
      <c r="AD85" s="567">
        <v>0</v>
      </c>
      <c r="AE85" s="567">
        <v>0</v>
      </c>
      <c r="AF85" s="567" t="s">
        <v>434</v>
      </c>
      <c r="AG85" s="567">
        <v>406624.91</v>
      </c>
      <c r="AH85" s="567">
        <v>192099.95600000001</v>
      </c>
      <c r="AI85" s="567">
        <v>48657.072999999997</v>
      </c>
      <c r="AJ85" s="567">
        <v>0</v>
      </c>
      <c r="AK85" s="567">
        <v>35428.862000000001</v>
      </c>
      <c r="AL85" s="567">
        <v>91814.025999999998</v>
      </c>
      <c r="AM85" s="567">
        <v>0</v>
      </c>
      <c r="AN85" s="567">
        <v>887.78599999999994</v>
      </c>
      <c r="AO85" s="567">
        <v>368887.70299999998</v>
      </c>
      <c r="AP85" s="567">
        <v>814.95699999999999</v>
      </c>
      <c r="AQ85" s="567">
        <v>368072.74599999998</v>
      </c>
      <c r="AR85" s="563" t="s">
        <v>434</v>
      </c>
      <c r="AS85" s="567">
        <v>12237.852000000001</v>
      </c>
      <c r="AT85" s="567">
        <v>43482.19</v>
      </c>
      <c r="AU85" s="567">
        <v>0</v>
      </c>
      <c r="AV85" s="567" t="s">
        <v>434</v>
      </c>
      <c r="AW85" s="567">
        <v>423792.788</v>
      </c>
      <c r="AX85" s="567">
        <v>-17167.878000000001</v>
      </c>
      <c r="AY85" s="571" t="s">
        <v>430</v>
      </c>
      <c r="AZ85" s="571" t="s">
        <v>433</v>
      </c>
      <c r="BA85" s="563"/>
      <c r="BB85" s="563"/>
      <c r="BC85" s="221" t="s">
        <v>551</v>
      </c>
      <c r="BD85" s="591">
        <v>0.10139363498620241</v>
      </c>
      <c r="BE85" s="653">
        <v>-6.1426574508418146E-2</v>
      </c>
      <c r="BF85" s="559" t="s">
        <v>570</v>
      </c>
      <c r="BG85" s="613" t="s">
        <v>570</v>
      </c>
    </row>
    <row r="86" spans="1:59">
      <c r="A86" s="532" t="s">
        <v>95</v>
      </c>
      <c r="B86" s="532" t="s">
        <v>421</v>
      </c>
      <c r="C86" s="532">
        <v>4</v>
      </c>
      <c r="D86" s="532">
        <v>83</v>
      </c>
      <c r="E86" s="535" t="s">
        <v>257</v>
      </c>
      <c r="F86" s="532">
        <v>2013</v>
      </c>
      <c r="G86" s="534" t="s">
        <v>469</v>
      </c>
      <c r="H86" s="551">
        <v>5447.7920000000004</v>
      </c>
      <c r="I86" s="555">
        <v>18898.983</v>
      </c>
      <c r="J86" s="552">
        <v>2.7919832151942292</v>
      </c>
      <c r="K86" s="552">
        <v>338.02917619999999</v>
      </c>
      <c r="L86" s="555">
        <v>195122.663</v>
      </c>
      <c r="M86" s="553">
        <v>92506</v>
      </c>
      <c r="N86" s="553">
        <v>1059561</v>
      </c>
      <c r="O86" s="554">
        <v>184.27018737005233</v>
      </c>
      <c r="P86" s="555">
        <v>195245.50399999999</v>
      </c>
      <c r="Q86" s="555">
        <v>195245.50399999999</v>
      </c>
      <c r="R86" s="555">
        <v>161535.08100000001</v>
      </c>
      <c r="S86" s="556">
        <v>82.734340965925668</v>
      </c>
      <c r="T86" s="562"/>
      <c r="U86" s="560">
        <v>384693</v>
      </c>
      <c r="V86" s="561">
        <v>4356.8194752354984</v>
      </c>
      <c r="W86" s="560">
        <v>27402</v>
      </c>
      <c r="X86" s="560">
        <v>7626</v>
      </c>
      <c r="Y86" s="561">
        <v>310.33984829566208</v>
      </c>
      <c r="Z86" s="561">
        <v>3.5932336742722266</v>
      </c>
      <c r="AA86" s="567">
        <v>205836.576</v>
      </c>
      <c r="AB86" s="567">
        <v>0</v>
      </c>
      <c r="AC86" s="567">
        <v>0</v>
      </c>
      <c r="AD86" s="567">
        <v>0</v>
      </c>
      <c r="AE86" s="567">
        <v>0</v>
      </c>
      <c r="AF86" s="567" t="s">
        <v>434</v>
      </c>
      <c r="AG86" s="567">
        <v>205836.576</v>
      </c>
      <c r="AH86" s="567">
        <v>132655.209</v>
      </c>
      <c r="AI86" s="567">
        <v>708.81500000000005</v>
      </c>
      <c r="AJ86" s="567">
        <v>6205.393</v>
      </c>
      <c r="AK86" s="567">
        <v>14273.825999999999</v>
      </c>
      <c r="AL86" s="567">
        <v>15368.397000000001</v>
      </c>
      <c r="AM86" s="567">
        <v>0</v>
      </c>
      <c r="AN86" s="567">
        <v>120.2</v>
      </c>
      <c r="AO86" s="567">
        <v>169331.84</v>
      </c>
      <c r="AP86" s="567">
        <v>315.15100000000001</v>
      </c>
      <c r="AQ86" s="567">
        <v>169016.68900000001</v>
      </c>
      <c r="AR86" s="563" t="s">
        <v>434</v>
      </c>
      <c r="AS86" s="567">
        <v>6320.9369999999999</v>
      </c>
      <c r="AT86" s="567">
        <v>18719.782999999999</v>
      </c>
      <c r="AU86" s="567">
        <v>0</v>
      </c>
      <c r="AV86" s="567" t="s">
        <v>434</v>
      </c>
      <c r="AW86" s="567">
        <v>194057.40900000001</v>
      </c>
      <c r="AX86" s="567">
        <v>11779.166999999999</v>
      </c>
      <c r="AY86" s="571" t="s">
        <v>430</v>
      </c>
      <c r="AZ86" s="571" t="s">
        <v>433</v>
      </c>
      <c r="BA86" s="563"/>
      <c r="BB86" s="563"/>
      <c r="BC86" s="221" t="s">
        <v>551</v>
      </c>
      <c r="BD86" s="591">
        <v>9.6856934553009866E-2</v>
      </c>
      <c r="BE86" s="653">
        <v>2.7919832151942291E-2</v>
      </c>
      <c r="BF86" s="559" t="s">
        <v>574</v>
      </c>
      <c r="BG86" s="613" t="s">
        <v>574</v>
      </c>
    </row>
    <row r="87" spans="1:59">
      <c r="A87" s="532" t="s">
        <v>85</v>
      </c>
      <c r="B87" s="532" t="s">
        <v>424</v>
      </c>
      <c r="C87" s="532">
        <v>5</v>
      </c>
      <c r="D87" s="532">
        <v>84</v>
      </c>
      <c r="E87" s="535" t="s">
        <v>381</v>
      </c>
      <c r="F87" s="532">
        <v>2013</v>
      </c>
      <c r="G87" s="534" t="s">
        <v>567</v>
      </c>
      <c r="H87" s="551">
        <v>24790.684000000001</v>
      </c>
      <c r="I87" s="555">
        <v>47475.851000000002</v>
      </c>
      <c r="J87" s="552">
        <v>3.039475817660283</v>
      </c>
      <c r="K87" s="552">
        <v>335.52911319999998</v>
      </c>
      <c r="L87" s="555">
        <v>815623.66299999994</v>
      </c>
      <c r="M87" s="553">
        <v>95655</v>
      </c>
      <c r="N87" s="553">
        <v>1013334</v>
      </c>
      <c r="O87" s="554">
        <v>354.76481594420005</v>
      </c>
      <c r="P87" s="555">
        <v>359495.25</v>
      </c>
      <c r="Q87" s="555">
        <v>359495.25</v>
      </c>
      <c r="R87" s="555">
        <v>326767.42800000001</v>
      </c>
      <c r="S87" s="556">
        <v>90.896174010644089</v>
      </c>
      <c r="T87" s="562"/>
      <c r="U87" s="565">
        <v>609450</v>
      </c>
      <c r="V87" s="566">
        <v>7217.1663044958523</v>
      </c>
      <c r="W87" s="565">
        <v>48580</v>
      </c>
      <c r="X87" s="565">
        <v>8274</v>
      </c>
      <c r="Y87" s="566">
        <v>575.2890952045426</v>
      </c>
      <c r="Z87" s="566">
        <v>5.8714043993231808</v>
      </c>
      <c r="AA87" s="567">
        <v>669355.51100000006</v>
      </c>
      <c r="AB87" s="567">
        <v>0</v>
      </c>
      <c r="AC87" s="567">
        <v>0</v>
      </c>
      <c r="AD87" s="567">
        <v>0</v>
      </c>
      <c r="AE87" s="567">
        <v>0</v>
      </c>
      <c r="AF87" s="567" t="s">
        <v>434</v>
      </c>
      <c r="AG87" s="567">
        <v>669355.51100000006</v>
      </c>
      <c r="AH87" s="567">
        <v>494152.09299999999</v>
      </c>
      <c r="AI87" s="567">
        <v>0</v>
      </c>
      <c r="AJ87" s="567">
        <v>0</v>
      </c>
      <c r="AK87" s="567">
        <v>74723.637000000002</v>
      </c>
      <c r="AL87" s="567">
        <v>0</v>
      </c>
      <c r="AM87" s="567">
        <v>0</v>
      </c>
      <c r="AN87" s="567">
        <v>1039.48</v>
      </c>
      <c r="AO87" s="567">
        <v>569915.21</v>
      </c>
      <c r="AP87" s="567">
        <v>3786.817</v>
      </c>
      <c r="AQ87" s="567">
        <v>566128.39300000004</v>
      </c>
      <c r="AR87" s="563" t="s">
        <v>434</v>
      </c>
      <c r="AS87" s="567">
        <v>11956.642</v>
      </c>
      <c r="AT87" s="567">
        <v>46133.875</v>
      </c>
      <c r="AU87" s="567">
        <v>0</v>
      </c>
      <c r="AV87" s="567" t="s">
        <v>434</v>
      </c>
      <c r="AW87" s="567">
        <v>624218.91</v>
      </c>
      <c r="AX87" s="567">
        <v>45136.601000000002</v>
      </c>
      <c r="AY87" s="571" t="s">
        <v>430</v>
      </c>
      <c r="AZ87" s="571" t="s">
        <v>433</v>
      </c>
      <c r="BA87" s="563"/>
      <c r="BB87" s="563"/>
      <c r="BC87" s="221" t="s">
        <v>551</v>
      </c>
      <c r="BD87" s="591">
        <v>5.820803533994575E-2</v>
      </c>
      <c r="BE87" s="653">
        <v>3.283022455361332E-2</v>
      </c>
      <c r="BF87" s="559" t="s">
        <v>574</v>
      </c>
      <c r="BG87" s="613" t="s">
        <v>574</v>
      </c>
    </row>
    <row r="88" spans="1:59">
      <c r="A88" s="536" t="s">
        <v>90</v>
      </c>
      <c r="B88" s="536" t="s">
        <v>205</v>
      </c>
      <c r="C88" s="536">
        <v>60</v>
      </c>
      <c r="D88" s="536">
        <v>85</v>
      </c>
      <c r="E88" s="535" t="s">
        <v>205</v>
      </c>
      <c r="F88" s="532">
        <v>2013</v>
      </c>
      <c r="G88" s="534" t="s">
        <v>567</v>
      </c>
      <c r="H88" s="551">
        <v>6356.2979999999998</v>
      </c>
      <c r="I88" s="555">
        <v>17732.2</v>
      </c>
      <c r="J88" s="552">
        <v>2.401197462890404</v>
      </c>
      <c r="K88" s="552">
        <v>457.88739249999998</v>
      </c>
      <c r="L88" s="555">
        <v>264713.67300000001</v>
      </c>
      <c r="M88" s="553">
        <v>85302</v>
      </c>
      <c r="N88" s="553">
        <v>999792</v>
      </c>
      <c r="O88" s="554">
        <v>204.03709171507674</v>
      </c>
      <c r="P88" s="555">
        <v>208920.853</v>
      </c>
      <c r="Q88" s="555">
        <v>203994.652</v>
      </c>
      <c r="R88" s="555">
        <v>179643.28899999999</v>
      </c>
      <c r="S88" s="556">
        <v>88.062744409593634</v>
      </c>
      <c r="T88" s="562"/>
      <c r="U88" s="565">
        <v>364375</v>
      </c>
      <c r="V88" s="566">
        <v>4373.4096692111962</v>
      </c>
      <c r="W88" s="565">
        <v>22920</v>
      </c>
      <c r="X88" s="565">
        <v>3558</v>
      </c>
      <c r="Y88" s="566">
        <v>275.09722022180614</v>
      </c>
      <c r="Z88" s="566">
        <v>6.441821247892074</v>
      </c>
      <c r="AA88" s="567">
        <v>211387.258</v>
      </c>
      <c r="AB88" s="567">
        <v>0</v>
      </c>
      <c r="AC88" s="567">
        <v>0</v>
      </c>
      <c r="AD88" s="567">
        <v>0</v>
      </c>
      <c r="AE88" s="567">
        <v>0</v>
      </c>
      <c r="AF88" s="567" t="s">
        <v>434</v>
      </c>
      <c r="AG88" s="567">
        <v>211387.258</v>
      </c>
      <c r="AH88" s="567">
        <v>119833.47900000001</v>
      </c>
      <c r="AI88" s="567">
        <v>11685.143</v>
      </c>
      <c r="AJ88" s="567">
        <v>0</v>
      </c>
      <c r="AK88" s="567">
        <v>18277.205999999998</v>
      </c>
      <c r="AL88" s="567">
        <v>51772.245999999999</v>
      </c>
      <c r="AM88" s="567">
        <v>-798.03599999999994</v>
      </c>
      <c r="AN88" s="567">
        <v>9039.4220000000005</v>
      </c>
      <c r="AO88" s="567">
        <v>209809.46</v>
      </c>
      <c r="AP88" s="567">
        <v>0</v>
      </c>
      <c r="AQ88" s="567">
        <v>209809.46</v>
      </c>
      <c r="AR88" s="563" t="s">
        <v>434</v>
      </c>
      <c r="AS88" s="567">
        <v>2865.2489999999998</v>
      </c>
      <c r="AT88" s="567">
        <v>9926.0409999999993</v>
      </c>
      <c r="AU88" s="567">
        <v>0</v>
      </c>
      <c r="AV88" s="567" t="s">
        <v>434</v>
      </c>
      <c r="AW88" s="567">
        <v>222600.75</v>
      </c>
      <c r="AX88" s="567">
        <v>-11213.492</v>
      </c>
      <c r="AY88" s="571" t="s">
        <v>435</v>
      </c>
      <c r="AZ88" s="571" t="s">
        <v>431</v>
      </c>
      <c r="BA88" s="563"/>
      <c r="BB88" s="563"/>
      <c r="BC88" s="221" t="s">
        <v>551</v>
      </c>
      <c r="BD88" s="591">
        <v>6.6986339613821153E-2</v>
      </c>
      <c r="BE88" s="653">
        <v>5.2386216290242552E-2</v>
      </c>
      <c r="BF88" s="559" t="s">
        <v>575</v>
      </c>
      <c r="BG88" s="613" t="s">
        <v>575</v>
      </c>
    </row>
    <row r="89" spans="1:59">
      <c r="A89" s="532" t="s">
        <v>96</v>
      </c>
      <c r="B89" s="532" t="s">
        <v>420</v>
      </c>
      <c r="C89" s="532">
        <v>3</v>
      </c>
      <c r="D89" s="532">
        <v>86</v>
      </c>
      <c r="E89" s="535" t="s">
        <v>271</v>
      </c>
      <c r="F89" s="532">
        <v>2013</v>
      </c>
      <c r="G89" s="534" t="s">
        <v>469</v>
      </c>
      <c r="H89" s="551">
        <v>11717.858</v>
      </c>
      <c r="I89" s="551">
        <v>6475.6409999999996</v>
      </c>
      <c r="J89" s="568">
        <v>5.4371460893759975</v>
      </c>
      <c r="K89" s="568">
        <v>551.85219010000003</v>
      </c>
      <c r="L89" s="551">
        <v>215514.864</v>
      </c>
      <c r="M89" s="557">
        <v>86911</v>
      </c>
      <c r="N89" s="557">
        <v>989645</v>
      </c>
      <c r="O89" s="558">
        <v>217.76987101435364</v>
      </c>
      <c r="P89" s="551">
        <v>215514.864</v>
      </c>
      <c r="Q89" s="551">
        <v>215514.864</v>
      </c>
      <c r="R89" s="551">
        <v>181010.639</v>
      </c>
      <c r="S89" s="569">
        <v>83.989862991538246</v>
      </c>
      <c r="T89" s="562"/>
      <c r="U89" s="560">
        <v>575901</v>
      </c>
      <c r="V89" s="561">
        <v>6983.1222306988866</v>
      </c>
      <c r="W89" s="560">
        <v>39683</v>
      </c>
      <c r="X89" s="560">
        <v>12331</v>
      </c>
      <c r="Y89" s="561">
        <v>481.17860444907012</v>
      </c>
      <c r="Z89" s="561">
        <v>3.2181493796123593</v>
      </c>
      <c r="AA89" s="567">
        <v>388118.81599999999</v>
      </c>
      <c r="AB89" s="567">
        <v>0</v>
      </c>
      <c r="AC89" s="567">
        <v>0</v>
      </c>
      <c r="AD89" s="567">
        <v>0</v>
      </c>
      <c r="AE89" s="567">
        <v>0</v>
      </c>
      <c r="AF89" s="567" t="s">
        <v>434</v>
      </c>
      <c r="AG89" s="567">
        <v>388118.81599999999</v>
      </c>
      <c r="AH89" s="567">
        <v>198953.54300000001</v>
      </c>
      <c r="AI89" s="567">
        <v>8680.92</v>
      </c>
      <c r="AJ89" s="567">
        <v>0</v>
      </c>
      <c r="AK89" s="567">
        <v>28660.714</v>
      </c>
      <c r="AL89" s="567">
        <v>88990.312999999995</v>
      </c>
      <c r="AM89" s="567">
        <v>11159.373</v>
      </c>
      <c r="AN89" s="567">
        <v>-14.584</v>
      </c>
      <c r="AO89" s="567">
        <v>336430.27899999998</v>
      </c>
      <c r="AP89" s="567">
        <v>0</v>
      </c>
      <c r="AQ89" s="567">
        <v>336430.27899999998</v>
      </c>
      <c r="AR89" s="563" t="s">
        <v>434</v>
      </c>
      <c r="AS89" s="567">
        <v>25138.863000000001</v>
      </c>
      <c r="AT89" s="567">
        <v>23792.323</v>
      </c>
      <c r="AU89" s="567">
        <v>0</v>
      </c>
      <c r="AV89" s="567" t="s">
        <v>434</v>
      </c>
      <c r="AW89" s="567">
        <v>385361.46500000003</v>
      </c>
      <c r="AX89" s="567">
        <v>2757.3510000000001</v>
      </c>
      <c r="AY89" s="571" t="s">
        <v>430</v>
      </c>
      <c r="AZ89" s="571" t="s">
        <v>433</v>
      </c>
      <c r="BA89" s="563"/>
      <c r="BB89" s="563"/>
      <c r="BC89" s="221" t="s">
        <v>551</v>
      </c>
      <c r="BD89" s="591">
        <v>3.004730569303099E-2</v>
      </c>
      <c r="BE89" s="653">
        <v>5.4371460893759972E-2</v>
      </c>
      <c r="BF89" s="559" t="s">
        <v>575</v>
      </c>
      <c r="BG89" s="613" t="s">
        <v>575</v>
      </c>
    </row>
    <row r="90" spans="1:59">
      <c r="A90" s="532" t="s">
        <v>80</v>
      </c>
      <c r="B90" s="532" t="s">
        <v>420</v>
      </c>
      <c r="C90" s="532">
        <v>3</v>
      </c>
      <c r="D90" s="532">
        <v>87</v>
      </c>
      <c r="E90" s="535" t="s">
        <v>191</v>
      </c>
      <c r="F90" s="532">
        <v>2013</v>
      </c>
      <c r="G90" s="534" t="s">
        <v>469</v>
      </c>
      <c r="H90" s="551">
        <v>6987.2579999999998</v>
      </c>
      <c r="I90" s="551">
        <v>16758.143</v>
      </c>
      <c r="J90" s="568">
        <v>3.7146185480403258</v>
      </c>
      <c r="K90" s="568">
        <v>493.22339269999998</v>
      </c>
      <c r="L90" s="551">
        <v>188101.62899999999</v>
      </c>
      <c r="M90" s="557">
        <v>90796</v>
      </c>
      <c r="N90" s="557">
        <v>984388</v>
      </c>
      <c r="O90" s="558">
        <v>181.52570734303953</v>
      </c>
      <c r="P90" s="551">
        <v>178691.728</v>
      </c>
      <c r="Q90" s="551">
        <v>178691.728</v>
      </c>
      <c r="R90" s="551">
        <v>136636.734</v>
      </c>
      <c r="S90" s="569">
        <v>76.465058304209805</v>
      </c>
      <c r="T90" s="562"/>
      <c r="U90" s="560">
        <v>394357</v>
      </c>
      <c r="V90" s="561">
        <v>4807.3361316879118</v>
      </c>
      <c r="W90" s="560">
        <v>35104</v>
      </c>
      <c r="X90" s="560">
        <v>8753</v>
      </c>
      <c r="Y90" s="561">
        <v>427.92882481298022</v>
      </c>
      <c r="Z90" s="561">
        <v>4.0105106820518683</v>
      </c>
      <c r="AA90" s="567">
        <v>215514.864</v>
      </c>
      <c r="AB90" s="567">
        <v>0</v>
      </c>
      <c r="AC90" s="567">
        <v>0</v>
      </c>
      <c r="AD90" s="567">
        <v>0</v>
      </c>
      <c r="AE90" s="567">
        <v>0</v>
      </c>
      <c r="AF90" s="567" t="s">
        <v>434</v>
      </c>
      <c r="AG90" s="567">
        <v>215514.864</v>
      </c>
      <c r="AH90" s="567">
        <v>146025.78599999999</v>
      </c>
      <c r="AI90" s="567">
        <v>3328.4180000000001</v>
      </c>
      <c r="AJ90" s="567">
        <v>0</v>
      </c>
      <c r="AK90" s="567">
        <v>0</v>
      </c>
      <c r="AL90" s="567">
        <v>31656.435000000001</v>
      </c>
      <c r="AM90" s="567">
        <v>0</v>
      </c>
      <c r="AN90" s="567">
        <v>0</v>
      </c>
      <c r="AO90" s="567">
        <v>181010.639</v>
      </c>
      <c r="AP90" s="567">
        <v>0</v>
      </c>
      <c r="AQ90" s="567">
        <v>181010.639</v>
      </c>
      <c r="AR90" s="563" t="s">
        <v>434</v>
      </c>
      <c r="AS90" s="567">
        <v>11640.7</v>
      </c>
      <c r="AT90" s="567">
        <v>6475.6409999999996</v>
      </c>
      <c r="AU90" s="567">
        <v>0</v>
      </c>
      <c r="AV90" s="567" t="s">
        <v>434</v>
      </c>
      <c r="AW90" s="567">
        <v>199126.98</v>
      </c>
      <c r="AX90" s="567">
        <v>16387.883999999998</v>
      </c>
      <c r="AY90" s="571" t="s">
        <v>430</v>
      </c>
      <c r="AZ90" s="571" t="s">
        <v>433</v>
      </c>
      <c r="BA90" s="563"/>
      <c r="BB90" s="563"/>
      <c r="BC90" s="221" t="s">
        <v>551</v>
      </c>
      <c r="BD90" s="591">
        <v>8.9090897772076183E-2</v>
      </c>
      <c r="BE90" s="653">
        <v>3.7146185480403257E-2</v>
      </c>
      <c r="BF90" s="559" t="s">
        <v>574</v>
      </c>
      <c r="BG90" s="613" t="s">
        <v>574</v>
      </c>
    </row>
    <row r="91" spans="1:59">
      <c r="A91" s="532" t="s">
        <v>56</v>
      </c>
      <c r="B91" s="532" t="s">
        <v>421</v>
      </c>
      <c r="C91" s="532">
        <v>4</v>
      </c>
      <c r="D91" s="532">
        <v>88</v>
      </c>
      <c r="E91" s="535" t="s">
        <v>250</v>
      </c>
      <c r="F91" s="532">
        <v>2013</v>
      </c>
      <c r="G91" s="534" t="s">
        <v>469</v>
      </c>
      <c r="H91" s="551">
        <v>-5592.4830000000002</v>
      </c>
      <c r="I91" s="555">
        <v>40312.309000000001</v>
      </c>
      <c r="J91" s="552">
        <v>-2.1112062640633469</v>
      </c>
      <c r="K91" s="552">
        <v>150.83653079999999</v>
      </c>
      <c r="L91" s="555">
        <v>264895.15000000002</v>
      </c>
      <c r="M91" s="553">
        <v>84924</v>
      </c>
      <c r="N91" s="553">
        <v>959545</v>
      </c>
      <c r="O91" s="554">
        <v>255.40489502837283</v>
      </c>
      <c r="P91" s="555">
        <v>245072.49</v>
      </c>
      <c r="Q91" s="555">
        <v>245072.49</v>
      </c>
      <c r="R91" s="555">
        <v>206475.535</v>
      </c>
      <c r="S91" s="556">
        <v>84.250800650860484</v>
      </c>
      <c r="T91" s="562"/>
      <c r="U91" s="560">
        <v>486241</v>
      </c>
      <c r="V91" s="561">
        <v>6080.8945906653671</v>
      </c>
      <c r="W91" s="560">
        <v>40197</v>
      </c>
      <c r="X91" s="560">
        <v>8836</v>
      </c>
      <c r="Y91" s="561">
        <v>502.70075921400246</v>
      </c>
      <c r="Z91" s="561">
        <v>4.5492304210049799</v>
      </c>
      <c r="AA91" s="567">
        <v>481538.842</v>
      </c>
      <c r="AB91" s="567">
        <v>0</v>
      </c>
      <c r="AC91" s="567">
        <v>0</v>
      </c>
      <c r="AD91" s="567">
        <v>0</v>
      </c>
      <c r="AE91" s="567">
        <v>0</v>
      </c>
      <c r="AF91" s="567" t="s">
        <v>434</v>
      </c>
      <c r="AG91" s="567">
        <v>481538.842</v>
      </c>
      <c r="AH91" s="567">
        <v>280710.815</v>
      </c>
      <c r="AI91" s="567">
        <v>37370.983</v>
      </c>
      <c r="AJ91" s="567">
        <v>6151.1019999999999</v>
      </c>
      <c r="AK91" s="567">
        <v>25772.207999999999</v>
      </c>
      <c r="AL91" s="567">
        <v>45517.663999999997</v>
      </c>
      <c r="AM91" s="567">
        <v>0</v>
      </c>
      <c r="AN91" s="567">
        <v>1100.249</v>
      </c>
      <c r="AO91" s="567">
        <v>396623.02100000001</v>
      </c>
      <c r="AP91" s="567">
        <v>2549.4119999999998</v>
      </c>
      <c r="AQ91" s="567">
        <v>394073.609</v>
      </c>
      <c r="AR91" s="563" t="s">
        <v>434</v>
      </c>
      <c r="AS91" s="567">
        <v>16462.234</v>
      </c>
      <c r="AT91" s="567">
        <v>71682.130999999994</v>
      </c>
      <c r="AU91" s="567">
        <v>0</v>
      </c>
      <c r="AV91" s="567" t="s">
        <v>434</v>
      </c>
      <c r="AW91" s="567">
        <v>482217.97399999999</v>
      </c>
      <c r="AX91" s="567">
        <v>-679.13199999999995</v>
      </c>
      <c r="AY91" s="571" t="s">
        <v>430</v>
      </c>
      <c r="AZ91" s="571" t="s">
        <v>433</v>
      </c>
      <c r="BA91" s="563"/>
      <c r="BB91" s="563"/>
      <c r="BC91" s="221" t="s">
        <v>551</v>
      </c>
      <c r="BD91" s="591">
        <v>0.1521821331949641</v>
      </c>
      <c r="BE91" s="653">
        <v>-2.1112062640633467E-2</v>
      </c>
      <c r="BF91" s="559" t="s">
        <v>572</v>
      </c>
      <c r="BG91" s="613" t="s">
        <v>572</v>
      </c>
    </row>
    <row r="92" spans="1:59">
      <c r="A92" s="536" t="s">
        <v>69</v>
      </c>
      <c r="B92" s="536" t="s">
        <v>318</v>
      </c>
      <c r="C92" s="536">
        <v>38</v>
      </c>
      <c r="D92" s="536">
        <v>89</v>
      </c>
      <c r="E92" s="535" t="s">
        <v>318</v>
      </c>
      <c r="F92" s="532">
        <v>2013</v>
      </c>
      <c r="G92" s="534" t="s">
        <v>469</v>
      </c>
      <c r="H92" s="551">
        <v>9439.9320000000007</v>
      </c>
      <c r="I92" s="555">
        <v>15200.496999999999</v>
      </c>
      <c r="J92" s="552">
        <v>3.204537222877458</v>
      </c>
      <c r="K92" s="552">
        <v>361.59130090000002</v>
      </c>
      <c r="L92" s="555">
        <v>294580.19500000001</v>
      </c>
      <c r="M92" s="553">
        <v>76266</v>
      </c>
      <c r="N92" s="553">
        <v>936789</v>
      </c>
      <c r="O92" s="554">
        <v>304.48452960058239</v>
      </c>
      <c r="P92" s="555">
        <v>285237.75799999997</v>
      </c>
      <c r="Q92" s="555">
        <v>285237.75799999997</v>
      </c>
      <c r="R92" s="555">
        <v>249936.64000000001</v>
      </c>
      <c r="S92" s="556">
        <v>87.623967371108009</v>
      </c>
      <c r="T92" s="562"/>
      <c r="U92" s="565">
        <v>471727</v>
      </c>
      <c r="V92" s="566">
        <v>6042.6883748634964</v>
      </c>
      <c r="W92" s="565">
        <v>31042</v>
      </c>
      <c r="X92" s="565">
        <v>7456</v>
      </c>
      <c r="Y92" s="566">
        <v>397.63916954618384</v>
      </c>
      <c r="Z92" s="566">
        <v>4.1633583690987122</v>
      </c>
      <c r="AA92" s="567">
        <v>510694.78399999999</v>
      </c>
      <c r="AB92" s="567">
        <v>0</v>
      </c>
      <c r="AC92" s="567">
        <v>0</v>
      </c>
      <c r="AD92" s="567">
        <v>0</v>
      </c>
      <c r="AE92" s="567">
        <v>-580.64499999999998</v>
      </c>
      <c r="AF92" s="567" t="s">
        <v>434</v>
      </c>
      <c r="AG92" s="567">
        <v>510114.13900000002</v>
      </c>
      <c r="AH92" s="567">
        <v>343207.94099999999</v>
      </c>
      <c r="AI92" s="567">
        <v>14913.739</v>
      </c>
      <c r="AJ92" s="567">
        <v>3370.2730000000001</v>
      </c>
      <c r="AK92" s="567">
        <v>28763.705999999998</v>
      </c>
      <c r="AL92" s="567">
        <v>58000.661</v>
      </c>
      <c r="AM92" s="567">
        <v>1381.5139999999999</v>
      </c>
      <c r="AN92" s="567">
        <v>7034.2250000000004</v>
      </c>
      <c r="AO92" s="567">
        <v>456672.05800000002</v>
      </c>
      <c r="AP92" s="567">
        <v>297.79899999999998</v>
      </c>
      <c r="AQ92" s="567">
        <v>456374.25900000002</v>
      </c>
      <c r="AR92" s="563" t="s">
        <v>434</v>
      </c>
      <c r="AS92" s="567">
        <v>9354.7980000000007</v>
      </c>
      <c r="AT92" s="567">
        <v>27325.69</v>
      </c>
      <c r="AU92" s="567">
        <v>0</v>
      </c>
      <c r="AV92" s="567" t="s">
        <v>434</v>
      </c>
      <c r="AW92" s="567">
        <v>493054.74800000002</v>
      </c>
      <c r="AX92" s="567">
        <v>17059.392</v>
      </c>
      <c r="AY92" s="571" t="s">
        <v>435</v>
      </c>
      <c r="AZ92" s="571" t="s">
        <v>431</v>
      </c>
      <c r="BA92" s="563"/>
      <c r="BB92" s="563"/>
      <c r="BC92" s="221" t="s">
        <v>551</v>
      </c>
      <c r="BD92" s="591">
        <v>5.1600539540684325E-2</v>
      </c>
      <c r="BE92" s="653">
        <v>3.2045372228774578E-2</v>
      </c>
      <c r="BF92" s="559" t="s">
        <v>574</v>
      </c>
      <c r="BG92" s="613" t="s">
        <v>574</v>
      </c>
    </row>
    <row r="93" spans="1:59">
      <c r="A93" s="536" t="s">
        <v>91</v>
      </c>
      <c r="B93" s="536" t="s">
        <v>397</v>
      </c>
      <c r="C93" s="536">
        <v>58</v>
      </c>
      <c r="D93" s="536">
        <v>90</v>
      </c>
      <c r="E93" s="535" t="s">
        <v>397</v>
      </c>
      <c r="F93" s="532">
        <v>2013</v>
      </c>
      <c r="G93" s="534" t="s">
        <v>567</v>
      </c>
      <c r="H93" s="551">
        <v>50786.885999999999</v>
      </c>
      <c r="I93" s="555">
        <v>84473.341</v>
      </c>
      <c r="J93" s="552">
        <v>3.4751066060299771</v>
      </c>
      <c r="K93" s="552">
        <v>806.85952550000002</v>
      </c>
      <c r="L93" s="555">
        <v>1461448.2879999999</v>
      </c>
      <c r="M93" s="553">
        <v>76021</v>
      </c>
      <c r="N93" s="553">
        <v>927180</v>
      </c>
      <c r="O93" s="554">
        <v>268.86862205828425</v>
      </c>
      <c r="P93" s="555">
        <v>249289.609</v>
      </c>
      <c r="Q93" s="555">
        <v>249289.609</v>
      </c>
      <c r="R93" s="555">
        <v>226829.16399999999</v>
      </c>
      <c r="S93" s="556">
        <v>90.99022013388452</v>
      </c>
      <c r="T93" s="562"/>
      <c r="U93" s="565">
        <v>517041</v>
      </c>
      <c r="V93" s="566">
        <v>6691.7880023296448</v>
      </c>
      <c r="W93" s="565">
        <v>44154</v>
      </c>
      <c r="X93" s="565">
        <v>13714</v>
      </c>
      <c r="Y93" s="566">
        <v>571.46185206755968</v>
      </c>
      <c r="Z93" s="566">
        <v>3.2196295756161586</v>
      </c>
      <c r="AA93" s="567">
        <v>250002.41</v>
      </c>
      <c r="AB93" s="567">
        <v>0</v>
      </c>
      <c r="AC93" s="567">
        <v>0</v>
      </c>
      <c r="AD93" s="567">
        <v>0</v>
      </c>
      <c r="AE93" s="567">
        <v>0</v>
      </c>
      <c r="AF93" s="567" t="s">
        <v>434</v>
      </c>
      <c r="AG93" s="567">
        <v>250002.41</v>
      </c>
      <c r="AH93" s="567">
        <v>141957.255</v>
      </c>
      <c r="AI93" s="567">
        <v>15288.713</v>
      </c>
      <c r="AJ93" s="567">
        <v>0</v>
      </c>
      <c r="AK93" s="567">
        <v>16580.047999999999</v>
      </c>
      <c r="AL93" s="567">
        <v>58594.131999999998</v>
      </c>
      <c r="AM93" s="567">
        <v>6476.08</v>
      </c>
      <c r="AN93" s="567">
        <v>-176.59700000000001</v>
      </c>
      <c r="AO93" s="567">
        <v>238719.63099999999</v>
      </c>
      <c r="AP93" s="567">
        <v>3295.4360000000001</v>
      </c>
      <c r="AQ93" s="567">
        <v>235424.19500000001</v>
      </c>
      <c r="AR93" s="563" t="s">
        <v>434</v>
      </c>
      <c r="AS93" s="567">
        <v>7567.598</v>
      </c>
      <c r="AT93" s="567">
        <v>17648.016</v>
      </c>
      <c r="AU93" s="567">
        <v>-15499.999</v>
      </c>
      <c r="AV93" s="567" t="s">
        <v>434</v>
      </c>
      <c r="AW93" s="567">
        <v>245139.81</v>
      </c>
      <c r="AX93" s="567">
        <v>4862.6000000000004</v>
      </c>
      <c r="AY93" s="571" t="s">
        <v>435</v>
      </c>
      <c r="AZ93" s="571" t="s">
        <v>431</v>
      </c>
      <c r="BA93" s="563"/>
      <c r="BB93" s="563"/>
      <c r="BC93" s="221" t="s">
        <v>551</v>
      </c>
      <c r="BD93" s="591">
        <v>5.7801115300221972E-2</v>
      </c>
      <c r="BE93" s="653">
        <v>3.2296683360932776E-2</v>
      </c>
      <c r="BF93" s="559" t="s">
        <v>574</v>
      </c>
      <c r="BG93" s="613" t="s">
        <v>574</v>
      </c>
    </row>
    <row r="94" spans="1:59">
      <c r="A94" s="532" t="s">
        <v>72</v>
      </c>
      <c r="B94" s="532" t="s">
        <v>419</v>
      </c>
      <c r="C94" s="532">
        <v>2</v>
      </c>
      <c r="D94" s="532">
        <v>91</v>
      </c>
      <c r="E94" s="535" t="s">
        <v>241</v>
      </c>
      <c r="F94" s="532">
        <v>2013</v>
      </c>
      <c r="G94" s="534" t="s">
        <v>469</v>
      </c>
      <c r="H94" s="551">
        <v>-10076.118</v>
      </c>
      <c r="I94" s="551">
        <v>43482.19</v>
      </c>
      <c r="J94" s="568">
        <v>-2.4779883750850389</v>
      </c>
      <c r="K94" s="568">
        <v>267.70251510000003</v>
      </c>
      <c r="L94" s="551">
        <v>406624.91</v>
      </c>
      <c r="M94" s="557">
        <v>78165</v>
      </c>
      <c r="N94" s="557">
        <v>925642</v>
      </c>
      <c r="O94" s="558">
        <v>440.04960665138356</v>
      </c>
      <c r="P94" s="551">
        <v>407328.39799999999</v>
      </c>
      <c r="Q94" s="551">
        <v>407328.39799999999</v>
      </c>
      <c r="R94" s="551">
        <v>368887.70299999998</v>
      </c>
      <c r="S94" s="569">
        <v>90.562726490776114</v>
      </c>
      <c r="T94" s="564"/>
      <c r="U94" s="560">
        <v>473389</v>
      </c>
      <c r="V94" s="561">
        <v>6137.0032906890565</v>
      </c>
      <c r="W94" s="560">
        <v>0</v>
      </c>
      <c r="X94" s="560">
        <v>0</v>
      </c>
      <c r="Y94" s="561">
        <v>0</v>
      </c>
      <c r="Z94" s="561" t="s">
        <v>434</v>
      </c>
      <c r="AA94" s="567">
        <v>456670.087</v>
      </c>
      <c r="AB94" s="567">
        <v>0</v>
      </c>
      <c r="AC94" s="567">
        <v>0</v>
      </c>
      <c r="AD94" s="567">
        <v>0</v>
      </c>
      <c r="AE94" s="567">
        <v>0</v>
      </c>
      <c r="AF94" s="567" t="s">
        <v>434</v>
      </c>
      <c r="AG94" s="567">
        <v>456670.087</v>
      </c>
      <c r="AH94" s="567">
        <v>253227.022</v>
      </c>
      <c r="AI94" s="567">
        <v>14258.846</v>
      </c>
      <c r="AJ94" s="567">
        <v>0</v>
      </c>
      <c r="AK94" s="567">
        <v>37992.404000000002</v>
      </c>
      <c r="AL94" s="567">
        <v>84603.53</v>
      </c>
      <c r="AM94" s="567">
        <v>0</v>
      </c>
      <c r="AN94" s="567">
        <v>831.66700000000003</v>
      </c>
      <c r="AO94" s="567">
        <v>390913.46899999998</v>
      </c>
      <c r="AP94" s="567">
        <v>1497.646</v>
      </c>
      <c r="AQ94" s="567">
        <v>389415.82299999997</v>
      </c>
      <c r="AR94" s="563" t="s">
        <v>434</v>
      </c>
      <c r="AS94" s="567">
        <v>13633.41</v>
      </c>
      <c r="AT94" s="567">
        <v>49842.720000000001</v>
      </c>
      <c r="AU94" s="567">
        <v>0</v>
      </c>
      <c r="AV94" s="567" t="s">
        <v>434</v>
      </c>
      <c r="AW94" s="567">
        <v>452891.95299999998</v>
      </c>
      <c r="AX94" s="567">
        <v>3778.134</v>
      </c>
      <c r="AY94" s="571" t="s">
        <v>430</v>
      </c>
      <c r="AZ94" s="571" t="s">
        <v>433</v>
      </c>
      <c r="BA94" s="563"/>
      <c r="BB94" s="563"/>
      <c r="BC94" s="221" t="s">
        <v>551</v>
      </c>
      <c r="BD94" s="591">
        <v>0.10693439809184342</v>
      </c>
      <c r="BE94" s="653">
        <v>-2.4779883750850388E-2</v>
      </c>
      <c r="BF94" s="559" t="s">
        <v>572</v>
      </c>
      <c r="BG94" s="613" t="s">
        <v>572</v>
      </c>
    </row>
    <row r="95" spans="1:59">
      <c r="A95" s="536" t="s">
        <v>90</v>
      </c>
      <c r="B95" s="536" t="s">
        <v>148</v>
      </c>
      <c r="C95" s="536">
        <v>61</v>
      </c>
      <c r="D95" s="536">
        <v>92</v>
      </c>
      <c r="E95" s="535" t="s">
        <v>148</v>
      </c>
      <c r="F95" s="532">
        <v>2013</v>
      </c>
      <c r="G95" s="534" t="s">
        <v>567</v>
      </c>
      <c r="H95" s="551">
        <v>4098.1260000000002</v>
      </c>
      <c r="I95" s="555">
        <v>15883.902</v>
      </c>
      <c r="J95" s="552">
        <v>1.5450129762396601</v>
      </c>
      <c r="K95" s="552">
        <v>329.03989439999998</v>
      </c>
      <c r="L95" s="555">
        <v>265248.64600000001</v>
      </c>
      <c r="M95" s="553">
        <v>74566</v>
      </c>
      <c r="N95" s="553">
        <v>894735</v>
      </c>
      <c r="O95" s="554">
        <v>228.05533146685889</v>
      </c>
      <c r="P95" s="555">
        <v>204049.087</v>
      </c>
      <c r="Q95" s="555">
        <v>204049.087</v>
      </c>
      <c r="R95" s="555">
        <v>184566.71400000001</v>
      </c>
      <c r="S95" s="556">
        <v>90.452114593387037</v>
      </c>
      <c r="T95" s="562"/>
      <c r="U95" s="565">
        <v>1580835</v>
      </c>
      <c r="V95" s="566">
        <v>21201.830709651462</v>
      </c>
      <c r="W95" s="565">
        <v>34252</v>
      </c>
      <c r="X95" s="565">
        <v>7878</v>
      </c>
      <c r="Y95" s="566">
        <v>459.38071048969806</v>
      </c>
      <c r="Z95" s="566">
        <v>4.3478040111703482</v>
      </c>
      <c r="AA95" s="567">
        <v>207071.17600000001</v>
      </c>
      <c r="AB95" s="567">
        <v>0</v>
      </c>
      <c r="AC95" s="567">
        <v>0</v>
      </c>
      <c r="AD95" s="567">
        <v>0</v>
      </c>
      <c r="AE95" s="567">
        <v>1.9E-2</v>
      </c>
      <c r="AF95" s="567" t="s">
        <v>434</v>
      </c>
      <c r="AG95" s="567">
        <v>207071.19500000001</v>
      </c>
      <c r="AH95" s="567">
        <v>141934.04800000001</v>
      </c>
      <c r="AI95" s="567">
        <v>10971.950999999999</v>
      </c>
      <c r="AJ95" s="567">
        <v>0</v>
      </c>
      <c r="AK95" s="567">
        <v>21080.708999999999</v>
      </c>
      <c r="AL95" s="567">
        <v>25021.695</v>
      </c>
      <c r="AM95" s="567">
        <v>-1277.3889999999999</v>
      </c>
      <c r="AN95" s="567">
        <v>1881.4469999999999</v>
      </c>
      <c r="AO95" s="567">
        <v>199612.46</v>
      </c>
      <c r="AP95" s="567">
        <v>3468.556</v>
      </c>
      <c r="AQ95" s="567">
        <v>196143.90400000001</v>
      </c>
      <c r="AR95" s="563" t="s">
        <v>434</v>
      </c>
      <c r="AS95" s="567">
        <v>5621.1369999999997</v>
      </c>
      <c r="AT95" s="567">
        <v>11380.701999999999</v>
      </c>
      <c r="AU95" s="567">
        <v>0</v>
      </c>
      <c r="AV95" s="567" t="s">
        <v>434</v>
      </c>
      <c r="AW95" s="567">
        <v>213145.742</v>
      </c>
      <c r="AX95" s="567">
        <v>-6074.5479999999998</v>
      </c>
      <c r="AY95" s="571" t="s">
        <v>435</v>
      </c>
      <c r="AZ95" s="571" t="s">
        <v>431</v>
      </c>
      <c r="BA95" s="563"/>
      <c r="BB95" s="563"/>
      <c r="BC95" s="221" t="s">
        <v>551</v>
      </c>
      <c r="BD95" s="591">
        <v>5.9883065340887734E-2</v>
      </c>
      <c r="BE95" s="653">
        <v>3.5595788725241925E-2</v>
      </c>
      <c r="BF95" s="559" t="s">
        <v>574</v>
      </c>
      <c r="BG95" s="613" t="s">
        <v>574</v>
      </c>
    </row>
    <row r="96" spans="1:59">
      <c r="A96" s="536" t="s">
        <v>90</v>
      </c>
      <c r="B96" s="536" t="s">
        <v>396</v>
      </c>
      <c r="C96" s="536">
        <v>55</v>
      </c>
      <c r="D96" s="536">
        <v>93</v>
      </c>
      <c r="E96" s="535" t="s">
        <v>396</v>
      </c>
      <c r="F96" s="532">
        <v>2013</v>
      </c>
      <c r="G96" s="534" t="s">
        <v>567</v>
      </c>
      <c r="H96" s="551">
        <v>-9090.5750000000007</v>
      </c>
      <c r="I96" s="555">
        <v>47279.949000000001</v>
      </c>
      <c r="J96" s="552">
        <v>-1.9019044106231495</v>
      </c>
      <c r="K96" s="552">
        <v>299.58654890000003</v>
      </c>
      <c r="L96" s="555">
        <v>477972.234</v>
      </c>
      <c r="M96" s="553">
        <v>85837</v>
      </c>
      <c r="N96" s="553">
        <v>877282</v>
      </c>
      <c r="O96" s="554">
        <v>326.78207805471902</v>
      </c>
      <c r="P96" s="555">
        <v>287661.12199999997</v>
      </c>
      <c r="Q96" s="555">
        <v>286680.03499999997</v>
      </c>
      <c r="R96" s="555">
        <v>282916.13</v>
      </c>
      <c r="S96" s="556">
        <v>98.687071110480375</v>
      </c>
      <c r="T96" s="562"/>
      <c r="U96" s="565">
        <v>11669</v>
      </c>
      <c r="V96" s="566">
        <v>159.61572219651148</v>
      </c>
      <c r="W96" s="565">
        <v>43453</v>
      </c>
      <c r="X96" s="565">
        <v>7185</v>
      </c>
      <c r="Y96" s="566">
        <v>594.37672265018546</v>
      </c>
      <c r="Z96" s="566">
        <v>6.0477383437717469</v>
      </c>
      <c r="AA96" s="567">
        <v>295518.17200000002</v>
      </c>
      <c r="AB96" s="567">
        <v>0</v>
      </c>
      <c r="AC96" s="567">
        <v>0</v>
      </c>
      <c r="AD96" s="567">
        <v>0</v>
      </c>
      <c r="AE96" s="567">
        <v>0</v>
      </c>
      <c r="AF96" s="567" t="s">
        <v>434</v>
      </c>
      <c r="AG96" s="567">
        <v>295518.17200000002</v>
      </c>
      <c r="AH96" s="567">
        <v>158887.25599999999</v>
      </c>
      <c r="AI96" s="567">
        <v>9028.9609999999993</v>
      </c>
      <c r="AJ96" s="567">
        <v>13433.36</v>
      </c>
      <c r="AK96" s="567">
        <v>17379.114000000001</v>
      </c>
      <c r="AL96" s="567">
        <v>47538.904000000002</v>
      </c>
      <c r="AM96" s="567">
        <v>0</v>
      </c>
      <c r="AN96" s="567">
        <v>15650.812</v>
      </c>
      <c r="AO96" s="567">
        <v>261918.40700000001</v>
      </c>
      <c r="AP96" s="567">
        <v>1521.7639999999999</v>
      </c>
      <c r="AQ96" s="567">
        <v>260396.64300000001</v>
      </c>
      <c r="AR96" s="563" t="s">
        <v>434</v>
      </c>
      <c r="AS96" s="567">
        <v>16933.082999999999</v>
      </c>
      <c r="AT96" s="567">
        <v>15320.739</v>
      </c>
      <c r="AU96" s="567">
        <v>0</v>
      </c>
      <c r="AV96" s="567" t="s">
        <v>434</v>
      </c>
      <c r="AW96" s="567">
        <v>292650.46500000003</v>
      </c>
      <c r="AX96" s="567">
        <v>2867.7069999999999</v>
      </c>
      <c r="AY96" s="571" t="s">
        <v>435</v>
      </c>
      <c r="AZ96" s="571" t="s">
        <v>431</v>
      </c>
      <c r="BA96" s="563"/>
      <c r="BB96" s="563"/>
      <c r="BC96" s="221" t="s">
        <v>551</v>
      </c>
      <c r="BD96" s="591">
        <v>9.8917773119013438E-2</v>
      </c>
      <c r="BE96" s="653">
        <v>-8.5788484223817171E-2</v>
      </c>
      <c r="BF96" s="559" t="s">
        <v>569</v>
      </c>
      <c r="BG96" s="613" t="s">
        <v>569</v>
      </c>
    </row>
    <row r="97" spans="1:59">
      <c r="A97" s="536" t="s">
        <v>81</v>
      </c>
      <c r="B97" s="536" t="s">
        <v>202</v>
      </c>
      <c r="C97" s="536">
        <v>50</v>
      </c>
      <c r="D97" s="536">
        <v>94</v>
      </c>
      <c r="E97" s="535" t="s">
        <v>202</v>
      </c>
      <c r="F97" s="532">
        <v>2013</v>
      </c>
      <c r="G97" s="534" t="s">
        <v>567</v>
      </c>
      <c r="H97" s="551">
        <v>22993.627</v>
      </c>
      <c r="I97" s="555">
        <v>56245.029000000002</v>
      </c>
      <c r="J97" s="552">
        <v>1.7658025472842196</v>
      </c>
      <c r="K97" s="552">
        <v>574.33037549999995</v>
      </c>
      <c r="L97" s="555">
        <v>1302162.976</v>
      </c>
      <c r="M97" s="553">
        <v>73059</v>
      </c>
      <c r="N97" s="553">
        <v>859667</v>
      </c>
      <c r="O97" s="554">
        <v>392.72764919439737</v>
      </c>
      <c r="P97" s="555">
        <v>337615</v>
      </c>
      <c r="Q97" s="555">
        <v>337615</v>
      </c>
      <c r="R97" s="555">
        <v>312491.97100000002</v>
      </c>
      <c r="S97" s="556">
        <v>92.558675118107914</v>
      </c>
      <c r="T97" s="562"/>
      <c r="U97" s="565">
        <v>518331</v>
      </c>
      <c r="V97" s="566">
        <v>7235.3271673799272</v>
      </c>
      <c r="W97" s="565">
        <v>61571</v>
      </c>
      <c r="X97" s="565">
        <v>12444</v>
      </c>
      <c r="Y97" s="566">
        <v>859.46302463628354</v>
      </c>
      <c r="Z97" s="566">
        <v>4.9478463516554161</v>
      </c>
      <c r="AA97" s="567">
        <v>387877.72200000001</v>
      </c>
      <c r="AB97" s="567">
        <v>0</v>
      </c>
      <c r="AC97" s="567">
        <v>0</v>
      </c>
      <c r="AD97" s="567">
        <v>0</v>
      </c>
      <c r="AE97" s="567">
        <v>2107.3580000000002</v>
      </c>
      <c r="AF97" s="567" t="s">
        <v>434</v>
      </c>
      <c r="AG97" s="567">
        <v>389985.08</v>
      </c>
      <c r="AH97" s="567">
        <v>230835.86600000001</v>
      </c>
      <c r="AI97" s="567">
        <v>1369.2909999999999</v>
      </c>
      <c r="AJ97" s="567">
        <v>0</v>
      </c>
      <c r="AK97" s="567">
        <v>26611.379000000001</v>
      </c>
      <c r="AL97" s="567">
        <v>58073.434999999998</v>
      </c>
      <c r="AM97" s="567">
        <v>0</v>
      </c>
      <c r="AN97" s="567">
        <v>0</v>
      </c>
      <c r="AO97" s="567">
        <v>316889.97100000002</v>
      </c>
      <c r="AP97" s="567">
        <v>1388.202</v>
      </c>
      <c r="AQ97" s="567">
        <v>315501.76899999997</v>
      </c>
      <c r="AR97" s="563" t="s">
        <v>434</v>
      </c>
      <c r="AS97" s="567">
        <v>5537.4840000000004</v>
      </c>
      <c r="AT97" s="567">
        <v>60320.057999999997</v>
      </c>
      <c r="AU97" s="567">
        <v>0</v>
      </c>
      <c r="AV97" s="567" t="s">
        <v>434</v>
      </c>
      <c r="AW97" s="567">
        <v>381359.31099999999</v>
      </c>
      <c r="AX97" s="567">
        <v>8625.7690000000002</v>
      </c>
      <c r="AY97" s="571" t="s">
        <v>430</v>
      </c>
      <c r="AZ97" s="571" t="s">
        <v>431</v>
      </c>
      <c r="BA97" s="563"/>
      <c r="BB97" s="563"/>
      <c r="BC97" s="221" t="s">
        <v>551</v>
      </c>
      <c r="BD97" s="591">
        <v>4.3193540314572731E-2</v>
      </c>
      <c r="BE97" s="653">
        <v>3.1219708504348131E-2</v>
      </c>
      <c r="BF97" s="559" t="s">
        <v>574</v>
      </c>
      <c r="BG97" s="613" t="s">
        <v>574</v>
      </c>
    </row>
    <row r="98" spans="1:59">
      <c r="A98" s="536" t="s">
        <v>69</v>
      </c>
      <c r="B98" s="536" t="s">
        <v>395</v>
      </c>
      <c r="C98" s="536">
        <v>53</v>
      </c>
      <c r="D98" s="536">
        <v>95</v>
      </c>
      <c r="E98" s="535" t="s">
        <v>395</v>
      </c>
      <c r="F98" s="532">
        <v>2013</v>
      </c>
      <c r="G98" s="534" t="s">
        <v>469</v>
      </c>
      <c r="H98" s="551">
        <v>-100.874</v>
      </c>
      <c r="I98" s="555">
        <v>9650.7639999999992</v>
      </c>
      <c r="J98" s="552">
        <v>-4.3576577891344538E-2</v>
      </c>
      <c r="K98" s="552">
        <v>443.59661490000002</v>
      </c>
      <c r="L98" s="555">
        <v>231486.74100000001</v>
      </c>
      <c r="M98" s="553">
        <v>70699</v>
      </c>
      <c r="N98" s="553">
        <v>830732</v>
      </c>
      <c r="O98" s="554">
        <v>274.11402835090018</v>
      </c>
      <c r="P98" s="555">
        <v>227874.97500000001</v>
      </c>
      <c r="Q98" s="555">
        <v>227715.29500000001</v>
      </c>
      <c r="R98" s="555">
        <v>213483.39799999999</v>
      </c>
      <c r="S98" s="556">
        <v>93.750135668313348</v>
      </c>
      <c r="T98" s="562"/>
      <c r="U98" s="565">
        <v>726730</v>
      </c>
      <c r="V98" s="566">
        <v>10497.681562766331</v>
      </c>
      <c r="W98" s="565">
        <v>28693</v>
      </c>
      <c r="X98" s="565">
        <v>6472</v>
      </c>
      <c r="Y98" s="566">
        <v>414.47301897603558</v>
      </c>
      <c r="Z98" s="566">
        <v>4.4334054388133497</v>
      </c>
      <c r="AA98" s="567">
        <v>249215.486</v>
      </c>
      <c r="AB98" s="567">
        <v>0</v>
      </c>
      <c r="AC98" s="567">
        <v>0</v>
      </c>
      <c r="AD98" s="567">
        <v>0</v>
      </c>
      <c r="AE98" s="567">
        <v>858.72799999999995</v>
      </c>
      <c r="AF98" s="567" t="s">
        <v>434</v>
      </c>
      <c r="AG98" s="567">
        <v>250074.21400000001</v>
      </c>
      <c r="AH98" s="567">
        <v>143357.33199999999</v>
      </c>
      <c r="AI98" s="567">
        <v>9260.9040000000005</v>
      </c>
      <c r="AJ98" s="567">
        <v>0</v>
      </c>
      <c r="AK98" s="567">
        <v>21793.222000000002</v>
      </c>
      <c r="AL98" s="567">
        <v>28178.184000000001</v>
      </c>
      <c r="AM98" s="567">
        <v>4351.6189999999997</v>
      </c>
      <c r="AN98" s="567">
        <v>19887.902999999998</v>
      </c>
      <c r="AO98" s="567">
        <v>226829.16399999999</v>
      </c>
      <c r="AP98" s="567">
        <v>75.736000000000004</v>
      </c>
      <c r="AQ98" s="567">
        <v>226753.42800000001</v>
      </c>
      <c r="AR98" s="563" t="s">
        <v>434</v>
      </c>
      <c r="AS98" s="567">
        <v>13603.921</v>
      </c>
      <c r="AT98" s="567">
        <v>5275.8559999999998</v>
      </c>
      <c r="AU98" s="567">
        <v>0</v>
      </c>
      <c r="AV98" s="567" t="s">
        <v>434</v>
      </c>
      <c r="AW98" s="567">
        <v>245633.20499999999</v>
      </c>
      <c r="AX98" s="567">
        <v>4441.009</v>
      </c>
      <c r="AY98" s="571" t="s">
        <v>435</v>
      </c>
      <c r="AZ98" s="571" t="s">
        <v>431</v>
      </c>
      <c r="BA98" s="563"/>
      <c r="BB98" s="563"/>
      <c r="BC98" s="221" t="s">
        <v>551</v>
      </c>
      <c r="BD98" s="591">
        <v>4.1690353228481448E-2</v>
      </c>
      <c r="BE98" s="653">
        <v>-4.3576577891344537E-4</v>
      </c>
      <c r="BF98" s="559" t="s">
        <v>572</v>
      </c>
      <c r="BG98" s="613" t="s">
        <v>572</v>
      </c>
    </row>
    <row r="99" spans="1:59">
      <c r="A99" s="536" t="s">
        <v>58</v>
      </c>
      <c r="B99" s="536" t="s">
        <v>141</v>
      </c>
      <c r="C99" s="536">
        <v>64</v>
      </c>
      <c r="D99" s="536">
        <v>96</v>
      </c>
      <c r="E99" s="535" t="s">
        <v>141</v>
      </c>
      <c r="F99" s="532">
        <v>2013</v>
      </c>
      <c r="G99" s="534" t="s">
        <v>567</v>
      </c>
      <c r="H99" s="551">
        <v>-9410.3559999999998</v>
      </c>
      <c r="I99" s="555">
        <v>15608.228999999999</v>
      </c>
      <c r="J99" s="552">
        <v>-4.1761260924028578</v>
      </c>
      <c r="K99" s="552">
        <v>822.58781069999998</v>
      </c>
      <c r="L99" s="555">
        <v>225336.97</v>
      </c>
      <c r="M99" s="553">
        <v>68242</v>
      </c>
      <c r="N99" s="553">
        <v>829592</v>
      </c>
      <c r="O99" s="554">
        <v>249.60604248835571</v>
      </c>
      <c r="P99" s="555">
        <v>141074.79699999999</v>
      </c>
      <c r="Q99" s="555">
        <v>207071.17600000001</v>
      </c>
      <c r="R99" s="555">
        <v>199612.46</v>
      </c>
      <c r="S99" s="556">
        <v>96.397994088757187</v>
      </c>
      <c r="T99" s="562"/>
      <c r="U99" s="565">
        <v>371798</v>
      </c>
      <c r="V99" s="566">
        <v>5378.0364323667536</v>
      </c>
      <c r="W99" s="565">
        <v>29924</v>
      </c>
      <c r="X99" s="565">
        <v>6293</v>
      </c>
      <c r="Y99" s="566">
        <v>432.84891850451788</v>
      </c>
      <c r="Z99" s="566">
        <v>4.7551247417765774</v>
      </c>
      <c r="AA99" s="567">
        <v>207949.40299999999</v>
      </c>
      <c r="AB99" s="567">
        <v>-316.79700000000003</v>
      </c>
      <c r="AC99" s="567">
        <v>0</v>
      </c>
      <c r="AD99" s="567">
        <v>0</v>
      </c>
      <c r="AE99" s="567">
        <v>-4926.201</v>
      </c>
      <c r="AF99" s="567" t="s">
        <v>434</v>
      </c>
      <c r="AG99" s="567">
        <v>202706.405</v>
      </c>
      <c r="AH99" s="567">
        <v>144354.435</v>
      </c>
      <c r="AI99" s="567">
        <v>1478.8309999999999</v>
      </c>
      <c r="AJ99" s="567">
        <v>0</v>
      </c>
      <c r="AK99" s="567">
        <v>0</v>
      </c>
      <c r="AL99" s="567">
        <v>33810.023000000001</v>
      </c>
      <c r="AM99" s="567">
        <v>0</v>
      </c>
      <c r="AN99" s="567">
        <v>0</v>
      </c>
      <c r="AO99" s="567">
        <v>179643.28899999999</v>
      </c>
      <c r="AP99" s="567">
        <v>139.68899999999999</v>
      </c>
      <c r="AQ99" s="567">
        <v>179503.6</v>
      </c>
      <c r="AR99" s="563" t="s">
        <v>434</v>
      </c>
      <c r="AS99" s="567">
        <v>6096.4750000000004</v>
      </c>
      <c r="AT99" s="567">
        <v>11569.701999999999</v>
      </c>
      <c r="AU99" s="567">
        <v>0</v>
      </c>
      <c r="AV99" s="567" t="s">
        <v>434</v>
      </c>
      <c r="AW99" s="567">
        <v>197169.777</v>
      </c>
      <c r="AX99" s="567">
        <v>5536.6279999999997</v>
      </c>
      <c r="AY99" s="571" t="s">
        <v>435</v>
      </c>
      <c r="AZ99" s="571" t="s">
        <v>431</v>
      </c>
      <c r="BA99" s="563"/>
      <c r="BB99" s="563"/>
      <c r="BC99" s="221" t="s">
        <v>551</v>
      </c>
      <c r="BD99" s="591">
        <v>6.9266170571122873E-2</v>
      </c>
      <c r="BE99" s="653">
        <v>-3.3246111458694758E-2</v>
      </c>
      <c r="BF99" s="559" t="s">
        <v>571</v>
      </c>
      <c r="BG99" s="613" t="s">
        <v>571</v>
      </c>
    </row>
    <row r="100" spans="1:59">
      <c r="A100" s="532" t="s">
        <v>64</v>
      </c>
      <c r="B100" s="532" t="s">
        <v>419</v>
      </c>
      <c r="C100" s="532">
        <v>2</v>
      </c>
      <c r="D100" s="532">
        <v>97</v>
      </c>
      <c r="E100" s="535" t="s">
        <v>374</v>
      </c>
      <c r="F100" s="532">
        <v>2013</v>
      </c>
      <c r="G100" s="534" t="s">
        <v>469</v>
      </c>
      <c r="H100" s="551">
        <v>23257.606</v>
      </c>
      <c r="I100" s="551">
        <v>21738.924999999999</v>
      </c>
      <c r="J100" s="568">
        <v>9.3975505207811274</v>
      </c>
      <c r="K100" s="568">
        <v>841.83422889999997</v>
      </c>
      <c r="L100" s="551">
        <v>247485.83100000001</v>
      </c>
      <c r="M100" s="557">
        <v>0</v>
      </c>
      <c r="N100" s="557">
        <v>827984</v>
      </c>
      <c r="O100" s="558">
        <v>299.91764212835028</v>
      </c>
      <c r="P100" s="551">
        <v>248327.00899999999</v>
      </c>
      <c r="Q100" s="551">
        <v>248327.00899999999</v>
      </c>
      <c r="R100" s="551">
        <v>274104.81400000001</v>
      </c>
      <c r="S100" s="569">
        <v>110.38058852470616</v>
      </c>
      <c r="T100" s="564"/>
      <c r="U100" s="560">
        <v>916992</v>
      </c>
      <c r="V100" s="561">
        <v>13289.995941950569</v>
      </c>
      <c r="W100" s="560">
        <v>42410</v>
      </c>
      <c r="X100" s="560">
        <v>9390</v>
      </c>
      <c r="Y100" s="561">
        <v>614.6495584455738</v>
      </c>
      <c r="Z100" s="561">
        <v>4.5165069222577205</v>
      </c>
      <c r="AA100" s="567">
        <v>328746.29300000001</v>
      </c>
      <c r="AB100" s="567">
        <v>-19330.101999999999</v>
      </c>
      <c r="AC100" s="567">
        <v>0</v>
      </c>
      <c r="AD100" s="567">
        <v>0</v>
      </c>
      <c r="AE100" s="567">
        <v>0</v>
      </c>
      <c r="AF100" s="567" t="s">
        <v>434</v>
      </c>
      <c r="AG100" s="567">
        <v>309416.19099999999</v>
      </c>
      <c r="AH100" s="567">
        <v>217205.51199999999</v>
      </c>
      <c r="AI100" s="567">
        <v>11133.563</v>
      </c>
      <c r="AJ100" s="567">
        <v>0</v>
      </c>
      <c r="AK100" s="567">
        <v>7302.0829999999996</v>
      </c>
      <c r="AL100" s="567">
        <v>40324.093999999997</v>
      </c>
      <c r="AM100" s="567">
        <v>0</v>
      </c>
      <c r="AN100" s="567">
        <v>0</v>
      </c>
      <c r="AO100" s="567">
        <v>275965.25199999998</v>
      </c>
      <c r="AP100" s="567">
        <v>1634.1210000000001</v>
      </c>
      <c r="AQ100" s="567">
        <v>274331.13099999999</v>
      </c>
      <c r="AR100" s="563" t="s">
        <v>434</v>
      </c>
      <c r="AS100" s="567">
        <v>9356.0390000000007</v>
      </c>
      <c r="AT100" s="567">
        <v>23170.892</v>
      </c>
      <c r="AU100" s="567">
        <v>0</v>
      </c>
      <c r="AV100" s="567" t="s">
        <v>434</v>
      </c>
      <c r="AW100" s="567">
        <v>306858.06199999998</v>
      </c>
      <c r="AX100" s="567">
        <v>2558.1289999999999</v>
      </c>
      <c r="AY100" s="536" t="s">
        <v>430</v>
      </c>
      <c r="AZ100" s="536" t="s">
        <v>433</v>
      </c>
      <c r="BA100" s="563"/>
      <c r="BB100" s="563"/>
      <c r="BC100" s="221" t="s">
        <v>553</v>
      </c>
      <c r="BD100" s="591">
        <v>8.7839069057654456E-2</v>
      </c>
      <c r="BE100" s="653">
        <v>9.3975505207811269E-2</v>
      </c>
      <c r="BF100" s="559" t="s">
        <v>576</v>
      </c>
      <c r="BG100" s="613" t="s">
        <v>576</v>
      </c>
    </row>
    <row r="101" spans="1:59">
      <c r="A101" s="532" t="s">
        <v>95</v>
      </c>
      <c r="B101" s="532" t="s">
        <v>420</v>
      </c>
      <c r="C101" s="532">
        <v>3</v>
      </c>
      <c r="D101" s="532">
        <v>98</v>
      </c>
      <c r="E101" s="535" t="s">
        <v>206</v>
      </c>
      <c r="F101" s="532">
        <v>2013</v>
      </c>
      <c r="G101" s="534" t="s">
        <v>567</v>
      </c>
      <c r="H101" s="551">
        <v>40628.536</v>
      </c>
      <c r="I101" s="551">
        <v>43935.517</v>
      </c>
      <c r="J101" s="568">
        <v>6.7797886094205566</v>
      </c>
      <c r="K101" s="568">
        <v>522.83603059999996</v>
      </c>
      <c r="L101" s="551">
        <v>599259.62800000003</v>
      </c>
      <c r="M101" s="557">
        <v>73164</v>
      </c>
      <c r="N101" s="557">
        <v>823014</v>
      </c>
      <c r="O101" s="558">
        <v>181.23048939629217</v>
      </c>
      <c r="P101" s="551">
        <v>148827.24600000001</v>
      </c>
      <c r="Q101" s="551">
        <v>149155.23000000001</v>
      </c>
      <c r="R101" s="551">
        <v>135217.58499999999</v>
      </c>
      <c r="S101" s="569">
        <v>90.655610936337922</v>
      </c>
      <c r="T101" s="562"/>
      <c r="U101" s="560">
        <v>442986</v>
      </c>
      <c r="V101" s="561">
        <v>6458.9812566979417</v>
      </c>
      <c r="W101" s="560">
        <v>24268</v>
      </c>
      <c r="X101" s="560">
        <v>7059</v>
      </c>
      <c r="Y101" s="561">
        <v>353.84088241512296</v>
      </c>
      <c r="Z101" s="561">
        <v>3.4378807196486756</v>
      </c>
      <c r="AA101" s="567">
        <v>169427.01800000001</v>
      </c>
      <c r="AB101" s="567">
        <v>0</v>
      </c>
      <c r="AC101" s="567">
        <v>0</v>
      </c>
      <c r="AD101" s="567">
        <v>0</v>
      </c>
      <c r="AE101" s="567">
        <v>0</v>
      </c>
      <c r="AF101" s="567" t="s">
        <v>434</v>
      </c>
      <c r="AG101" s="567">
        <v>169427.01800000001</v>
      </c>
      <c r="AH101" s="567">
        <v>60155.750999999997</v>
      </c>
      <c r="AI101" s="567">
        <v>27909.598000000002</v>
      </c>
      <c r="AJ101" s="567">
        <v>0</v>
      </c>
      <c r="AK101" s="567">
        <v>0</v>
      </c>
      <c r="AL101" s="567">
        <v>40321.025000000001</v>
      </c>
      <c r="AM101" s="567">
        <v>0</v>
      </c>
      <c r="AN101" s="567">
        <v>11433.821</v>
      </c>
      <c r="AO101" s="567">
        <v>139820.19500000001</v>
      </c>
      <c r="AP101" s="567">
        <v>0</v>
      </c>
      <c r="AQ101" s="567">
        <v>139820.19500000001</v>
      </c>
      <c r="AR101" s="563" t="s">
        <v>434</v>
      </c>
      <c r="AS101" s="567">
        <v>1331.183</v>
      </c>
      <c r="AT101" s="567">
        <v>15108.039000000001</v>
      </c>
      <c r="AU101" s="567">
        <v>0</v>
      </c>
      <c r="AV101" s="567" t="s">
        <v>434</v>
      </c>
      <c r="AW101" s="567">
        <v>156259.41699999999</v>
      </c>
      <c r="AX101" s="567">
        <v>13167.601000000001</v>
      </c>
      <c r="AY101" s="571" t="s">
        <v>430</v>
      </c>
      <c r="AZ101" s="571" t="s">
        <v>433</v>
      </c>
      <c r="BA101" s="563"/>
      <c r="BB101" s="563"/>
      <c r="BC101" s="221" t="s">
        <v>551</v>
      </c>
      <c r="BD101" s="591">
        <v>7.3316330597194834E-2</v>
      </c>
      <c r="BE101" s="653">
        <v>2.0127560039425896E-2</v>
      </c>
      <c r="BF101" s="559" t="s">
        <v>573</v>
      </c>
      <c r="BG101" s="613" t="s">
        <v>573</v>
      </c>
    </row>
    <row r="102" spans="1:59">
      <c r="A102" s="532" t="s">
        <v>54</v>
      </c>
      <c r="B102" s="532" t="s">
        <v>423</v>
      </c>
      <c r="C102" s="532">
        <v>7</v>
      </c>
      <c r="D102" s="532">
        <v>99</v>
      </c>
      <c r="E102" s="535" t="s">
        <v>315</v>
      </c>
      <c r="F102" s="532">
        <v>2013</v>
      </c>
      <c r="G102" s="534" t="s">
        <v>469</v>
      </c>
      <c r="H102" s="551">
        <v>-5961.4650000000001</v>
      </c>
      <c r="I102" s="555">
        <v>33592.14</v>
      </c>
      <c r="J102" s="552">
        <v>-2.3332792244733156</v>
      </c>
      <c r="K102" s="552">
        <v>259.60066399999999</v>
      </c>
      <c r="L102" s="555">
        <v>255497.28200000001</v>
      </c>
      <c r="M102" s="553">
        <v>105240</v>
      </c>
      <c r="N102" s="553">
        <v>817684</v>
      </c>
      <c r="O102" s="554">
        <v>312.46457311137311</v>
      </c>
      <c r="P102" s="555">
        <v>255497.28200000001</v>
      </c>
      <c r="Q102" s="555">
        <v>255497.28200000001</v>
      </c>
      <c r="R102" s="555">
        <v>218302.13500000001</v>
      </c>
      <c r="S102" s="556">
        <v>85.442057657584002</v>
      </c>
      <c r="T102" s="562"/>
      <c r="U102" s="565">
        <v>405275</v>
      </c>
      <c r="V102" s="566">
        <v>5947.6521492410275</v>
      </c>
      <c r="W102" s="565">
        <v>17822</v>
      </c>
      <c r="X102" s="565">
        <v>4341</v>
      </c>
      <c r="Y102" s="566">
        <v>261.54847104749513</v>
      </c>
      <c r="Z102" s="566">
        <v>4.1055056438608615</v>
      </c>
      <c r="AA102" s="567">
        <v>490641.53</v>
      </c>
      <c r="AB102" s="567">
        <v>0</v>
      </c>
      <c r="AC102" s="567">
        <v>0</v>
      </c>
      <c r="AD102" s="567">
        <v>0</v>
      </c>
      <c r="AE102" s="567">
        <v>0</v>
      </c>
      <c r="AF102" s="567" t="s">
        <v>434</v>
      </c>
      <c r="AG102" s="567">
        <v>490641.53</v>
      </c>
      <c r="AH102" s="567">
        <v>183715.231</v>
      </c>
      <c r="AI102" s="567">
        <v>82158.002999999997</v>
      </c>
      <c r="AJ102" s="567">
        <v>0</v>
      </c>
      <c r="AK102" s="567">
        <v>23863.03</v>
      </c>
      <c r="AL102" s="567">
        <v>115501.63400000001</v>
      </c>
      <c r="AM102" s="567">
        <v>15999.787</v>
      </c>
      <c r="AN102" s="567">
        <v>628.37699999999995</v>
      </c>
      <c r="AO102" s="567">
        <v>421866.06199999998</v>
      </c>
      <c r="AP102" s="567">
        <v>972.30100000000004</v>
      </c>
      <c r="AQ102" s="567">
        <v>420893.761</v>
      </c>
      <c r="AR102" s="563" t="s">
        <v>434</v>
      </c>
      <c r="AS102" s="567">
        <v>17985.114000000001</v>
      </c>
      <c r="AT102" s="567">
        <v>36953.985999999997</v>
      </c>
      <c r="AU102" s="567">
        <v>0</v>
      </c>
      <c r="AV102" s="567" t="s">
        <v>434</v>
      </c>
      <c r="AW102" s="567">
        <v>475832.86099999998</v>
      </c>
      <c r="AX102" s="567">
        <v>14808.669</v>
      </c>
      <c r="AY102" s="571" t="s">
        <v>430</v>
      </c>
      <c r="AZ102" s="571" t="s">
        <v>431</v>
      </c>
      <c r="BA102" s="563"/>
      <c r="BB102" s="563"/>
      <c r="BC102" s="221" t="s">
        <v>555</v>
      </c>
      <c r="BD102" s="591">
        <v>0.13147748475852669</v>
      </c>
      <c r="BE102" s="653">
        <v>-2.3332792244733155E-2</v>
      </c>
      <c r="BF102" s="559" t="s">
        <v>572</v>
      </c>
      <c r="BG102" s="613" t="s">
        <v>572</v>
      </c>
    </row>
    <row r="103" spans="1:59">
      <c r="A103" s="536" t="s">
        <v>69</v>
      </c>
      <c r="B103" s="536" t="s">
        <v>227</v>
      </c>
      <c r="C103" s="536">
        <v>39</v>
      </c>
      <c r="D103" s="536">
        <v>100</v>
      </c>
      <c r="E103" s="535" t="s">
        <v>227</v>
      </c>
      <c r="F103" s="532">
        <v>2013</v>
      </c>
      <c r="G103" s="534" t="s">
        <v>469</v>
      </c>
      <c r="H103" s="551">
        <v>935.06100000000004</v>
      </c>
      <c r="I103" s="555">
        <v>13717.575999999999</v>
      </c>
      <c r="J103" s="552">
        <v>0.41313645450478953</v>
      </c>
      <c r="K103" s="552">
        <v>464.21398549999998</v>
      </c>
      <c r="L103" s="555">
        <v>226332.242</v>
      </c>
      <c r="M103" s="553">
        <v>65567</v>
      </c>
      <c r="N103" s="553">
        <v>788019</v>
      </c>
      <c r="O103" s="554">
        <v>287.33688908516166</v>
      </c>
      <c r="P103" s="555">
        <v>226426.92800000001</v>
      </c>
      <c r="Q103" s="555">
        <v>226426.92800000001</v>
      </c>
      <c r="R103" s="555">
        <v>206735.41800000001</v>
      </c>
      <c r="S103" s="556">
        <v>91.3033709488829</v>
      </c>
      <c r="T103" s="562"/>
      <c r="U103" s="565">
        <v>178207</v>
      </c>
      <c r="V103" s="566">
        <v>2713.7467497611096</v>
      </c>
      <c r="W103" s="565">
        <v>31612</v>
      </c>
      <c r="X103" s="565">
        <v>7242</v>
      </c>
      <c r="Y103" s="566">
        <v>481.3894081234082</v>
      </c>
      <c r="Z103" s="566">
        <v>4.3650925158795912</v>
      </c>
      <c r="AA103" s="567">
        <v>284362.54200000002</v>
      </c>
      <c r="AB103" s="567">
        <v>0</v>
      </c>
      <c r="AC103" s="567">
        <v>0</v>
      </c>
      <c r="AD103" s="567">
        <v>0</v>
      </c>
      <c r="AE103" s="567">
        <v>-580.64499999999998</v>
      </c>
      <c r="AF103" s="567" t="s">
        <v>434</v>
      </c>
      <c r="AG103" s="567">
        <v>283781.897</v>
      </c>
      <c r="AH103" s="567">
        <v>181971.459</v>
      </c>
      <c r="AI103" s="567">
        <v>14913.739</v>
      </c>
      <c r="AJ103" s="567">
        <v>3370.2730000000001</v>
      </c>
      <c r="AK103" s="567">
        <v>16624.330999999998</v>
      </c>
      <c r="AL103" s="567">
        <v>30477.484</v>
      </c>
      <c r="AM103" s="567">
        <v>0</v>
      </c>
      <c r="AN103" s="567">
        <v>2579.355</v>
      </c>
      <c r="AO103" s="567">
        <v>249936.64000000001</v>
      </c>
      <c r="AP103" s="567">
        <v>297.79899999999998</v>
      </c>
      <c r="AQ103" s="567">
        <v>249638.84099999999</v>
      </c>
      <c r="AR103" s="563" t="s">
        <v>434</v>
      </c>
      <c r="AS103" s="567">
        <v>3285.1770000000001</v>
      </c>
      <c r="AT103" s="567">
        <v>13608.114</v>
      </c>
      <c r="AU103" s="567">
        <v>0</v>
      </c>
      <c r="AV103" s="567" t="s">
        <v>434</v>
      </c>
      <c r="AW103" s="567">
        <v>266532.13299999997</v>
      </c>
      <c r="AX103" s="567">
        <v>17249.764999999999</v>
      </c>
      <c r="AY103" s="571" t="s">
        <v>435</v>
      </c>
      <c r="AZ103" s="571" t="s">
        <v>431</v>
      </c>
      <c r="BA103" s="563"/>
      <c r="BB103" s="563"/>
      <c r="BC103" s="221" t="s">
        <v>551</v>
      </c>
      <c r="BD103" s="591">
        <v>6.06081390737074E-2</v>
      </c>
      <c r="BE103" s="653">
        <v>4.1313645450478951E-3</v>
      </c>
      <c r="BF103" s="559" t="s">
        <v>573</v>
      </c>
      <c r="BG103" s="613" t="s">
        <v>573</v>
      </c>
    </row>
    <row r="104" spans="1:59">
      <c r="A104" s="532" t="s">
        <v>96</v>
      </c>
      <c r="B104" s="532" t="s">
        <v>424</v>
      </c>
      <c r="C104" s="532">
        <v>5</v>
      </c>
      <c r="D104" s="532">
        <v>101</v>
      </c>
      <c r="E104" s="535" t="s">
        <v>212</v>
      </c>
      <c r="F104" s="532">
        <v>2013</v>
      </c>
      <c r="G104" s="534" t="s">
        <v>567</v>
      </c>
      <c r="H104" s="551">
        <v>17323.077000000001</v>
      </c>
      <c r="I104" s="555">
        <v>15931.315000000001</v>
      </c>
      <c r="J104" s="552">
        <v>7.3696663515913974</v>
      </c>
      <c r="K104" s="552">
        <v>584.07058870000003</v>
      </c>
      <c r="L104" s="555">
        <v>235059.17600000001</v>
      </c>
      <c r="M104" s="553">
        <v>69776</v>
      </c>
      <c r="N104" s="553">
        <v>774730</v>
      </c>
      <c r="O104" s="554">
        <v>232.64977476023904</v>
      </c>
      <c r="P104" s="555">
        <v>180240.76</v>
      </c>
      <c r="Q104" s="555">
        <v>180240.76</v>
      </c>
      <c r="R104" s="555">
        <v>143542.837</v>
      </c>
      <c r="S104" s="556">
        <v>79.639498302159836</v>
      </c>
      <c r="T104" s="562"/>
      <c r="U104" s="565">
        <v>335808</v>
      </c>
      <c r="V104" s="566">
        <v>5201.4198494959537</v>
      </c>
      <c r="W104" s="565">
        <v>30769</v>
      </c>
      <c r="X104" s="565">
        <v>7187</v>
      </c>
      <c r="Y104" s="566">
        <v>476.58926335626603</v>
      </c>
      <c r="Z104" s="566">
        <v>4.2812021705857797</v>
      </c>
      <c r="AA104" s="567">
        <v>194029.77499999999</v>
      </c>
      <c r="AB104" s="567">
        <v>-8606.866</v>
      </c>
      <c r="AC104" s="567">
        <v>0</v>
      </c>
      <c r="AD104" s="567">
        <v>0</v>
      </c>
      <c r="AE104" s="567">
        <v>0</v>
      </c>
      <c r="AF104" s="567" t="s">
        <v>434</v>
      </c>
      <c r="AG104" s="567">
        <v>185422.90900000001</v>
      </c>
      <c r="AH104" s="567">
        <v>114543.292</v>
      </c>
      <c r="AI104" s="567">
        <v>0</v>
      </c>
      <c r="AJ104" s="567">
        <v>5505.6189999999997</v>
      </c>
      <c r="AK104" s="567">
        <v>12575.406999999999</v>
      </c>
      <c r="AL104" s="567">
        <v>22297.712</v>
      </c>
      <c r="AM104" s="567">
        <v>0</v>
      </c>
      <c r="AN104" s="567">
        <v>0</v>
      </c>
      <c r="AO104" s="567">
        <v>154922.03</v>
      </c>
      <c r="AP104" s="567">
        <v>0</v>
      </c>
      <c r="AQ104" s="567">
        <v>154922.03</v>
      </c>
      <c r="AR104" s="563" t="s">
        <v>434</v>
      </c>
      <c r="AS104" s="567">
        <v>2840.8690000000001</v>
      </c>
      <c r="AT104" s="567">
        <v>16142.326999999999</v>
      </c>
      <c r="AU104" s="567">
        <v>0</v>
      </c>
      <c r="AV104" s="567" t="s">
        <v>434</v>
      </c>
      <c r="AW104" s="567">
        <v>173905.226</v>
      </c>
      <c r="AX104" s="567">
        <v>11517.683000000001</v>
      </c>
      <c r="AY104" s="571" t="s">
        <v>430</v>
      </c>
      <c r="AZ104" s="571" t="s">
        <v>433</v>
      </c>
      <c r="BA104" s="563"/>
      <c r="BB104" s="563"/>
      <c r="BC104" s="221" t="s">
        <v>551</v>
      </c>
      <c r="BD104" s="591">
        <v>6.7775762984891935E-2</v>
      </c>
      <c r="BE104" s="653">
        <v>0.13582925399350967</v>
      </c>
      <c r="BF104" s="559" t="s">
        <v>581</v>
      </c>
      <c r="BG104" s="613" t="s">
        <v>581</v>
      </c>
    </row>
    <row r="105" spans="1:59">
      <c r="A105" s="532" t="s">
        <v>85</v>
      </c>
      <c r="B105" s="532" t="s">
        <v>424</v>
      </c>
      <c r="C105" s="532">
        <v>5</v>
      </c>
      <c r="D105" s="532">
        <v>102</v>
      </c>
      <c r="E105" s="535" t="s">
        <v>180</v>
      </c>
      <c r="F105" s="532">
        <v>2013</v>
      </c>
      <c r="G105" s="534" t="s">
        <v>469</v>
      </c>
      <c r="H105" s="551">
        <v>-6991.2719999999999</v>
      </c>
      <c r="I105" s="555">
        <v>33660.059000000001</v>
      </c>
      <c r="J105" s="552">
        <v>-2.2856203480702528</v>
      </c>
      <c r="K105" s="552">
        <v>287.19836379999998</v>
      </c>
      <c r="L105" s="555">
        <v>305880.72100000002</v>
      </c>
      <c r="M105" s="553">
        <v>72337</v>
      </c>
      <c r="N105" s="553">
        <v>770155</v>
      </c>
      <c r="O105" s="554">
        <v>416.88002544942253</v>
      </c>
      <c r="P105" s="555">
        <v>321062.23599999998</v>
      </c>
      <c r="Q105" s="555">
        <v>321062.23599999998</v>
      </c>
      <c r="R105" s="555">
        <v>294962.38500000001</v>
      </c>
      <c r="S105" s="556">
        <v>91.870781402020768</v>
      </c>
      <c r="T105" s="562"/>
      <c r="U105" s="565">
        <v>324302</v>
      </c>
      <c r="V105" s="566">
        <v>5053.0399724730732</v>
      </c>
      <c r="W105" s="565">
        <v>39467</v>
      </c>
      <c r="X105" s="565">
        <v>8735</v>
      </c>
      <c r="Y105" s="566">
        <v>614.94634197012294</v>
      </c>
      <c r="Z105" s="566">
        <v>4.5182598740698339</v>
      </c>
      <c r="AA105" s="567">
        <v>317434.62699999998</v>
      </c>
      <c r="AB105" s="567">
        <v>-12241.244000000001</v>
      </c>
      <c r="AC105" s="567">
        <v>0</v>
      </c>
      <c r="AD105" s="567">
        <v>0</v>
      </c>
      <c r="AE105" s="567">
        <v>3005.4</v>
      </c>
      <c r="AF105" s="567" t="s">
        <v>434</v>
      </c>
      <c r="AG105" s="567">
        <v>308198.783</v>
      </c>
      <c r="AH105" s="567">
        <v>194682.67300000001</v>
      </c>
      <c r="AI105" s="567">
        <v>1375.2719999999999</v>
      </c>
      <c r="AJ105" s="567">
        <v>9920.9860000000008</v>
      </c>
      <c r="AK105" s="567">
        <v>4332.1850000000004</v>
      </c>
      <c r="AL105" s="567">
        <v>60073.209000000003</v>
      </c>
      <c r="AM105" s="567">
        <v>0</v>
      </c>
      <c r="AN105" s="567">
        <v>0</v>
      </c>
      <c r="AO105" s="567">
        <v>270384.32500000001</v>
      </c>
      <c r="AP105" s="567">
        <v>1702.114</v>
      </c>
      <c r="AQ105" s="567">
        <v>268682.21100000001</v>
      </c>
      <c r="AR105" s="563" t="s">
        <v>434</v>
      </c>
      <c r="AS105" s="567">
        <v>9859.9680000000008</v>
      </c>
      <c r="AT105" s="567">
        <v>20329.364000000001</v>
      </c>
      <c r="AU105" s="567">
        <v>0</v>
      </c>
      <c r="AV105" s="567" t="s">
        <v>434</v>
      </c>
      <c r="AW105" s="567">
        <v>298871.54300000001</v>
      </c>
      <c r="AX105" s="567">
        <v>9327.24</v>
      </c>
      <c r="AY105" s="571" t="s">
        <v>430</v>
      </c>
      <c r="AZ105" s="571" t="s">
        <v>433</v>
      </c>
      <c r="BA105" s="563"/>
      <c r="BB105" s="563"/>
      <c r="BC105" s="221" t="s">
        <v>551</v>
      </c>
      <c r="BD105" s="591">
        <v>0.11004308767795797</v>
      </c>
      <c r="BE105" s="653">
        <v>-2.2856203480702528E-2</v>
      </c>
      <c r="BF105" s="559" t="s">
        <v>572</v>
      </c>
      <c r="BG105" s="613" t="s">
        <v>572</v>
      </c>
    </row>
    <row r="106" spans="1:59">
      <c r="A106" s="532" t="s">
        <v>91</v>
      </c>
      <c r="B106" s="532" t="s">
        <v>421</v>
      </c>
      <c r="C106" s="532">
        <v>4</v>
      </c>
      <c r="D106" s="532">
        <v>103</v>
      </c>
      <c r="E106" s="535" t="s">
        <v>255</v>
      </c>
      <c r="F106" s="532">
        <v>2013</v>
      </c>
      <c r="G106" s="534" t="s">
        <v>567</v>
      </c>
      <c r="H106" s="551">
        <v>10770.669</v>
      </c>
      <c r="I106" s="555">
        <v>31587.954000000002</v>
      </c>
      <c r="J106" s="552">
        <v>3.10098336612326</v>
      </c>
      <c r="K106" s="552">
        <v>493.84810729999998</v>
      </c>
      <c r="L106" s="555">
        <v>347330.75699999998</v>
      </c>
      <c r="M106" s="553">
        <v>62849</v>
      </c>
      <c r="N106" s="553">
        <v>762205</v>
      </c>
      <c r="O106" s="554">
        <v>270.19411313229381</v>
      </c>
      <c r="P106" s="555">
        <v>205943.304</v>
      </c>
      <c r="Q106" s="555">
        <v>205943.304</v>
      </c>
      <c r="R106" s="555">
        <v>169331.84</v>
      </c>
      <c r="S106" s="556">
        <v>82.222551892243118</v>
      </c>
      <c r="T106" s="562"/>
      <c r="U106" s="560">
        <v>384878</v>
      </c>
      <c r="V106" s="561">
        <v>6059.4407016485065</v>
      </c>
      <c r="W106" s="560">
        <v>26484</v>
      </c>
      <c r="X106" s="560">
        <v>7074</v>
      </c>
      <c r="Y106" s="561">
        <v>416.95869221534889</v>
      </c>
      <c r="Z106" s="561">
        <v>3.7438507209499576</v>
      </c>
      <c r="AA106" s="567">
        <v>244866.32199999999</v>
      </c>
      <c r="AB106" s="567">
        <v>0</v>
      </c>
      <c r="AC106" s="567">
        <v>0</v>
      </c>
      <c r="AD106" s="567">
        <v>0</v>
      </c>
      <c r="AE106" s="567">
        <v>0</v>
      </c>
      <c r="AF106" s="567" t="s">
        <v>434</v>
      </c>
      <c r="AG106" s="567">
        <v>244866.32199999999</v>
      </c>
      <c r="AH106" s="567">
        <v>112970.69500000001</v>
      </c>
      <c r="AI106" s="567">
        <v>19057.901999999998</v>
      </c>
      <c r="AJ106" s="567">
        <v>21156.593000000001</v>
      </c>
      <c r="AK106" s="567">
        <v>25782.156999999999</v>
      </c>
      <c r="AL106" s="567">
        <v>25925.794000000002</v>
      </c>
      <c r="AM106" s="567">
        <v>0</v>
      </c>
      <c r="AN106" s="567">
        <v>1582.393</v>
      </c>
      <c r="AO106" s="567">
        <v>206475.53400000001</v>
      </c>
      <c r="AP106" s="567">
        <v>0</v>
      </c>
      <c r="AQ106" s="567">
        <v>206475.53400000001</v>
      </c>
      <c r="AR106" s="563" t="s">
        <v>434</v>
      </c>
      <c r="AS106" s="567">
        <v>8080.4780000000001</v>
      </c>
      <c r="AT106" s="567">
        <v>37264.279000000002</v>
      </c>
      <c r="AU106" s="567">
        <v>0</v>
      </c>
      <c r="AV106" s="567" t="s">
        <v>434</v>
      </c>
      <c r="AW106" s="567">
        <v>251820.291</v>
      </c>
      <c r="AX106" s="567">
        <v>-6953.9690000000001</v>
      </c>
      <c r="AY106" s="571" t="s">
        <v>430</v>
      </c>
      <c r="AZ106" s="571" t="s">
        <v>433</v>
      </c>
      <c r="BA106" s="563"/>
      <c r="BB106" s="563"/>
      <c r="BC106" s="221" t="s">
        <v>551</v>
      </c>
      <c r="BD106" s="591">
        <v>9.0944879954872535E-2</v>
      </c>
      <c r="BE106" s="653">
        <v>8.6829601122696234E-2</v>
      </c>
      <c r="BF106" s="559" t="s">
        <v>576</v>
      </c>
      <c r="BG106" s="613" t="s">
        <v>576</v>
      </c>
    </row>
    <row r="107" spans="1:59">
      <c r="A107" s="532" t="s">
        <v>72</v>
      </c>
      <c r="B107" s="532" t="s">
        <v>418</v>
      </c>
      <c r="C107" s="532">
        <v>1</v>
      </c>
      <c r="D107" s="532">
        <v>104</v>
      </c>
      <c r="E107" s="535" t="s">
        <v>280</v>
      </c>
      <c r="F107" s="532">
        <v>2013</v>
      </c>
      <c r="G107" s="534" t="s">
        <v>469</v>
      </c>
      <c r="H107" s="551">
        <v>-2611.3620000000001</v>
      </c>
      <c r="I107" s="551">
        <v>27165.418000000001</v>
      </c>
      <c r="J107" s="568">
        <v>-0.72410531796767663</v>
      </c>
      <c r="K107" s="568">
        <v>349.18555140000001</v>
      </c>
      <c r="L107" s="551">
        <v>360632.89899999998</v>
      </c>
      <c r="M107" s="557">
        <v>64738</v>
      </c>
      <c r="N107" s="557">
        <v>759144</v>
      </c>
      <c r="O107" s="558">
        <v>441.1039842243369</v>
      </c>
      <c r="P107" s="551">
        <v>334861.44300000003</v>
      </c>
      <c r="Q107" s="551">
        <v>334861.44300000003</v>
      </c>
      <c r="R107" s="551">
        <v>303045.05800000002</v>
      </c>
      <c r="S107" s="569">
        <v>90.498641851698636</v>
      </c>
      <c r="T107" s="562"/>
      <c r="U107" s="560">
        <v>1168272</v>
      </c>
      <c r="V107" s="561">
        <v>18467.199898833424</v>
      </c>
      <c r="W107" s="560">
        <v>7911</v>
      </c>
      <c r="X107" s="560">
        <v>1402</v>
      </c>
      <c r="Y107" s="561">
        <v>125.05137365242958</v>
      </c>
      <c r="Z107" s="561">
        <v>5.6426533523537801</v>
      </c>
      <c r="AA107" s="567">
        <v>457096.212</v>
      </c>
      <c r="AB107" s="567">
        <v>0</v>
      </c>
      <c r="AC107" s="567">
        <v>0</v>
      </c>
      <c r="AD107" s="567">
        <v>0</v>
      </c>
      <c r="AE107" s="567">
        <v>0</v>
      </c>
      <c r="AF107" s="567" t="s">
        <v>434</v>
      </c>
      <c r="AG107" s="567">
        <v>457096.212</v>
      </c>
      <c r="AH107" s="567">
        <v>360260.14500000002</v>
      </c>
      <c r="AI107" s="567">
        <v>3932.51</v>
      </c>
      <c r="AJ107" s="567">
        <v>0</v>
      </c>
      <c r="AK107" s="567">
        <v>0</v>
      </c>
      <c r="AL107" s="567">
        <v>9560.6779999999999</v>
      </c>
      <c r="AM107" s="567">
        <v>0</v>
      </c>
      <c r="AN107" s="567">
        <v>0</v>
      </c>
      <c r="AO107" s="567">
        <v>373753.33199999999</v>
      </c>
      <c r="AP107" s="567">
        <v>0</v>
      </c>
      <c r="AQ107" s="567">
        <v>373753.33199999999</v>
      </c>
      <c r="AR107" s="563" t="s">
        <v>434</v>
      </c>
      <c r="AS107" s="567">
        <v>19741.87</v>
      </c>
      <c r="AT107" s="567">
        <v>39660.934000000001</v>
      </c>
      <c r="AU107" s="567">
        <v>0</v>
      </c>
      <c r="AV107" s="567" t="s">
        <v>434</v>
      </c>
      <c r="AW107" s="567">
        <v>433156.13699999999</v>
      </c>
      <c r="AX107" s="567">
        <v>23940.075000000001</v>
      </c>
      <c r="AY107" s="571" t="s">
        <v>430</v>
      </c>
      <c r="AZ107" s="571" t="s">
        <v>433</v>
      </c>
      <c r="BA107" s="563"/>
      <c r="BB107" s="563"/>
      <c r="BC107" s="221" t="s">
        <v>551</v>
      </c>
      <c r="BD107" s="591">
        <v>7.5327065487721917E-2</v>
      </c>
      <c r="BE107" s="653">
        <v>-7.2410531796767664E-3</v>
      </c>
      <c r="BF107" s="559" t="s">
        <v>572</v>
      </c>
      <c r="BG107" s="613" t="s">
        <v>572</v>
      </c>
    </row>
    <row r="108" spans="1:59">
      <c r="A108" s="532" t="s">
        <v>87</v>
      </c>
      <c r="B108" s="536" t="s">
        <v>332</v>
      </c>
      <c r="C108" s="532">
        <v>56</v>
      </c>
      <c r="D108" s="536">
        <v>105</v>
      </c>
      <c r="E108" s="535" t="s">
        <v>332</v>
      </c>
      <c r="F108" s="532">
        <v>2013</v>
      </c>
      <c r="G108" s="534" t="s">
        <v>567</v>
      </c>
      <c r="H108" s="551">
        <v>14850.214</v>
      </c>
      <c r="I108" s="555">
        <v>34907.474000000002</v>
      </c>
      <c r="J108" s="552">
        <v>3.0021583165393806</v>
      </c>
      <c r="K108" s="552">
        <v>1140.0464617</v>
      </c>
      <c r="L108" s="555">
        <v>494651.26199999999</v>
      </c>
      <c r="M108" s="553">
        <v>64184</v>
      </c>
      <c r="N108" s="553">
        <v>733343</v>
      </c>
      <c r="O108" s="554">
        <v>303.61178739007534</v>
      </c>
      <c r="P108" s="555">
        <v>222651.579</v>
      </c>
      <c r="Q108" s="555">
        <v>222651.579</v>
      </c>
      <c r="R108" s="555">
        <v>192990.92199999999</v>
      </c>
      <c r="S108" s="556">
        <v>86.678443003541418</v>
      </c>
      <c r="T108" s="562"/>
      <c r="U108" s="565">
        <v>581115</v>
      </c>
      <c r="V108" s="566">
        <v>9509.0291991605573</v>
      </c>
      <c r="W108" s="565">
        <v>47461</v>
      </c>
      <c r="X108" s="565">
        <v>12982</v>
      </c>
      <c r="Y108" s="566">
        <v>776.62430813412004</v>
      </c>
      <c r="Z108" s="566">
        <v>3.6559081805576952</v>
      </c>
      <c r="AA108" s="567">
        <v>66939.350999999995</v>
      </c>
      <c r="AB108" s="567">
        <v>0</v>
      </c>
      <c r="AC108" s="567">
        <v>0</v>
      </c>
      <c r="AD108" s="567">
        <v>0</v>
      </c>
      <c r="AE108" s="567">
        <v>0</v>
      </c>
      <c r="AF108" s="567" t="s">
        <v>434</v>
      </c>
      <c r="AG108" s="567">
        <v>66939.350999999995</v>
      </c>
      <c r="AH108" s="567">
        <v>71688.226999999999</v>
      </c>
      <c r="AI108" s="567">
        <v>79205.31</v>
      </c>
      <c r="AJ108" s="567">
        <v>0</v>
      </c>
      <c r="AK108" s="567">
        <v>8658.9179999999997</v>
      </c>
      <c r="AL108" s="567">
        <v>33438.466</v>
      </c>
      <c r="AM108" s="567">
        <v>0</v>
      </c>
      <c r="AN108" s="567">
        <v>0</v>
      </c>
      <c r="AO108" s="567">
        <v>192990.921</v>
      </c>
      <c r="AP108" s="567">
        <v>135093.56400000001</v>
      </c>
      <c r="AQ108" s="567">
        <v>57897.357000000004</v>
      </c>
      <c r="AR108" s="563" t="s">
        <v>434</v>
      </c>
      <c r="AS108" s="567">
        <v>3578.9059999999999</v>
      </c>
      <c r="AT108" s="567">
        <v>2501.5210000000002</v>
      </c>
      <c r="AU108" s="567">
        <v>0</v>
      </c>
      <c r="AV108" s="567" t="s">
        <v>434</v>
      </c>
      <c r="AW108" s="567">
        <v>63977.784</v>
      </c>
      <c r="AX108" s="567">
        <v>2961.567</v>
      </c>
      <c r="AY108" s="571" t="s">
        <v>430</v>
      </c>
      <c r="AZ108" s="571" t="s">
        <v>431</v>
      </c>
      <c r="BA108" s="563"/>
      <c r="BB108" s="563"/>
      <c r="BC108" s="221" t="s">
        <v>551</v>
      </c>
      <c r="BD108" s="591">
        <v>7.0569867463514124E-2</v>
      </c>
      <c r="BE108" s="653">
        <v>6.2645702501071709E-2</v>
      </c>
      <c r="BF108" s="559" t="s">
        <v>575</v>
      </c>
      <c r="BG108" s="613" t="s">
        <v>575</v>
      </c>
    </row>
    <row r="109" spans="1:59">
      <c r="A109" s="536" t="s">
        <v>56</v>
      </c>
      <c r="B109" s="536" t="s">
        <v>412</v>
      </c>
      <c r="C109" s="536" t="s">
        <v>20</v>
      </c>
      <c r="D109" s="536">
        <v>106</v>
      </c>
      <c r="E109" s="535" t="s">
        <v>412</v>
      </c>
      <c r="F109" s="532">
        <v>2013</v>
      </c>
      <c r="G109" s="534" t="s">
        <v>567</v>
      </c>
      <c r="H109" s="551">
        <v>2011.3989999999999</v>
      </c>
      <c r="I109" s="555">
        <v>3208.0920000000001</v>
      </c>
      <c r="J109" s="552">
        <v>3.8291612227119054</v>
      </c>
      <c r="K109" s="552" t="s">
        <v>434</v>
      </c>
      <c r="L109" s="555">
        <v>52528.449000000001</v>
      </c>
      <c r="M109" s="553">
        <v>51852</v>
      </c>
      <c r="N109" s="553">
        <v>731578</v>
      </c>
      <c r="O109" s="554">
        <v>35.274818269548838</v>
      </c>
      <c r="P109" s="555">
        <v>25806.280999999999</v>
      </c>
      <c r="Q109" s="555">
        <v>25806.280999999999</v>
      </c>
      <c r="R109" s="555">
        <v>24305.833999999999</v>
      </c>
      <c r="S109" s="556">
        <v>94.185729435403729</v>
      </c>
      <c r="T109" s="562"/>
      <c r="U109" s="565">
        <v>19529</v>
      </c>
      <c r="V109" s="566">
        <v>320.33221337984469</v>
      </c>
      <c r="W109" s="565">
        <v>12207</v>
      </c>
      <c r="X109" s="565">
        <v>3951</v>
      </c>
      <c r="Y109" s="566">
        <v>200.23018734844405</v>
      </c>
      <c r="Z109" s="566">
        <v>3.0895975702353833</v>
      </c>
      <c r="AA109" s="567">
        <v>27332.300999999999</v>
      </c>
      <c r="AB109" s="567">
        <v>0</v>
      </c>
      <c r="AC109" s="567">
        <v>0</v>
      </c>
      <c r="AD109" s="567">
        <v>0</v>
      </c>
      <c r="AE109" s="567">
        <v>0</v>
      </c>
      <c r="AF109" s="567" t="s">
        <v>434</v>
      </c>
      <c r="AG109" s="567">
        <v>27332.300999999999</v>
      </c>
      <c r="AH109" s="567">
        <v>13931.511</v>
      </c>
      <c r="AI109" s="567">
        <v>1208.951</v>
      </c>
      <c r="AJ109" s="567">
        <v>0</v>
      </c>
      <c r="AK109" s="567">
        <v>863.53599999999994</v>
      </c>
      <c r="AL109" s="567">
        <v>1.1930000000000001</v>
      </c>
      <c r="AM109" s="567">
        <v>7994.3829999999998</v>
      </c>
      <c r="AN109" s="567">
        <v>0</v>
      </c>
      <c r="AO109" s="567">
        <v>23999.574000000001</v>
      </c>
      <c r="AP109" s="567">
        <v>0</v>
      </c>
      <c r="AQ109" s="567">
        <v>23999.574000000001</v>
      </c>
      <c r="AR109" s="563" t="s">
        <v>434</v>
      </c>
      <c r="AS109" s="567">
        <v>1352.69</v>
      </c>
      <c r="AT109" s="567">
        <v>2497.9630000000002</v>
      </c>
      <c r="AU109" s="567">
        <v>0</v>
      </c>
      <c r="AV109" s="567" t="s">
        <v>434</v>
      </c>
      <c r="AW109" s="567">
        <v>27850.226999999999</v>
      </c>
      <c r="AX109" s="567">
        <v>-517.92600000000004</v>
      </c>
      <c r="AY109" s="571" t="s">
        <v>430</v>
      </c>
      <c r="AZ109" s="571" t="s">
        <v>431</v>
      </c>
      <c r="BA109" s="563"/>
      <c r="BB109" s="563"/>
      <c r="BC109" s="221" t="s">
        <v>551</v>
      </c>
      <c r="BD109" s="591">
        <v>6.1073419472179737E-2</v>
      </c>
      <c r="BE109" s="653">
        <v>-2.9307138262170476E-3</v>
      </c>
      <c r="BF109" s="559" t="s">
        <v>572</v>
      </c>
      <c r="BG109" s="613" t="s">
        <v>572</v>
      </c>
    </row>
    <row r="110" spans="1:59">
      <c r="A110" s="532" t="s">
        <v>90</v>
      </c>
      <c r="B110" s="532" t="s">
        <v>424</v>
      </c>
      <c r="C110" s="532">
        <v>5</v>
      </c>
      <c r="D110" s="532">
        <v>107</v>
      </c>
      <c r="E110" s="535" t="s">
        <v>182</v>
      </c>
      <c r="F110" s="532">
        <v>2013</v>
      </c>
      <c r="G110" s="534" t="s">
        <v>567</v>
      </c>
      <c r="H110" s="551">
        <v>6526.165</v>
      </c>
      <c r="I110" s="555">
        <v>73770.930999999997</v>
      </c>
      <c r="J110" s="552">
        <v>0.92716279444841621</v>
      </c>
      <c r="K110" s="552">
        <v>367.78012749999999</v>
      </c>
      <c r="L110" s="555">
        <v>703885.55700000003</v>
      </c>
      <c r="M110" s="553">
        <v>58515</v>
      </c>
      <c r="N110" s="553">
        <v>701832</v>
      </c>
      <c r="O110" s="554">
        <v>265.80253393974624</v>
      </c>
      <c r="P110" s="555">
        <v>195155.59</v>
      </c>
      <c r="Q110" s="555">
        <v>186548.72399999999</v>
      </c>
      <c r="R110" s="555">
        <v>154922.03</v>
      </c>
      <c r="S110" s="556">
        <v>83.04641633464081</v>
      </c>
      <c r="T110" s="562"/>
      <c r="U110" s="565">
        <v>700854</v>
      </c>
      <c r="V110" s="566">
        <v>11983.278049447732</v>
      </c>
      <c r="W110" s="565">
        <v>45641</v>
      </c>
      <c r="X110" s="565">
        <v>14259</v>
      </c>
      <c r="Y110" s="566">
        <v>780.37479054816538</v>
      </c>
      <c r="Z110" s="566">
        <v>3.2008555999719475</v>
      </c>
      <c r="AA110" s="567">
        <v>248133.88</v>
      </c>
      <c r="AB110" s="567">
        <v>0</v>
      </c>
      <c r="AC110" s="567">
        <v>0</v>
      </c>
      <c r="AD110" s="567">
        <v>0</v>
      </c>
      <c r="AE110" s="567">
        <v>0</v>
      </c>
      <c r="AF110" s="567" t="s">
        <v>434</v>
      </c>
      <c r="AG110" s="567">
        <v>248133.88</v>
      </c>
      <c r="AH110" s="567">
        <v>202030.19200000001</v>
      </c>
      <c r="AI110" s="567">
        <v>159.268</v>
      </c>
      <c r="AJ110" s="567">
        <v>867.92700000000002</v>
      </c>
      <c r="AK110" s="567">
        <v>10894.254999999999</v>
      </c>
      <c r="AL110" s="567">
        <v>731.71500000000003</v>
      </c>
      <c r="AM110" s="567">
        <v>0</v>
      </c>
      <c r="AN110" s="567">
        <v>0</v>
      </c>
      <c r="AO110" s="567">
        <v>214683.35699999999</v>
      </c>
      <c r="AP110" s="567">
        <v>2434.7339999999999</v>
      </c>
      <c r="AQ110" s="567">
        <v>212248.62299999999</v>
      </c>
      <c r="AR110" s="563" t="s">
        <v>434</v>
      </c>
      <c r="AS110" s="567">
        <v>4558.0510000000004</v>
      </c>
      <c r="AT110" s="567">
        <v>12213.235000000001</v>
      </c>
      <c r="AU110" s="567">
        <v>0</v>
      </c>
      <c r="AV110" s="567" t="s">
        <v>434</v>
      </c>
      <c r="AW110" s="567">
        <v>229019.90900000001</v>
      </c>
      <c r="AX110" s="567">
        <v>19113.971000000001</v>
      </c>
      <c r="AY110" s="571" t="s">
        <v>430</v>
      </c>
      <c r="AZ110" s="571" t="s">
        <v>433</v>
      </c>
      <c r="BA110" s="563"/>
      <c r="BB110" s="563"/>
      <c r="BC110" s="221" t="s">
        <v>551</v>
      </c>
      <c r="BD110" s="591">
        <v>0.10480529152269563</v>
      </c>
      <c r="BE110" s="653">
        <v>6.4730545130896322E-2</v>
      </c>
      <c r="BF110" s="559" t="s">
        <v>575</v>
      </c>
      <c r="BG110" s="613" t="s">
        <v>575</v>
      </c>
    </row>
    <row r="111" spans="1:59">
      <c r="A111" s="532" t="s">
        <v>71</v>
      </c>
      <c r="B111" s="532" t="s">
        <v>419</v>
      </c>
      <c r="C111" s="532">
        <v>2</v>
      </c>
      <c r="D111" s="532">
        <v>108</v>
      </c>
      <c r="E111" s="535" t="s">
        <v>231</v>
      </c>
      <c r="F111" s="532">
        <v>2013</v>
      </c>
      <c r="G111" s="534" t="s">
        <v>469</v>
      </c>
      <c r="H111" s="551">
        <v>-2786.895</v>
      </c>
      <c r="I111" s="551">
        <v>15593.397000000001</v>
      </c>
      <c r="J111" s="568">
        <v>-1.5046712651556124</v>
      </c>
      <c r="K111" s="568">
        <v>252.54146840000001</v>
      </c>
      <c r="L111" s="551">
        <v>185216.204</v>
      </c>
      <c r="M111" s="557">
        <v>58064</v>
      </c>
      <c r="N111" s="557">
        <v>700533</v>
      </c>
      <c r="O111" s="558">
        <v>269.0832566060414</v>
      </c>
      <c r="P111" s="551">
        <v>188501.701</v>
      </c>
      <c r="Q111" s="551">
        <v>188501.701</v>
      </c>
      <c r="R111" s="551">
        <v>177810.592</v>
      </c>
      <c r="S111" s="569">
        <v>94.328375317950048</v>
      </c>
      <c r="T111" s="564"/>
      <c r="U111" s="560">
        <v>286069</v>
      </c>
      <c r="V111" s="561">
        <v>4900.3087648975852</v>
      </c>
      <c r="W111" s="560">
        <v>37572</v>
      </c>
      <c r="X111" s="560">
        <v>8634</v>
      </c>
      <c r="Y111" s="561">
        <v>643.6013720981025</v>
      </c>
      <c r="Z111" s="561">
        <v>4.3516330785267545</v>
      </c>
      <c r="AA111" s="567">
        <v>197570.769</v>
      </c>
      <c r="AB111" s="567">
        <v>0</v>
      </c>
      <c r="AC111" s="567">
        <v>0</v>
      </c>
      <c r="AD111" s="567">
        <v>0</v>
      </c>
      <c r="AE111" s="567">
        <v>0</v>
      </c>
      <c r="AF111" s="567" t="s">
        <v>434</v>
      </c>
      <c r="AG111" s="567">
        <v>197570.769</v>
      </c>
      <c r="AH111" s="567">
        <v>131072.557</v>
      </c>
      <c r="AI111" s="567">
        <v>3606.8820000000001</v>
      </c>
      <c r="AJ111" s="567">
        <v>0</v>
      </c>
      <c r="AK111" s="567">
        <v>13862.135</v>
      </c>
      <c r="AL111" s="567">
        <v>24139.526000000002</v>
      </c>
      <c r="AM111" s="567">
        <v>0</v>
      </c>
      <c r="AN111" s="567">
        <v>7322.375</v>
      </c>
      <c r="AO111" s="567">
        <v>180003.47500000001</v>
      </c>
      <c r="AP111" s="567">
        <v>7004.4709999999995</v>
      </c>
      <c r="AQ111" s="567">
        <v>172999.005</v>
      </c>
      <c r="AR111" s="563" t="s">
        <v>434</v>
      </c>
      <c r="AS111" s="567">
        <v>13252.852000000001</v>
      </c>
      <c r="AT111" s="567">
        <v>8868.9410000000007</v>
      </c>
      <c r="AU111" s="567">
        <v>0</v>
      </c>
      <c r="AV111" s="567" t="s">
        <v>434</v>
      </c>
      <c r="AW111" s="567">
        <v>195120.79800000001</v>
      </c>
      <c r="AX111" s="567">
        <v>2449.971</v>
      </c>
      <c r="AY111" s="571" t="s">
        <v>430</v>
      </c>
      <c r="AZ111" s="571" t="s">
        <v>433</v>
      </c>
      <c r="BA111" s="563"/>
      <c r="BB111" s="563"/>
      <c r="BC111" s="221" t="s">
        <v>551</v>
      </c>
      <c r="BD111" s="591">
        <v>8.4190241799794147E-2</v>
      </c>
      <c r="BE111" s="653">
        <v>-1.5046712651556125E-2</v>
      </c>
      <c r="BF111" s="559" t="s">
        <v>572</v>
      </c>
      <c r="BG111" s="613" t="s">
        <v>572</v>
      </c>
    </row>
    <row r="112" spans="1:59">
      <c r="A112" s="536" t="s">
        <v>69</v>
      </c>
      <c r="B112" s="536" t="s">
        <v>269</v>
      </c>
      <c r="C112" s="536">
        <v>57</v>
      </c>
      <c r="D112" s="536">
        <v>109</v>
      </c>
      <c r="E112" s="535" t="s">
        <v>269</v>
      </c>
      <c r="F112" s="532">
        <v>2013</v>
      </c>
      <c r="G112" s="534" t="s">
        <v>469</v>
      </c>
      <c r="H112" s="551">
        <v>-6358.0259999999998</v>
      </c>
      <c r="I112" s="555">
        <v>23151.593000000001</v>
      </c>
      <c r="J112" s="552">
        <v>-2.8380057878208689</v>
      </c>
      <c r="K112" s="552">
        <v>209.3560071</v>
      </c>
      <c r="L112" s="555">
        <v>224031.467</v>
      </c>
      <c r="M112" s="553">
        <v>57614</v>
      </c>
      <c r="N112" s="553">
        <v>694051</v>
      </c>
      <c r="O112" s="554">
        <v>321.54104813623206</v>
      </c>
      <c r="P112" s="555">
        <v>223165.886</v>
      </c>
      <c r="Q112" s="555">
        <v>223165.886</v>
      </c>
      <c r="R112" s="555">
        <v>205965.22</v>
      </c>
      <c r="S112" s="556">
        <v>92.292430394132907</v>
      </c>
      <c r="T112" s="562"/>
      <c r="U112" s="565">
        <v>363822</v>
      </c>
      <c r="V112" s="566">
        <v>6290.4080535868397</v>
      </c>
      <c r="W112" s="565">
        <v>44406</v>
      </c>
      <c r="X112" s="565">
        <v>10435</v>
      </c>
      <c r="Y112" s="566">
        <v>767.77066814974694</v>
      </c>
      <c r="Z112" s="566">
        <v>4.255486344034499</v>
      </c>
      <c r="AA112" s="567">
        <v>224200.17</v>
      </c>
      <c r="AB112" s="567">
        <v>0</v>
      </c>
      <c r="AC112" s="567">
        <v>0</v>
      </c>
      <c r="AD112" s="567">
        <v>0</v>
      </c>
      <c r="AE112" s="567">
        <v>0</v>
      </c>
      <c r="AF112" s="567" t="s">
        <v>434</v>
      </c>
      <c r="AG112" s="567">
        <v>224200.17</v>
      </c>
      <c r="AH112" s="567">
        <v>96902.510999999999</v>
      </c>
      <c r="AI112" s="567">
        <v>33328.112999999998</v>
      </c>
      <c r="AJ112" s="567">
        <v>30682.567999999999</v>
      </c>
      <c r="AK112" s="567">
        <v>17958.28</v>
      </c>
      <c r="AL112" s="567">
        <v>21711.171999999999</v>
      </c>
      <c r="AM112" s="567">
        <v>2042.88</v>
      </c>
      <c r="AN112" s="567">
        <v>0</v>
      </c>
      <c r="AO112" s="567">
        <v>202625.524</v>
      </c>
      <c r="AP112" s="567">
        <v>430.38400000000001</v>
      </c>
      <c r="AQ112" s="567">
        <v>202195.14</v>
      </c>
      <c r="AR112" s="563" t="s">
        <v>434</v>
      </c>
      <c r="AS112" s="567">
        <v>4821.6270000000004</v>
      </c>
      <c r="AT112" s="567">
        <v>17881.332999999999</v>
      </c>
      <c r="AU112" s="567">
        <v>0</v>
      </c>
      <c r="AV112" s="567" t="s">
        <v>434</v>
      </c>
      <c r="AW112" s="567">
        <v>224898.1</v>
      </c>
      <c r="AX112" s="567">
        <v>-697.93</v>
      </c>
      <c r="AY112" s="571" t="s">
        <v>430</v>
      </c>
      <c r="AZ112" s="571" t="s">
        <v>433</v>
      </c>
      <c r="BA112" s="563"/>
      <c r="BB112" s="563"/>
      <c r="BC112" s="221" t="s">
        <v>551</v>
      </c>
      <c r="BD112" s="591">
        <v>0.10334080881593299</v>
      </c>
      <c r="BE112" s="653">
        <v>-2.838005787820869E-2</v>
      </c>
      <c r="BF112" s="559" t="s">
        <v>571</v>
      </c>
      <c r="BG112" s="613" t="s">
        <v>571</v>
      </c>
    </row>
    <row r="113" spans="1:59">
      <c r="A113" s="532" t="s">
        <v>76</v>
      </c>
      <c r="B113" s="532" t="s">
        <v>418</v>
      </c>
      <c r="C113" s="532">
        <v>1</v>
      </c>
      <c r="D113" s="532">
        <v>110</v>
      </c>
      <c r="E113" s="535" t="s">
        <v>273</v>
      </c>
      <c r="F113" s="532">
        <v>2013</v>
      </c>
      <c r="G113" s="534" t="s">
        <v>567</v>
      </c>
      <c r="H113" s="551">
        <v>9753.634</v>
      </c>
      <c r="I113" s="551">
        <v>15977.616</v>
      </c>
      <c r="J113" s="568">
        <v>4.7126506369008982</v>
      </c>
      <c r="K113" s="568">
        <v>446.14455099999998</v>
      </c>
      <c r="L113" s="551">
        <v>206967.05</v>
      </c>
      <c r="M113" s="557">
        <v>54220</v>
      </c>
      <c r="N113" s="557">
        <v>671565</v>
      </c>
      <c r="O113" s="558">
        <v>226.9623967895885</v>
      </c>
      <c r="P113" s="551">
        <v>152420.003</v>
      </c>
      <c r="Q113" s="551">
        <v>152420.00200000001</v>
      </c>
      <c r="R113" s="551">
        <v>123891.586</v>
      </c>
      <c r="S113" s="569">
        <v>81.283023470895898</v>
      </c>
      <c r="T113" s="562"/>
      <c r="U113" s="560">
        <v>427214</v>
      </c>
      <c r="V113" s="561">
        <v>7633.7629268946412</v>
      </c>
      <c r="W113" s="560">
        <v>20105</v>
      </c>
      <c r="X113" s="560">
        <v>4913</v>
      </c>
      <c r="Y113" s="561">
        <v>359.25040762993905</v>
      </c>
      <c r="Z113" s="561">
        <v>4.0922043557907593</v>
      </c>
      <c r="AA113" s="567">
        <v>193772.19</v>
      </c>
      <c r="AB113" s="567">
        <v>0</v>
      </c>
      <c r="AC113" s="567">
        <v>0</v>
      </c>
      <c r="AD113" s="567">
        <v>0</v>
      </c>
      <c r="AE113" s="567">
        <v>0</v>
      </c>
      <c r="AF113" s="567" t="s">
        <v>434</v>
      </c>
      <c r="AG113" s="567">
        <v>193772.19</v>
      </c>
      <c r="AH113" s="567">
        <v>107939.553</v>
      </c>
      <c r="AI113" s="567">
        <v>15081.832</v>
      </c>
      <c r="AJ113" s="567">
        <v>0</v>
      </c>
      <c r="AK113" s="567">
        <v>6761.5230000000001</v>
      </c>
      <c r="AL113" s="567">
        <v>16076.566999999999</v>
      </c>
      <c r="AM113" s="567">
        <v>0</v>
      </c>
      <c r="AN113" s="567">
        <v>0</v>
      </c>
      <c r="AO113" s="567">
        <v>145859.47500000001</v>
      </c>
      <c r="AP113" s="567">
        <v>0</v>
      </c>
      <c r="AQ113" s="567">
        <v>145859.47500000001</v>
      </c>
      <c r="AR113" s="563" t="s">
        <v>434</v>
      </c>
      <c r="AS113" s="567">
        <v>7457.5349999999999</v>
      </c>
      <c r="AT113" s="567">
        <v>10018.456</v>
      </c>
      <c r="AU113" s="567">
        <v>0</v>
      </c>
      <c r="AV113" s="567" t="s">
        <v>434</v>
      </c>
      <c r="AW113" s="567">
        <v>163335.46599999999</v>
      </c>
      <c r="AX113" s="567">
        <v>30436.723999999998</v>
      </c>
      <c r="AY113" s="571" t="s">
        <v>430</v>
      </c>
      <c r="AZ113" s="571" t="s">
        <v>433</v>
      </c>
      <c r="BA113" s="563"/>
      <c r="BB113" s="563"/>
      <c r="BC113" s="221" t="s">
        <v>551</v>
      </c>
      <c r="BD113" s="591">
        <v>7.7198839138887088E-2</v>
      </c>
      <c r="BE113" s="653">
        <v>0.10997092615215392</v>
      </c>
      <c r="BF113" s="559" t="s">
        <v>581</v>
      </c>
      <c r="BG113" s="613" t="s">
        <v>581</v>
      </c>
    </row>
    <row r="114" spans="1:59">
      <c r="A114" s="536" t="s">
        <v>54</v>
      </c>
      <c r="B114" s="536" t="s">
        <v>392</v>
      </c>
      <c r="C114" s="536">
        <v>46</v>
      </c>
      <c r="D114" s="536">
        <v>111</v>
      </c>
      <c r="E114" s="535" t="s">
        <v>392</v>
      </c>
      <c r="F114" s="532">
        <v>2013</v>
      </c>
      <c r="G114" s="534" t="s">
        <v>469</v>
      </c>
      <c r="H114" s="551">
        <v>-1406.838</v>
      </c>
      <c r="I114" s="555">
        <v>18632.925999999999</v>
      </c>
      <c r="J114" s="552">
        <v>-0.62570676424558336</v>
      </c>
      <c r="K114" s="552">
        <v>218.60720209999999</v>
      </c>
      <c r="L114" s="555">
        <v>224839.826</v>
      </c>
      <c r="M114" s="553">
        <v>74891</v>
      </c>
      <c r="N114" s="553">
        <v>668901</v>
      </c>
      <c r="O114" s="554">
        <v>337.57707343837131</v>
      </c>
      <c r="P114" s="555">
        <v>225805.64199999999</v>
      </c>
      <c r="Q114" s="555">
        <v>225805.64199999999</v>
      </c>
      <c r="R114" s="555">
        <v>202625.524</v>
      </c>
      <c r="S114" s="556">
        <v>89.734482365148352</v>
      </c>
      <c r="T114" s="562"/>
      <c r="U114" s="565">
        <v>0</v>
      </c>
      <c r="V114" s="566">
        <v>0</v>
      </c>
      <c r="W114" s="565">
        <v>0</v>
      </c>
      <c r="X114" s="565">
        <v>0</v>
      </c>
      <c r="Y114" s="566">
        <v>0</v>
      </c>
      <c r="Z114" s="566" t="s">
        <v>434</v>
      </c>
      <c r="AA114" s="567">
        <v>227715.29699999999</v>
      </c>
      <c r="AB114" s="567">
        <v>0</v>
      </c>
      <c r="AC114" s="567">
        <v>0</v>
      </c>
      <c r="AD114" s="567">
        <v>0</v>
      </c>
      <c r="AE114" s="567">
        <v>0</v>
      </c>
      <c r="AF114" s="567" t="s">
        <v>434</v>
      </c>
      <c r="AG114" s="567">
        <v>227715.29699999999</v>
      </c>
      <c r="AH114" s="567">
        <v>172699.76699999999</v>
      </c>
      <c r="AI114" s="567">
        <v>252.482</v>
      </c>
      <c r="AJ114" s="567">
        <v>3204.1019999999999</v>
      </c>
      <c r="AK114" s="567">
        <v>8933.8459999999995</v>
      </c>
      <c r="AL114" s="567">
        <v>26648.51</v>
      </c>
      <c r="AM114" s="567">
        <v>0</v>
      </c>
      <c r="AN114" s="567">
        <v>1744.692</v>
      </c>
      <c r="AO114" s="567">
        <v>213483.399</v>
      </c>
      <c r="AP114" s="567">
        <v>0</v>
      </c>
      <c r="AQ114" s="567">
        <v>213483.399</v>
      </c>
      <c r="AR114" s="563" t="s">
        <v>434</v>
      </c>
      <c r="AS114" s="567">
        <v>5969.7759999999998</v>
      </c>
      <c r="AT114" s="567">
        <v>9469.223</v>
      </c>
      <c r="AU114" s="567">
        <v>0</v>
      </c>
      <c r="AV114" s="567" t="s">
        <v>434</v>
      </c>
      <c r="AW114" s="567">
        <v>228922.39799999999</v>
      </c>
      <c r="AX114" s="567">
        <v>-1207.1010000000001</v>
      </c>
      <c r="AY114" s="571" t="s">
        <v>435</v>
      </c>
      <c r="AZ114" s="571" t="s">
        <v>431</v>
      </c>
      <c r="BA114" s="563"/>
      <c r="BB114" s="563"/>
      <c r="BC114" s="221" t="s">
        <v>551</v>
      </c>
      <c r="BD114" s="591">
        <v>8.2871999731933613E-2</v>
      </c>
      <c r="BE114" s="653">
        <v>-6.2570676424558332E-3</v>
      </c>
      <c r="BF114" s="559" t="s">
        <v>572</v>
      </c>
      <c r="BG114" s="613" t="s">
        <v>572</v>
      </c>
    </row>
    <row r="115" spans="1:59">
      <c r="A115" s="532" t="s">
        <v>84</v>
      </c>
      <c r="B115" s="532" t="s">
        <v>419</v>
      </c>
      <c r="C115" s="532">
        <v>2</v>
      </c>
      <c r="D115" s="532">
        <v>112</v>
      </c>
      <c r="E115" s="535" t="s">
        <v>172</v>
      </c>
      <c r="F115" s="532">
        <v>2013</v>
      </c>
      <c r="G115" s="534" t="s">
        <v>567</v>
      </c>
      <c r="H115" s="551">
        <v>3932.181</v>
      </c>
      <c r="I115" s="551">
        <v>12401.897000000001</v>
      </c>
      <c r="J115" s="568">
        <v>1.6082500805703563</v>
      </c>
      <c r="K115" s="568">
        <v>226.08497919999999</v>
      </c>
      <c r="L115" s="551">
        <v>244500.59400000001</v>
      </c>
      <c r="M115" s="557">
        <v>54256</v>
      </c>
      <c r="N115" s="557">
        <v>659735</v>
      </c>
      <c r="O115" s="558">
        <v>300.60351807922876</v>
      </c>
      <c r="P115" s="551">
        <v>198318.66200000001</v>
      </c>
      <c r="Q115" s="551">
        <v>198318.66200000001</v>
      </c>
      <c r="R115" s="551">
        <v>180003.47500000001</v>
      </c>
      <c r="S115" s="569">
        <v>90.764768774004736</v>
      </c>
      <c r="T115" s="564"/>
      <c r="U115" s="560">
        <v>543015</v>
      </c>
      <c r="V115" s="561">
        <v>9876.9657514001829</v>
      </c>
      <c r="W115" s="560">
        <v>32043</v>
      </c>
      <c r="X115" s="560">
        <v>6722</v>
      </c>
      <c r="Y115" s="561">
        <v>582.83401668851889</v>
      </c>
      <c r="Z115" s="561">
        <v>4.7668848556977093</v>
      </c>
      <c r="AA115" s="567">
        <v>247485.83100000001</v>
      </c>
      <c r="AB115" s="567">
        <v>0</v>
      </c>
      <c r="AC115" s="567">
        <v>0</v>
      </c>
      <c r="AD115" s="567">
        <v>0</v>
      </c>
      <c r="AE115" s="567">
        <v>0</v>
      </c>
      <c r="AF115" s="567" t="s">
        <v>434</v>
      </c>
      <c r="AG115" s="567">
        <v>247485.83100000001</v>
      </c>
      <c r="AH115" s="567">
        <v>183338.72899999999</v>
      </c>
      <c r="AI115" s="567">
        <v>41337.144999999997</v>
      </c>
      <c r="AJ115" s="567">
        <v>0</v>
      </c>
      <c r="AK115" s="567">
        <v>15811.701999999999</v>
      </c>
      <c r="AL115" s="567">
        <v>33304.534</v>
      </c>
      <c r="AM115" s="567">
        <v>0</v>
      </c>
      <c r="AN115" s="567">
        <v>312.70400000000001</v>
      </c>
      <c r="AO115" s="567">
        <v>274104.81400000001</v>
      </c>
      <c r="AP115" s="567">
        <v>127.07899999999999</v>
      </c>
      <c r="AQ115" s="567">
        <v>273977.73499999999</v>
      </c>
      <c r="AR115" s="563" t="s">
        <v>434</v>
      </c>
      <c r="AS115" s="567">
        <v>5849.81</v>
      </c>
      <c r="AT115" s="567">
        <v>21738.925999999999</v>
      </c>
      <c r="AU115" s="567">
        <v>-57480.569000000003</v>
      </c>
      <c r="AV115" s="567" t="s">
        <v>434</v>
      </c>
      <c r="AW115" s="567">
        <v>244085.902</v>
      </c>
      <c r="AX115" s="567">
        <v>3399.9290000000001</v>
      </c>
      <c r="AY115" s="571" t="s">
        <v>430</v>
      </c>
      <c r="AZ115" s="571" t="s">
        <v>433</v>
      </c>
      <c r="BA115" s="563"/>
      <c r="BB115" s="563"/>
      <c r="BC115" s="221" t="s">
        <v>551</v>
      </c>
      <c r="BD115" s="591">
        <v>5.0723381882663239E-2</v>
      </c>
      <c r="BE115" s="653">
        <v>4.1628930377289423E-2</v>
      </c>
      <c r="BF115" s="559" t="s">
        <v>574</v>
      </c>
      <c r="BG115" s="613" t="s">
        <v>574</v>
      </c>
    </row>
    <row r="116" spans="1:59">
      <c r="A116" s="536" t="s">
        <v>56</v>
      </c>
      <c r="B116" s="536" t="s">
        <v>426</v>
      </c>
      <c r="C116" s="536">
        <v>9</v>
      </c>
      <c r="D116" s="536">
        <v>113</v>
      </c>
      <c r="E116" s="535" t="s">
        <v>234</v>
      </c>
      <c r="F116" s="532">
        <v>2013</v>
      </c>
      <c r="G116" s="534" t="s">
        <v>567</v>
      </c>
      <c r="H116" s="551">
        <v>348568.12699999998</v>
      </c>
      <c r="I116" s="555">
        <v>377141.08199999999</v>
      </c>
      <c r="J116" s="552">
        <v>6.4652632207937533</v>
      </c>
      <c r="K116" s="552">
        <v>528.42109530000005</v>
      </c>
      <c r="L116" s="555">
        <v>5391398.8509999998</v>
      </c>
      <c r="M116" s="553">
        <v>58793</v>
      </c>
      <c r="N116" s="553">
        <v>659340</v>
      </c>
      <c r="O116" s="554">
        <v>341.298254314921</v>
      </c>
      <c r="P116" s="555">
        <v>225031.59099999999</v>
      </c>
      <c r="Q116" s="555">
        <v>225031.59099999999</v>
      </c>
      <c r="R116" s="555">
        <v>189251.11499999999</v>
      </c>
      <c r="S116" s="556">
        <v>84.099798681154951</v>
      </c>
      <c r="T116" s="562"/>
      <c r="U116" s="565">
        <v>449084</v>
      </c>
      <c r="V116" s="566">
        <v>8173.3369733369736</v>
      </c>
      <c r="W116" s="565">
        <v>27197</v>
      </c>
      <c r="X116" s="565">
        <v>5637</v>
      </c>
      <c r="Y116" s="566">
        <v>494.98589498589496</v>
      </c>
      <c r="Z116" s="566">
        <v>4.8247294660280291</v>
      </c>
      <c r="AA116" s="567">
        <v>950034.728</v>
      </c>
      <c r="AB116" s="567">
        <v>0</v>
      </c>
      <c r="AC116" s="567">
        <v>0</v>
      </c>
      <c r="AD116" s="567">
        <v>0</v>
      </c>
      <c r="AE116" s="567">
        <v>0</v>
      </c>
      <c r="AF116" s="567" t="s">
        <v>434</v>
      </c>
      <c r="AG116" s="567">
        <v>950034.728</v>
      </c>
      <c r="AH116" s="567">
        <v>693929.38399999996</v>
      </c>
      <c r="AI116" s="567">
        <v>21658.953000000001</v>
      </c>
      <c r="AJ116" s="567">
        <v>0</v>
      </c>
      <c r="AK116" s="567">
        <v>75203.445999999996</v>
      </c>
      <c r="AL116" s="567">
        <v>148401.50200000001</v>
      </c>
      <c r="AM116" s="567">
        <v>10711.374</v>
      </c>
      <c r="AN116" s="567">
        <v>-1077.1980000000001</v>
      </c>
      <c r="AO116" s="567">
        <v>948827.46100000001</v>
      </c>
      <c r="AP116" s="567">
        <v>81908.448000000004</v>
      </c>
      <c r="AQ116" s="567">
        <v>866919.01300000004</v>
      </c>
      <c r="AR116" s="563" t="s">
        <v>434</v>
      </c>
      <c r="AS116" s="567">
        <v>25587.334999999999</v>
      </c>
      <c r="AT116" s="567">
        <v>69897.077999999994</v>
      </c>
      <c r="AU116" s="567">
        <v>3143</v>
      </c>
      <c r="AV116" s="567" t="s">
        <v>434</v>
      </c>
      <c r="AW116" s="567">
        <v>965546.42599999998</v>
      </c>
      <c r="AX116" s="567">
        <v>-15511.698</v>
      </c>
      <c r="AY116" s="571" t="s">
        <v>435</v>
      </c>
      <c r="AZ116" s="571" t="s">
        <v>433</v>
      </c>
      <c r="BA116" s="563"/>
      <c r="BB116" s="563"/>
      <c r="BC116" s="221" t="s">
        <v>551</v>
      </c>
      <c r="BD116" s="591">
        <v>6.9952361608350985E-2</v>
      </c>
      <c r="BE116" s="653">
        <v>8.9049651580099545E-2</v>
      </c>
      <c r="BF116" s="559" t="s">
        <v>576</v>
      </c>
      <c r="BG116" s="613" t="s">
        <v>576</v>
      </c>
    </row>
    <row r="117" spans="1:59">
      <c r="A117" s="536" t="s">
        <v>95</v>
      </c>
      <c r="B117" s="536" t="s">
        <v>167</v>
      </c>
      <c r="C117" s="536">
        <v>80</v>
      </c>
      <c r="D117" s="536">
        <v>114</v>
      </c>
      <c r="E117" s="535" t="s">
        <v>167</v>
      </c>
      <c r="F117" s="532">
        <v>2013</v>
      </c>
      <c r="G117" s="534" t="s">
        <v>567</v>
      </c>
      <c r="H117" s="551">
        <v>-19266.651000000002</v>
      </c>
      <c r="I117" s="555">
        <v>60341.374000000003</v>
      </c>
      <c r="J117" s="552">
        <v>-1.9232210956693723</v>
      </c>
      <c r="K117" s="552">
        <v>411.5458428</v>
      </c>
      <c r="L117" s="555">
        <v>1001790.748</v>
      </c>
      <c r="M117" s="553">
        <v>53451</v>
      </c>
      <c r="N117" s="553">
        <v>649454</v>
      </c>
      <c r="O117" s="554">
        <v>202.41360589048648</v>
      </c>
      <c r="P117" s="555">
        <v>131445.60800000001</v>
      </c>
      <c r="Q117" s="555">
        <v>131458.326</v>
      </c>
      <c r="R117" s="555">
        <v>108663.541</v>
      </c>
      <c r="S117" s="556">
        <v>82.660067495458591</v>
      </c>
      <c r="T117" s="562"/>
      <c r="U117" s="565">
        <v>0</v>
      </c>
      <c r="V117" s="566">
        <v>0</v>
      </c>
      <c r="W117" s="565">
        <v>14709</v>
      </c>
      <c r="X117" s="565">
        <v>4513</v>
      </c>
      <c r="Y117" s="566">
        <v>271.7790636442304</v>
      </c>
      <c r="Z117" s="566">
        <v>3.2592510525149567</v>
      </c>
      <c r="AA117" s="567">
        <v>154936.90100000001</v>
      </c>
      <c r="AB117" s="567">
        <v>0</v>
      </c>
      <c r="AC117" s="567">
        <v>0</v>
      </c>
      <c r="AD117" s="567">
        <v>0</v>
      </c>
      <c r="AE117" s="567">
        <v>0</v>
      </c>
      <c r="AF117" s="567" t="s">
        <v>434</v>
      </c>
      <c r="AG117" s="567">
        <v>154936.90100000001</v>
      </c>
      <c r="AH117" s="567">
        <v>90446.271999999997</v>
      </c>
      <c r="AI117" s="567">
        <v>13596.151</v>
      </c>
      <c r="AJ117" s="567">
        <v>0</v>
      </c>
      <c r="AK117" s="567">
        <v>8192.1779999999999</v>
      </c>
      <c r="AL117" s="567">
        <v>30119.918000000001</v>
      </c>
      <c r="AM117" s="567">
        <v>3119.4879999999998</v>
      </c>
      <c r="AN117" s="567">
        <v>1489.7760000000001</v>
      </c>
      <c r="AO117" s="567">
        <v>146963.783</v>
      </c>
      <c r="AP117" s="567">
        <v>1794.893</v>
      </c>
      <c r="AQ117" s="567">
        <v>145168.89000000001</v>
      </c>
      <c r="AR117" s="563" t="s">
        <v>434</v>
      </c>
      <c r="AS117" s="567">
        <v>6096.848</v>
      </c>
      <c r="AT117" s="567">
        <v>10838.38</v>
      </c>
      <c r="AU117" s="567">
        <v>375.1</v>
      </c>
      <c r="AV117" s="567" t="s">
        <v>434</v>
      </c>
      <c r="AW117" s="567">
        <v>162479.21799999999</v>
      </c>
      <c r="AX117" s="567">
        <v>-7542.317</v>
      </c>
      <c r="AY117" s="571" t="s">
        <v>435</v>
      </c>
      <c r="AZ117" s="571" t="s">
        <v>431</v>
      </c>
      <c r="BA117" s="563"/>
      <c r="BB117" s="563"/>
      <c r="BC117" s="221" t="s">
        <v>551</v>
      </c>
      <c r="BD117" s="591">
        <v>6.0233510960714123E-2</v>
      </c>
      <c r="BE117" s="653">
        <v>0.11316581408469999</v>
      </c>
      <c r="BF117" s="559" t="s">
        <v>581</v>
      </c>
      <c r="BG117" s="613" t="s">
        <v>581</v>
      </c>
    </row>
    <row r="118" spans="1:59">
      <c r="A118" s="536" t="s">
        <v>81</v>
      </c>
      <c r="B118" s="536" t="s">
        <v>236</v>
      </c>
      <c r="C118" s="536">
        <v>54</v>
      </c>
      <c r="D118" s="536">
        <v>115</v>
      </c>
      <c r="E118" s="535" t="s">
        <v>236</v>
      </c>
      <c r="F118" s="532">
        <v>2013</v>
      </c>
      <c r="G118" s="534" t="s">
        <v>567</v>
      </c>
      <c r="H118" s="551">
        <v>26655.006000000001</v>
      </c>
      <c r="I118" s="555">
        <v>102873.939</v>
      </c>
      <c r="J118" s="552">
        <v>1.9655360095683643</v>
      </c>
      <c r="K118" s="552">
        <v>1054.3784447999999</v>
      </c>
      <c r="L118" s="555">
        <v>1356118.9350000001</v>
      </c>
      <c r="M118" s="553">
        <v>55217</v>
      </c>
      <c r="N118" s="553">
        <v>624487</v>
      </c>
      <c r="O118" s="554">
        <v>403.36324855441347</v>
      </c>
      <c r="P118" s="555">
        <v>251895.10500000001</v>
      </c>
      <c r="Q118" s="555">
        <v>251895.10500000001</v>
      </c>
      <c r="R118" s="555">
        <v>238719.63099999999</v>
      </c>
      <c r="S118" s="556">
        <v>94.769460089349479</v>
      </c>
      <c r="T118" s="562"/>
      <c r="U118" s="565">
        <v>717046</v>
      </c>
      <c r="V118" s="566">
        <v>13778.592668862602</v>
      </c>
      <c r="W118" s="565">
        <v>39139</v>
      </c>
      <c r="X118" s="565">
        <v>7644</v>
      </c>
      <c r="Y118" s="566">
        <v>752.08611228096026</v>
      </c>
      <c r="Z118" s="566">
        <v>5.1202250130821563</v>
      </c>
      <c r="AA118" s="567">
        <v>274827.152</v>
      </c>
      <c r="AB118" s="567">
        <v>0</v>
      </c>
      <c r="AC118" s="567">
        <v>0</v>
      </c>
      <c r="AD118" s="567">
        <v>-13.709</v>
      </c>
      <c r="AE118" s="567">
        <v>105.383</v>
      </c>
      <c r="AF118" s="567" t="s">
        <v>434</v>
      </c>
      <c r="AG118" s="567">
        <v>274918.82699999999</v>
      </c>
      <c r="AH118" s="567">
        <v>168440.58300000001</v>
      </c>
      <c r="AI118" s="567">
        <v>16224.614</v>
      </c>
      <c r="AJ118" s="567">
        <v>0</v>
      </c>
      <c r="AK118" s="567">
        <v>0</v>
      </c>
      <c r="AL118" s="567">
        <v>0</v>
      </c>
      <c r="AM118" s="567">
        <v>76248.554000000004</v>
      </c>
      <c r="AN118" s="567">
        <v>47.49</v>
      </c>
      <c r="AO118" s="567">
        <v>260961.24</v>
      </c>
      <c r="AP118" s="567">
        <v>5.4850000000000003</v>
      </c>
      <c r="AQ118" s="567">
        <v>260955.755</v>
      </c>
      <c r="AR118" s="563" t="s">
        <v>434</v>
      </c>
      <c r="AS118" s="567">
        <v>12667.052</v>
      </c>
      <c r="AT118" s="567">
        <v>3383.038</v>
      </c>
      <c r="AU118" s="567">
        <v>0</v>
      </c>
      <c r="AV118" s="567" t="s">
        <v>434</v>
      </c>
      <c r="AW118" s="567">
        <v>277005.84499999997</v>
      </c>
      <c r="AX118" s="567">
        <v>-2087.018</v>
      </c>
      <c r="AY118" s="571" t="s">
        <v>430</v>
      </c>
      <c r="AZ118" s="571" t="s">
        <v>431</v>
      </c>
      <c r="BA118" s="563"/>
      <c r="BB118" s="563"/>
      <c r="BC118" s="221" t="s">
        <v>551</v>
      </c>
      <c r="BD118" s="591">
        <v>7.5859083112057565E-2</v>
      </c>
      <c r="BE118" s="653">
        <v>-2.3553684005552342E-2</v>
      </c>
      <c r="BF118" s="559" t="s">
        <v>572</v>
      </c>
      <c r="BG118" s="613" t="s">
        <v>572</v>
      </c>
    </row>
    <row r="119" spans="1:59">
      <c r="A119" s="532" t="s">
        <v>87</v>
      </c>
      <c r="B119" s="532" t="s">
        <v>422</v>
      </c>
      <c r="C119" s="532">
        <v>4</v>
      </c>
      <c r="D119" s="532">
        <v>116</v>
      </c>
      <c r="E119" s="535" t="s">
        <v>295</v>
      </c>
      <c r="F119" s="532">
        <v>2013</v>
      </c>
      <c r="G119" s="534" t="s">
        <v>469</v>
      </c>
      <c r="H119" s="551">
        <v>7667.5940000000001</v>
      </c>
      <c r="I119" s="555">
        <v>9458.6970000000001</v>
      </c>
      <c r="J119" s="552">
        <v>4.7069222234330512</v>
      </c>
      <c r="K119" s="552">
        <v>593.24195599999996</v>
      </c>
      <c r="L119" s="555">
        <v>162900.37599999999</v>
      </c>
      <c r="M119" s="553">
        <v>50000</v>
      </c>
      <c r="N119" s="553">
        <v>620923</v>
      </c>
      <c r="O119" s="554">
        <v>262.57009806368904</v>
      </c>
      <c r="P119" s="555">
        <v>163035.81299999999</v>
      </c>
      <c r="Q119" s="555">
        <v>163035.81299999999</v>
      </c>
      <c r="R119" s="555">
        <v>141593.549</v>
      </c>
      <c r="S119" s="556">
        <v>86.848126429743388</v>
      </c>
      <c r="T119" s="562"/>
      <c r="U119" s="560">
        <v>340790</v>
      </c>
      <c r="V119" s="561">
        <v>6586.1306474393768</v>
      </c>
      <c r="W119" s="560">
        <v>28670</v>
      </c>
      <c r="X119" s="560">
        <v>5280</v>
      </c>
      <c r="Y119" s="561">
        <v>554.07836398393999</v>
      </c>
      <c r="Z119" s="561">
        <v>5.4299242424242422</v>
      </c>
      <c r="AA119" s="567">
        <v>194411.83900000001</v>
      </c>
      <c r="AB119" s="567">
        <v>0</v>
      </c>
      <c r="AC119" s="567">
        <v>0</v>
      </c>
      <c r="AD119" s="567">
        <v>0</v>
      </c>
      <c r="AE119" s="567">
        <v>8.875</v>
      </c>
      <c r="AF119" s="567" t="s">
        <v>434</v>
      </c>
      <c r="AG119" s="567">
        <v>194420.71400000001</v>
      </c>
      <c r="AH119" s="567">
        <v>138406.927</v>
      </c>
      <c r="AI119" s="567">
        <v>8028.5810000000001</v>
      </c>
      <c r="AJ119" s="567">
        <v>0</v>
      </c>
      <c r="AK119" s="567">
        <v>9815.9279999999999</v>
      </c>
      <c r="AL119" s="567">
        <v>14968.437</v>
      </c>
      <c r="AM119" s="567">
        <v>0</v>
      </c>
      <c r="AN119" s="567">
        <v>0</v>
      </c>
      <c r="AO119" s="567">
        <v>171219.87299999999</v>
      </c>
      <c r="AP119" s="567">
        <v>9499.41</v>
      </c>
      <c r="AQ119" s="567">
        <v>161720.46299999999</v>
      </c>
      <c r="AR119" s="563" t="s">
        <v>434</v>
      </c>
      <c r="AS119" s="567">
        <v>5598.2860000000001</v>
      </c>
      <c r="AT119" s="567">
        <v>26533.892</v>
      </c>
      <c r="AU119" s="567">
        <v>0</v>
      </c>
      <c r="AV119" s="567" t="s">
        <v>434</v>
      </c>
      <c r="AW119" s="567">
        <v>193852.641</v>
      </c>
      <c r="AX119" s="567">
        <v>568.07299999999998</v>
      </c>
      <c r="AY119" s="571" t="s">
        <v>430</v>
      </c>
      <c r="AZ119" s="571" t="s">
        <v>433</v>
      </c>
      <c r="BA119" s="563"/>
      <c r="BB119" s="563"/>
      <c r="BC119" s="221" t="s">
        <v>551</v>
      </c>
      <c r="BD119" s="591">
        <v>5.806430428374211E-2</v>
      </c>
      <c r="BE119" s="653">
        <v>4.7069222234330514E-2</v>
      </c>
      <c r="BF119" s="559" t="s">
        <v>574</v>
      </c>
      <c r="BG119" s="613" t="s">
        <v>574</v>
      </c>
    </row>
    <row r="120" spans="1:59">
      <c r="A120" s="536" t="s">
        <v>79</v>
      </c>
      <c r="B120" s="536" t="s">
        <v>414</v>
      </c>
      <c r="C120" s="536">
        <v>8</v>
      </c>
      <c r="D120" s="536">
        <v>117</v>
      </c>
      <c r="E120" s="535" t="s">
        <v>414</v>
      </c>
      <c r="F120" s="532">
        <v>2013</v>
      </c>
      <c r="G120" s="534" t="s">
        <v>567</v>
      </c>
      <c r="H120" s="551">
        <v>15217.457</v>
      </c>
      <c r="I120" s="555">
        <v>171290.77799999999</v>
      </c>
      <c r="J120" s="552">
        <v>2.1607986972960456</v>
      </c>
      <c r="K120" s="552">
        <v>861.51332290000005</v>
      </c>
      <c r="L120" s="555">
        <v>704251.48899999994</v>
      </c>
      <c r="M120" s="553">
        <v>0</v>
      </c>
      <c r="N120" s="553">
        <v>597224</v>
      </c>
      <c r="O120" s="554">
        <v>294.42334199563311</v>
      </c>
      <c r="P120" s="555">
        <v>175836.68599999999</v>
      </c>
      <c r="Q120" s="555">
        <v>175836.68599999999</v>
      </c>
      <c r="R120" s="555">
        <v>155200.89000000001</v>
      </c>
      <c r="S120" s="556">
        <v>88.264226044387598</v>
      </c>
      <c r="T120" s="562"/>
      <c r="U120" s="565">
        <v>346101</v>
      </c>
      <c r="V120" s="566">
        <v>6954.194741001701</v>
      </c>
      <c r="W120" s="565">
        <v>21130</v>
      </c>
      <c r="X120" s="565">
        <v>5958</v>
      </c>
      <c r="Y120" s="566">
        <v>424.56431757598489</v>
      </c>
      <c r="Z120" s="566">
        <v>3.5464921114467942</v>
      </c>
      <c r="AA120" s="567">
        <v>178197.09099999999</v>
      </c>
      <c r="AB120" s="567">
        <v>0</v>
      </c>
      <c r="AC120" s="567">
        <v>0</v>
      </c>
      <c r="AD120" s="567">
        <v>0</v>
      </c>
      <c r="AE120" s="567">
        <v>0</v>
      </c>
      <c r="AF120" s="567" t="s">
        <v>434</v>
      </c>
      <c r="AG120" s="567">
        <v>178197.09099999999</v>
      </c>
      <c r="AH120" s="567">
        <v>107644.36500000001</v>
      </c>
      <c r="AI120" s="567">
        <v>2122.2289999999998</v>
      </c>
      <c r="AJ120" s="567">
        <v>0</v>
      </c>
      <c r="AK120" s="567">
        <v>10775.656999999999</v>
      </c>
      <c r="AL120" s="567">
        <v>30975.319</v>
      </c>
      <c r="AM120" s="567">
        <v>0</v>
      </c>
      <c r="AN120" s="567">
        <v>180</v>
      </c>
      <c r="AO120" s="567">
        <v>151697.57</v>
      </c>
      <c r="AP120" s="567">
        <v>0</v>
      </c>
      <c r="AQ120" s="567">
        <v>151697.57</v>
      </c>
      <c r="AR120" s="563" t="s">
        <v>434</v>
      </c>
      <c r="AS120" s="567">
        <v>16751.615000000002</v>
      </c>
      <c r="AT120" s="567">
        <v>9501.8809999999994</v>
      </c>
      <c r="AU120" s="567">
        <v>0</v>
      </c>
      <c r="AV120" s="567" t="s">
        <v>434</v>
      </c>
      <c r="AW120" s="567">
        <v>177951.06599999999</v>
      </c>
      <c r="AX120" s="567">
        <v>246.02500000000001</v>
      </c>
      <c r="AY120" s="586" t="s">
        <v>435</v>
      </c>
      <c r="AZ120" s="586" t="s">
        <v>431</v>
      </c>
      <c r="BA120" s="563"/>
      <c r="BB120" s="563"/>
      <c r="BC120" s="221" t="s">
        <v>553</v>
      </c>
      <c r="BD120" s="591">
        <v>0.24322387765657957</v>
      </c>
      <c r="BE120" s="653">
        <v>-0.12586613810045552</v>
      </c>
      <c r="BF120" s="559" t="s">
        <v>579</v>
      </c>
      <c r="BG120" s="613" t="s">
        <v>579</v>
      </c>
    </row>
    <row r="121" spans="1:59">
      <c r="A121" s="532" t="s">
        <v>94</v>
      </c>
      <c r="B121" s="532" t="s">
        <v>418</v>
      </c>
      <c r="C121" s="532">
        <v>1</v>
      </c>
      <c r="D121" s="532">
        <v>118</v>
      </c>
      <c r="E121" s="535" t="s">
        <v>285</v>
      </c>
      <c r="F121" s="532">
        <v>2013</v>
      </c>
      <c r="G121" s="534" t="s">
        <v>567</v>
      </c>
      <c r="H121" s="551">
        <v>-15905.341</v>
      </c>
      <c r="I121" s="551">
        <v>63805.027999999998</v>
      </c>
      <c r="J121" s="568">
        <v>-2.029542365285812</v>
      </c>
      <c r="K121" s="568">
        <v>451.63153790000001</v>
      </c>
      <c r="L121" s="551">
        <v>783691.00699999998</v>
      </c>
      <c r="M121" s="557">
        <v>59064</v>
      </c>
      <c r="N121" s="557">
        <v>584094</v>
      </c>
      <c r="O121" s="558">
        <v>348.10552411084518</v>
      </c>
      <c r="P121" s="551">
        <v>203084.95499999999</v>
      </c>
      <c r="Q121" s="551">
        <v>203326.348</v>
      </c>
      <c r="R121" s="551">
        <v>182833.48</v>
      </c>
      <c r="S121" s="569">
        <v>89.92119407957891</v>
      </c>
      <c r="T121" s="562"/>
      <c r="U121" s="560">
        <v>466641</v>
      </c>
      <c r="V121" s="561">
        <v>9586.9705903501836</v>
      </c>
      <c r="W121" s="560">
        <v>0</v>
      </c>
      <c r="X121" s="560">
        <v>0</v>
      </c>
      <c r="Y121" s="561">
        <v>0</v>
      </c>
      <c r="Z121" s="561" t="s">
        <v>434</v>
      </c>
      <c r="AA121" s="567">
        <v>245246.21100000001</v>
      </c>
      <c r="AB121" s="567">
        <v>0</v>
      </c>
      <c r="AC121" s="567">
        <v>0</v>
      </c>
      <c r="AD121" s="567">
        <v>0</v>
      </c>
      <c r="AE121" s="567">
        <v>0</v>
      </c>
      <c r="AF121" s="567" t="s">
        <v>434</v>
      </c>
      <c r="AG121" s="567">
        <v>245246.21100000001</v>
      </c>
      <c r="AH121" s="567">
        <v>516519.63699999999</v>
      </c>
      <c r="AI121" s="567">
        <v>20310.196</v>
      </c>
      <c r="AJ121" s="567">
        <v>0</v>
      </c>
      <c r="AK121" s="567">
        <v>0</v>
      </c>
      <c r="AL121" s="567">
        <v>75648.398000000001</v>
      </c>
      <c r="AM121" s="567">
        <v>0</v>
      </c>
      <c r="AN121" s="567">
        <v>0</v>
      </c>
      <c r="AO121" s="567">
        <v>612478.23100000003</v>
      </c>
      <c r="AP121" s="567">
        <v>367486.93800000002</v>
      </c>
      <c r="AQ121" s="567">
        <v>244991.29300000001</v>
      </c>
      <c r="AR121" s="563" t="s">
        <v>434</v>
      </c>
      <c r="AS121" s="567">
        <v>10412.51</v>
      </c>
      <c r="AT121" s="567">
        <v>16342.118</v>
      </c>
      <c r="AU121" s="567">
        <v>0</v>
      </c>
      <c r="AV121" s="567" t="s">
        <v>434</v>
      </c>
      <c r="AW121" s="567">
        <v>271745.92099999997</v>
      </c>
      <c r="AX121" s="567">
        <v>-26499.71</v>
      </c>
      <c r="AY121" s="571" t="s">
        <v>430</v>
      </c>
      <c r="AZ121" s="571" t="s">
        <v>433</v>
      </c>
      <c r="BA121" s="563"/>
      <c r="BB121" s="563"/>
      <c r="BC121" s="221" t="s">
        <v>551</v>
      </c>
      <c r="BD121" s="591">
        <v>8.1416052283473497E-2</v>
      </c>
      <c r="BE121" s="653">
        <v>1.9372006920737359E-2</v>
      </c>
      <c r="BF121" s="559" t="s">
        <v>573</v>
      </c>
      <c r="BG121" s="613" t="s">
        <v>573</v>
      </c>
    </row>
    <row r="122" spans="1:59">
      <c r="A122" s="536" t="s">
        <v>90</v>
      </c>
      <c r="B122" s="536" t="s">
        <v>150</v>
      </c>
      <c r="C122" s="536">
        <v>72</v>
      </c>
      <c r="D122" s="536">
        <v>119</v>
      </c>
      <c r="E122" s="535" t="s">
        <v>150</v>
      </c>
      <c r="F122" s="532">
        <v>2013</v>
      </c>
      <c r="G122" s="534" t="s">
        <v>567</v>
      </c>
      <c r="H122" s="551">
        <v>3737.875</v>
      </c>
      <c r="I122" s="555">
        <v>9972.4009999999998</v>
      </c>
      <c r="J122" s="552">
        <v>2.9450216584907545</v>
      </c>
      <c r="K122" s="552">
        <v>607.59794020000004</v>
      </c>
      <c r="L122" s="555">
        <v>126921.817</v>
      </c>
      <c r="M122" s="553">
        <v>50356</v>
      </c>
      <c r="N122" s="553">
        <v>578579</v>
      </c>
      <c r="O122" s="554">
        <v>186.60754711111187</v>
      </c>
      <c r="P122" s="555">
        <v>107967.208</v>
      </c>
      <c r="Q122" s="555">
        <v>107967.208</v>
      </c>
      <c r="R122" s="555">
        <v>91679.286999999997</v>
      </c>
      <c r="S122" s="556">
        <v>84.914011113448439</v>
      </c>
      <c r="T122" s="562">
        <v>358172</v>
      </c>
      <c r="U122" s="565">
        <v>358172</v>
      </c>
      <c r="V122" s="566">
        <v>7428.655378090114</v>
      </c>
      <c r="W122" s="565">
        <v>18352</v>
      </c>
      <c r="X122" s="565">
        <v>4957</v>
      </c>
      <c r="Y122" s="566">
        <v>380.62909300199283</v>
      </c>
      <c r="Z122" s="566">
        <v>3.7022392576154934</v>
      </c>
      <c r="AA122" s="567">
        <v>108780.105</v>
      </c>
      <c r="AB122" s="567">
        <v>0</v>
      </c>
      <c r="AC122" s="567">
        <v>0</v>
      </c>
      <c r="AD122" s="567">
        <v>0</v>
      </c>
      <c r="AE122" s="567">
        <v>0</v>
      </c>
      <c r="AF122" s="567" t="s">
        <v>434</v>
      </c>
      <c r="AG122" s="567">
        <v>108780.105</v>
      </c>
      <c r="AH122" s="567">
        <v>63185.173000000003</v>
      </c>
      <c r="AI122" s="567">
        <v>4244.1660000000002</v>
      </c>
      <c r="AJ122" s="567">
        <v>6302.35</v>
      </c>
      <c r="AK122" s="567">
        <v>4067.788</v>
      </c>
      <c r="AL122" s="567">
        <v>25873.881000000001</v>
      </c>
      <c r="AM122" s="567">
        <v>0</v>
      </c>
      <c r="AN122" s="567">
        <v>0</v>
      </c>
      <c r="AO122" s="567">
        <v>103673.35799999999</v>
      </c>
      <c r="AP122" s="567">
        <v>496.00400000000002</v>
      </c>
      <c r="AQ122" s="567">
        <v>103177.35400000001</v>
      </c>
      <c r="AR122" s="563" t="s">
        <v>434</v>
      </c>
      <c r="AS122" s="567">
        <v>88.584000000000003</v>
      </c>
      <c r="AT122" s="567">
        <v>13779.472</v>
      </c>
      <c r="AU122" s="567">
        <v>2864.35</v>
      </c>
      <c r="AV122" s="567" t="s">
        <v>434</v>
      </c>
      <c r="AW122" s="567">
        <v>119909.75999999999</v>
      </c>
      <c r="AX122" s="567">
        <v>-11129.655000000001</v>
      </c>
      <c r="AY122" s="571" t="s">
        <v>435</v>
      </c>
      <c r="AZ122" s="571" t="s">
        <v>431</v>
      </c>
      <c r="BA122" s="563"/>
      <c r="BB122" s="563"/>
      <c r="BC122" s="221" t="s">
        <v>551</v>
      </c>
      <c r="BD122" s="591">
        <v>7.8571212071443949E-2</v>
      </c>
      <c r="BE122" s="653">
        <v>7.2288676794071652E-2</v>
      </c>
      <c r="BF122" s="559" t="s">
        <v>575</v>
      </c>
      <c r="BG122" s="613" t="s">
        <v>575</v>
      </c>
    </row>
    <row r="123" spans="1:59">
      <c r="A123" s="532" t="s">
        <v>86</v>
      </c>
      <c r="B123" s="532" t="s">
        <v>418</v>
      </c>
      <c r="C123" s="532">
        <v>1</v>
      </c>
      <c r="D123" s="532">
        <v>120</v>
      </c>
      <c r="E123" s="535" t="s">
        <v>274</v>
      </c>
      <c r="F123" s="532">
        <v>2013</v>
      </c>
      <c r="G123" s="534" t="s">
        <v>567</v>
      </c>
      <c r="H123" s="551">
        <v>-2841.1880000000001</v>
      </c>
      <c r="I123" s="551">
        <v>36404.326000000001</v>
      </c>
      <c r="J123" s="568">
        <v>-0.4836311657910401</v>
      </c>
      <c r="K123" s="568">
        <v>602.59739409999997</v>
      </c>
      <c r="L123" s="551">
        <v>587469.99800000002</v>
      </c>
      <c r="M123" s="557">
        <v>47906</v>
      </c>
      <c r="N123" s="557">
        <v>576945</v>
      </c>
      <c r="O123" s="558">
        <v>444.67834022307153</v>
      </c>
      <c r="P123" s="551">
        <v>256554.94500000001</v>
      </c>
      <c r="Q123" s="551">
        <v>256554.94500000001</v>
      </c>
      <c r="R123" s="551">
        <v>232938.42499999999</v>
      </c>
      <c r="S123" s="569">
        <v>90.794751588202672</v>
      </c>
      <c r="T123" s="562"/>
      <c r="U123" s="560">
        <v>544859</v>
      </c>
      <c r="V123" s="561">
        <v>11332.636559810728</v>
      </c>
      <c r="W123" s="560">
        <v>36940</v>
      </c>
      <c r="X123" s="560">
        <v>7311</v>
      </c>
      <c r="Y123" s="561">
        <v>768.32280373345816</v>
      </c>
      <c r="Z123" s="561">
        <v>5.0526603747777319</v>
      </c>
      <c r="AA123" s="567">
        <v>321651.913</v>
      </c>
      <c r="AB123" s="567">
        <v>-1982.0830000000001</v>
      </c>
      <c r="AC123" s="567">
        <v>0</v>
      </c>
      <c r="AD123" s="567">
        <v>0</v>
      </c>
      <c r="AE123" s="567">
        <v>0</v>
      </c>
      <c r="AF123" s="567" t="s">
        <v>434</v>
      </c>
      <c r="AG123" s="567">
        <v>319669.83</v>
      </c>
      <c r="AH123" s="567">
        <v>197570.30900000001</v>
      </c>
      <c r="AI123" s="567">
        <v>2724.877</v>
      </c>
      <c r="AJ123" s="567">
        <v>0</v>
      </c>
      <c r="AK123" s="567">
        <v>0</v>
      </c>
      <c r="AL123" s="567">
        <v>0</v>
      </c>
      <c r="AM123" s="567">
        <v>68975.876999999993</v>
      </c>
      <c r="AN123" s="567">
        <v>0</v>
      </c>
      <c r="AO123" s="567">
        <v>269271.06300000002</v>
      </c>
      <c r="AP123" s="567">
        <v>-188.33099999999999</v>
      </c>
      <c r="AQ123" s="567">
        <v>269459.39399999997</v>
      </c>
      <c r="AR123" s="563" t="s">
        <v>434</v>
      </c>
      <c r="AS123" s="567">
        <v>19786.969000000001</v>
      </c>
      <c r="AT123" s="567">
        <v>17175.009999999998</v>
      </c>
      <c r="AU123" s="567">
        <v>0</v>
      </c>
      <c r="AV123" s="567" t="s">
        <v>434</v>
      </c>
      <c r="AW123" s="567">
        <v>306421.37300000002</v>
      </c>
      <c r="AX123" s="567">
        <v>13248.457</v>
      </c>
      <c r="AY123" s="571" t="s">
        <v>430</v>
      </c>
      <c r="AZ123" s="571" t="s">
        <v>433</v>
      </c>
      <c r="BA123" s="563"/>
      <c r="BB123" s="563"/>
      <c r="BC123" s="221" t="s">
        <v>554</v>
      </c>
      <c r="BD123" s="591">
        <v>6.1967974745835444E-2</v>
      </c>
      <c r="BE123" s="653">
        <v>3.0084509372137844E-2</v>
      </c>
      <c r="BF123" s="559" t="s">
        <v>574</v>
      </c>
      <c r="BG123" s="613" t="s">
        <v>574</v>
      </c>
    </row>
    <row r="124" spans="1:59">
      <c r="A124" s="532" t="s">
        <v>82</v>
      </c>
      <c r="B124" s="532" t="s">
        <v>422</v>
      </c>
      <c r="C124" s="532">
        <v>4</v>
      </c>
      <c r="D124" s="532">
        <v>121</v>
      </c>
      <c r="E124" s="535" t="s">
        <v>294</v>
      </c>
      <c r="F124" s="532">
        <v>2013</v>
      </c>
      <c r="G124" s="534" t="s">
        <v>567</v>
      </c>
      <c r="H124" s="551">
        <v>7530.8850000000002</v>
      </c>
      <c r="I124" s="555">
        <v>23290.392</v>
      </c>
      <c r="J124" s="552">
        <v>3.773705745734377</v>
      </c>
      <c r="K124" s="552">
        <v>656.84028539999997</v>
      </c>
      <c r="L124" s="555">
        <v>199562.06200000001</v>
      </c>
      <c r="M124" s="553">
        <v>0</v>
      </c>
      <c r="N124" s="553">
        <v>562211</v>
      </c>
      <c r="O124" s="554">
        <v>265.42998802940531</v>
      </c>
      <c r="P124" s="555">
        <v>149227.65900000001</v>
      </c>
      <c r="Q124" s="555">
        <v>149227.65900000001</v>
      </c>
      <c r="R124" s="555">
        <v>114784.3</v>
      </c>
      <c r="S124" s="556">
        <v>76.918917558037947</v>
      </c>
      <c r="T124" s="562"/>
      <c r="U124" s="560">
        <v>196526</v>
      </c>
      <c r="V124" s="561">
        <v>4194.7098153540219</v>
      </c>
      <c r="W124" s="560">
        <v>16905</v>
      </c>
      <c r="X124" s="560">
        <v>3675</v>
      </c>
      <c r="Y124" s="561">
        <v>360.82538406399021</v>
      </c>
      <c r="Z124" s="561">
        <v>4.5999999999999996</v>
      </c>
      <c r="AA124" s="567">
        <v>162900.37599999999</v>
      </c>
      <c r="AB124" s="567">
        <v>0</v>
      </c>
      <c r="AC124" s="567">
        <v>0</v>
      </c>
      <c r="AD124" s="567">
        <v>0</v>
      </c>
      <c r="AE124" s="567">
        <v>0</v>
      </c>
      <c r="AF124" s="567" t="s">
        <v>434</v>
      </c>
      <c r="AG124" s="567">
        <v>162900.37599999999</v>
      </c>
      <c r="AH124" s="567">
        <v>95277.55</v>
      </c>
      <c r="AI124" s="567">
        <v>8503.0470000000005</v>
      </c>
      <c r="AJ124" s="567">
        <v>0</v>
      </c>
      <c r="AK124" s="567">
        <v>10595.916999999999</v>
      </c>
      <c r="AL124" s="567">
        <v>27217.035</v>
      </c>
      <c r="AM124" s="567">
        <v>0</v>
      </c>
      <c r="AN124" s="567">
        <v>0</v>
      </c>
      <c r="AO124" s="567">
        <v>141593.549</v>
      </c>
      <c r="AP124" s="567">
        <v>-223.947</v>
      </c>
      <c r="AQ124" s="567">
        <v>141817.49600000001</v>
      </c>
      <c r="AR124" s="563" t="s">
        <v>434</v>
      </c>
      <c r="AS124" s="567">
        <v>0</v>
      </c>
      <c r="AT124" s="567">
        <v>9458.6970000000001</v>
      </c>
      <c r="AU124" s="567">
        <v>0</v>
      </c>
      <c r="AV124" s="567" t="s">
        <v>434</v>
      </c>
      <c r="AW124" s="567">
        <v>151276.193</v>
      </c>
      <c r="AX124" s="567">
        <v>11624.183000000001</v>
      </c>
      <c r="AY124" s="571">
        <v>0</v>
      </c>
      <c r="AZ124" s="571">
        <v>0</v>
      </c>
      <c r="BA124" s="563"/>
      <c r="BB124" s="563"/>
      <c r="BC124" s="221" t="s">
        <v>553</v>
      </c>
      <c r="BD124" s="591">
        <v>0.11670751327474256</v>
      </c>
      <c r="BE124" s="653">
        <v>0.11410331114487797</v>
      </c>
      <c r="BF124" s="559" t="s">
        <v>581</v>
      </c>
      <c r="BG124" s="613" t="s">
        <v>581</v>
      </c>
    </row>
    <row r="125" spans="1:59">
      <c r="A125" s="536" t="s">
        <v>81</v>
      </c>
      <c r="B125" s="536" t="s">
        <v>158</v>
      </c>
      <c r="C125" s="536">
        <v>65</v>
      </c>
      <c r="D125" s="536">
        <v>122</v>
      </c>
      <c r="E125" s="535" t="s">
        <v>158</v>
      </c>
      <c r="F125" s="532">
        <v>2013</v>
      </c>
      <c r="G125" s="534" t="s">
        <v>567</v>
      </c>
      <c r="H125" s="551">
        <v>31728.562999999998</v>
      </c>
      <c r="I125" s="555">
        <v>197095.05</v>
      </c>
      <c r="J125" s="552">
        <v>1.2881133834930782</v>
      </c>
      <c r="K125" s="552">
        <v>665.54623709999998</v>
      </c>
      <c r="L125" s="555">
        <v>2463180.9130000002</v>
      </c>
      <c r="M125" s="553">
        <v>37742</v>
      </c>
      <c r="N125" s="553">
        <v>506677</v>
      </c>
      <c r="O125" s="554">
        <v>417.20318467189156</v>
      </c>
      <c r="P125" s="555">
        <v>211387.258</v>
      </c>
      <c r="Q125" s="555">
        <v>211387.258</v>
      </c>
      <c r="R125" s="555">
        <v>209809.459</v>
      </c>
      <c r="S125" s="556">
        <v>99.253597868231012</v>
      </c>
      <c r="T125" s="562"/>
      <c r="U125" s="565">
        <v>602543</v>
      </c>
      <c r="V125" s="566">
        <v>14270.464220795497</v>
      </c>
      <c r="W125" s="565">
        <v>30559</v>
      </c>
      <c r="X125" s="565">
        <v>7220</v>
      </c>
      <c r="Y125" s="566">
        <v>723.7510287619134</v>
      </c>
      <c r="Z125" s="566">
        <v>4.2325484764542933</v>
      </c>
      <c r="AA125" s="567">
        <v>222500.27900000001</v>
      </c>
      <c r="AB125" s="567">
        <v>0</v>
      </c>
      <c r="AC125" s="567">
        <v>0</v>
      </c>
      <c r="AD125" s="567">
        <v>0</v>
      </c>
      <c r="AE125" s="567">
        <v>0</v>
      </c>
      <c r="AF125" s="567" t="s">
        <v>434</v>
      </c>
      <c r="AG125" s="567">
        <v>222500.27900000001</v>
      </c>
      <c r="AH125" s="567">
        <v>154539.603</v>
      </c>
      <c r="AI125" s="567">
        <v>6895.7259999999997</v>
      </c>
      <c r="AJ125" s="567">
        <v>0</v>
      </c>
      <c r="AK125" s="567">
        <v>21895.088</v>
      </c>
      <c r="AL125" s="567">
        <v>21422.138999999999</v>
      </c>
      <c r="AM125" s="567">
        <v>965.649</v>
      </c>
      <c r="AN125" s="567">
        <v>247.01499999999999</v>
      </c>
      <c r="AO125" s="567">
        <v>205965.22</v>
      </c>
      <c r="AP125" s="567">
        <v>488.47</v>
      </c>
      <c r="AQ125" s="567">
        <v>205476.75</v>
      </c>
      <c r="AR125" s="563" t="s">
        <v>434</v>
      </c>
      <c r="AS125" s="567">
        <v>420.57799999999997</v>
      </c>
      <c r="AT125" s="567">
        <v>22960.305</v>
      </c>
      <c r="AU125" s="567">
        <v>0</v>
      </c>
      <c r="AV125" s="567" t="s">
        <v>434</v>
      </c>
      <c r="AW125" s="567">
        <v>228857.633</v>
      </c>
      <c r="AX125" s="567">
        <v>-6357.3540000000003</v>
      </c>
      <c r="AY125" s="571" t="s">
        <v>430</v>
      </c>
      <c r="AZ125" s="571" t="s">
        <v>431</v>
      </c>
      <c r="BA125" s="563"/>
      <c r="BB125" s="563"/>
      <c r="BC125" s="221" t="s">
        <v>554</v>
      </c>
      <c r="BD125" s="591">
        <v>8.0016473398192484E-2</v>
      </c>
      <c r="BE125" s="653">
        <v>-7.2552452080502622E-2</v>
      </c>
      <c r="BF125" s="559" t="s">
        <v>570</v>
      </c>
      <c r="BG125" s="613" t="s">
        <v>570</v>
      </c>
    </row>
    <row r="126" spans="1:59">
      <c r="A126" s="536" t="s">
        <v>95</v>
      </c>
      <c r="B126" s="536" t="s">
        <v>405</v>
      </c>
      <c r="C126" s="536">
        <v>85</v>
      </c>
      <c r="D126" s="536">
        <v>123</v>
      </c>
      <c r="E126" s="535" t="s">
        <v>405</v>
      </c>
      <c r="F126" s="532">
        <v>2013</v>
      </c>
      <c r="G126" s="534" t="s">
        <v>567</v>
      </c>
      <c r="H126" s="551">
        <v>31978.16</v>
      </c>
      <c r="I126" s="555">
        <v>86712.725000000006</v>
      </c>
      <c r="J126" s="552">
        <v>2.9700231788725699</v>
      </c>
      <c r="K126" s="552">
        <v>416.62737470000002</v>
      </c>
      <c r="L126" s="555">
        <v>1076697.321</v>
      </c>
      <c r="M126" s="553">
        <v>41280</v>
      </c>
      <c r="N126" s="553">
        <v>499358</v>
      </c>
      <c r="O126" s="554">
        <v>168.78952174592177</v>
      </c>
      <c r="P126" s="555">
        <v>84286.398000000001</v>
      </c>
      <c r="Q126" s="555">
        <v>84286.398000000001</v>
      </c>
      <c r="R126" s="555">
        <v>73539.038</v>
      </c>
      <c r="S126" s="556">
        <v>87.248998349650677</v>
      </c>
      <c r="T126" s="562"/>
      <c r="U126" s="565">
        <v>159711</v>
      </c>
      <c r="V126" s="566">
        <v>3837.9919817045084</v>
      </c>
      <c r="W126" s="565">
        <v>9423</v>
      </c>
      <c r="X126" s="565">
        <v>2797</v>
      </c>
      <c r="Y126" s="566">
        <v>226.44275249420255</v>
      </c>
      <c r="Z126" s="566">
        <v>3.3689667500893816</v>
      </c>
      <c r="AA126" s="567">
        <v>90184.22</v>
      </c>
      <c r="AB126" s="567">
        <v>0</v>
      </c>
      <c r="AC126" s="567">
        <v>0</v>
      </c>
      <c r="AD126" s="567">
        <v>0</v>
      </c>
      <c r="AE126" s="567">
        <v>0</v>
      </c>
      <c r="AF126" s="567" t="s">
        <v>434</v>
      </c>
      <c r="AG126" s="567">
        <v>90184.22</v>
      </c>
      <c r="AH126" s="567">
        <v>67792.692999999999</v>
      </c>
      <c r="AI126" s="567">
        <v>0</v>
      </c>
      <c r="AJ126" s="567">
        <v>0</v>
      </c>
      <c r="AK126" s="567">
        <v>6152.5969999999998</v>
      </c>
      <c r="AL126" s="567">
        <v>11053.552</v>
      </c>
      <c r="AM126" s="567">
        <v>0</v>
      </c>
      <c r="AN126" s="567">
        <v>0</v>
      </c>
      <c r="AO126" s="567">
        <v>84998.842000000004</v>
      </c>
      <c r="AP126" s="567">
        <v>633.41</v>
      </c>
      <c r="AQ126" s="567">
        <v>84365.432000000001</v>
      </c>
      <c r="AR126" s="563" t="s">
        <v>434</v>
      </c>
      <c r="AS126" s="567">
        <v>1634.076</v>
      </c>
      <c r="AT126" s="567">
        <v>6075.2830000000004</v>
      </c>
      <c r="AU126" s="567">
        <v>0</v>
      </c>
      <c r="AV126" s="567" t="s">
        <v>434</v>
      </c>
      <c r="AW126" s="567">
        <v>92074.790999999997</v>
      </c>
      <c r="AX126" s="567">
        <v>-1890.5709999999999</v>
      </c>
      <c r="AY126" s="571" t="s">
        <v>435</v>
      </c>
      <c r="AZ126" s="571" t="s">
        <v>433</v>
      </c>
      <c r="BA126" s="563"/>
      <c r="BB126" s="563"/>
      <c r="BC126" s="221" t="s">
        <v>554</v>
      </c>
      <c r="BD126" s="591">
        <v>8.0535841697334368E-2</v>
      </c>
      <c r="BE126" s="653">
        <v>4.6974174806158883E-2</v>
      </c>
      <c r="BF126" s="559" t="s">
        <v>574</v>
      </c>
      <c r="BG126" s="613" t="s">
        <v>574</v>
      </c>
    </row>
    <row r="127" spans="1:59">
      <c r="A127" s="536" t="s">
        <v>78</v>
      </c>
      <c r="B127" s="536" t="s">
        <v>403</v>
      </c>
      <c r="C127" s="536">
        <v>78</v>
      </c>
      <c r="D127" s="536">
        <v>124</v>
      </c>
      <c r="E127" s="535" t="s">
        <v>403</v>
      </c>
      <c r="F127" s="532">
        <v>2013</v>
      </c>
      <c r="G127" s="534" t="s">
        <v>567</v>
      </c>
      <c r="H127" s="551">
        <v>-503.005</v>
      </c>
      <c r="I127" s="555">
        <v>31588.508999999998</v>
      </c>
      <c r="J127" s="552">
        <v>-0.18959507948140616</v>
      </c>
      <c r="K127" s="552">
        <v>48.307050400000001</v>
      </c>
      <c r="L127" s="555">
        <v>265304.88099999999</v>
      </c>
      <c r="M127" s="553">
        <v>41774</v>
      </c>
      <c r="N127" s="553">
        <v>485652</v>
      </c>
      <c r="O127" s="554">
        <v>370.57299671369623</v>
      </c>
      <c r="P127" s="555">
        <v>181155.42800000001</v>
      </c>
      <c r="Q127" s="555">
        <v>179969.51699999999</v>
      </c>
      <c r="R127" s="555">
        <v>156035.41</v>
      </c>
      <c r="S127" s="556">
        <v>86.701021706914958</v>
      </c>
      <c r="T127" s="562"/>
      <c r="U127" s="565">
        <v>376826</v>
      </c>
      <c r="V127" s="566">
        <v>9311.012823997431</v>
      </c>
      <c r="W127" s="565">
        <v>25090</v>
      </c>
      <c r="X127" s="565">
        <v>5017</v>
      </c>
      <c r="Y127" s="566">
        <v>619.95008771713083</v>
      </c>
      <c r="Z127" s="566">
        <v>5.0009966115208293</v>
      </c>
      <c r="AA127" s="567">
        <v>203925.815</v>
      </c>
      <c r="AB127" s="567">
        <v>0</v>
      </c>
      <c r="AC127" s="567">
        <v>0</v>
      </c>
      <c r="AD127" s="567">
        <v>0</v>
      </c>
      <c r="AE127" s="567">
        <v>-80.34</v>
      </c>
      <c r="AF127" s="567" t="s">
        <v>434</v>
      </c>
      <c r="AG127" s="567">
        <v>203845.47500000001</v>
      </c>
      <c r="AH127" s="567">
        <v>119222.26300000001</v>
      </c>
      <c r="AI127" s="567">
        <v>19264.468000000001</v>
      </c>
      <c r="AJ127" s="567">
        <v>0</v>
      </c>
      <c r="AK127" s="567">
        <v>17600.481</v>
      </c>
      <c r="AL127" s="567">
        <v>28332.136999999999</v>
      </c>
      <c r="AM127" s="567">
        <v>0</v>
      </c>
      <c r="AN127" s="567">
        <v>147.36500000000001</v>
      </c>
      <c r="AO127" s="567">
        <v>184566.71400000001</v>
      </c>
      <c r="AP127" s="567">
        <v>3920.61</v>
      </c>
      <c r="AQ127" s="567">
        <v>180646.10399999999</v>
      </c>
      <c r="AR127" s="563" t="s">
        <v>434</v>
      </c>
      <c r="AS127" s="567">
        <v>6948.2879999999996</v>
      </c>
      <c r="AT127" s="567">
        <v>11688.998</v>
      </c>
      <c r="AU127" s="567">
        <v>0</v>
      </c>
      <c r="AV127" s="567" t="s">
        <v>434</v>
      </c>
      <c r="AW127" s="567">
        <v>199283.39</v>
      </c>
      <c r="AX127" s="567">
        <v>4562.085</v>
      </c>
      <c r="AY127" s="585" t="s">
        <v>435</v>
      </c>
      <c r="AZ127" s="585" t="s">
        <v>431</v>
      </c>
      <c r="BA127" s="563"/>
      <c r="BB127" s="563"/>
      <c r="BC127" s="221" t="s">
        <v>554</v>
      </c>
      <c r="BD127" s="591">
        <v>0.11906493721839968</v>
      </c>
      <c r="BE127" s="653">
        <v>1.3924845712450715E-2</v>
      </c>
      <c r="BF127" s="559" t="s">
        <v>573</v>
      </c>
      <c r="BG127" s="613" t="s">
        <v>573</v>
      </c>
    </row>
    <row r="128" spans="1:59">
      <c r="A128" s="532" t="s">
        <v>56</v>
      </c>
      <c r="B128" s="532" t="s">
        <v>420</v>
      </c>
      <c r="C128" s="532">
        <v>3</v>
      </c>
      <c r="D128" s="532">
        <v>125</v>
      </c>
      <c r="E128" s="535" t="s">
        <v>170</v>
      </c>
      <c r="F128" s="532">
        <v>2013</v>
      </c>
      <c r="G128" s="534" t="s">
        <v>567</v>
      </c>
      <c r="H128" s="551">
        <v>8135.5420000000004</v>
      </c>
      <c r="I128" s="551">
        <v>41421.478999999999</v>
      </c>
      <c r="J128" s="568">
        <v>1.9215554516045337</v>
      </c>
      <c r="K128" s="568" t="s">
        <v>434</v>
      </c>
      <c r="L128" s="551">
        <v>423383.15</v>
      </c>
      <c r="M128" s="557">
        <v>45392</v>
      </c>
      <c r="N128" s="557">
        <v>479001</v>
      </c>
      <c r="O128" s="558">
        <v>353.70911125446503</v>
      </c>
      <c r="P128" s="551">
        <v>169717.02799999999</v>
      </c>
      <c r="Q128" s="551">
        <v>169427.01800000001</v>
      </c>
      <c r="R128" s="551">
        <v>139820.19500000001</v>
      </c>
      <c r="S128" s="569">
        <v>82.525323676534271</v>
      </c>
      <c r="T128" s="562"/>
      <c r="U128" s="560">
        <v>297876</v>
      </c>
      <c r="V128" s="561">
        <v>7462.4311849035803</v>
      </c>
      <c r="W128" s="560">
        <v>23022</v>
      </c>
      <c r="X128" s="560">
        <v>4540</v>
      </c>
      <c r="Y128" s="561">
        <v>576.75036169026782</v>
      </c>
      <c r="Z128" s="561">
        <v>5.0709251101321584</v>
      </c>
      <c r="AA128" s="567">
        <v>178691.728</v>
      </c>
      <c r="AB128" s="567">
        <v>0</v>
      </c>
      <c r="AC128" s="567">
        <v>0</v>
      </c>
      <c r="AD128" s="567">
        <v>0</v>
      </c>
      <c r="AE128" s="567">
        <v>0</v>
      </c>
      <c r="AF128" s="567" t="s">
        <v>434</v>
      </c>
      <c r="AG128" s="567">
        <v>178691.728</v>
      </c>
      <c r="AH128" s="567">
        <v>95139.168999999994</v>
      </c>
      <c r="AI128" s="567">
        <v>17781.126</v>
      </c>
      <c r="AJ128" s="567">
        <v>0</v>
      </c>
      <c r="AK128" s="567">
        <v>9287.9650000000001</v>
      </c>
      <c r="AL128" s="567">
        <v>11293.706</v>
      </c>
      <c r="AM128" s="567">
        <v>2949.3960000000002</v>
      </c>
      <c r="AN128" s="567">
        <v>185.37200000000001</v>
      </c>
      <c r="AO128" s="567">
        <v>136636.734</v>
      </c>
      <c r="AP128" s="567">
        <v>226.03</v>
      </c>
      <c r="AQ128" s="567">
        <v>136410.704</v>
      </c>
      <c r="AR128" s="563" t="s">
        <v>434</v>
      </c>
      <c r="AS128" s="567">
        <v>14915.54</v>
      </c>
      <c r="AT128" s="567">
        <v>15935.852999999999</v>
      </c>
      <c r="AU128" s="567">
        <v>0</v>
      </c>
      <c r="AV128" s="567" t="s">
        <v>434</v>
      </c>
      <c r="AW128" s="567">
        <v>167262.09700000001</v>
      </c>
      <c r="AX128" s="567">
        <v>11429.630999999999</v>
      </c>
      <c r="AY128" s="571" t="s">
        <v>430</v>
      </c>
      <c r="AZ128" s="571" t="s">
        <v>433</v>
      </c>
      <c r="BA128" s="563"/>
      <c r="BB128" s="563"/>
      <c r="BC128" s="221" t="s">
        <v>554</v>
      </c>
      <c r="BD128" s="591">
        <v>9.7834500499134169E-2</v>
      </c>
      <c r="BE128" s="653">
        <v>7.6912262735523151E-2</v>
      </c>
      <c r="BF128" s="559" t="s">
        <v>576</v>
      </c>
      <c r="BG128" s="613" t="s">
        <v>576</v>
      </c>
    </row>
    <row r="129" spans="1:59">
      <c r="A129" s="532" t="s">
        <v>69</v>
      </c>
      <c r="B129" s="532" t="s">
        <v>424</v>
      </c>
      <c r="C129" s="532">
        <v>5</v>
      </c>
      <c r="D129" s="532">
        <v>126</v>
      </c>
      <c r="E129" s="535" t="s">
        <v>312</v>
      </c>
      <c r="F129" s="532">
        <v>2013</v>
      </c>
      <c r="G129" s="534" t="s">
        <v>469</v>
      </c>
      <c r="H129" s="551">
        <v>4392.0950000000003</v>
      </c>
      <c r="I129" s="555">
        <v>13205.599</v>
      </c>
      <c r="J129" s="552">
        <v>2.6824818679569047</v>
      </c>
      <c r="K129" s="552">
        <v>427.97040049999998</v>
      </c>
      <c r="L129" s="555">
        <v>163732.514</v>
      </c>
      <c r="M129" s="553">
        <v>38176</v>
      </c>
      <c r="N129" s="553">
        <v>474238</v>
      </c>
      <c r="O129" s="554">
        <v>346.33654198946522</v>
      </c>
      <c r="P129" s="555">
        <v>163296.31200000001</v>
      </c>
      <c r="Q129" s="555">
        <v>164245.94899999999</v>
      </c>
      <c r="R129" s="555">
        <v>142521.755</v>
      </c>
      <c r="S129" s="556">
        <v>86.773376066645028</v>
      </c>
      <c r="T129" s="562"/>
      <c r="U129" s="565">
        <v>381619</v>
      </c>
      <c r="V129" s="566">
        <v>9656.3919382251097</v>
      </c>
      <c r="W129" s="565">
        <v>25779</v>
      </c>
      <c r="X129" s="565">
        <v>5765</v>
      </c>
      <c r="Y129" s="566">
        <v>652.30538252944723</v>
      </c>
      <c r="Z129" s="566">
        <v>4.4716392020815263</v>
      </c>
      <c r="AA129" s="567">
        <v>178665.60000000001</v>
      </c>
      <c r="AB129" s="567">
        <v>0</v>
      </c>
      <c r="AC129" s="567">
        <v>0</v>
      </c>
      <c r="AD129" s="567">
        <v>0</v>
      </c>
      <c r="AE129" s="567">
        <v>0</v>
      </c>
      <c r="AF129" s="567" t="s">
        <v>434</v>
      </c>
      <c r="AG129" s="567">
        <v>178665.60000000001</v>
      </c>
      <c r="AH129" s="567">
        <v>89219.198999999993</v>
      </c>
      <c r="AI129" s="567">
        <v>8316.0869999999995</v>
      </c>
      <c r="AJ129" s="567">
        <v>0</v>
      </c>
      <c r="AK129" s="567">
        <v>14573.084999999999</v>
      </c>
      <c r="AL129" s="567">
        <v>21616.897000000001</v>
      </c>
      <c r="AM129" s="567">
        <v>0</v>
      </c>
      <c r="AN129" s="567">
        <v>9817.5679999999993</v>
      </c>
      <c r="AO129" s="567">
        <v>143542.83600000001</v>
      </c>
      <c r="AP129" s="567">
        <v>1231.008</v>
      </c>
      <c r="AQ129" s="567">
        <v>142311.82800000001</v>
      </c>
      <c r="AR129" s="563" t="s">
        <v>434</v>
      </c>
      <c r="AS129" s="567">
        <v>6656.5839999999998</v>
      </c>
      <c r="AT129" s="567">
        <v>12609.075999999999</v>
      </c>
      <c r="AU129" s="567">
        <v>0</v>
      </c>
      <c r="AV129" s="567" t="s">
        <v>434</v>
      </c>
      <c r="AW129" s="567">
        <v>161577.48800000001</v>
      </c>
      <c r="AX129" s="567">
        <v>17088.112000000001</v>
      </c>
      <c r="AY129" s="571" t="s">
        <v>430</v>
      </c>
      <c r="AZ129" s="571" t="s">
        <v>433</v>
      </c>
      <c r="BA129" s="563"/>
      <c r="BB129" s="563"/>
      <c r="BC129" s="221" t="s">
        <v>554</v>
      </c>
      <c r="BD129" s="591">
        <v>8.0653491950902309E-2</v>
      </c>
      <c r="BE129" s="653">
        <v>2.6824818679569047E-2</v>
      </c>
      <c r="BF129" s="559" t="s">
        <v>574</v>
      </c>
      <c r="BG129" s="613" t="s">
        <v>574</v>
      </c>
    </row>
    <row r="130" spans="1:59">
      <c r="A130" s="532" t="s">
        <v>95</v>
      </c>
      <c r="B130" s="532" t="s">
        <v>419</v>
      </c>
      <c r="C130" s="532">
        <v>2</v>
      </c>
      <c r="D130" s="532">
        <v>127</v>
      </c>
      <c r="E130" s="535" t="s">
        <v>242</v>
      </c>
      <c r="F130" s="532">
        <v>2013</v>
      </c>
      <c r="G130" s="534" t="s">
        <v>567</v>
      </c>
      <c r="H130" s="551">
        <v>8156.4369999999999</v>
      </c>
      <c r="I130" s="551">
        <v>12615.956</v>
      </c>
      <c r="J130" s="568">
        <v>4.0049509855076417</v>
      </c>
      <c r="K130" s="568">
        <v>478.93564350000003</v>
      </c>
      <c r="L130" s="551">
        <v>203658.84700000001</v>
      </c>
      <c r="M130" s="557">
        <v>37246</v>
      </c>
      <c r="N130" s="557">
        <v>458974</v>
      </c>
      <c r="O130" s="558">
        <v>241.93341452892756</v>
      </c>
      <c r="P130" s="551">
        <v>111041.147</v>
      </c>
      <c r="Q130" s="551">
        <v>111041.147</v>
      </c>
      <c r="R130" s="551">
        <v>163550.65100000001</v>
      </c>
      <c r="S130" s="569">
        <v>147.28832997375289</v>
      </c>
      <c r="T130" s="564"/>
      <c r="U130" s="560">
        <v>209601</v>
      </c>
      <c r="V130" s="561">
        <v>5480.0751240811023</v>
      </c>
      <c r="W130" s="560">
        <v>14183</v>
      </c>
      <c r="X130" s="560">
        <v>3571</v>
      </c>
      <c r="Y130" s="561">
        <v>370.8183905842161</v>
      </c>
      <c r="Z130" s="561">
        <v>3.9717166059927189</v>
      </c>
      <c r="AA130" s="567">
        <v>185216.204</v>
      </c>
      <c r="AB130" s="567">
        <v>0</v>
      </c>
      <c r="AC130" s="567">
        <v>0</v>
      </c>
      <c r="AD130" s="567">
        <v>0</v>
      </c>
      <c r="AE130" s="567">
        <v>0</v>
      </c>
      <c r="AF130" s="567" t="s">
        <v>434</v>
      </c>
      <c r="AG130" s="567">
        <v>185216.204</v>
      </c>
      <c r="AH130" s="567">
        <v>127276.045</v>
      </c>
      <c r="AI130" s="567">
        <v>20454.839</v>
      </c>
      <c r="AJ130" s="567">
        <v>0</v>
      </c>
      <c r="AK130" s="567">
        <v>30072.492999999999</v>
      </c>
      <c r="AL130" s="567">
        <v>0</v>
      </c>
      <c r="AM130" s="567">
        <v>0</v>
      </c>
      <c r="AN130" s="567">
        <v>7.2149999999999999</v>
      </c>
      <c r="AO130" s="567">
        <v>177810.592</v>
      </c>
      <c r="AP130" s="567">
        <v>3912.2350000000001</v>
      </c>
      <c r="AQ130" s="567">
        <v>173898.35699999999</v>
      </c>
      <c r="AR130" s="563" t="s">
        <v>434</v>
      </c>
      <c r="AS130" s="567">
        <v>5639.0510000000004</v>
      </c>
      <c r="AT130" s="567">
        <v>15593.397000000001</v>
      </c>
      <c r="AU130" s="567">
        <v>-3582.991</v>
      </c>
      <c r="AV130" s="567" t="s">
        <v>434</v>
      </c>
      <c r="AW130" s="567">
        <v>191547.81400000001</v>
      </c>
      <c r="AX130" s="567">
        <v>-6331.61</v>
      </c>
      <c r="AY130" s="571" t="s">
        <v>430</v>
      </c>
      <c r="AZ130" s="571" t="s">
        <v>433</v>
      </c>
      <c r="BA130" s="563"/>
      <c r="BB130" s="563"/>
      <c r="BC130" s="221" t="s">
        <v>554</v>
      </c>
      <c r="BD130" s="591">
        <v>6.1946515881041005E-2</v>
      </c>
      <c r="BE130" s="653">
        <v>-0.53482981561857001</v>
      </c>
      <c r="BF130" s="559" t="s">
        <v>580</v>
      </c>
      <c r="BG130" s="613" t="s">
        <v>614</v>
      </c>
    </row>
    <row r="131" spans="1:59">
      <c r="A131" s="532" t="s">
        <v>92</v>
      </c>
      <c r="B131" s="532" t="s">
        <v>424</v>
      </c>
      <c r="C131" s="532">
        <v>5</v>
      </c>
      <c r="D131" s="532">
        <v>128</v>
      </c>
      <c r="E131" s="535" t="s">
        <v>213</v>
      </c>
      <c r="F131" s="532">
        <v>2013</v>
      </c>
      <c r="G131" s="534" t="s">
        <v>567</v>
      </c>
      <c r="H131" s="551">
        <v>13910.877</v>
      </c>
      <c r="I131" s="555">
        <v>16343.79</v>
      </c>
      <c r="J131" s="552">
        <v>4.4107536602611415</v>
      </c>
      <c r="K131" s="552">
        <v>336.01495</v>
      </c>
      <c r="L131" s="555">
        <v>315385.489</v>
      </c>
      <c r="M131" s="553">
        <v>38218</v>
      </c>
      <c r="N131" s="553">
        <v>451526</v>
      </c>
      <c r="O131" s="554">
        <v>327.81861066693835</v>
      </c>
      <c r="P131" s="555">
        <v>148018.62599999999</v>
      </c>
      <c r="Q131" s="555">
        <v>148018.62599999999</v>
      </c>
      <c r="R131" s="555">
        <v>127089.057</v>
      </c>
      <c r="S131" s="556">
        <v>85.860178839925183</v>
      </c>
      <c r="T131" s="562"/>
      <c r="U131" s="565">
        <v>259442</v>
      </c>
      <c r="V131" s="566">
        <v>6895.0713801641541</v>
      </c>
      <c r="W131" s="565">
        <v>20634</v>
      </c>
      <c r="X131" s="565">
        <v>4117</v>
      </c>
      <c r="Y131" s="566">
        <v>548.38038119621024</v>
      </c>
      <c r="Z131" s="566">
        <v>5.0119018702939035</v>
      </c>
      <c r="AA131" s="567">
        <v>162793.845</v>
      </c>
      <c r="AB131" s="567">
        <v>0</v>
      </c>
      <c r="AC131" s="567">
        <v>0</v>
      </c>
      <c r="AD131" s="567">
        <v>0</v>
      </c>
      <c r="AE131" s="567">
        <v>102.562</v>
      </c>
      <c r="AF131" s="567" t="s">
        <v>434</v>
      </c>
      <c r="AG131" s="567">
        <v>162896.40700000001</v>
      </c>
      <c r="AH131" s="567">
        <v>105203.193</v>
      </c>
      <c r="AI131" s="567">
        <v>6470.1120000000001</v>
      </c>
      <c r="AJ131" s="567">
        <v>0</v>
      </c>
      <c r="AK131" s="567">
        <v>11190.806</v>
      </c>
      <c r="AL131" s="567">
        <v>18177.435000000001</v>
      </c>
      <c r="AM131" s="567">
        <v>0</v>
      </c>
      <c r="AN131" s="567">
        <v>1480.2090000000001</v>
      </c>
      <c r="AO131" s="567">
        <v>142521.755</v>
      </c>
      <c r="AP131" s="567">
        <v>73.557000000000002</v>
      </c>
      <c r="AQ131" s="567">
        <v>142448.198</v>
      </c>
      <c r="AR131" s="563" t="s">
        <v>434</v>
      </c>
      <c r="AS131" s="567">
        <v>1731.4010000000001</v>
      </c>
      <c r="AT131" s="567">
        <v>13139.57</v>
      </c>
      <c r="AU131" s="567">
        <v>0</v>
      </c>
      <c r="AV131" s="567" t="s">
        <v>434</v>
      </c>
      <c r="AW131" s="567">
        <v>157319.16899999999</v>
      </c>
      <c r="AX131" s="567">
        <v>5577.2380000000003</v>
      </c>
      <c r="AY131" s="571" t="s">
        <v>430</v>
      </c>
      <c r="AZ131" s="571" t="s">
        <v>433</v>
      </c>
      <c r="BA131" s="563"/>
      <c r="BB131" s="563"/>
      <c r="BC131" s="221" t="s">
        <v>554</v>
      </c>
      <c r="BD131" s="591">
        <v>5.182162962481765E-2</v>
      </c>
      <c r="BE131" s="653">
        <v>8.9576581975930519E-2</v>
      </c>
      <c r="BF131" s="559" t="s">
        <v>576</v>
      </c>
      <c r="BG131" s="613" t="s">
        <v>576</v>
      </c>
    </row>
    <row r="132" spans="1:59">
      <c r="A132" s="536" t="s">
        <v>69</v>
      </c>
      <c r="B132" s="536" t="s">
        <v>398</v>
      </c>
      <c r="C132" s="536">
        <v>59</v>
      </c>
      <c r="D132" s="536">
        <v>129</v>
      </c>
      <c r="E132" s="535" t="s">
        <v>398</v>
      </c>
      <c r="F132" s="532">
        <v>2013</v>
      </c>
      <c r="G132" s="534" t="s">
        <v>469</v>
      </c>
      <c r="H132" s="551">
        <v>-8996.8050000000003</v>
      </c>
      <c r="I132" s="555">
        <v>6833.6940000000004</v>
      </c>
      <c r="J132" s="552">
        <v>-7.3021809336548351</v>
      </c>
      <c r="K132" s="552">
        <v>375.93494470000002</v>
      </c>
      <c r="L132" s="555">
        <v>123207.095</v>
      </c>
      <c r="M132" s="553">
        <v>43321</v>
      </c>
      <c r="N132" s="553">
        <v>427860</v>
      </c>
      <c r="O132" s="554">
        <v>286.27345860795589</v>
      </c>
      <c r="P132" s="555">
        <v>122484.962</v>
      </c>
      <c r="Q132" s="555">
        <v>122484.962</v>
      </c>
      <c r="R132" s="555">
        <v>120200.304</v>
      </c>
      <c r="S132" s="556">
        <v>98.134744083930897</v>
      </c>
      <c r="T132" s="562"/>
      <c r="U132" s="565">
        <v>202101</v>
      </c>
      <c r="V132" s="566">
        <v>5668.2372738746317</v>
      </c>
      <c r="W132" s="565">
        <v>16990</v>
      </c>
      <c r="X132" s="565">
        <v>4442</v>
      </c>
      <c r="Y132" s="566">
        <v>476.51100827373438</v>
      </c>
      <c r="Z132" s="566">
        <v>3.8248536695182351</v>
      </c>
      <c r="AA132" s="567">
        <v>131458.32699999999</v>
      </c>
      <c r="AB132" s="567">
        <v>0</v>
      </c>
      <c r="AC132" s="567">
        <v>0</v>
      </c>
      <c r="AD132" s="567">
        <v>0</v>
      </c>
      <c r="AE132" s="567">
        <v>0</v>
      </c>
      <c r="AF132" s="567" t="s">
        <v>434</v>
      </c>
      <c r="AG132" s="567">
        <v>131458.32699999999</v>
      </c>
      <c r="AH132" s="567">
        <v>70075.414999999994</v>
      </c>
      <c r="AI132" s="567">
        <v>416.45</v>
      </c>
      <c r="AJ132" s="567">
        <v>4037.5920000000001</v>
      </c>
      <c r="AK132" s="567">
        <v>3768.6709999999998</v>
      </c>
      <c r="AL132" s="567">
        <v>3.0000000000000001E-3</v>
      </c>
      <c r="AM132" s="567">
        <v>30365.41</v>
      </c>
      <c r="AN132" s="567">
        <v>0</v>
      </c>
      <c r="AO132" s="567">
        <v>108663.541</v>
      </c>
      <c r="AP132" s="567">
        <v>-3.5409999999999999</v>
      </c>
      <c r="AQ132" s="567">
        <v>108667.08199999999</v>
      </c>
      <c r="AR132" s="563" t="s">
        <v>434</v>
      </c>
      <c r="AS132" s="567">
        <v>2789.4780000000001</v>
      </c>
      <c r="AT132" s="567">
        <v>8679.5720000000001</v>
      </c>
      <c r="AU132" s="567">
        <v>0</v>
      </c>
      <c r="AV132" s="567" t="s">
        <v>434</v>
      </c>
      <c r="AW132" s="567">
        <v>120136.132</v>
      </c>
      <c r="AX132" s="567">
        <v>11322.195</v>
      </c>
      <c r="AY132" s="571" t="s">
        <v>430</v>
      </c>
      <c r="AZ132" s="571" t="s">
        <v>431</v>
      </c>
      <c r="BA132" s="563"/>
      <c r="BB132" s="563"/>
      <c r="BC132" s="221" t="s">
        <v>554</v>
      </c>
      <c r="BD132" s="591">
        <v>5.546510125898188E-2</v>
      </c>
      <c r="BE132" s="653">
        <v>-7.3021809336548352E-2</v>
      </c>
      <c r="BF132" s="559" t="s">
        <v>570</v>
      </c>
      <c r="BG132" s="613" t="s">
        <v>570</v>
      </c>
    </row>
    <row r="133" spans="1:59">
      <c r="A133" s="532" t="s">
        <v>58</v>
      </c>
      <c r="B133" s="532" t="s">
        <v>422</v>
      </c>
      <c r="C133" s="532">
        <v>4</v>
      </c>
      <c r="D133" s="532">
        <v>130</v>
      </c>
      <c r="E133" s="535" t="s">
        <v>289</v>
      </c>
      <c r="F133" s="532">
        <v>2013</v>
      </c>
      <c r="G133" s="534" t="s">
        <v>567</v>
      </c>
      <c r="H133" s="551">
        <v>13046.245000000001</v>
      </c>
      <c r="I133" s="555">
        <v>41104.627</v>
      </c>
      <c r="J133" s="552">
        <v>2.511750128997202</v>
      </c>
      <c r="K133" s="552">
        <v>432.72858079999997</v>
      </c>
      <c r="L133" s="555">
        <v>519408.55300000001</v>
      </c>
      <c r="M133" s="553">
        <v>40773</v>
      </c>
      <c r="N133" s="553">
        <v>422549</v>
      </c>
      <c r="O133" s="554">
        <v>1036.6855275956161</v>
      </c>
      <c r="P133" s="555">
        <v>438050.43300000002</v>
      </c>
      <c r="Q133" s="555">
        <v>438050.43300000002</v>
      </c>
      <c r="R133" s="555">
        <v>373378.82</v>
      </c>
      <c r="S133" s="556">
        <v>85.236491479509624</v>
      </c>
      <c r="T133" s="562"/>
      <c r="U133" s="560">
        <v>213245</v>
      </c>
      <c r="V133" s="561">
        <v>6055.9603738264677</v>
      </c>
      <c r="W133" s="560">
        <v>82312</v>
      </c>
      <c r="X133" s="560">
        <v>12588</v>
      </c>
      <c r="Y133" s="561">
        <v>2337.5845168252677</v>
      </c>
      <c r="Z133" s="561">
        <v>6.5389259612329198</v>
      </c>
      <c r="AA133" s="567">
        <v>986040.39899999998</v>
      </c>
      <c r="AB133" s="567">
        <v>0</v>
      </c>
      <c r="AC133" s="567">
        <v>0</v>
      </c>
      <c r="AD133" s="567">
        <v>0</v>
      </c>
      <c r="AE133" s="567">
        <v>0</v>
      </c>
      <c r="AF133" s="567" t="s">
        <v>434</v>
      </c>
      <c r="AG133" s="567">
        <v>986040.39899999998</v>
      </c>
      <c r="AH133" s="567">
        <v>550410.90599999996</v>
      </c>
      <c r="AI133" s="567">
        <v>37410.430999999997</v>
      </c>
      <c r="AJ133" s="567">
        <v>0</v>
      </c>
      <c r="AK133" s="567">
        <v>103811.647</v>
      </c>
      <c r="AL133" s="567">
        <v>177653.851</v>
      </c>
      <c r="AM133" s="567">
        <v>0</v>
      </c>
      <c r="AN133" s="567">
        <v>0</v>
      </c>
      <c r="AO133" s="567">
        <v>869286.83499999996</v>
      </c>
      <c r="AP133" s="567">
        <v>19656.855</v>
      </c>
      <c r="AQ133" s="567">
        <v>849629.98</v>
      </c>
      <c r="AR133" s="563" t="s">
        <v>434</v>
      </c>
      <c r="AS133" s="567">
        <v>29271.803</v>
      </c>
      <c r="AT133" s="567">
        <v>75472.063999999998</v>
      </c>
      <c r="AU133" s="567">
        <v>0</v>
      </c>
      <c r="AV133" s="567" t="s">
        <v>434</v>
      </c>
      <c r="AW133" s="567">
        <v>954373.84699999995</v>
      </c>
      <c r="AX133" s="567">
        <v>31666.552</v>
      </c>
      <c r="AY133" s="571" t="s">
        <v>430</v>
      </c>
      <c r="AZ133" s="571" t="s">
        <v>433</v>
      </c>
      <c r="BA133" s="563"/>
      <c r="BB133" s="563"/>
      <c r="BC133" s="221" t="s">
        <v>554</v>
      </c>
      <c r="BD133" s="591">
        <v>7.9137370308185892E-2</v>
      </c>
      <c r="BE133" s="653">
        <v>6.8497714896717868E-2</v>
      </c>
      <c r="BF133" s="559" t="s">
        <v>575</v>
      </c>
      <c r="BG133" s="613" t="s">
        <v>575</v>
      </c>
    </row>
    <row r="134" spans="1:59">
      <c r="A134" s="536" t="s">
        <v>61</v>
      </c>
      <c r="B134" s="536" t="s">
        <v>221</v>
      </c>
      <c r="C134" s="536">
        <v>32</v>
      </c>
      <c r="D134" s="536">
        <v>131</v>
      </c>
      <c r="E134" s="535" t="s">
        <v>221</v>
      </c>
      <c r="F134" s="532">
        <v>2013</v>
      </c>
      <c r="G134" s="534" t="s">
        <v>567</v>
      </c>
      <c r="H134" s="551">
        <v>-43331.925000000003</v>
      </c>
      <c r="I134" s="555">
        <v>25179.636999999999</v>
      </c>
      <c r="J134" s="552">
        <v>-9.785355113549949</v>
      </c>
      <c r="K134" s="552">
        <v>1351.7031941</v>
      </c>
      <c r="L134" s="555">
        <v>442824.24599999998</v>
      </c>
      <c r="M134" s="553">
        <v>36400</v>
      </c>
      <c r="N134" s="553">
        <v>402581</v>
      </c>
      <c r="O134" s="554">
        <v>322.63964767338746</v>
      </c>
      <c r="P134" s="555">
        <v>129888.592</v>
      </c>
      <c r="Q134" s="555">
        <v>129888.592</v>
      </c>
      <c r="R134" s="555">
        <v>113768.031</v>
      </c>
      <c r="S134" s="556">
        <v>87.588932367516918</v>
      </c>
      <c r="T134" s="562"/>
      <c r="U134" s="565">
        <v>155886</v>
      </c>
      <c r="V134" s="566">
        <v>4646.5978275179405</v>
      </c>
      <c r="W134" s="565">
        <v>19603</v>
      </c>
      <c r="X134" s="565">
        <v>5149</v>
      </c>
      <c r="Y134" s="566">
        <v>584.31967728233576</v>
      </c>
      <c r="Z134" s="566">
        <v>3.8071470188386094</v>
      </c>
      <c r="AA134" s="567">
        <v>179130.13</v>
      </c>
      <c r="AB134" s="567">
        <v>0</v>
      </c>
      <c r="AC134" s="567">
        <v>0</v>
      </c>
      <c r="AD134" s="567">
        <v>0</v>
      </c>
      <c r="AE134" s="567">
        <v>0</v>
      </c>
      <c r="AF134" s="567" t="s">
        <v>434</v>
      </c>
      <c r="AG134" s="567">
        <v>179130.13</v>
      </c>
      <c r="AH134" s="567">
        <v>140535.217</v>
      </c>
      <c r="AI134" s="567">
        <v>0</v>
      </c>
      <c r="AJ134" s="567">
        <v>0</v>
      </c>
      <c r="AK134" s="567">
        <v>0</v>
      </c>
      <c r="AL134" s="567">
        <v>16704.621999999999</v>
      </c>
      <c r="AM134" s="567">
        <v>0</v>
      </c>
      <c r="AN134" s="567">
        <v>0</v>
      </c>
      <c r="AO134" s="567">
        <v>157239.83900000001</v>
      </c>
      <c r="AP134" s="567">
        <v>0</v>
      </c>
      <c r="AQ134" s="567">
        <v>157239.83900000001</v>
      </c>
      <c r="AR134" s="563" t="s">
        <v>434</v>
      </c>
      <c r="AS134" s="567">
        <v>20061.170999999998</v>
      </c>
      <c r="AT134" s="567">
        <v>12109.847</v>
      </c>
      <c r="AU134" s="567">
        <v>34335</v>
      </c>
      <c r="AV134" s="567" t="s">
        <v>434</v>
      </c>
      <c r="AW134" s="567">
        <v>223745.85699999999</v>
      </c>
      <c r="AX134" s="567">
        <v>-44615.726999999999</v>
      </c>
      <c r="AY134" s="571" t="s">
        <v>430</v>
      </c>
      <c r="AZ134" s="571" t="s">
        <v>431</v>
      </c>
      <c r="BA134" s="563"/>
      <c r="BB134" s="563"/>
      <c r="BC134" s="221" t="s">
        <v>554</v>
      </c>
      <c r="BD134" s="591">
        <v>5.6861468692028211E-2</v>
      </c>
      <c r="BE134" s="653">
        <v>6.7249207632802649E-2</v>
      </c>
      <c r="BF134" s="559" t="s">
        <v>575</v>
      </c>
      <c r="BG134" s="613" t="s">
        <v>575</v>
      </c>
    </row>
    <row r="135" spans="1:59">
      <c r="A135" s="536" t="s">
        <v>95</v>
      </c>
      <c r="B135" s="536" t="s">
        <v>153</v>
      </c>
      <c r="C135" s="536">
        <v>87</v>
      </c>
      <c r="D135" s="536">
        <v>132</v>
      </c>
      <c r="E135" s="535" t="s">
        <v>153</v>
      </c>
      <c r="F135" s="532">
        <v>2013</v>
      </c>
      <c r="G135" s="534" t="s">
        <v>567</v>
      </c>
      <c r="H135" s="551">
        <v>4404.5680000000002</v>
      </c>
      <c r="I135" s="555">
        <v>15848.718999999999</v>
      </c>
      <c r="J135" s="552">
        <v>2.5779597344884695</v>
      </c>
      <c r="K135" s="552">
        <v>300.73378070000001</v>
      </c>
      <c r="L135" s="555">
        <v>170854.802</v>
      </c>
      <c r="M135" s="553">
        <v>33002</v>
      </c>
      <c r="N135" s="553">
        <v>398720</v>
      </c>
      <c r="O135" s="554">
        <v>193.1425536717496</v>
      </c>
      <c r="P135" s="555">
        <v>77009.798999999999</v>
      </c>
      <c r="Q135" s="555">
        <v>77009.798999999999</v>
      </c>
      <c r="R135" s="555">
        <v>57563.334999999999</v>
      </c>
      <c r="S135" s="556">
        <v>74.748065502677136</v>
      </c>
      <c r="T135" s="562"/>
      <c r="U135" s="565">
        <v>195140</v>
      </c>
      <c r="V135" s="566">
        <v>5872.9935794542534</v>
      </c>
      <c r="W135" s="565">
        <v>9976</v>
      </c>
      <c r="X135" s="565">
        <v>2926</v>
      </c>
      <c r="Y135" s="566">
        <v>300.24077046548956</v>
      </c>
      <c r="Z135" s="566">
        <v>3.4094326725905675</v>
      </c>
      <c r="AA135" s="567">
        <v>80171.712</v>
      </c>
      <c r="AB135" s="567">
        <v>0</v>
      </c>
      <c r="AC135" s="567">
        <v>0</v>
      </c>
      <c r="AD135" s="567">
        <v>0</v>
      </c>
      <c r="AE135" s="567">
        <v>0</v>
      </c>
      <c r="AF135" s="567" t="s">
        <v>434</v>
      </c>
      <c r="AG135" s="567">
        <v>80171.712</v>
      </c>
      <c r="AH135" s="567">
        <v>42224.891000000003</v>
      </c>
      <c r="AI135" s="567">
        <v>6471.7060000000001</v>
      </c>
      <c r="AJ135" s="567">
        <v>0</v>
      </c>
      <c r="AK135" s="567">
        <v>5006.2809999999999</v>
      </c>
      <c r="AL135" s="567">
        <v>0</v>
      </c>
      <c r="AM135" s="567">
        <v>19118.620999999999</v>
      </c>
      <c r="AN135" s="567">
        <v>0</v>
      </c>
      <c r="AO135" s="567">
        <v>72821.498999999996</v>
      </c>
      <c r="AP135" s="567">
        <v>0</v>
      </c>
      <c r="AQ135" s="567">
        <v>72821.498999999996</v>
      </c>
      <c r="AR135" s="563" t="s">
        <v>434</v>
      </c>
      <c r="AS135" s="567">
        <v>7081.7730000000001</v>
      </c>
      <c r="AT135" s="567">
        <v>0</v>
      </c>
      <c r="AU135" s="567">
        <v>0</v>
      </c>
      <c r="AV135" s="567" t="s">
        <v>434</v>
      </c>
      <c r="AW135" s="567">
        <v>79903.271999999997</v>
      </c>
      <c r="AX135" s="567">
        <v>268.44</v>
      </c>
      <c r="AY135" s="571" t="s">
        <v>430</v>
      </c>
      <c r="AZ135" s="571" t="s">
        <v>431</v>
      </c>
      <c r="BA135" s="563"/>
      <c r="BB135" s="563"/>
      <c r="BC135" s="221" t="s">
        <v>554</v>
      </c>
      <c r="BD135" s="591">
        <v>9.2761331929084437E-2</v>
      </c>
      <c r="BE135" s="653">
        <v>0.15975801304414416</v>
      </c>
      <c r="BF135" s="559" t="s">
        <v>582</v>
      </c>
      <c r="BG135" s="613" t="s">
        <v>582</v>
      </c>
    </row>
    <row r="136" spans="1:59">
      <c r="A136" s="536" t="s">
        <v>95</v>
      </c>
      <c r="B136" s="536" t="s">
        <v>404</v>
      </c>
      <c r="C136" s="536">
        <v>83</v>
      </c>
      <c r="D136" s="536">
        <v>133</v>
      </c>
      <c r="E136" s="535" t="s">
        <v>404</v>
      </c>
      <c r="F136" s="532">
        <v>2013</v>
      </c>
      <c r="G136" s="534" t="s">
        <v>567</v>
      </c>
      <c r="H136" s="551">
        <v>13122.450999999999</v>
      </c>
      <c r="I136" s="555">
        <v>18359.651999999998</v>
      </c>
      <c r="J136" s="552">
        <v>3.1395649306380848</v>
      </c>
      <c r="K136" s="552">
        <v>310.39750959999998</v>
      </c>
      <c r="L136" s="555">
        <v>417970.36499999999</v>
      </c>
      <c r="M136" s="553">
        <v>33142</v>
      </c>
      <c r="N136" s="553">
        <v>397457</v>
      </c>
      <c r="O136" s="554">
        <v>201.71166189046866</v>
      </c>
      <c r="P136" s="555">
        <v>80171.712</v>
      </c>
      <c r="Q136" s="555">
        <v>80171.712</v>
      </c>
      <c r="R136" s="555">
        <v>72821.498999999996</v>
      </c>
      <c r="S136" s="556">
        <v>90.83191213379601</v>
      </c>
      <c r="T136" s="562"/>
      <c r="U136" s="565">
        <v>179338</v>
      </c>
      <c r="V136" s="566">
        <v>5414.5630848116907</v>
      </c>
      <c r="W136" s="565">
        <v>8949</v>
      </c>
      <c r="X136" s="565">
        <v>2562</v>
      </c>
      <c r="Y136" s="566">
        <v>270.18771841985421</v>
      </c>
      <c r="Z136" s="566">
        <v>3.4929742388758784</v>
      </c>
      <c r="AA136" s="567">
        <v>81796.324999999997</v>
      </c>
      <c r="AB136" s="567">
        <v>0</v>
      </c>
      <c r="AC136" s="567">
        <v>0</v>
      </c>
      <c r="AD136" s="567">
        <v>0</v>
      </c>
      <c r="AE136" s="567">
        <v>0</v>
      </c>
      <c r="AF136" s="567" t="s">
        <v>434</v>
      </c>
      <c r="AG136" s="567">
        <v>81796.324999999997</v>
      </c>
      <c r="AH136" s="567">
        <v>42488.447999999997</v>
      </c>
      <c r="AI136" s="567">
        <v>249.48500000000001</v>
      </c>
      <c r="AJ136" s="567">
        <v>0</v>
      </c>
      <c r="AK136" s="567">
        <v>4242.116</v>
      </c>
      <c r="AL136" s="567">
        <v>6574.009</v>
      </c>
      <c r="AM136" s="567">
        <v>5152.1670000000004</v>
      </c>
      <c r="AN136" s="567">
        <v>11208.617</v>
      </c>
      <c r="AO136" s="567">
        <v>69914.842000000004</v>
      </c>
      <c r="AP136" s="567">
        <v>0</v>
      </c>
      <c r="AQ136" s="567">
        <v>69914.842000000004</v>
      </c>
      <c r="AR136" s="563" t="s">
        <v>434</v>
      </c>
      <c r="AS136" s="567">
        <v>617.45299999999997</v>
      </c>
      <c r="AT136" s="567">
        <v>9602.4709999999995</v>
      </c>
      <c r="AU136" s="567">
        <v>0</v>
      </c>
      <c r="AV136" s="567" t="s">
        <v>434</v>
      </c>
      <c r="AW136" s="567">
        <v>80134.766000000003</v>
      </c>
      <c r="AX136" s="567">
        <v>1661.559</v>
      </c>
      <c r="AY136" s="571" t="s">
        <v>435</v>
      </c>
      <c r="AZ136" s="571" t="s">
        <v>433</v>
      </c>
      <c r="BA136" s="563"/>
      <c r="BB136" s="563"/>
      <c r="BC136" s="221" t="s">
        <v>554</v>
      </c>
      <c r="BD136" s="591">
        <v>4.392572664810817E-2</v>
      </c>
      <c r="BE136" s="653">
        <v>4.7755152013931719E-2</v>
      </c>
      <c r="BF136" s="559" t="s">
        <v>574</v>
      </c>
      <c r="BG136" s="613" t="s">
        <v>574</v>
      </c>
    </row>
    <row r="137" spans="1:59">
      <c r="A137" s="536" t="s">
        <v>56</v>
      </c>
      <c r="B137" s="536" t="s">
        <v>407</v>
      </c>
      <c r="C137" s="536">
        <v>90</v>
      </c>
      <c r="D137" s="536">
        <v>134</v>
      </c>
      <c r="E137" s="535" t="s">
        <v>407</v>
      </c>
      <c r="F137" s="532">
        <v>2013</v>
      </c>
      <c r="G137" s="534" t="s">
        <v>567</v>
      </c>
      <c r="H137" s="551">
        <v>2669.3490000000002</v>
      </c>
      <c r="I137" s="555">
        <v>73536.426999999996</v>
      </c>
      <c r="J137" s="552">
        <v>0.41002052915888276</v>
      </c>
      <c r="K137" s="552" t="s">
        <v>434</v>
      </c>
      <c r="L137" s="555">
        <v>651028.13399999996</v>
      </c>
      <c r="M137" s="553">
        <v>33179</v>
      </c>
      <c r="N137" s="553">
        <v>392453</v>
      </c>
      <c r="O137" s="554">
        <v>241.83342209130774</v>
      </c>
      <c r="P137" s="555">
        <v>94876.933999999994</v>
      </c>
      <c r="Q137" s="555">
        <v>94908.251999999993</v>
      </c>
      <c r="R137" s="555">
        <v>78600.27</v>
      </c>
      <c r="S137" s="556">
        <v>82.817108463866774</v>
      </c>
      <c r="T137" s="562"/>
      <c r="U137" s="565">
        <v>11571</v>
      </c>
      <c r="V137" s="566">
        <v>353.80542383419163</v>
      </c>
      <c r="W137" s="565">
        <v>12852</v>
      </c>
      <c r="X137" s="565">
        <v>3092</v>
      </c>
      <c r="Y137" s="566">
        <v>392.97444534759575</v>
      </c>
      <c r="Z137" s="566">
        <v>4.1565329883570508</v>
      </c>
      <c r="AA137" s="567">
        <v>99623.569000000003</v>
      </c>
      <c r="AB137" s="567">
        <v>0</v>
      </c>
      <c r="AC137" s="567">
        <v>0</v>
      </c>
      <c r="AD137" s="567">
        <v>0</v>
      </c>
      <c r="AE137" s="567">
        <v>0</v>
      </c>
      <c r="AF137" s="567" t="s">
        <v>434</v>
      </c>
      <c r="AG137" s="567">
        <v>99623.569000000003</v>
      </c>
      <c r="AH137" s="567">
        <v>0</v>
      </c>
      <c r="AI137" s="567">
        <v>0</v>
      </c>
      <c r="AJ137" s="567">
        <v>0</v>
      </c>
      <c r="AK137" s="567">
        <v>0</v>
      </c>
      <c r="AL137" s="567">
        <v>0</v>
      </c>
      <c r="AM137" s="567">
        <v>0</v>
      </c>
      <c r="AN137" s="567">
        <v>0</v>
      </c>
      <c r="AO137" s="567">
        <v>0</v>
      </c>
      <c r="AP137" s="567">
        <v>-99623.569000000003</v>
      </c>
      <c r="AQ137" s="567">
        <v>99623.569000000003</v>
      </c>
      <c r="AR137" s="563" t="s">
        <v>434</v>
      </c>
      <c r="AS137" s="567">
        <v>0</v>
      </c>
      <c r="AT137" s="567">
        <v>0</v>
      </c>
      <c r="AU137" s="567">
        <v>0</v>
      </c>
      <c r="AV137" s="567" t="s">
        <v>434</v>
      </c>
      <c r="AW137" s="567">
        <v>99623.569000000003</v>
      </c>
      <c r="AX137" s="567">
        <v>0</v>
      </c>
      <c r="AY137" s="585" t="s">
        <v>430</v>
      </c>
      <c r="AZ137" s="585" t="s">
        <v>433</v>
      </c>
      <c r="BA137" s="563"/>
      <c r="BB137" s="563"/>
      <c r="BC137" s="221" t="s">
        <v>554</v>
      </c>
      <c r="BD137" s="591">
        <v>0.11295429975995477</v>
      </c>
      <c r="BE137" s="653">
        <v>5.8874615601377495E-2</v>
      </c>
      <c r="BF137" s="559" t="s">
        <v>575</v>
      </c>
      <c r="BG137" s="613" t="s">
        <v>575</v>
      </c>
    </row>
    <row r="138" spans="1:59">
      <c r="A138" s="536" t="s">
        <v>54</v>
      </c>
      <c r="B138" s="536" t="s">
        <v>415</v>
      </c>
      <c r="C138" s="536">
        <v>12</v>
      </c>
      <c r="D138" s="536">
        <v>135</v>
      </c>
      <c r="E138" s="535" t="s">
        <v>415</v>
      </c>
      <c r="F138" s="532">
        <v>2013</v>
      </c>
      <c r="G138" s="534" t="s">
        <v>469</v>
      </c>
      <c r="H138" s="551">
        <v>-2868.7510000000002</v>
      </c>
      <c r="I138" s="555">
        <v>17721.345000000001</v>
      </c>
      <c r="J138" s="552">
        <v>-2.456097870528144</v>
      </c>
      <c r="K138" s="552">
        <v>-230.9244764</v>
      </c>
      <c r="L138" s="555">
        <v>116801.16800000001</v>
      </c>
      <c r="M138" s="553">
        <v>0</v>
      </c>
      <c r="N138" s="553">
        <v>389475</v>
      </c>
      <c r="O138" s="554">
        <v>290.57358238654598</v>
      </c>
      <c r="P138" s="555">
        <v>113171.14599999999</v>
      </c>
      <c r="Q138" s="555">
        <v>113171.14599999999</v>
      </c>
      <c r="R138" s="555">
        <v>103831.07399999999</v>
      </c>
      <c r="S138" s="556">
        <v>91.746949350499634</v>
      </c>
      <c r="T138" s="562"/>
      <c r="U138" s="565">
        <v>145070</v>
      </c>
      <c r="V138" s="566">
        <v>4469.7092239553249</v>
      </c>
      <c r="W138" s="565">
        <v>8639</v>
      </c>
      <c r="X138" s="565">
        <v>2373</v>
      </c>
      <c r="Y138" s="566">
        <v>266.1736953591373</v>
      </c>
      <c r="Z138" s="566">
        <v>3.6405394016013486</v>
      </c>
      <c r="AA138" s="567">
        <v>122057.102</v>
      </c>
      <c r="AB138" s="567">
        <v>0</v>
      </c>
      <c r="AC138" s="567">
        <v>0</v>
      </c>
      <c r="AD138" s="567">
        <v>0</v>
      </c>
      <c r="AE138" s="567">
        <v>1149.9929999999999</v>
      </c>
      <c r="AF138" s="567" t="s">
        <v>434</v>
      </c>
      <c r="AG138" s="567">
        <v>123207.095</v>
      </c>
      <c r="AH138" s="567">
        <v>92813.983999999997</v>
      </c>
      <c r="AI138" s="567">
        <v>3870.8530000000001</v>
      </c>
      <c r="AJ138" s="567">
        <v>0</v>
      </c>
      <c r="AK138" s="567">
        <v>9189.8189999999995</v>
      </c>
      <c r="AL138" s="567">
        <v>13932.460999999999</v>
      </c>
      <c r="AM138" s="567">
        <v>0</v>
      </c>
      <c r="AN138" s="567">
        <v>393.18700000000001</v>
      </c>
      <c r="AO138" s="567">
        <v>120200.304</v>
      </c>
      <c r="AP138" s="567">
        <v>2375.5279999999998</v>
      </c>
      <c r="AQ138" s="567">
        <v>117824.776</v>
      </c>
      <c r="AR138" s="563" t="s">
        <v>434</v>
      </c>
      <c r="AS138" s="567">
        <v>4603.116</v>
      </c>
      <c r="AT138" s="567">
        <v>6833.6940000000004</v>
      </c>
      <c r="AU138" s="567">
        <v>2971.8449999999998</v>
      </c>
      <c r="AV138" s="567" t="s">
        <v>434</v>
      </c>
      <c r="AW138" s="567">
        <v>132233.43100000001</v>
      </c>
      <c r="AX138" s="567">
        <v>-9026.3359999999993</v>
      </c>
      <c r="AY138" s="571">
        <v>0</v>
      </c>
      <c r="AZ138" s="571">
        <v>0</v>
      </c>
      <c r="BA138" s="563"/>
      <c r="BB138" s="563"/>
      <c r="BC138" s="221" t="s">
        <v>553</v>
      </c>
      <c r="BD138" s="591">
        <v>0.15172232695481264</v>
      </c>
      <c r="BE138" s="653">
        <v>-2.4560978705281442E-2</v>
      </c>
      <c r="BF138" s="559" t="s">
        <v>572</v>
      </c>
      <c r="BG138" s="613" t="s">
        <v>572</v>
      </c>
    </row>
    <row r="139" spans="1:59">
      <c r="A139" s="536" t="s">
        <v>90</v>
      </c>
      <c r="B139" s="536" t="s">
        <v>265</v>
      </c>
      <c r="C139" s="536">
        <v>71</v>
      </c>
      <c r="D139" s="536">
        <v>136</v>
      </c>
      <c r="E139" s="535" t="s">
        <v>265</v>
      </c>
      <c r="F139" s="532">
        <v>2013</v>
      </c>
      <c r="G139" s="534" t="s">
        <v>567</v>
      </c>
      <c r="H139" s="551">
        <v>2933.4070000000002</v>
      </c>
      <c r="I139" s="555">
        <v>54092.654000000002</v>
      </c>
      <c r="J139" s="552">
        <v>0.4975628890495653</v>
      </c>
      <c r="K139" s="552">
        <v>398.89033799999999</v>
      </c>
      <c r="L139" s="555">
        <v>589555.022</v>
      </c>
      <c r="M139" s="553">
        <v>33318</v>
      </c>
      <c r="N139" s="553">
        <v>376647</v>
      </c>
      <c r="O139" s="554">
        <v>289.63379769386188</v>
      </c>
      <c r="P139" s="555">
        <v>109089.701</v>
      </c>
      <c r="Q139" s="555">
        <v>109089.701</v>
      </c>
      <c r="R139" s="555">
        <v>103673.35799999999</v>
      </c>
      <c r="S139" s="556">
        <v>95.034963933029744</v>
      </c>
      <c r="T139" s="562">
        <v>106197</v>
      </c>
      <c r="U139" s="565">
        <v>106197</v>
      </c>
      <c r="V139" s="566">
        <v>3383.4439143282702</v>
      </c>
      <c r="W139" s="565">
        <v>22819</v>
      </c>
      <c r="X139" s="565">
        <v>5146</v>
      </c>
      <c r="Y139" s="566">
        <v>727.014950338115</v>
      </c>
      <c r="Z139" s="566">
        <v>4.4343179168286051</v>
      </c>
      <c r="AA139" s="567">
        <v>112692.291</v>
      </c>
      <c r="AB139" s="567">
        <v>0</v>
      </c>
      <c r="AC139" s="567">
        <v>0</v>
      </c>
      <c r="AD139" s="567">
        <v>0</v>
      </c>
      <c r="AE139" s="567">
        <v>0</v>
      </c>
      <c r="AF139" s="567" t="s">
        <v>434</v>
      </c>
      <c r="AG139" s="567">
        <v>112692.291</v>
      </c>
      <c r="AH139" s="567">
        <v>46230.55</v>
      </c>
      <c r="AI139" s="567">
        <v>25575.282999999999</v>
      </c>
      <c r="AJ139" s="567">
        <v>0</v>
      </c>
      <c r="AK139" s="567">
        <v>19786.071</v>
      </c>
      <c r="AL139" s="567">
        <v>11320.484</v>
      </c>
      <c r="AM139" s="567">
        <v>918.68700000000001</v>
      </c>
      <c r="AN139" s="567">
        <v>0</v>
      </c>
      <c r="AO139" s="567">
        <v>103831.07399999999</v>
      </c>
      <c r="AP139" s="567">
        <v>993.57500000000005</v>
      </c>
      <c r="AQ139" s="567">
        <v>102837.49800000001</v>
      </c>
      <c r="AR139" s="563" t="s">
        <v>434</v>
      </c>
      <c r="AS139" s="567">
        <v>2840.2339999999999</v>
      </c>
      <c r="AT139" s="567">
        <v>16770.641</v>
      </c>
      <c r="AU139" s="567">
        <v>-4716.9790000000003</v>
      </c>
      <c r="AV139" s="567" t="s">
        <v>434</v>
      </c>
      <c r="AW139" s="567">
        <v>117731.394</v>
      </c>
      <c r="AX139" s="567">
        <v>-5039.1030000000001</v>
      </c>
      <c r="AY139" s="571" t="s">
        <v>435</v>
      </c>
      <c r="AZ139" s="571" t="s">
        <v>431</v>
      </c>
      <c r="BA139" s="563"/>
      <c r="BB139" s="563"/>
      <c r="BC139" s="221" t="s">
        <v>554</v>
      </c>
      <c r="BD139" s="591">
        <v>9.1751663511399961E-2</v>
      </c>
      <c r="BE139" s="653">
        <v>-4.2101302841697441E-2</v>
      </c>
      <c r="BF139" s="559" t="s">
        <v>571</v>
      </c>
      <c r="BG139" s="613" t="s">
        <v>571</v>
      </c>
    </row>
    <row r="140" spans="1:59">
      <c r="A140" s="532" t="s">
        <v>56</v>
      </c>
      <c r="B140" s="532" t="s">
        <v>424</v>
      </c>
      <c r="C140" s="532">
        <v>5</v>
      </c>
      <c r="D140" s="532">
        <v>137</v>
      </c>
      <c r="E140" s="535" t="s">
        <v>382</v>
      </c>
      <c r="F140" s="532">
        <v>2013</v>
      </c>
      <c r="G140" s="534" t="s">
        <v>567</v>
      </c>
      <c r="H140" s="551">
        <v>14541.348</v>
      </c>
      <c r="I140" s="555">
        <v>44507.593000000001</v>
      </c>
      <c r="J140" s="552">
        <v>2.7799056231149555</v>
      </c>
      <c r="K140" s="552">
        <v>535.21246550000001</v>
      </c>
      <c r="L140" s="555">
        <v>523087.83</v>
      </c>
      <c r="M140" s="553">
        <v>35074</v>
      </c>
      <c r="N140" s="553">
        <v>372835</v>
      </c>
      <c r="O140" s="554">
        <v>333.15069937103544</v>
      </c>
      <c r="P140" s="555">
        <v>123860.038</v>
      </c>
      <c r="Q140" s="555">
        <v>124210.24099999999</v>
      </c>
      <c r="R140" s="555">
        <v>113070.923</v>
      </c>
      <c r="S140" s="556">
        <v>91.031884399934455</v>
      </c>
      <c r="T140" s="562"/>
      <c r="U140" s="565">
        <v>158906</v>
      </c>
      <c r="V140" s="566">
        <v>5114.519827805866</v>
      </c>
      <c r="W140" s="565">
        <v>10118</v>
      </c>
      <c r="X140" s="565">
        <v>2109</v>
      </c>
      <c r="Y140" s="566">
        <v>325.65612134053936</v>
      </c>
      <c r="Z140" s="566">
        <v>4.7975343764817451</v>
      </c>
      <c r="AA140" s="567">
        <v>146373.63500000001</v>
      </c>
      <c r="AB140" s="567">
        <v>0</v>
      </c>
      <c r="AC140" s="567">
        <v>0</v>
      </c>
      <c r="AD140" s="567">
        <v>0</v>
      </c>
      <c r="AE140" s="567">
        <v>0</v>
      </c>
      <c r="AF140" s="567" t="s">
        <v>434</v>
      </c>
      <c r="AG140" s="567">
        <v>146373.63500000001</v>
      </c>
      <c r="AH140" s="567">
        <v>82194.343999999997</v>
      </c>
      <c r="AI140" s="567">
        <v>8134.433</v>
      </c>
      <c r="AJ140" s="567">
        <v>0</v>
      </c>
      <c r="AK140" s="567">
        <v>12198.191000000001</v>
      </c>
      <c r="AL140" s="567">
        <v>24562.089</v>
      </c>
      <c r="AM140" s="567">
        <v>0</v>
      </c>
      <c r="AN140" s="567">
        <v>0</v>
      </c>
      <c r="AO140" s="567">
        <v>127089.057</v>
      </c>
      <c r="AP140" s="567">
        <v>181.405</v>
      </c>
      <c r="AQ140" s="567">
        <v>126907.652</v>
      </c>
      <c r="AR140" s="563" t="s">
        <v>434</v>
      </c>
      <c r="AS140" s="567">
        <v>4934.5950000000003</v>
      </c>
      <c r="AT140" s="567">
        <v>6349.2659999999996</v>
      </c>
      <c r="AU140" s="567">
        <v>0</v>
      </c>
      <c r="AV140" s="567" t="s">
        <v>434</v>
      </c>
      <c r="AW140" s="567">
        <v>138191.51300000001</v>
      </c>
      <c r="AX140" s="567">
        <v>8182.1220000000003</v>
      </c>
      <c r="AY140" s="585" t="s">
        <v>430</v>
      </c>
      <c r="AZ140" s="585" t="s">
        <v>433</v>
      </c>
      <c r="BA140" s="563"/>
      <c r="BB140" s="563"/>
      <c r="BC140" s="221" t="s">
        <v>554</v>
      </c>
      <c r="BD140" s="591">
        <v>8.5086271267293678E-2</v>
      </c>
      <c r="BE140" s="653">
        <v>4.594884733361726E-3</v>
      </c>
      <c r="BF140" s="559" t="s">
        <v>573</v>
      </c>
      <c r="BG140" s="613" t="s">
        <v>573</v>
      </c>
    </row>
    <row r="141" spans="1:59">
      <c r="A141" s="536" t="s">
        <v>81</v>
      </c>
      <c r="B141" s="536" t="s">
        <v>259</v>
      </c>
      <c r="C141" s="536">
        <v>79</v>
      </c>
      <c r="D141" s="536">
        <v>138</v>
      </c>
      <c r="E141" s="535" t="s">
        <v>259</v>
      </c>
      <c r="F141" s="532">
        <v>2013</v>
      </c>
      <c r="G141" s="534" t="s">
        <v>567</v>
      </c>
      <c r="H141" s="551">
        <v>27544.266</v>
      </c>
      <c r="I141" s="555">
        <v>110514.71400000001</v>
      </c>
      <c r="J141" s="552">
        <v>1.6409485016586085</v>
      </c>
      <c r="K141" s="552">
        <v>839.67418480000003</v>
      </c>
      <c r="L141" s="555">
        <v>1678557.6129999999</v>
      </c>
      <c r="M141" s="553">
        <v>30399</v>
      </c>
      <c r="N141" s="553">
        <v>364432</v>
      </c>
      <c r="O141" s="554">
        <v>427.9613233744567</v>
      </c>
      <c r="P141" s="555">
        <v>155962.80100000001</v>
      </c>
      <c r="Q141" s="555">
        <v>155962.80100000001</v>
      </c>
      <c r="R141" s="555">
        <v>146963.783</v>
      </c>
      <c r="S141" s="556">
        <v>94.230022837304631</v>
      </c>
      <c r="T141" s="562"/>
      <c r="U141" s="565">
        <v>353259</v>
      </c>
      <c r="V141" s="566">
        <v>11632.095974008869</v>
      </c>
      <c r="W141" s="565">
        <v>18325</v>
      </c>
      <c r="X141" s="565">
        <v>3869</v>
      </c>
      <c r="Y141" s="566">
        <v>603.40475040611148</v>
      </c>
      <c r="Z141" s="566">
        <v>4.7363659860429053</v>
      </c>
      <c r="AA141" s="567">
        <v>175198.53</v>
      </c>
      <c r="AB141" s="567">
        <v>0</v>
      </c>
      <c r="AC141" s="567">
        <v>0</v>
      </c>
      <c r="AD141" s="567">
        <v>0</v>
      </c>
      <c r="AE141" s="567">
        <v>0</v>
      </c>
      <c r="AF141" s="567" t="s">
        <v>434</v>
      </c>
      <c r="AG141" s="567">
        <v>175198.53</v>
      </c>
      <c r="AH141" s="567">
        <v>100216.647</v>
      </c>
      <c r="AI141" s="567">
        <v>9016.2420000000002</v>
      </c>
      <c r="AJ141" s="567">
        <v>15917.909</v>
      </c>
      <c r="AK141" s="567">
        <v>10877.883</v>
      </c>
      <c r="AL141" s="567">
        <v>20172.207999999999</v>
      </c>
      <c r="AM141" s="567">
        <v>0</v>
      </c>
      <c r="AN141" s="567">
        <v>0</v>
      </c>
      <c r="AO141" s="567">
        <v>156200.889</v>
      </c>
      <c r="AP141" s="567">
        <v>486.34699999999998</v>
      </c>
      <c r="AQ141" s="567">
        <v>155714.54199999999</v>
      </c>
      <c r="AR141" s="563" t="s">
        <v>434</v>
      </c>
      <c r="AS141" s="567">
        <v>8841.26</v>
      </c>
      <c r="AT141" s="567">
        <v>26441.519</v>
      </c>
      <c r="AU141" s="567">
        <v>0</v>
      </c>
      <c r="AV141" s="567" t="s">
        <v>434</v>
      </c>
      <c r="AW141" s="567">
        <v>190997.321</v>
      </c>
      <c r="AX141" s="567">
        <v>-15798.790999999999</v>
      </c>
      <c r="AY141" s="571" t="s">
        <v>430</v>
      </c>
      <c r="AZ141" s="571" t="s">
        <v>431</v>
      </c>
      <c r="BA141" s="563"/>
      <c r="BB141" s="563"/>
      <c r="BC141" s="221" t="s">
        <v>554</v>
      </c>
      <c r="BD141" s="591">
        <v>6.5839094913449372E-2</v>
      </c>
      <c r="BE141" s="653">
        <v>-8.1393232864956505E-3</v>
      </c>
      <c r="BF141" s="559" t="s">
        <v>572</v>
      </c>
      <c r="BG141" s="613" t="s">
        <v>572</v>
      </c>
    </row>
    <row r="142" spans="1:59">
      <c r="A142" s="536" t="s">
        <v>69</v>
      </c>
      <c r="B142" s="536" t="s">
        <v>177</v>
      </c>
      <c r="C142" s="536">
        <v>69</v>
      </c>
      <c r="D142" s="536">
        <v>139</v>
      </c>
      <c r="E142" s="535" t="s">
        <v>177</v>
      </c>
      <c r="F142" s="532">
        <v>2013</v>
      </c>
      <c r="G142" s="534" t="s">
        <v>469</v>
      </c>
      <c r="H142" s="551">
        <v>702.64400000000001</v>
      </c>
      <c r="I142" s="555">
        <v>7323.0780000000004</v>
      </c>
      <c r="J142" s="552">
        <v>0.65575979751674296</v>
      </c>
      <c r="K142" s="552">
        <v>510.337425</v>
      </c>
      <c r="L142" s="555">
        <v>107149.6</v>
      </c>
      <c r="M142" s="553">
        <v>29371</v>
      </c>
      <c r="N142" s="553">
        <v>354136</v>
      </c>
      <c r="O142" s="554">
        <v>285.77292904420898</v>
      </c>
      <c r="P142" s="555">
        <v>101202.482</v>
      </c>
      <c r="Q142" s="555">
        <v>101202.482</v>
      </c>
      <c r="R142" s="555">
        <v>92791.092999999993</v>
      </c>
      <c r="S142" s="556">
        <v>91.688554634460431</v>
      </c>
      <c r="T142" s="562"/>
      <c r="U142" s="565">
        <v>165483</v>
      </c>
      <c r="V142" s="566">
        <v>5607.4389500079069</v>
      </c>
      <c r="W142" s="565">
        <v>7056</v>
      </c>
      <c r="X142" s="565">
        <v>2227</v>
      </c>
      <c r="Y142" s="566">
        <v>239.09458513113606</v>
      </c>
      <c r="Z142" s="566">
        <v>3.1683879658733725</v>
      </c>
      <c r="AA142" s="567">
        <v>107575.21400000001</v>
      </c>
      <c r="AB142" s="567">
        <v>-527.79300000000001</v>
      </c>
      <c r="AC142" s="567">
        <v>0</v>
      </c>
      <c r="AD142" s="567">
        <v>0</v>
      </c>
      <c r="AE142" s="567">
        <v>0</v>
      </c>
      <c r="AF142" s="567" t="s">
        <v>434</v>
      </c>
      <c r="AG142" s="567">
        <v>107047.421</v>
      </c>
      <c r="AH142" s="567">
        <v>51369.595999999998</v>
      </c>
      <c r="AI142" s="567">
        <v>9173.1280000000006</v>
      </c>
      <c r="AJ142" s="567">
        <v>4197.6809999999996</v>
      </c>
      <c r="AK142" s="567">
        <v>7330.1729999999998</v>
      </c>
      <c r="AL142" s="567">
        <v>19109.672999999999</v>
      </c>
      <c r="AM142" s="567">
        <v>499.036</v>
      </c>
      <c r="AN142" s="567">
        <v>0</v>
      </c>
      <c r="AO142" s="567">
        <v>91679.286999999997</v>
      </c>
      <c r="AP142" s="567">
        <v>638.75199999999995</v>
      </c>
      <c r="AQ142" s="567">
        <v>91040.535000000003</v>
      </c>
      <c r="AR142" s="563" t="s">
        <v>434</v>
      </c>
      <c r="AS142" s="567">
        <v>5740.0389999999998</v>
      </c>
      <c r="AT142" s="567">
        <v>7779.3639999999996</v>
      </c>
      <c r="AU142" s="567">
        <v>0</v>
      </c>
      <c r="AV142" s="567" t="s">
        <v>434</v>
      </c>
      <c r="AW142" s="567">
        <v>104559.93799999999</v>
      </c>
      <c r="AX142" s="567">
        <v>2487.4830000000002</v>
      </c>
      <c r="AY142" s="571" t="s">
        <v>435</v>
      </c>
      <c r="AZ142" s="571" t="s">
        <v>433</v>
      </c>
      <c r="BA142" s="563"/>
      <c r="BB142" s="563"/>
      <c r="BC142" s="221" t="s">
        <v>554</v>
      </c>
      <c r="BD142" s="591">
        <v>6.8344426857403107E-2</v>
      </c>
      <c r="BE142" s="653">
        <v>6.5575979751674295E-3</v>
      </c>
      <c r="BF142" s="559" t="s">
        <v>573</v>
      </c>
      <c r="BG142" s="613" t="s">
        <v>573</v>
      </c>
    </row>
    <row r="143" spans="1:59">
      <c r="A143" s="532" t="s">
        <v>94</v>
      </c>
      <c r="B143" s="532" t="s">
        <v>420</v>
      </c>
      <c r="C143" s="532">
        <v>3</v>
      </c>
      <c r="D143" s="532">
        <v>140</v>
      </c>
      <c r="E143" s="535" t="s">
        <v>195</v>
      </c>
      <c r="F143" s="532">
        <v>2013</v>
      </c>
      <c r="G143" s="534" t="s">
        <v>469</v>
      </c>
      <c r="H143" s="551">
        <v>2512.1309999999999</v>
      </c>
      <c r="I143" s="551">
        <v>10861.434999999999</v>
      </c>
      <c r="J143" s="568">
        <v>1.8757660549790465</v>
      </c>
      <c r="K143" s="568">
        <v>688.61610050000002</v>
      </c>
      <c r="L143" s="551">
        <v>133925.603</v>
      </c>
      <c r="M143" s="557">
        <v>33810</v>
      </c>
      <c r="N143" s="557">
        <v>345240</v>
      </c>
      <c r="O143" s="558">
        <v>385.73009790290814</v>
      </c>
      <c r="P143" s="551">
        <v>141825.57399999999</v>
      </c>
      <c r="Q143" s="551">
        <v>133169.459</v>
      </c>
      <c r="R143" s="551">
        <v>109360.811</v>
      </c>
      <c r="S143" s="569">
        <v>82.12154034507266</v>
      </c>
      <c r="T143" s="562"/>
      <c r="U143" s="560">
        <v>162981</v>
      </c>
      <c r="V143" s="561">
        <v>5664.9635036496347</v>
      </c>
      <c r="W143" s="560">
        <v>22506</v>
      </c>
      <c r="X143" s="560">
        <v>4198</v>
      </c>
      <c r="Y143" s="561">
        <v>782.27320125130348</v>
      </c>
      <c r="Z143" s="561">
        <v>5.3611243449261554</v>
      </c>
      <c r="AA143" s="567">
        <v>148827.24600000001</v>
      </c>
      <c r="AB143" s="567">
        <v>327.98399999999998</v>
      </c>
      <c r="AC143" s="567">
        <v>0</v>
      </c>
      <c r="AD143" s="567">
        <v>0</v>
      </c>
      <c r="AE143" s="567">
        <v>0</v>
      </c>
      <c r="AF143" s="567" t="s">
        <v>434</v>
      </c>
      <c r="AG143" s="567">
        <v>149155.23000000001</v>
      </c>
      <c r="AH143" s="567">
        <v>89212.05</v>
      </c>
      <c r="AI143" s="567">
        <v>3251.03</v>
      </c>
      <c r="AJ143" s="567">
        <v>0</v>
      </c>
      <c r="AK143" s="567">
        <v>7960.7030000000004</v>
      </c>
      <c r="AL143" s="567">
        <v>-2.0659999999999998</v>
      </c>
      <c r="AM143" s="567">
        <v>34781.017</v>
      </c>
      <c r="AN143" s="567">
        <v>14.85</v>
      </c>
      <c r="AO143" s="567">
        <v>135217.584</v>
      </c>
      <c r="AP143" s="567">
        <v>0</v>
      </c>
      <c r="AQ143" s="567">
        <v>135217.584</v>
      </c>
      <c r="AR143" s="563" t="s">
        <v>434</v>
      </c>
      <c r="AS143" s="567">
        <v>5003.58</v>
      </c>
      <c r="AT143" s="567">
        <v>10875.276</v>
      </c>
      <c r="AU143" s="567">
        <v>-1382.175</v>
      </c>
      <c r="AV143" s="567" t="s">
        <v>434</v>
      </c>
      <c r="AW143" s="567">
        <v>149714.26500000001</v>
      </c>
      <c r="AX143" s="567">
        <v>-559.03499999999997</v>
      </c>
      <c r="AY143" s="571" t="s">
        <v>430</v>
      </c>
      <c r="AZ143" s="571" t="s">
        <v>433</v>
      </c>
      <c r="BA143" s="563"/>
      <c r="BB143" s="563"/>
      <c r="BC143" s="221" t="s">
        <v>554</v>
      </c>
      <c r="BD143" s="591">
        <v>8.1100512200045868E-2</v>
      </c>
      <c r="BE143" s="653">
        <v>1.8757660549790466E-2</v>
      </c>
      <c r="BF143" s="559" t="s">
        <v>573</v>
      </c>
      <c r="BG143" s="613" t="s">
        <v>573</v>
      </c>
    </row>
    <row r="144" spans="1:59">
      <c r="A144" s="536" t="s">
        <v>96</v>
      </c>
      <c r="B144" s="536" t="s">
        <v>225</v>
      </c>
      <c r="C144" s="536">
        <v>77</v>
      </c>
      <c r="D144" s="536">
        <v>141</v>
      </c>
      <c r="E144" s="535" t="s">
        <v>225</v>
      </c>
      <c r="F144" s="532">
        <v>2013</v>
      </c>
      <c r="G144" s="534" t="s">
        <v>567</v>
      </c>
      <c r="H144" s="551">
        <v>13449.304</v>
      </c>
      <c r="I144" s="555">
        <v>16701.526999999998</v>
      </c>
      <c r="J144" s="552">
        <v>3.699722875040854</v>
      </c>
      <c r="K144" s="552">
        <v>840.76677770000003</v>
      </c>
      <c r="L144" s="555">
        <v>363521.93</v>
      </c>
      <c r="M144" s="553">
        <v>29595</v>
      </c>
      <c r="N144" s="553">
        <v>330220</v>
      </c>
      <c r="O144" s="554">
        <v>226.31576524741081</v>
      </c>
      <c r="P144" s="555">
        <v>74733.991999999998</v>
      </c>
      <c r="Q144" s="555">
        <v>74733.991999999998</v>
      </c>
      <c r="R144" s="555">
        <v>59485.392999999996</v>
      </c>
      <c r="S144" s="556">
        <v>79.596166895513889</v>
      </c>
      <c r="T144" s="562"/>
      <c r="U144" s="565">
        <v>202100</v>
      </c>
      <c r="V144" s="566">
        <v>7344.1947792380834</v>
      </c>
      <c r="W144" s="565">
        <v>13451</v>
      </c>
      <c r="X144" s="565">
        <v>2074</v>
      </c>
      <c r="Y144" s="566">
        <v>488.8014051238568</v>
      </c>
      <c r="Z144" s="566">
        <v>6.4855351976856319</v>
      </c>
      <c r="AA144" s="567">
        <v>76874.273000000001</v>
      </c>
      <c r="AB144" s="567">
        <v>0</v>
      </c>
      <c r="AC144" s="567">
        <v>0</v>
      </c>
      <c r="AD144" s="567">
        <v>34298.328000000001</v>
      </c>
      <c r="AE144" s="567">
        <v>0</v>
      </c>
      <c r="AF144" s="567" t="s">
        <v>434</v>
      </c>
      <c r="AG144" s="567">
        <v>111172.601</v>
      </c>
      <c r="AH144" s="567">
        <v>61936.798999999999</v>
      </c>
      <c r="AI144" s="567">
        <v>0</v>
      </c>
      <c r="AJ144" s="567">
        <v>0</v>
      </c>
      <c r="AK144" s="567">
        <v>8859.5509999999995</v>
      </c>
      <c r="AL144" s="567">
        <v>-0.65500000000000003</v>
      </c>
      <c r="AM144" s="567">
        <v>15348.909</v>
      </c>
      <c r="AN144" s="567">
        <v>-19.606999999999999</v>
      </c>
      <c r="AO144" s="567">
        <v>86124.997000000003</v>
      </c>
      <c r="AP144" s="567">
        <v>196.21899999999999</v>
      </c>
      <c r="AQ144" s="567">
        <v>85928.778000000006</v>
      </c>
      <c r="AR144" s="563" t="s">
        <v>434</v>
      </c>
      <c r="AS144" s="567">
        <v>2583.5700000000002</v>
      </c>
      <c r="AT144" s="567">
        <v>9682.5689999999995</v>
      </c>
      <c r="AU144" s="567">
        <v>0</v>
      </c>
      <c r="AV144" s="567" t="s">
        <v>434</v>
      </c>
      <c r="AW144" s="567">
        <v>98194.917000000001</v>
      </c>
      <c r="AX144" s="567">
        <v>12977.683999999999</v>
      </c>
      <c r="AY144" s="571" t="s">
        <v>430</v>
      </c>
      <c r="AZ144" s="571" t="s">
        <v>431</v>
      </c>
      <c r="BA144" s="563"/>
      <c r="BB144" s="563"/>
      <c r="BC144" s="221" t="s">
        <v>554</v>
      </c>
      <c r="BD144" s="591">
        <v>4.5943657374398289E-2</v>
      </c>
      <c r="BE144" s="653">
        <v>0.15809467367046284</v>
      </c>
      <c r="BF144" s="559" t="s">
        <v>582</v>
      </c>
      <c r="BG144" s="613" t="s">
        <v>582</v>
      </c>
    </row>
    <row r="145" spans="1:59">
      <c r="A145" s="532" t="s">
        <v>82</v>
      </c>
      <c r="B145" s="532" t="s">
        <v>420</v>
      </c>
      <c r="C145" s="532">
        <v>3</v>
      </c>
      <c r="D145" s="532">
        <v>142</v>
      </c>
      <c r="E145" s="535" t="s">
        <v>376</v>
      </c>
      <c r="F145" s="532">
        <v>2013</v>
      </c>
      <c r="G145" s="534" t="s">
        <v>469</v>
      </c>
      <c r="H145" s="551">
        <v>8368.8520000000008</v>
      </c>
      <c r="I145" s="551">
        <v>10043.75</v>
      </c>
      <c r="J145" s="568">
        <v>10.455531540626268</v>
      </c>
      <c r="K145" s="568">
        <v>1386.7181224999999</v>
      </c>
      <c r="L145" s="551">
        <v>80042.339000000007</v>
      </c>
      <c r="M145" s="557">
        <v>0</v>
      </c>
      <c r="N145" s="557">
        <v>315416</v>
      </c>
      <c r="O145" s="558">
        <v>260.22538171811198</v>
      </c>
      <c r="P145" s="551">
        <v>81868.434999999998</v>
      </c>
      <c r="Q145" s="551">
        <v>82079.248999999996</v>
      </c>
      <c r="R145" s="551">
        <v>54137.021999999997</v>
      </c>
      <c r="S145" s="569">
        <v>65.957014299680054</v>
      </c>
      <c r="T145" s="562"/>
      <c r="U145" s="560">
        <v>127953</v>
      </c>
      <c r="V145" s="561">
        <v>4867.9711872574635</v>
      </c>
      <c r="W145" s="560">
        <v>10021</v>
      </c>
      <c r="X145" s="560">
        <v>2185</v>
      </c>
      <c r="Y145" s="561">
        <v>381.24889035432574</v>
      </c>
      <c r="Z145" s="561">
        <v>4.5862700228832951</v>
      </c>
      <c r="AA145" s="567">
        <v>141804.6</v>
      </c>
      <c r="AB145" s="567">
        <v>-8656.116</v>
      </c>
      <c r="AC145" s="567">
        <v>0</v>
      </c>
      <c r="AD145" s="567">
        <v>0</v>
      </c>
      <c r="AE145" s="567">
        <v>0</v>
      </c>
      <c r="AF145" s="567" t="s">
        <v>434</v>
      </c>
      <c r="AG145" s="567">
        <v>133148.484</v>
      </c>
      <c r="AH145" s="567">
        <v>69302.921000000002</v>
      </c>
      <c r="AI145" s="567">
        <v>2114.7460000000001</v>
      </c>
      <c r="AJ145" s="567">
        <v>0</v>
      </c>
      <c r="AK145" s="567">
        <v>13951.087</v>
      </c>
      <c r="AL145" s="567">
        <v>21835.375</v>
      </c>
      <c r="AM145" s="567">
        <v>1467.4169999999999</v>
      </c>
      <c r="AN145" s="567">
        <v>689.26499999999999</v>
      </c>
      <c r="AO145" s="567">
        <v>109360.811</v>
      </c>
      <c r="AP145" s="567">
        <v>0</v>
      </c>
      <c r="AQ145" s="567">
        <v>109360.811</v>
      </c>
      <c r="AR145" s="563" t="s">
        <v>434</v>
      </c>
      <c r="AS145" s="567">
        <v>7783.607</v>
      </c>
      <c r="AT145" s="567">
        <v>9298.3449999999993</v>
      </c>
      <c r="AU145" s="567">
        <v>0</v>
      </c>
      <c r="AV145" s="567" t="s">
        <v>434</v>
      </c>
      <c r="AW145" s="567">
        <v>126442.76300000001</v>
      </c>
      <c r="AX145" s="567">
        <v>6705.7209999999995</v>
      </c>
      <c r="AY145" s="585" t="s">
        <v>430</v>
      </c>
      <c r="AZ145" s="585" t="s">
        <v>433</v>
      </c>
      <c r="BA145" s="563"/>
      <c r="BB145" s="563"/>
      <c r="BC145" s="221" t="s">
        <v>553</v>
      </c>
      <c r="BD145" s="591">
        <v>0.12548046603185845</v>
      </c>
      <c r="BE145" s="653">
        <v>0.10455531540626267</v>
      </c>
      <c r="BF145" s="559" t="s">
        <v>581</v>
      </c>
      <c r="BG145" s="613" t="s">
        <v>581</v>
      </c>
    </row>
    <row r="146" spans="1:59">
      <c r="A146" s="532" t="s">
        <v>54</v>
      </c>
      <c r="B146" s="532" t="s">
        <v>418</v>
      </c>
      <c r="C146" s="532">
        <v>1</v>
      </c>
      <c r="D146" s="532">
        <v>143</v>
      </c>
      <c r="E146" s="535" t="s">
        <v>372</v>
      </c>
      <c r="F146" s="532">
        <v>2013</v>
      </c>
      <c r="G146" s="534" t="s">
        <v>469</v>
      </c>
      <c r="H146" s="551">
        <v>11355.093999999999</v>
      </c>
      <c r="I146" s="551">
        <v>6550.5029999999997</v>
      </c>
      <c r="J146" s="568">
        <v>9.6616775696937474</v>
      </c>
      <c r="K146" s="568">
        <v>428.60820890000002</v>
      </c>
      <c r="L146" s="551">
        <v>117527.147</v>
      </c>
      <c r="M146" s="557">
        <v>0</v>
      </c>
      <c r="N146" s="557">
        <v>310978</v>
      </c>
      <c r="O146" s="558">
        <v>364.82420299828283</v>
      </c>
      <c r="P146" s="551">
        <v>113452.30100000001</v>
      </c>
      <c r="Q146" s="551">
        <v>113452.30100000001</v>
      </c>
      <c r="R146" s="551">
        <v>78804.604999999996</v>
      </c>
      <c r="S146" s="569">
        <v>69.460561227400746</v>
      </c>
      <c r="T146" s="562"/>
      <c r="U146" s="560">
        <v>187021</v>
      </c>
      <c r="V146" s="561">
        <v>7216.7548829820762</v>
      </c>
      <c r="W146" s="560">
        <v>17611</v>
      </c>
      <c r="X146" s="560">
        <v>3415</v>
      </c>
      <c r="Y146" s="561">
        <v>679.57218838631672</v>
      </c>
      <c r="Z146" s="561">
        <v>5.1569546120058565</v>
      </c>
      <c r="AA146" s="567">
        <v>151830.106</v>
      </c>
      <c r="AB146" s="567">
        <v>0</v>
      </c>
      <c r="AC146" s="567">
        <v>0</v>
      </c>
      <c r="AD146" s="567">
        <v>0</v>
      </c>
      <c r="AE146" s="567">
        <v>0</v>
      </c>
      <c r="AF146" s="567" t="s">
        <v>434</v>
      </c>
      <c r="AG146" s="567">
        <v>151830.106</v>
      </c>
      <c r="AH146" s="567">
        <v>112411.38800000001</v>
      </c>
      <c r="AI146" s="567">
        <v>1636.8579999999999</v>
      </c>
      <c r="AJ146" s="567">
        <v>0</v>
      </c>
      <c r="AK146" s="567">
        <v>0</v>
      </c>
      <c r="AL146" s="567">
        <v>1818.258</v>
      </c>
      <c r="AM146" s="567">
        <v>4945.9430000000002</v>
      </c>
      <c r="AN146" s="567">
        <v>3079.1390000000001</v>
      </c>
      <c r="AO146" s="567">
        <v>123891.586</v>
      </c>
      <c r="AP146" s="567">
        <v>0</v>
      </c>
      <c r="AQ146" s="567">
        <v>123891.586</v>
      </c>
      <c r="AR146" s="563" t="s">
        <v>434</v>
      </c>
      <c r="AS146" s="567">
        <v>7806.8940000000002</v>
      </c>
      <c r="AT146" s="567">
        <v>11655.94</v>
      </c>
      <c r="AU146" s="567">
        <v>0</v>
      </c>
      <c r="AV146" s="567" t="s">
        <v>434</v>
      </c>
      <c r="AW146" s="567">
        <v>143354.42000000001</v>
      </c>
      <c r="AX146" s="567">
        <v>8475.6859999999997</v>
      </c>
      <c r="AY146" s="585" t="s">
        <v>430</v>
      </c>
      <c r="AZ146" s="585" t="s">
        <v>433</v>
      </c>
      <c r="BA146" s="563"/>
      <c r="BB146" s="563"/>
      <c r="BC146" s="221" t="s">
        <v>553</v>
      </c>
      <c r="BD146" s="591">
        <v>5.5736084532027309E-2</v>
      </c>
      <c r="BE146" s="653">
        <v>9.6616775696937468E-2</v>
      </c>
      <c r="BF146" s="559" t="s">
        <v>576</v>
      </c>
      <c r="BG146" s="613" t="s">
        <v>576</v>
      </c>
    </row>
    <row r="147" spans="1:59">
      <c r="A147" s="532" t="s">
        <v>59</v>
      </c>
      <c r="B147" s="532" t="s">
        <v>425</v>
      </c>
      <c r="C147" s="532">
        <v>10</v>
      </c>
      <c r="D147" s="532">
        <v>144</v>
      </c>
      <c r="E147" s="535" t="s">
        <v>245</v>
      </c>
      <c r="F147" s="532">
        <v>2013</v>
      </c>
      <c r="G147" s="534" t="s">
        <v>469</v>
      </c>
      <c r="H147" s="551">
        <v>-4603.5460000000003</v>
      </c>
      <c r="I147" s="555">
        <v>4849.4120000000003</v>
      </c>
      <c r="J147" s="552">
        <v>-8.0826070530475338</v>
      </c>
      <c r="K147" s="552">
        <v>352.24966449999999</v>
      </c>
      <c r="L147" s="555">
        <v>56956.201999999997</v>
      </c>
      <c r="M147" s="553">
        <v>40026</v>
      </c>
      <c r="N147" s="553">
        <v>305557</v>
      </c>
      <c r="O147" s="554">
        <v>186.40123446689162</v>
      </c>
      <c r="P147" s="555">
        <v>57371.040999999997</v>
      </c>
      <c r="Q147" s="555">
        <v>56956.201999999997</v>
      </c>
      <c r="R147" s="555">
        <v>56832.281000000003</v>
      </c>
      <c r="S147" s="556">
        <v>99.782427557230747</v>
      </c>
      <c r="T147" s="562"/>
      <c r="U147" s="565">
        <v>181143</v>
      </c>
      <c r="V147" s="566">
        <v>7113.9460068006947</v>
      </c>
      <c r="W147" s="565">
        <v>12745</v>
      </c>
      <c r="X147" s="565">
        <v>4022</v>
      </c>
      <c r="Y147" s="566">
        <v>500.52854295597876</v>
      </c>
      <c r="Z147" s="566">
        <v>3.1688214818498261</v>
      </c>
      <c r="AA147" s="567">
        <v>1052482.69</v>
      </c>
      <c r="AB147" s="567">
        <v>0</v>
      </c>
      <c r="AC147" s="567">
        <v>0</v>
      </c>
      <c r="AD147" s="567">
        <v>0</v>
      </c>
      <c r="AE147" s="567">
        <v>0</v>
      </c>
      <c r="AF147" s="567" t="s">
        <v>434</v>
      </c>
      <c r="AG147" s="567">
        <v>1052482.69</v>
      </c>
      <c r="AH147" s="567">
        <v>745808.56599999999</v>
      </c>
      <c r="AI147" s="567">
        <v>6159.8289999999997</v>
      </c>
      <c r="AJ147" s="567">
        <v>35961.269999999997</v>
      </c>
      <c r="AK147" s="567">
        <v>15427.684999999999</v>
      </c>
      <c r="AL147" s="567">
        <v>112278.357</v>
      </c>
      <c r="AM147" s="567">
        <v>340.14600000000002</v>
      </c>
      <c r="AN147" s="567">
        <v>16088.513000000001</v>
      </c>
      <c r="AO147" s="567">
        <v>932064.36600000004</v>
      </c>
      <c r="AP147" s="567">
        <v>1124.4939999999999</v>
      </c>
      <c r="AQ147" s="567">
        <v>930939.87199999997</v>
      </c>
      <c r="AR147" s="563" t="s">
        <v>434</v>
      </c>
      <c r="AS147" s="567">
        <v>3762.3760000000002</v>
      </c>
      <c r="AT147" s="567">
        <v>111308.42</v>
      </c>
      <c r="AU147" s="567">
        <v>0</v>
      </c>
      <c r="AV147" s="567" t="s">
        <v>434</v>
      </c>
      <c r="AW147" s="567">
        <v>1046010.6679999999</v>
      </c>
      <c r="AX147" s="567">
        <v>6472.0219999999999</v>
      </c>
      <c r="AY147" s="571" t="s">
        <v>430</v>
      </c>
      <c r="AZ147" s="571" t="s">
        <v>433</v>
      </c>
      <c r="BA147" s="563"/>
      <c r="BB147" s="563"/>
      <c r="BC147" s="221" t="s">
        <v>554</v>
      </c>
      <c r="BD147" s="591">
        <v>8.5142826061330432E-2</v>
      </c>
      <c r="BE147" s="653">
        <v>-8.0826070530475344E-2</v>
      </c>
      <c r="BF147" s="559" t="s">
        <v>569</v>
      </c>
      <c r="BG147" s="613" t="s">
        <v>569</v>
      </c>
    </row>
    <row r="148" spans="1:59">
      <c r="A148" s="532" t="s">
        <v>56</v>
      </c>
      <c r="B148" s="532" t="s">
        <v>424</v>
      </c>
      <c r="C148" s="532">
        <v>5</v>
      </c>
      <c r="D148" s="532">
        <v>145</v>
      </c>
      <c r="E148" s="535" t="s">
        <v>383</v>
      </c>
      <c r="F148" s="532">
        <v>2013</v>
      </c>
      <c r="G148" s="534" t="s">
        <v>567</v>
      </c>
      <c r="H148" s="551">
        <v>8496.2559999999994</v>
      </c>
      <c r="I148" s="555">
        <v>33367.671000000002</v>
      </c>
      <c r="J148" s="552">
        <v>3.1697484266325668</v>
      </c>
      <c r="K148" s="552">
        <v>550.0149308</v>
      </c>
      <c r="L148" s="555">
        <v>268041.96600000001</v>
      </c>
      <c r="M148" s="553">
        <v>23567</v>
      </c>
      <c r="N148" s="553">
        <v>292225</v>
      </c>
      <c r="O148" s="554">
        <v>223.84509196680639</v>
      </c>
      <c r="P148" s="555">
        <v>65510.031999999999</v>
      </c>
      <c r="Q148" s="555">
        <v>65413.131999999998</v>
      </c>
      <c r="R148" s="555">
        <v>59551.913999999997</v>
      </c>
      <c r="S148" s="556">
        <v>91.039692152334183</v>
      </c>
      <c r="T148" s="562"/>
      <c r="U148" s="565">
        <v>117175</v>
      </c>
      <c r="V148" s="566">
        <v>4811.70331080503</v>
      </c>
      <c r="W148" s="565">
        <v>5700</v>
      </c>
      <c r="X148" s="565">
        <v>1298</v>
      </c>
      <c r="Y148" s="566">
        <v>234.06621610060742</v>
      </c>
      <c r="Z148" s="566">
        <v>4.3913713405238832</v>
      </c>
      <c r="AA148" s="567">
        <v>124210.24099999999</v>
      </c>
      <c r="AB148" s="567">
        <v>0</v>
      </c>
      <c r="AC148" s="567">
        <v>0</v>
      </c>
      <c r="AD148" s="567">
        <v>0</v>
      </c>
      <c r="AE148" s="567">
        <v>0</v>
      </c>
      <c r="AF148" s="567" t="s">
        <v>434</v>
      </c>
      <c r="AG148" s="567">
        <v>124210.24099999999</v>
      </c>
      <c r="AH148" s="567">
        <v>91977.157000000007</v>
      </c>
      <c r="AI148" s="567">
        <v>777.30200000000002</v>
      </c>
      <c r="AJ148" s="567">
        <v>633.51300000000003</v>
      </c>
      <c r="AK148" s="567">
        <v>0</v>
      </c>
      <c r="AL148" s="567">
        <v>18039.09</v>
      </c>
      <c r="AM148" s="567">
        <v>0</v>
      </c>
      <c r="AN148" s="567">
        <v>1643.8620000000001</v>
      </c>
      <c r="AO148" s="567">
        <v>113070.924</v>
      </c>
      <c r="AP148" s="567">
        <v>0</v>
      </c>
      <c r="AQ148" s="567">
        <v>113070.924</v>
      </c>
      <c r="AR148" s="563" t="s">
        <v>434</v>
      </c>
      <c r="AS148" s="567">
        <v>4379.0370000000003</v>
      </c>
      <c r="AT148" s="567">
        <v>11300.739</v>
      </c>
      <c r="AU148" s="567">
        <v>0</v>
      </c>
      <c r="AV148" s="567" t="s">
        <v>434</v>
      </c>
      <c r="AW148" s="567">
        <v>128750.7</v>
      </c>
      <c r="AX148" s="567">
        <v>-4540.4589999999998</v>
      </c>
      <c r="AY148" s="585" t="s">
        <v>430</v>
      </c>
      <c r="AZ148" s="585" t="s">
        <v>433</v>
      </c>
      <c r="BA148" s="563"/>
      <c r="BB148" s="563"/>
      <c r="BC148" s="221" t="s">
        <v>553</v>
      </c>
      <c r="BD148" s="591">
        <v>0.12448674175147634</v>
      </c>
      <c r="BE148" s="653">
        <v>-3.4883663274818177E-2</v>
      </c>
      <c r="BF148" s="559" t="s">
        <v>571</v>
      </c>
      <c r="BG148" s="613" t="s">
        <v>571</v>
      </c>
    </row>
    <row r="149" spans="1:59">
      <c r="A149" s="536" t="s">
        <v>56</v>
      </c>
      <c r="B149" s="536" t="s">
        <v>393</v>
      </c>
      <c r="C149" s="536">
        <v>48</v>
      </c>
      <c r="D149" s="536">
        <v>146</v>
      </c>
      <c r="E149" s="535" t="s">
        <v>393</v>
      </c>
      <c r="F149" s="532">
        <v>2013</v>
      </c>
      <c r="G149" s="534" t="s">
        <v>567</v>
      </c>
      <c r="H149" s="551">
        <v>57404.470999999998</v>
      </c>
      <c r="I149" s="555">
        <v>205581.87100000001</v>
      </c>
      <c r="J149" s="552">
        <v>2.7022584131448508</v>
      </c>
      <c r="K149" s="552">
        <v>724.50461299999995</v>
      </c>
      <c r="L149" s="555">
        <v>2124314.6370000001</v>
      </c>
      <c r="M149" s="553">
        <v>24915</v>
      </c>
      <c r="N149" s="553">
        <v>288609</v>
      </c>
      <c r="O149" s="554">
        <v>1096.773122113309</v>
      </c>
      <c r="P149" s="555">
        <v>316538.59399999998</v>
      </c>
      <c r="Q149" s="555">
        <v>316538.59399999998</v>
      </c>
      <c r="R149" s="555">
        <v>254950.42600000001</v>
      </c>
      <c r="S149" s="556">
        <v>80.543235748371345</v>
      </c>
      <c r="T149" s="562"/>
      <c r="U149" s="565">
        <v>564998</v>
      </c>
      <c r="V149" s="566">
        <v>23491.907736764966</v>
      </c>
      <c r="W149" s="565">
        <v>12857</v>
      </c>
      <c r="X149" s="565">
        <v>2608</v>
      </c>
      <c r="Y149" s="566">
        <v>534.57792376537111</v>
      </c>
      <c r="Z149" s="566">
        <v>4.929831288343558</v>
      </c>
      <c r="AA149" s="567">
        <v>337615</v>
      </c>
      <c r="AB149" s="567">
        <v>0</v>
      </c>
      <c r="AC149" s="567">
        <v>0</v>
      </c>
      <c r="AD149" s="567">
        <v>0</v>
      </c>
      <c r="AE149" s="567">
        <v>0</v>
      </c>
      <c r="AF149" s="567" t="s">
        <v>434</v>
      </c>
      <c r="AG149" s="567">
        <v>337615</v>
      </c>
      <c r="AH149" s="567">
        <v>171087.57500000001</v>
      </c>
      <c r="AI149" s="567">
        <v>39784.953000000001</v>
      </c>
      <c r="AJ149" s="567">
        <v>0</v>
      </c>
      <c r="AK149" s="567">
        <v>10988</v>
      </c>
      <c r="AL149" s="567">
        <v>81482.721999999994</v>
      </c>
      <c r="AM149" s="567">
        <v>7510.0280000000002</v>
      </c>
      <c r="AN149" s="567">
        <v>1638.693</v>
      </c>
      <c r="AO149" s="567">
        <v>312491.97100000002</v>
      </c>
      <c r="AP149" s="567">
        <v>3447.2179999999998</v>
      </c>
      <c r="AQ149" s="567">
        <v>309044.75300000003</v>
      </c>
      <c r="AR149" s="563" t="s">
        <v>434</v>
      </c>
      <c r="AS149" s="567">
        <v>20773.066999999999</v>
      </c>
      <c r="AT149" s="567">
        <v>8517.6530000000002</v>
      </c>
      <c r="AU149" s="567">
        <v>8000</v>
      </c>
      <c r="AV149" s="567" t="s">
        <v>434</v>
      </c>
      <c r="AW149" s="567">
        <v>346335.473</v>
      </c>
      <c r="AX149" s="567">
        <v>-8720.473</v>
      </c>
      <c r="AY149" s="585" t="s">
        <v>430</v>
      </c>
      <c r="AZ149" s="585" t="s">
        <v>433</v>
      </c>
      <c r="BA149" s="563"/>
      <c r="BB149" s="563"/>
      <c r="BC149" s="221" t="s">
        <v>553</v>
      </c>
      <c r="BD149" s="591">
        <v>9.6775622320395466E-2</v>
      </c>
      <c r="BE149" s="653">
        <v>9.7792020195891088E-2</v>
      </c>
      <c r="BF149" s="559" t="s">
        <v>576</v>
      </c>
      <c r="BG149" s="613" t="s">
        <v>576</v>
      </c>
    </row>
    <row r="150" spans="1:59">
      <c r="A150" s="532" t="s">
        <v>76</v>
      </c>
      <c r="B150" s="532" t="s">
        <v>423</v>
      </c>
      <c r="C150" s="532">
        <v>7</v>
      </c>
      <c r="D150" s="532">
        <v>147</v>
      </c>
      <c r="E150" s="535" t="s">
        <v>197</v>
      </c>
      <c r="F150" s="532">
        <v>2013</v>
      </c>
      <c r="G150" s="534" t="s">
        <v>469</v>
      </c>
      <c r="H150" s="551">
        <v>657.73299999999995</v>
      </c>
      <c r="I150" s="555">
        <v>6203.4380000000001</v>
      </c>
      <c r="J150" s="552">
        <v>1.153049378593314</v>
      </c>
      <c r="K150" s="552">
        <v>303.59021610000002</v>
      </c>
      <c r="L150" s="555">
        <v>57042.917000000001</v>
      </c>
      <c r="M150" s="553">
        <v>21295</v>
      </c>
      <c r="N150" s="553">
        <v>262940</v>
      </c>
      <c r="O150" s="554">
        <v>218.7684034380467</v>
      </c>
      <c r="P150" s="555">
        <v>57522.964</v>
      </c>
      <c r="Q150" s="555">
        <v>57522.964</v>
      </c>
      <c r="R150" s="555">
        <v>48237.578000000001</v>
      </c>
      <c r="S150" s="556">
        <v>83.857949322639215</v>
      </c>
      <c r="T150" s="562"/>
      <c r="U150" s="565">
        <v>156479</v>
      </c>
      <c r="V150" s="566">
        <v>7141.3554423062296</v>
      </c>
      <c r="W150" s="565">
        <v>9130</v>
      </c>
      <c r="X150" s="565">
        <v>2114</v>
      </c>
      <c r="Y150" s="566">
        <v>416.67300524834565</v>
      </c>
      <c r="Z150" s="566">
        <v>4.3188268684957425</v>
      </c>
      <c r="AA150" s="567">
        <v>255497.28200000001</v>
      </c>
      <c r="AB150" s="567">
        <v>0</v>
      </c>
      <c r="AC150" s="567">
        <v>0</v>
      </c>
      <c r="AD150" s="567">
        <v>0</v>
      </c>
      <c r="AE150" s="567">
        <v>0</v>
      </c>
      <c r="AF150" s="567" t="s">
        <v>434</v>
      </c>
      <c r="AG150" s="567">
        <v>255497.28200000001</v>
      </c>
      <c r="AH150" s="567">
        <v>125531.681</v>
      </c>
      <c r="AI150" s="567">
        <v>44488.461000000003</v>
      </c>
      <c r="AJ150" s="567">
        <v>0</v>
      </c>
      <c r="AK150" s="567">
        <v>25625.355</v>
      </c>
      <c r="AL150" s="567">
        <v>20648.109</v>
      </c>
      <c r="AM150" s="567">
        <v>2008.529</v>
      </c>
      <c r="AN150" s="567">
        <v>0</v>
      </c>
      <c r="AO150" s="567">
        <v>218302.13500000001</v>
      </c>
      <c r="AP150" s="567">
        <v>0</v>
      </c>
      <c r="AQ150" s="567">
        <v>218302.13500000001</v>
      </c>
      <c r="AR150" s="563" t="s">
        <v>434</v>
      </c>
      <c r="AS150" s="567">
        <v>7285.125</v>
      </c>
      <c r="AT150" s="567">
        <v>31432.366000000002</v>
      </c>
      <c r="AU150" s="567">
        <v>0</v>
      </c>
      <c r="AV150" s="567" t="s">
        <v>434</v>
      </c>
      <c r="AW150" s="567">
        <v>257019.62599999999</v>
      </c>
      <c r="AX150" s="567">
        <v>-1522.3440000000001</v>
      </c>
      <c r="AY150" s="571" t="s">
        <v>430</v>
      </c>
      <c r="AZ150" s="571" t="s">
        <v>431</v>
      </c>
      <c r="BA150" s="563"/>
      <c r="BB150" s="563"/>
      <c r="BC150" s="221" t="s">
        <v>553</v>
      </c>
      <c r="BD150" s="591">
        <v>0.10875036422138089</v>
      </c>
      <c r="BE150" s="653">
        <v>1.1530493785933141E-2</v>
      </c>
      <c r="BF150" s="559" t="s">
        <v>573</v>
      </c>
      <c r="BG150" s="613" t="s">
        <v>573</v>
      </c>
    </row>
    <row r="151" spans="1:59">
      <c r="A151" s="536" t="s">
        <v>84</v>
      </c>
      <c r="B151" s="536" t="s">
        <v>262</v>
      </c>
      <c r="C151" s="536">
        <v>73</v>
      </c>
      <c r="D151" s="536">
        <v>148</v>
      </c>
      <c r="E151" s="535" t="s">
        <v>262</v>
      </c>
      <c r="F151" s="532">
        <v>2013</v>
      </c>
      <c r="G151" s="534" t="s">
        <v>469</v>
      </c>
      <c r="H151" s="551">
        <v>-2314.9920000000002</v>
      </c>
      <c r="I151" s="555">
        <v>1726.797</v>
      </c>
      <c r="J151" s="552">
        <v>-4.0861765071256642</v>
      </c>
      <c r="K151" s="552">
        <v>353.7717988</v>
      </c>
      <c r="L151" s="555">
        <v>56654.233999999997</v>
      </c>
      <c r="M151" s="553">
        <v>20176</v>
      </c>
      <c r="N151" s="553">
        <v>259512</v>
      </c>
      <c r="O151" s="554">
        <v>218.31065230124233</v>
      </c>
      <c r="P151" s="555">
        <v>51288.396000000001</v>
      </c>
      <c r="Q151" s="555">
        <v>56654.233999999997</v>
      </c>
      <c r="R151" s="555">
        <v>55745.993000000002</v>
      </c>
      <c r="S151" s="556">
        <v>98.396870037992215</v>
      </c>
      <c r="T151" s="562"/>
      <c r="U151" s="565">
        <v>92637</v>
      </c>
      <c r="V151" s="566">
        <v>4283.593822250994</v>
      </c>
      <c r="W151" s="565">
        <v>9905</v>
      </c>
      <c r="X151" s="565">
        <v>2489</v>
      </c>
      <c r="Y151" s="566">
        <v>458.0135022657912</v>
      </c>
      <c r="Z151" s="566">
        <v>3.9795098433105665</v>
      </c>
      <c r="AA151" s="567">
        <v>56722.716999999997</v>
      </c>
      <c r="AB151" s="567">
        <v>0</v>
      </c>
      <c r="AC151" s="567">
        <v>0</v>
      </c>
      <c r="AD151" s="567">
        <v>0</v>
      </c>
      <c r="AE151" s="567">
        <v>0</v>
      </c>
      <c r="AF151" s="567" t="s">
        <v>434</v>
      </c>
      <c r="AG151" s="567">
        <v>56722.716999999997</v>
      </c>
      <c r="AH151" s="567">
        <v>5305.7190000000001</v>
      </c>
      <c r="AI151" s="567">
        <v>33567.656000000003</v>
      </c>
      <c r="AJ151" s="567">
        <v>0</v>
      </c>
      <c r="AK151" s="567">
        <v>309.81400000000002</v>
      </c>
      <c r="AL151" s="567">
        <v>1025.6579999999999</v>
      </c>
      <c r="AM151" s="567">
        <v>0</v>
      </c>
      <c r="AN151" s="567">
        <v>0</v>
      </c>
      <c r="AO151" s="567">
        <v>40208.847000000002</v>
      </c>
      <c r="AP151" s="567">
        <v>0</v>
      </c>
      <c r="AQ151" s="567">
        <v>40208.847000000002</v>
      </c>
      <c r="AR151" s="563" t="s">
        <v>434</v>
      </c>
      <c r="AS151" s="567">
        <v>582.08900000000006</v>
      </c>
      <c r="AT151" s="567">
        <v>3861.1889999999999</v>
      </c>
      <c r="AU151" s="567">
        <v>0</v>
      </c>
      <c r="AV151" s="567" t="s">
        <v>434</v>
      </c>
      <c r="AW151" s="567">
        <v>44652.125</v>
      </c>
      <c r="AX151" s="567">
        <v>12070.592000000001</v>
      </c>
      <c r="AY151" s="571" t="s">
        <v>435</v>
      </c>
      <c r="AZ151" s="571" t="s">
        <v>431</v>
      </c>
      <c r="BA151" s="563"/>
      <c r="BB151" s="563"/>
      <c r="BC151" s="221" t="s">
        <v>553</v>
      </c>
      <c r="BD151" s="591">
        <v>3.0479575454148759E-2</v>
      </c>
      <c r="BE151" s="653">
        <v>-4.0861765071256641E-2</v>
      </c>
      <c r="BF151" s="559" t="s">
        <v>571</v>
      </c>
      <c r="BG151" s="613" t="s">
        <v>571</v>
      </c>
    </row>
    <row r="152" spans="1:59">
      <c r="A152" s="536" t="s">
        <v>58</v>
      </c>
      <c r="B152" s="536" t="s">
        <v>427</v>
      </c>
      <c r="C152" s="536">
        <v>63</v>
      </c>
      <c r="D152" s="536">
        <v>149</v>
      </c>
      <c r="E152" s="535" t="s">
        <v>237</v>
      </c>
      <c r="F152" s="532">
        <v>2013</v>
      </c>
      <c r="G152" s="534" t="s">
        <v>567</v>
      </c>
      <c r="H152" s="551">
        <v>-979.32299999999998</v>
      </c>
      <c r="I152" s="555">
        <v>52943.659</v>
      </c>
      <c r="J152" s="552">
        <v>-8.4500115575547916E-2</v>
      </c>
      <c r="K152" s="552">
        <v>676.70753560000003</v>
      </c>
      <c r="L152" s="555">
        <v>1158960.5449999999</v>
      </c>
      <c r="M152" s="553">
        <v>21324</v>
      </c>
      <c r="N152" s="553">
        <v>247974</v>
      </c>
      <c r="O152" s="554">
        <v>204.74500149209192</v>
      </c>
      <c r="P152" s="555">
        <v>50771.436999999998</v>
      </c>
      <c r="Q152" s="555">
        <v>50771.436999999998</v>
      </c>
      <c r="R152" s="555">
        <v>78044.307000000001</v>
      </c>
      <c r="S152" s="556">
        <v>153.71695506668445</v>
      </c>
      <c r="T152" s="562"/>
      <c r="U152" s="565">
        <v>83414</v>
      </c>
      <c r="V152" s="566">
        <v>4036.5844806310338</v>
      </c>
      <c r="W152" s="565">
        <v>5211</v>
      </c>
      <c r="X152" s="565">
        <v>1402</v>
      </c>
      <c r="Y152" s="566">
        <v>252.17159863534081</v>
      </c>
      <c r="Z152" s="566">
        <v>3.716833095577746</v>
      </c>
      <c r="AA152" s="567">
        <v>53675.726000000002</v>
      </c>
      <c r="AB152" s="567">
        <v>0</v>
      </c>
      <c r="AC152" s="567">
        <v>2144.3679999999999</v>
      </c>
      <c r="AD152" s="567">
        <v>0</v>
      </c>
      <c r="AE152" s="567">
        <v>3387.9940000000001</v>
      </c>
      <c r="AF152" s="567" t="s">
        <v>434</v>
      </c>
      <c r="AG152" s="567">
        <v>59208.088000000003</v>
      </c>
      <c r="AH152" s="567">
        <v>44319.584000000003</v>
      </c>
      <c r="AI152" s="567">
        <v>1130.94</v>
      </c>
      <c r="AJ152" s="567">
        <v>2820.1179999999999</v>
      </c>
      <c r="AK152" s="567">
        <v>3507.5709999999999</v>
      </c>
      <c r="AL152" s="567">
        <v>6510.0969999999998</v>
      </c>
      <c r="AM152" s="567">
        <v>24922.187999999998</v>
      </c>
      <c r="AN152" s="567">
        <v>0</v>
      </c>
      <c r="AO152" s="567">
        <v>83210.498000000007</v>
      </c>
      <c r="AP152" s="567">
        <v>0</v>
      </c>
      <c r="AQ152" s="567">
        <v>83210.498000000007</v>
      </c>
      <c r="AR152" s="563" t="s">
        <v>434</v>
      </c>
      <c r="AS152" s="567">
        <v>724.15599999999995</v>
      </c>
      <c r="AT152" s="567">
        <v>2451.578</v>
      </c>
      <c r="AU152" s="567">
        <v>0</v>
      </c>
      <c r="AV152" s="567" t="s">
        <v>434</v>
      </c>
      <c r="AW152" s="567">
        <v>86386.232000000004</v>
      </c>
      <c r="AX152" s="567">
        <v>-27178.144</v>
      </c>
      <c r="AY152" s="571" t="s">
        <v>435</v>
      </c>
      <c r="AZ152" s="571" t="s">
        <v>431</v>
      </c>
      <c r="BA152" s="563"/>
      <c r="BB152" s="563"/>
      <c r="BC152" s="221" t="s">
        <v>553</v>
      </c>
      <c r="BD152" s="591">
        <v>4.5682020176105308E-2</v>
      </c>
      <c r="BE152" s="653">
        <v>-0.58285157084294992</v>
      </c>
      <c r="BF152" s="559" t="s">
        <v>580</v>
      </c>
      <c r="BG152" s="613" t="s">
        <v>614</v>
      </c>
    </row>
    <row r="153" spans="1:59">
      <c r="A153" s="532" t="s">
        <v>79</v>
      </c>
      <c r="B153" s="532" t="s">
        <v>420</v>
      </c>
      <c r="C153" s="532">
        <v>3</v>
      </c>
      <c r="D153" s="532">
        <v>150</v>
      </c>
      <c r="E153" s="535" t="s">
        <v>377</v>
      </c>
      <c r="F153" s="532">
        <v>2013</v>
      </c>
      <c r="G153" s="534" t="s">
        <v>469</v>
      </c>
      <c r="H153" s="551">
        <v>6494.0630000000001</v>
      </c>
      <c r="I153" s="551">
        <v>49316.222999999998</v>
      </c>
      <c r="J153" s="568">
        <v>1.3175051148789407</v>
      </c>
      <c r="K153" s="568">
        <v>424.50594009999998</v>
      </c>
      <c r="L153" s="551">
        <v>492906.09399999998</v>
      </c>
      <c r="M153" s="557">
        <v>19973</v>
      </c>
      <c r="N153" s="557">
        <v>244914</v>
      </c>
      <c r="O153" s="558">
        <v>1834.8708036290291</v>
      </c>
      <c r="P153" s="551">
        <v>449700.70199999999</v>
      </c>
      <c r="Q153" s="551">
        <v>449385.54800000001</v>
      </c>
      <c r="R153" s="551">
        <v>371266.06800000003</v>
      </c>
      <c r="S153" s="569">
        <v>82.616379109726068</v>
      </c>
      <c r="T153" s="562"/>
      <c r="U153" s="560">
        <v>226860</v>
      </c>
      <c r="V153" s="561">
        <v>11115.411940517895</v>
      </c>
      <c r="W153" s="560">
        <v>17143</v>
      </c>
      <c r="X153" s="560">
        <v>1612</v>
      </c>
      <c r="Y153" s="561">
        <v>839.95198314510401</v>
      </c>
      <c r="Z153" s="561">
        <v>10.634615384615385</v>
      </c>
      <c r="AA153" s="567">
        <v>557293.90700000001</v>
      </c>
      <c r="AB153" s="567">
        <v>0</v>
      </c>
      <c r="AC153" s="567">
        <v>0</v>
      </c>
      <c r="AD153" s="567">
        <v>0</v>
      </c>
      <c r="AE153" s="567">
        <v>0</v>
      </c>
      <c r="AF153" s="567" t="s">
        <v>434</v>
      </c>
      <c r="AG153" s="567">
        <v>557293.90700000001</v>
      </c>
      <c r="AH153" s="567">
        <v>241380.58600000001</v>
      </c>
      <c r="AI153" s="567">
        <v>23721.694</v>
      </c>
      <c r="AJ153" s="567">
        <v>0</v>
      </c>
      <c r="AK153" s="567">
        <v>57531.311000000002</v>
      </c>
      <c r="AL153" s="567">
        <v>63726.891000000003</v>
      </c>
      <c r="AM153" s="567">
        <v>69632.930999999997</v>
      </c>
      <c r="AN153" s="567">
        <v>278.79599999999999</v>
      </c>
      <c r="AO153" s="567">
        <v>456272.20899999997</v>
      </c>
      <c r="AP153" s="567">
        <v>0</v>
      </c>
      <c r="AQ153" s="567">
        <v>456272.20899999997</v>
      </c>
      <c r="AR153" s="563" t="s">
        <v>434</v>
      </c>
      <c r="AS153" s="567">
        <v>30975.151000000002</v>
      </c>
      <c r="AT153" s="567">
        <v>43189.173000000003</v>
      </c>
      <c r="AU153" s="567">
        <v>0</v>
      </c>
      <c r="AV153" s="567" t="s">
        <v>434</v>
      </c>
      <c r="AW153" s="567">
        <v>530436.53300000005</v>
      </c>
      <c r="AX153" s="567">
        <v>26857.374</v>
      </c>
      <c r="AY153" s="585" t="s">
        <v>430</v>
      </c>
      <c r="AZ153" s="585" t="s">
        <v>433</v>
      </c>
      <c r="BA153" s="563"/>
      <c r="BB153" s="563"/>
      <c r="BC153" s="221" t="s">
        <v>553</v>
      </c>
      <c r="BD153" s="591">
        <v>0.10005196446201779</v>
      </c>
      <c r="BE153" s="653">
        <v>1.3175051148789408E-2</v>
      </c>
      <c r="BF153" s="559" t="s">
        <v>573</v>
      </c>
      <c r="BG153" s="613" t="s">
        <v>573</v>
      </c>
    </row>
    <row r="154" spans="1:59">
      <c r="A154" s="532" t="s">
        <v>79</v>
      </c>
      <c r="B154" s="532" t="s">
        <v>418</v>
      </c>
      <c r="C154" s="532">
        <v>1</v>
      </c>
      <c r="D154" s="532">
        <v>151</v>
      </c>
      <c r="E154" s="535" t="s">
        <v>281</v>
      </c>
      <c r="F154" s="532">
        <v>2013</v>
      </c>
      <c r="G154" s="534" t="s">
        <v>469</v>
      </c>
      <c r="H154" s="551">
        <v>15982.137000000001</v>
      </c>
      <c r="I154" s="551">
        <v>39660.934000000001</v>
      </c>
      <c r="J154" s="568">
        <v>3.4964492333180832</v>
      </c>
      <c r="K154" s="568">
        <v>765.12779539999997</v>
      </c>
      <c r="L154" s="551">
        <v>457096.212</v>
      </c>
      <c r="M154" s="557">
        <v>20624</v>
      </c>
      <c r="N154" s="557">
        <v>241336</v>
      </c>
      <c r="O154" s="558">
        <v>1894.024148904432</v>
      </c>
      <c r="P154" s="551">
        <v>457096.212</v>
      </c>
      <c r="Q154" s="551">
        <v>457096.212</v>
      </c>
      <c r="R154" s="551">
        <v>373753.33199999999</v>
      </c>
      <c r="S154" s="569">
        <v>81.766884561274821</v>
      </c>
      <c r="T154" s="562"/>
      <c r="U154" s="560">
        <v>317909</v>
      </c>
      <c r="V154" s="561">
        <v>15807.455166241258</v>
      </c>
      <c r="W154" s="560">
        <v>774518</v>
      </c>
      <c r="X154" s="560">
        <v>50879</v>
      </c>
      <c r="Y154" s="561">
        <v>38511.519209732491</v>
      </c>
      <c r="Z154" s="561">
        <v>15.222744157707503</v>
      </c>
      <c r="AA154" s="567">
        <v>514200.82199999999</v>
      </c>
      <c r="AB154" s="567">
        <v>5762.634</v>
      </c>
      <c r="AC154" s="567">
        <v>0</v>
      </c>
      <c r="AD154" s="567">
        <v>0</v>
      </c>
      <c r="AE154" s="567">
        <v>0</v>
      </c>
      <c r="AF154" s="567" t="s">
        <v>434</v>
      </c>
      <c r="AG154" s="567">
        <v>519963.45600000001</v>
      </c>
      <c r="AH154" s="567">
        <v>411013.348</v>
      </c>
      <c r="AI154" s="567">
        <v>2048.1219999999998</v>
      </c>
      <c r="AJ154" s="567">
        <v>0</v>
      </c>
      <c r="AK154" s="567">
        <v>0</v>
      </c>
      <c r="AL154" s="567">
        <v>62444.779000000002</v>
      </c>
      <c r="AM154" s="567">
        <v>0</v>
      </c>
      <c r="AN154" s="567">
        <v>216.375</v>
      </c>
      <c r="AO154" s="567">
        <v>475722.62400000001</v>
      </c>
      <c r="AP154" s="567">
        <v>0</v>
      </c>
      <c r="AQ154" s="567">
        <v>475722.62400000001</v>
      </c>
      <c r="AR154" s="563" t="s">
        <v>434</v>
      </c>
      <c r="AS154" s="567">
        <v>39962.968999999997</v>
      </c>
      <c r="AT154" s="567">
        <v>27727.22</v>
      </c>
      <c r="AU154" s="567">
        <v>25720</v>
      </c>
      <c r="AV154" s="567" t="s">
        <v>434</v>
      </c>
      <c r="AW154" s="567">
        <v>569132.81299999997</v>
      </c>
      <c r="AX154" s="567">
        <v>-49169.357000000004</v>
      </c>
      <c r="AY154" s="571" t="s">
        <v>430</v>
      </c>
      <c r="AZ154" s="571" t="s">
        <v>433</v>
      </c>
      <c r="BA154" s="563"/>
      <c r="BB154" s="563"/>
      <c r="BC154" s="221" t="s">
        <v>553</v>
      </c>
      <c r="BD154" s="591">
        <v>8.6767146519254032E-2</v>
      </c>
      <c r="BE154" s="653">
        <v>3.496449233318083E-2</v>
      </c>
      <c r="BF154" s="559" t="s">
        <v>574</v>
      </c>
      <c r="BG154" s="613" t="s">
        <v>574</v>
      </c>
    </row>
    <row r="155" spans="1:59">
      <c r="A155" s="532" t="s">
        <v>61</v>
      </c>
      <c r="B155" s="532" t="s">
        <v>419</v>
      </c>
      <c r="C155" s="532">
        <v>2</v>
      </c>
      <c r="D155" s="532">
        <v>152</v>
      </c>
      <c r="E155" s="535" t="s">
        <v>320</v>
      </c>
      <c r="F155" s="532">
        <v>2013</v>
      </c>
      <c r="G155" s="534" t="s">
        <v>469</v>
      </c>
      <c r="H155" s="551">
        <v>1833.8389999999999</v>
      </c>
      <c r="I155" s="551">
        <v>23170.892</v>
      </c>
      <c r="J155" s="568">
        <v>0.59267712981445109</v>
      </c>
      <c r="K155" s="568">
        <v>279.93684109999998</v>
      </c>
      <c r="L155" s="551">
        <v>309416.19099999999</v>
      </c>
      <c r="M155" s="557">
        <v>22275</v>
      </c>
      <c r="N155" s="557">
        <v>239469</v>
      </c>
      <c r="O155" s="558">
        <v>1382.689153919714</v>
      </c>
      <c r="P155" s="551">
        <v>331111.18900000001</v>
      </c>
      <c r="Q155" s="551">
        <v>331111.18900000001</v>
      </c>
      <c r="R155" s="551">
        <v>275965.25199999998</v>
      </c>
      <c r="S155" s="569">
        <v>83.345190729872911</v>
      </c>
      <c r="T155" s="564"/>
      <c r="U155" s="560">
        <v>199888</v>
      </c>
      <c r="V155" s="561">
        <v>10016.561642634328</v>
      </c>
      <c r="W155" s="560">
        <v>506684</v>
      </c>
      <c r="X155" s="560">
        <v>23537</v>
      </c>
      <c r="Y155" s="561">
        <v>25390.376207358782</v>
      </c>
      <c r="Z155" s="561">
        <v>21.527127501380804</v>
      </c>
      <c r="AA155" s="567">
        <v>329403.685</v>
      </c>
      <c r="AB155" s="567">
        <v>0</v>
      </c>
      <c r="AC155" s="567">
        <v>0</v>
      </c>
      <c r="AD155" s="567">
        <v>0</v>
      </c>
      <c r="AE155" s="567">
        <v>0</v>
      </c>
      <c r="AF155" s="567" t="s">
        <v>434</v>
      </c>
      <c r="AG155" s="567">
        <v>329403.685</v>
      </c>
      <c r="AH155" s="567">
        <v>232151.30799999999</v>
      </c>
      <c r="AI155" s="567">
        <v>14530.598</v>
      </c>
      <c r="AJ155" s="567">
        <v>0</v>
      </c>
      <c r="AK155" s="567">
        <v>32714.866999999998</v>
      </c>
      <c r="AL155" s="567">
        <v>38733.421000000002</v>
      </c>
      <c r="AM155" s="567">
        <v>0</v>
      </c>
      <c r="AN155" s="567">
        <v>614.11599999999999</v>
      </c>
      <c r="AO155" s="567">
        <v>318744.31</v>
      </c>
      <c r="AP155" s="567">
        <v>1480.6210000000001</v>
      </c>
      <c r="AQ155" s="567">
        <v>317263.68900000001</v>
      </c>
      <c r="AR155" s="563" t="s">
        <v>434</v>
      </c>
      <c r="AS155" s="567">
        <v>10016.502</v>
      </c>
      <c r="AT155" s="567">
        <v>33399.436999999998</v>
      </c>
      <c r="AU155" s="567">
        <v>0</v>
      </c>
      <c r="AV155" s="567" t="s">
        <v>434</v>
      </c>
      <c r="AW155" s="567">
        <v>360679.62800000003</v>
      </c>
      <c r="AX155" s="567">
        <v>-31275.942999999999</v>
      </c>
      <c r="AY155" s="571" t="s">
        <v>430</v>
      </c>
      <c r="AZ155" s="571" t="s">
        <v>433</v>
      </c>
      <c r="BA155" s="563"/>
      <c r="BB155" s="563"/>
      <c r="BC155" s="221" t="s">
        <v>553</v>
      </c>
      <c r="BD155" s="591">
        <v>7.4885842027575089E-2</v>
      </c>
      <c r="BE155" s="653">
        <v>5.9267712981445108E-3</v>
      </c>
      <c r="BF155" s="559" t="s">
        <v>573</v>
      </c>
      <c r="BG155" s="613" t="s">
        <v>573</v>
      </c>
    </row>
    <row r="156" spans="1:59">
      <c r="A156" s="536" t="s">
        <v>90</v>
      </c>
      <c r="B156" s="536" t="s">
        <v>230</v>
      </c>
      <c r="C156" s="536">
        <v>33</v>
      </c>
      <c r="D156" s="536">
        <v>153</v>
      </c>
      <c r="E156" s="535" t="s">
        <v>230</v>
      </c>
      <c r="F156" s="532">
        <v>2013</v>
      </c>
      <c r="G156" s="534" t="s">
        <v>567</v>
      </c>
      <c r="H156" s="551">
        <v>684267.12699999998</v>
      </c>
      <c r="I156" s="555">
        <v>1642832.298</v>
      </c>
      <c r="J156" s="552">
        <v>3.016156100027203</v>
      </c>
      <c r="K156" s="552">
        <v>1227.9264131</v>
      </c>
      <c r="L156" s="555">
        <v>22686727.885000002</v>
      </c>
      <c r="M156" s="553">
        <v>19978</v>
      </c>
      <c r="N156" s="553">
        <v>222089</v>
      </c>
      <c r="O156" s="554">
        <v>221.71984204530617</v>
      </c>
      <c r="P156" s="555">
        <v>49241.538</v>
      </c>
      <c r="Q156" s="555">
        <v>49241.538</v>
      </c>
      <c r="R156" s="555">
        <v>43471.807999999997</v>
      </c>
      <c r="S156" s="556">
        <v>88.282798965377566</v>
      </c>
      <c r="T156" s="562"/>
      <c r="U156" s="565">
        <v>59508</v>
      </c>
      <c r="V156" s="566">
        <v>3215.3596080850471</v>
      </c>
      <c r="W156" s="565">
        <v>13962</v>
      </c>
      <c r="X156" s="565">
        <v>2971</v>
      </c>
      <c r="Y156" s="566">
        <v>754.40026295764312</v>
      </c>
      <c r="Z156" s="566">
        <v>4.6994278020868396</v>
      </c>
      <c r="AA156" s="567">
        <v>129888.592</v>
      </c>
      <c r="AB156" s="567">
        <v>0</v>
      </c>
      <c r="AC156" s="567">
        <v>0</v>
      </c>
      <c r="AD156" s="567">
        <v>0</v>
      </c>
      <c r="AE156" s="567">
        <v>0</v>
      </c>
      <c r="AF156" s="567" t="s">
        <v>434</v>
      </c>
      <c r="AG156" s="567">
        <v>129888.592</v>
      </c>
      <c r="AH156" s="567">
        <v>102421.874</v>
      </c>
      <c r="AI156" s="567">
        <v>0</v>
      </c>
      <c r="AJ156" s="567">
        <v>0</v>
      </c>
      <c r="AK156" s="567">
        <v>0</v>
      </c>
      <c r="AL156" s="567">
        <v>11346.156999999999</v>
      </c>
      <c r="AM156" s="567">
        <v>0</v>
      </c>
      <c r="AN156" s="567">
        <v>0</v>
      </c>
      <c r="AO156" s="567">
        <v>113768.031</v>
      </c>
      <c r="AP156" s="567">
        <v>0</v>
      </c>
      <c r="AQ156" s="567">
        <v>113768.031</v>
      </c>
      <c r="AR156" s="563" t="s">
        <v>434</v>
      </c>
      <c r="AS156" s="567">
        <v>14305.876</v>
      </c>
      <c r="AT156" s="567">
        <v>7386.6679999999997</v>
      </c>
      <c r="AU156" s="567">
        <v>35280</v>
      </c>
      <c r="AV156" s="567" t="s">
        <v>434</v>
      </c>
      <c r="AW156" s="567">
        <v>170740.57500000001</v>
      </c>
      <c r="AX156" s="567">
        <v>-40851.983</v>
      </c>
      <c r="AY156" s="571" t="s">
        <v>430</v>
      </c>
      <c r="AZ156" s="571" t="s">
        <v>431</v>
      </c>
      <c r="BA156" s="563"/>
      <c r="BB156" s="563"/>
      <c r="BC156" s="221" t="s">
        <v>553</v>
      </c>
      <c r="BD156" s="591">
        <v>7.2413805389987818E-2</v>
      </c>
      <c r="BE156" s="653">
        <v>4.4758204956236558E-2</v>
      </c>
      <c r="BF156" s="559" t="s">
        <v>574</v>
      </c>
      <c r="BG156" s="613" t="s">
        <v>574</v>
      </c>
    </row>
    <row r="157" spans="1:59">
      <c r="A157" s="532" t="s">
        <v>61</v>
      </c>
      <c r="B157" s="532" t="s">
        <v>424</v>
      </c>
      <c r="C157" s="532">
        <v>5</v>
      </c>
      <c r="D157" s="532">
        <v>154</v>
      </c>
      <c r="E157" s="535" t="s">
        <v>181</v>
      </c>
      <c r="F157" s="532">
        <v>2013</v>
      </c>
      <c r="G157" s="534" t="s">
        <v>469</v>
      </c>
      <c r="H157" s="551">
        <v>6450.0959999999995</v>
      </c>
      <c r="I157" s="555">
        <v>20329.364000000001</v>
      </c>
      <c r="J157" s="552">
        <v>2.0928362977993977</v>
      </c>
      <c r="K157" s="552">
        <v>326.84533870000001</v>
      </c>
      <c r="L157" s="555">
        <v>308198.783</v>
      </c>
      <c r="M157" s="553">
        <v>18493</v>
      </c>
      <c r="N157" s="553">
        <v>219295</v>
      </c>
      <c r="O157" s="554">
        <v>1393.2266535944732</v>
      </c>
      <c r="P157" s="555">
        <v>317768.88299999997</v>
      </c>
      <c r="Q157" s="555">
        <v>305527.63900000002</v>
      </c>
      <c r="R157" s="555">
        <v>270384.32500000001</v>
      </c>
      <c r="S157" s="556">
        <v>88.497500875853646</v>
      </c>
      <c r="T157" s="562"/>
      <c r="U157" s="565">
        <v>402491</v>
      </c>
      <c r="V157" s="566">
        <v>22024.63348457557</v>
      </c>
      <c r="W157" s="565">
        <v>83796</v>
      </c>
      <c r="X157" s="565">
        <v>8754</v>
      </c>
      <c r="Y157" s="566">
        <v>4585.3849836977588</v>
      </c>
      <c r="Z157" s="566">
        <v>9.5723098012337218</v>
      </c>
      <c r="AA157" s="567">
        <v>357773.55099999998</v>
      </c>
      <c r="AB157" s="567">
        <v>0</v>
      </c>
      <c r="AC157" s="567">
        <v>0</v>
      </c>
      <c r="AD157" s="567">
        <v>0</v>
      </c>
      <c r="AE157" s="567">
        <v>0</v>
      </c>
      <c r="AF157" s="567" t="s">
        <v>434</v>
      </c>
      <c r="AG157" s="567">
        <v>357773.55099999998</v>
      </c>
      <c r="AH157" s="567">
        <v>209942.62100000001</v>
      </c>
      <c r="AI157" s="567">
        <v>0</v>
      </c>
      <c r="AJ157" s="567">
        <v>17929.455999999998</v>
      </c>
      <c r="AK157" s="567">
        <v>24105.793000000001</v>
      </c>
      <c r="AL157" s="567">
        <v>66300.013999999996</v>
      </c>
      <c r="AM157" s="567">
        <v>7248.1030000000001</v>
      </c>
      <c r="AN157" s="567">
        <v>129.297</v>
      </c>
      <c r="AO157" s="567">
        <v>325655.28399999999</v>
      </c>
      <c r="AP157" s="567">
        <v>6894.1930000000002</v>
      </c>
      <c r="AQ157" s="567">
        <v>318761.09100000001</v>
      </c>
      <c r="AR157" s="563" t="s">
        <v>434</v>
      </c>
      <c r="AS157" s="567">
        <v>14858.599</v>
      </c>
      <c r="AT157" s="567">
        <v>10907.034</v>
      </c>
      <c r="AU157" s="567">
        <v>0</v>
      </c>
      <c r="AV157" s="567" t="s">
        <v>434</v>
      </c>
      <c r="AW157" s="567">
        <v>344526.72399999999</v>
      </c>
      <c r="AX157" s="567">
        <v>13246.826999999999</v>
      </c>
      <c r="AY157" s="571" t="s">
        <v>430</v>
      </c>
      <c r="AZ157" s="571" t="s">
        <v>433</v>
      </c>
      <c r="BA157" s="563"/>
      <c r="BB157" s="563"/>
      <c r="BC157" s="221" t="s">
        <v>553</v>
      </c>
      <c r="BD157" s="591">
        <v>6.5961856831861662E-2</v>
      </c>
      <c r="BE157" s="653">
        <v>2.0928362977993976E-2</v>
      </c>
      <c r="BF157" s="559" t="s">
        <v>573</v>
      </c>
      <c r="BG157" s="613" t="s">
        <v>573</v>
      </c>
    </row>
    <row r="158" spans="1:59">
      <c r="A158" s="536" t="s">
        <v>64</v>
      </c>
      <c r="B158" s="536" t="s">
        <v>426</v>
      </c>
      <c r="C158" s="536">
        <v>9</v>
      </c>
      <c r="D158" s="536">
        <v>155</v>
      </c>
      <c r="E158" s="535" t="s">
        <v>233</v>
      </c>
      <c r="F158" s="532">
        <v>2013</v>
      </c>
      <c r="G158" s="534" t="s">
        <v>567</v>
      </c>
      <c r="H158" s="551">
        <v>-38526.925000000003</v>
      </c>
      <c r="I158" s="555">
        <v>421461.91700000002</v>
      </c>
      <c r="J158" s="552">
        <v>-1.042889127738734</v>
      </c>
      <c r="K158" s="552">
        <v>385.28758599999998</v>
      </c>
      <c r="L158" s="555">
        <v>3694249.3670000001</v>
      </c>
      <c r="M158" s="553">
        <v>15532</v>
      </c>
      <c r="N158" s="553">
        <v>213109</v>
      </c>
      <c r="O158" s="554">
        <v>413.9836890980672</v>
      </c>
      <c r="P158" s="555">
        <v>88223.65</v>
      </c>
      <c r="Q158" s="555">
        <v>88223.65</v>
      </c>
      <c r="R158" s="555">
        <v>81908.448000000004</v>
      </c>
      <c r="S158" s="556">
        <v>92.84182642636074</v>
      </c>
      <c r="T158" s="562"/>
      <c r="U158" s="565">
        <v>129213</v>
      </c>
      <c r="V158" s="566">
        <v>7275.8822949758105</v>
      </c>
      <c r="W158" s="565">
        <v>6146</v>
      </c>
      <c r="X158" s="565">
        <v>1280</v>
      </c>
      <c r="Y158" s="566">
        <v>346.07642098644357</v>
      </c>
      <c r="Z158" s="566">
        <v>4.8015625000000002</v>
      </c>
      <c r="AA158" s="567">
        <v>94071.614000000001</v>
      </c>
      <c r="AB158" s="567">
        <v>0</v>
      </c>
      <c r="AC158" s="567">
        <v>0</v>
      </c>
      <c r="AD158" s="567">
        <v>0</v>
      </c>
      <c r="AE158" s="567">
        <v>0</v>
      </c>
      <c r="AF158" s="567" t="s">
        <v>434</v>
      </c>
      <c r="AG158" s="567">
        <v>94071.614000000001</v>
      </c>
      <c r="AH158" s="567">
        <v>62348.438000000002</v>
      </c>
      <c r="AI158" s="567">
        <v>2903.848</v>
      </c>
      <c r="AJ158" s="567">
        <v>0</v>
      </c>
      <c r="AK158" s="567">
        <v>0</v>
      </c>
      <c r="AL158" s="567">
        <v>2794.6489999999999</v>
      </c>
      <c r="AM158" s="567">
        <v>10711.374</v>
      </c>
      <c r="AN158" s="567">
        <v>0</v>
      </c>
      <c r="AO158" s="567">
        <v>78758.308999999994</v>
      </c>
      <c r="AP158" s="567">
        <v>0</v>
      </c>
      <c r="AQ158" s="567">
        <v>78758.308999999994</v>
      </c>
      <c r="AR158" s="563" t="s">
        <v>434</v>
      </c>
      <c r="AS158" s="567">
        <v>6047.8289999999997</v>
      </c>
      <c r="AT158" s="567">
        <v>5584.6850000000004</v>
      </c>
      <c r="AU158" s="567">
        <v>0</v>
      </c>
      <c r="AV158" s="567" t="s">
        <v>434</v>
      </c>
      <c r="AW158" s="567">
        <v>90390.823000000004</v>
      </c>
      <c r="AX158" s="567">
        <v>3680.7910000000002</v>
      </c>
      <c r="AY158" s="571" t="s">
        <v>435</v>
      </c>
      <c r="AZ158" s="571" t="s">
        <v>433</v>
      </c>
      <c r="BA158" s="563"/>
      <c r="BB158" s="563"/>
      <c r="BC158" s="221" t="s">
        <v>553</v>
      </c>
      <c r="BD158" s="591">
        <v>0.11408594145398956</v>
      </c>
      <c r="BE158" s="653">
        <v>-4.2504205717596971E-2</v>
      </c>
      <c r="BF158" s="559" t="s">
        <v>571</v>
      </c>
      <c r="BG158" s="613" t="s">
        <v>571</v>
      </c>
    </row>
    <row r="159" spans="1:59">
      <c r="A159" s="536" t="s">
        <v>69</v>
      </c>
      <c r="B159" s="536" t="s">
        <v>322</v>
      </c>
      <c r="C159" s="536">
        <v>84</v>
      </c>
      <c r="D159" s="536">
        <v>156</v>
      </c>
      <c r="E159" s="535" t="s">
        <v>322</v>
      </c>
      <c r="F159" s="532">
        <v>2013</v>
      </c>
      <c r="G159" s="534" t="s">
        <v>469</v>
      </c>
      <c r="H159" s="551">
        <v>798.23</v>
      </c>
      <c r="I159" s="555">
        <v>3308.37</v>
      </c>
      <c r="J159" s="552">
        <v>1.4693153796196794</v>
      </c>
      <c r="K159" s="552">
        <v>294.40114469999997</v>
      </c>
      <c r="L159" s="555">
        <v>54326.661999999997</v>
      </c>
      <c r="M159" s="553">
        <v>16885</v>
      </c>
      <c r="N159" s="553">
        <v>207988</v>
      </c>
      <c r="O159" s="554">
        <v>262.51806354212744</v>
      </c>
      <c r="P159" s="555">
        <v>54600.607000000004</v>
      </c>
      <c r="Q159" s="555">
        <v>54600.607000000004</v>
      </c>
      <c r="R159" s="555">
        <v>49912.11</v>
      </c>
      <c r="S159" s="556">
        <v>91.413104619880869</v>
      </c>
      <c r="T159" s="562"/>
      <c r="U159" s="565">
        <v>105227</v>
      </c>
      <c r="V159" s="566">
        <v>6071.1387195415118</v>
      </c>
      <c r="W159" s="565">
        <v>10402</v>
      </c>
      <c r="X159" s="565">
        <v>2567</v>
      </c>
      <c r="Y159" s="566">
        <v>600.15000865434547</v>
      </c>
      <c r="Z159" s="566">
        <v>4.0522010128554733</v>
      </c>
      <c r="AA159" s="567">
        <v>56093.536999999997</v>
      </c>
      <c r="AB159" s="567">
        <v>0</v>
      </c>
      <c r="AC159" s="567">
        <v>0</v>
      </c>
      <c r="AD159" s="567">
        <v>0</v>
      </c>
      <c r="AE159" s="567">
        <v>0</v>
      </c>
      <c r="AF159" s="567" t="s">
        <v>434</v>
      </c>
      <c r="AG159" s="567">
        <v>56093.536999999997</v>
      </c>
      <c r="AH159" s="567">
        <v>22186.053</v>
      </c>
      <c r="AI159" s="567">
        <v>14540.109</v>
      </c>
      <c r="AJ159" s="567">
        <v>0</v>
      </c>
      <c r="AK159" s="567">
        <v>946.12099999999998</v>
      </c>
      <c r="AL159" s="567">
        <v>6538.3829999999998</v>
      </c>
      <c r="AM159" s="567">
        <v>1955.172</v>
      </c>
      <c r="AN159" s="567">
        <v>0</v>
      </c>
      <c r="AO159" s="567">
        <v>46165.838000000003</v>
      </c>
      <c r="AP159" s="567">
        <v>0</v>
      </c>
      <c r="AQ159" s="567">
        <v>46165.838000000003</v>
      </c>
      <c r="AR159" s="563" t="s">
        <v>434</v>
      </c>
      <c r="AS159" s="567">
        <v>6542.1909999999998</v>
      </c>
      <c r="AT159" s="567">
        <v>2733.5070000000001</v>
      </c>
      <c r="AU159" s="567">
        <v>0</v>
      </c>
      <c r="AV159" s="567" t="s">
        <v>434</v>
      </c>
      <c r="AW159" s="567">
        <v>55441.536</v>
      </c>
      <c r="AX159" s="567">
        <v>652.00099999999998</v>
      </c>
      <c r="AY159" s="571" t="s">
        <v>435</v>
      </c>
      <c r="AZ159" s="571" t="s">
        <v>431</v>
      </c>
      <c r="BA159" s="563"/>
      <c r="BB159" s="563"/>
      <c r="BC159" s="221" t="s">
        <v>553</v>
      </c>
      <c r="BD159" s="591">
        <v>6.0897722742472196E-2</v>
      </c>
      <c r="BE159" s="653">
        <v>1.4693153796196795E-2</v>
      </c>
      <c r="BF159" s="559" t="s">
        <v>573</v>
      </c>
      <c r="BG159" s="613" t="s">
        <v>573</v>
      </c>
    </row>
    <row r="160" spans="1:59">
      <c r="A160" s="536" t="s">
        <v>85</v>
      </c>
      <c r="B160" s="536" t="s">
        <v>220</v>
      </c>
      <c r="C160" s="536">
        <v>94</v>
      </c>
      <c r="D160" s="536">
        <v>157</v>
      </c>
      <c r="E160" s="535" t="s">
        <v>220</v>
      </c>
      <c r="F160" s="532">
        <v>2013</v>
      </c>
      <c r="G160" s="534" t="s">
        <v>567</v>
      </c>
      <c r="H160" s="551">
        <v>1539.037</v>
      </c>
      <c r="I160" s="555">
        <v>9934.5059999999994</v>
      </c>
      <c r="J160" s="552">
        <v>0.54202904713489253</v>
      </c>
      <c r="K160" s="552">
        <v>375.07414260000002</v>
      </c>
      <c r="L160" s="555">
        <v>283939.94900000002</v>
      </c>
      <c r="M160" s="553">
        <v>17207</v>
      </c>
      <c r="N160" s="553">
        <v>205492</v>
      </c>
      <c r="O160" s="554">
        <v>159.07476203453174</v>
      </c>
      <c r="P160" s="555">
        <v>32727.575000000001</v>
      </c>
      <c r="Q160" s="555">
        <v>32688.591</v>
      </c>
      <c r="R160" s="555">
        <v>30388.906999999999</v>
      </c>
      <c r="S160" s="556">
        <v>92.964872667653367</v>
      </c>
      <c r="T160" s="562"/>
      <c r="U160" s="565">
        <v>76647</v>
      </c>
      <c r="V160" s="566">
        <v>4475.9114710061704</v>
      </c>
      <c r="W160" s="565">
        <v>3864</v>
      </c>
      <c r="X160" s="565">
        <v>1379</v>
      </c>
      <c r="Y160" s="566">
        <v>225.6438206840169</v>
      </c>
      <c r="Z160" s="566">
        <v>2.8020304568527918</v>
      </c>
      <c r="AA160" s="567">
        <v>33170.046000000002</v>
      </c>
      <c r="AB160" s="567">
        <v>-235</v>
      </c>
      <c r="AC160" s="567">
        <v>0</v>
      </c>
      <c r="AD160" s="567">
        <v>0</v>
      </c>
      <c r="AE160" s="567">
        <v>0</v>
      </c>
      <c r="AF160" s="567" t="s">
        <v>434</v>
      </c>
      <c r="AG160" s="567">
        <v>32935.046000000002</v>
      </c>
      <c r="AH160" s="567">
        <v>13990.789000000001</v>
      </c>
      <c r="AI160" s="567">
        <v>5932.5619999999999</v>
      </c>
      <c r="AJ160" s="567">
        <v>1065.489</v>
      </c>
      <c r="AK160" s="567">
        <v>376.63299999999998</v>
      </c>
      <c r="AL160" s="567">
        <v>3268.1080000000002</v>
      </c>
      <c r="AM160" s="567">
        <v>0</v>
      </c>
      <c r="AN160" s="567">
        <v>0</v>
      </c>
      <c r="AO160" s="567">
        <v>24633.581999999999</v>
      </c>
      <c r="AP160" s="567">
        <v>27.722000000000001</v>
      </c>
      <c r="AQ160" s="567">
        <v>24605.86</v>
      </c>
      <c r="AR160" s="563" t="s">
        <v>434</v>
      </c>
      <c r="AS160" s="567">
        <v>2438.3020000000001</v>
      </c>
      <c r="AT160" s="567">
        <v>1643.9649999999999</v>
      </c>
      <c r="AU160" s="567">
        <v>0</v>
      </c>
      <c r="AV160" s="567" t="s">
        <v>434</v>
      </c>
      <c r="AW160" s="567">
        <v>28688.127</v>
      </c>
      <c r="AX160" s="567">
        <v>4246.9189999999999</v>
      </c>
      <c r="AY160" s="571" t="s">
        <v>435</v>
      </c>
      <c r="AZ160" s="571" t="s">
        <v>431</v>
      </c>
      <c r="BA160" s="563"/>
      <c r="BB160" s="563"/>
      <c r="BC160" s="221" t="s">
        <v>553</v>
      </c>
      <c r="BD160" s="591">
        <v>3.4988053054838007E-2</v>
      </c>
      <c r="BE160" s="653">
        <v>3.5363220268628349E-2</v>
      </c>
      <c r="BF160" s="559" t="s">
        <v>574</v>
      </c>
      <c r="BG160" s="613" t="s">
        <v>574</v>
      </c>
    </row>
    <row r="161" spans="1:59">
      <c r="A161" s="532" t="s">
        <v>61</v>
      </c>
      <c r="B161" s="532" t="s">
        <v>425</v>
      </c>
      <c r="C161" s="532">
        <v>10</v>
      </c>
      <c r="D161" s="532">
        <v>158</v>
      </c>
      <c r="E161" s="535" t="s">
        <v>246</v>
      </c>
      <c r="F161" s="532">
        <v>2013</v>
      </c>
      <c r="G161" s="534" t="s">
        <v>469</v>
      </c>
      <c r="H161" s="551">
        <v>376.51299999999998</v>
      </c>
      <c r="I161" s="555">
        <v>2521.0940000000001</v>
      </c>
      <c r="J161" s="552">
        <v>0.91950047620665243</v>
      </c>
      <c r="K161" s="552">
        <v>230.2947508</v>
      </c>
      <c r="L161" s="555">
        <v>40947.559000000001</v>
      </c>
      <c r="M161" s="553">
        <v>31841</v>
      </c>
      <c r="N161" s="553">
        <v>200837</v>
      </c>
      <c r="O161" s="554">
        <v>203.02461697794729</v>
      </c>
      <c r="P161" s="555">
        <v>40945.705000000002</v>
      </c>
      <c r="Q161" s="555">
        <v>40774.855000000003</v>
      </c>
      <c r="R161" s="555">
        <v>36656.292000000001</v>
      </c>
      <c r="S161" s="556">
        <v>89.899257765600879</v>
      </c>
      <c r="T161" s="562"/>
      <c r="U161" s="565">
        <v>118824</v>
      </c>
      <c r="V161" s="566">
        <v>7099.7276398273225</v>
      </c>
      <c r="W161" s="565">
        <v>6904</v>
      </c>
      <c r="X161" s="565">
        <v>1660</v>
      </c>
      <c r="Y161" s="566">
        <v>412.51363045653937</v>
      </c>
      <c r="Z161" s="566">
        <v>4.1590361445783133</v>
      </c>
      <c r="AA161" s="567">
        <v>56956.201999999997</v>
      </c>
      <c r="AB161" s="567">
        <v>0</v>
      </c>
      <c r="AC161" s="567">
        <v>0</v>
      </c>
      <c r="AD161" s="567">
        <v>0</v>
      </c>
      <c r="AE161" s="567">
        <v>0</v>
      </c>
      <c r="AF161" s="567" t="s">
        <v>434</v>
      </c>
      <c r="AG161" s="567">
        <v>56956.201999999997</v>
      </c>
      <c r="AH161" s="567">
        <v>53240.565999999999</v>
      </c>
      <c r="AI161" s="567">
        <v>472.04500000000002</v>
      </c>
      <c r="AJ161" s="567">
        <v>1158.6579999999999</v>
      </c>
      <c r="AK161" s="567">
        <v>1333.4559999999999</v>
      </c>
      <c r="AL161" s="567">
        <v>9.2739999999999991</v>
      </c>
      <c r="AM161" s="567">
        <v>3.629</v>
      </c>
      <c r="AN161" s="567">
        <v>614.65300000000002</v>
      </c>
      <c r="AO161" s="567">
        <v>56832.281000000003</v>
      </c>
      <c r="AP161" s="567">
        <v>314.66199999999998</v>
      </c>
      <c r="AQ161" s="567">
        <v>56517.618999999999</v>
      </c>
      <c r="AR161" s="563" t="s">
        <v>434</v>
      </c>
      <c r="AS161" s="567">
        <v>322.37099999999998</v>
      </c>
      <c r="AT161" s="567">
        <v>4849.4120000000003</v>
      </c>
      <c r="AU161" s="567">
        <v>0</v>
      </c>
      <c r="AV161" s="567" t="s">
        <v>434</v>
      </c>
      <c r="AW161" s="567">
        <v>61689.402000000002</v>
      </c>
      <c r="AX161" s="567">
        <v>-4733.2</v>
      </c>
      <c r="AY161" s="571" t="s">
        <v>430</v>
      </c>
      <c r="AZ161" s="571" t="s">
        <v>433</v>
      </c>
      <c r="BA161" s="563"/>
      <c r="BB161" s="563"/>
      <c r="BC161" s="221" t="s">
        <v>554</v>
      </c>
      <c r="BD161" s="591">
        <v>6.1568847119800228E-2</v>
      </c>
      <c r="BE161" s="653">
        <v>9.1950047620665241E-3</v>
      </c>
      <c r="BF161" s="559" t="s">
        <v>573</v>
      </c>
      <c r="BG161" s="613" t="s">
        <v>573</v>
      </c>
    </row>
    <row r="162" spans="1:59">
      <c r="A162" s="536" t="s">
        <v>56</v>
      </c>
      <c r="B162" s="536" t="s">
        <v>166</v>
      </c>
      <c r="C162" s="536">
        <v>82</v>
      </c>
      <c r="D162" s="536">
        <v>159</v>
      </c>
      <c r="E162" s="535" t="s">
        <v>166</v>
      </c>
      <c r="F162" s="532">
        <v>2013</v>
      </c>
      <c r="G162" s="534" t="s">
        <v>567</v>
      </c>
      <c r="H162" s="551">
        <v>641.34699999999998</v>
      </c>
      <c r="I162" s="555">
        <v>20264.559000000001</v>
      </c>
      <c r="J162" s="552">
        <v>0.59132981685221608</v>
      </c>
      <c r="K162" s="552">
        <v>77.465720300000001</v>
      </c>
      <c r="L162" s="555">
        <v>108458.424</v>
      </c>
      <c r="M162" s="553">
        <v>15524</v>
      </c>
      <c r="N162" s="553">
        <v>186458</v>
      </c>
      <c r="O162" s="554">
        <v>262.39034527882956</v>
      </c>
      <c r="P162" s="555">
        <v>48924.779000000002</v>
      </c>
      <c r="Q162" s="555">
        <v>48924.779000000002</v>
      </c>
      <c r="R162" s="555">
        <v>40082.447</v>
      </c>
      <c r="S162" s="556">
        <v>81.926679730122032</v>
      </c>
      <c r="T162" s="562"/>
      <c r="U162" s="565">
        <v>24930</v>
      </c>
      <c r="V162" s="566">
        <v>1604.4363878192407</v>
      </c>
      <c r="W162" s="565">
        <v>3392</v>
      </c>
      <c r="X162" s="565">
        <v>945</v>
      </c>
      <c r="Y162" s="566">
        <v>218.30117238198414</v>
      </c>
      <c r="Z162" s="566">
        <v>3.5894179894179894</v>
      </c>
      <c r="AA162" s="567">
        <v>51105.652999999998</v>
      </c>
      <c r="AB162" s="567">
        <v>0</v>
      </c>
      <c r="AC162" s="567">
        <v>0</v>
      </c>
      <c r="AD162" s="567">
        <v>0</v>
      </c>
      <c r="AE162" s="567">
        <v>0</v>
      </c>
      <c r="AF162" s="567" t="s">
        <v>434</v>
      </c>
      <c r="AG162" s="567">
        <v>51105.652999999998</v>
      </c>
      <c r="AH162" s="567">
        <v>32273.097000000002</v>
      </c>
      <c r="AI162" s="567">
        <v>719.15499999999997</v>
      </c>
      <c r="AJ162" s="567">
        <v>0</v>
      </c>
      <c r="AK162" s="567">
        <v>3709.0239999999999</v>
      </c>
      <c r="AL162" s="567">
        <v>12684.944</v>
      </c>
      <c r="AM162" s="567">
        <v>0</v>
      </c>
      <c r="AN162" s="567">
        <v>243.09100000000001</v>
      </c>
      <c r="AO162" s="567">
        <v>49629.311000000002</v>
      </c>
      <c r="AP162" s="567">
        <v>98.192999999999998</v>
      </c>
      <c r="AQ162" s="567">
        <v>49531.118000000002</v>
      </c>
      <c r="AR162" s="563" t="s">
        <v>434</v>
      </c>
      <c r="AS162" s="567">
        <v>1467.453</v>
      </c>
      <c r="AT162" s="567">
        <v>5035.2520000000004</v>
      </c>
      <c r="AU162" s="567">
        <v>205</v>
      </c>
      <c r="AV162" s="567" t="s">
        <v>434</v>
      </c>
      <c r="AW162" s="567">
        <v>56238.822999999997</v>
      </c>
      <c r="AX162" s="567">
        <v>-5133.17</v>
      </c>
      <c r="AY162" s="571">
        <v>0</v>
      </c>
      <c r="AZ162" s="571">
        <v>0</v>
      </c>
      <c r="BA162" s="563"/>
      <c r="BB162" s="563"/>
      <c r="BC162" s="221" t="s">
        <v>553</v>
      </c>
      <c r="BD162" s="591">
        <v>0.1868417247147165</v>
      </c>
      <c r="BE162" s="653">
        <v>-6.1085220159368125E-3</v>
      </c>
      <c r="BF162" s="559" t="s">
        <v>572</v>
      </c>
      <c r="BG162" s="613" t="s">
        <v>572</v>
      </c>
    </row>
    <row r="163" spans="1:59">
      <c r="A163" s="536" t="s">
        <v>95</v>
      </c>
      <c r="B163" s="536" t="s">
        <v>409</v>
      </c>
      <c r="C163" s="536">
        <v>97</v>
      </c>
      <c r="D163" s="536">
        <v>160</v>
      </c>
      <c r="E163" s="535" t="s">
        <v>409</v>
      </c>
      <c r="F163" s="532">
        <v>2013</v>
      </c>
      <c r="G163" s="534" t="s">
        <v>567</v>
      </c>
      <c r="H163" s="551">
        <v>175.01300000000001</v>
      </c>
      <c r="I163" s="555">
        <v>5952.6490000000003</v>
      </c>
      <c r="J163" s="552">
        <v>0.16050691030429456</v>
      </c>
      <c r="K163" s="552">
        <v>445.24464289999997</v>
      </c>
      <c r="L163" s="555">
        <v>109037.673</v>
      </c>
      <c r="M163" s="553">
        <v>14673</v>
      </c>
      <c r="N163" s="553">
        <v>176886</v>
      </c>
      <c r="O163" s="554">
        <v>165.92803839761203</v>
      </c>
      <c r="P163" s="555">
        <v>29027.576000000001</v>
      </c>
      <c r="Q163" s="555">
        <v>29350.347000000002</v>
      </c>
      <c r="R163" s="555">
        <v>28475.813999999998</v>
      </c>
      <c r="S163" s="556">
        <v>97.020365721740859</v>
      </c>
      <c r="T163" s="562"/>
      <c r="U163" s="565">
        <v>92990</v>
      </c>
      <c r="V163" s="566">
        <v>6308.4698619449819</v>
      </c>
      <c r="W163" s="565">
        <v>3155</v>
      </c>
      <c r="X163" s="565">
        <v>857</v>
      </c>
      <c r="Y163" s="566">
        <v>214.03615888199178</v>
      </c>
      <c r="Z163" s="566">
        <v>3.6814469078179695</v>
      </c>
      <c r="AA163" s="567">
        <v>29726.385999999999</v>
      </c>
      <c r="AB163" s="567">
        <v>0</v>
      </c>
      <c r="AC163" s="567">
        <v>0</v>
      </c>
      <c r="AD163" s="567">
        <v>0</v>
      </c>
      <c r="AE163" s="567">
        <v>0</v>
      </c>
      <c r="AF163" s="567" t="s">
        <v>434</v>
      </c>
      <c r="AG163" s="567">
        <v>29726.385999999999</v>
      </c>
      <c r="AH163" s="567">
        <v>12559.537</v>
      </c>
      <c r="AI163" s="567">
        <v>3509.3620000000001</v>
      </c>
      <c r="AJ163" s="567">
        <v>0</v>
      </c>
      <c r="AK163" s="567">
        <v>2967.1819999999998</v>
      </c>
      <c r="AL163" s="567">
        <v>3437.444</v>
      </c>
      <c r="AM163" s="567">
        <v>0</v>
      </c>
      <c r="AN163" s="567">
        <v>0</v>
      </c>
      <c r="AO163" s="567">
        <v>22473.525000000001</v>
      </c>
      <c r="AP163" s="567">
        <v>0</v>
      </c>
      <c r="AQ163" s="567">
        <v>22473.525000000001</v>
      </c>
      <c r="AR163" s="563" t="s">
        <v>434</v>
      </c>
      <c r="AS163" s="567">
        <v>375.17</v>
      </c>
      <c r="AT163" s="567">
        <v>4614.509</v>
      </c>
      <c r="AU163" s="567">
        <v>0</v>
      </c>
      <c r="AV163" s="567" t="s">
        <v>434</v>
      </c>
      <c r="AW163" s="567">
        <v>27463.204000000002</v>
      </c>
      <c r="AX163" s="567">
        <v>2263.1819999999998</v>
      </c>
      <c r="AY163" s="571" t="s">
        <v>435</v>
      </c>
      <c r="AZ163" s="571" t="s">
        <v>433</v>
      </c>
      <c r="BA163" s="563"/>
      <c r="BB163" s="563"/>
      <c r="BC163" s="221" t="s">
        <v>553</v>
      </c>
      <c r="BD163" s="591">
        <v>5.459259021420973E-2</v>
      </c>
      <c r="BE163" s="653">
        <v>-2.4796247431618373E-2</v>
      </c>
      <c r="BF163" s="559" t="s">
        <v>572</v>
      </c>
      <c r="BG163" s="613" t="s">
        <v>572</v>
      </c>
    </row>
    <row r="164" spans="1:59">
      <c r="A164" s="536" t="s">
        <v>66</v>
      </c>
      <c r="B164" s="536" t="s">
        <v>214</v>
      </c>
      <c r="C164" s="536">
        <v>70</v>
      </c>
      <c r="D164" s="536">
        <v>161</v>
      </c>
      <c r="E164" s="535" t="s">
        <v>214</v>
      </c>
      <c r="F164" s="532">
        <v>2013</v>
      </c>
      <c r="G164" s="534" t="s">
        <v>567</v>
      </c>
      <c r="H164" s="551">
        <v>28927.518</v>
      </c>
      <c r="I164" s="555">
        <v>110293.444</v>
      </c>
      <c r="J164" s="552">
        <v>2.4199402753841381</v>
      </c>
      <c r="K164" s="552">
        <v>412.64283289999997</v>
      </c>
      <c r="L164" s="555">
        <v>1195381.4850000001</v>
      </c>
      <c r="M164" s="553">
        <v>14203</v>
      </c>
      <c r="N164" s="553">
        <v>168635</v>
      </c>
      <c r="O164" s="554">
        <v>431.4207489548433</v>
      </c>
      <c r="P164" s="555">
        <v>72752.638000000006</v>
      </c>
      <c r="Q164" s="555">
        <v>72752.638000000006</v>
      </c>
      <c r="R164" s="555">
        <v>67470.350999999995</v>
      </c>
      <c r="S164" s="556">
        <v>92.739387676911434</v>
      </c>
      <c r="T164" s="562"/>
      <c r="U164" s="565">
        <v>53739</v>
      </c>
      <c r="V164" s="566">
        <v>3824.0460165446084</v>
      </c>
      <c r="W164" s="565">
        <v>9438</v>
      </c>
      <c r="X164" s="565">
        <v>1749</v>
      </c>
      <c r="Y164" s="566">
        <v>671.60435259584312</v>
      </c>
      <c r="Z164" s="566">
        <v>5.3962264150943398</v>
      </c>
      <c r="AA164" s="567">
        <v>73524.941000000006</v>
      </c>
      <c r="AB164" s="567">
        <v>0</v>
      </c>
      <c r="AC164" s="567">
        <v>0</v>
      </c>
      <c r="AD164" s="567">
        <v>0</v>
      </c>
      <c r="AE164" s="567">
        <v>0</v>
      </c>
      <c r="AF164" s="567" t="s">
        <v>434</v>
      </c>
      <c r="AG164" s="567">
        <v>73524.941000000006</v>
      </c>
      <c r="AH164" s="567">
        <v>39853.091999999997</v>
      </c>
      <c r="AI164" s="567">
        <v>4290.7110000000002</v>
      </c>
      <c r="AJ164" s="567">
        <v>0</v>
      </c>
      <c r="AK164" s="567">
        <v>5662.3289999999997</v>
      </c>
      <c r="AL164" s="567">
        <v>9679.2610000000004</v>
      </c>
      <c r="AM164" s="567">
        <v>0</v>
      </c>
      <c r="AN164" s="567">
        <v>0</v>
      </c>
      <c r="AO164" s="567">
        <v>59485.392999999996</v>
      </c>
      <c r="AP164" s="567">
        <v>0</v>
      </c>
      <c r="AQ164" s="567">
        <v>59485.392999999996</v>
      </c>
      <c r="AR164" s="563" t="s">
        <v>434</v>
      </c>
      <c r="AS164" s="567">
        <v>1396.798</v>
      </c>
      <c r="AT164" s="567">
        <v>3378.0050000000001</v>
      </c>
      <c r="AU164" s="567">
        <v>0</v>
      </c>
      <c r="AV164" s="567" t="s">
        <v>434</v>
      </c>
      <c r="AW164" s="567">
        <v>64260.196000000004</v>
      </c>
      <c r="AX164" s="567">
        <v>9264.7450000000008</v>
      </c>
      <c r="AY164" s="571" t="s">
        <v>430</v>
      </c>
      <c r="AZ164" s="571" t="s">
        <v>431</v>
      </c>
      <c r="BA164" s="563"/>
      <c r="BB164" s="563"/>
      <c r="BC164" s="221" t="s">
        <v>553</v>
      </c>
      <c r="BD164" s="591">
        <v>9.2266314464457336E-2</v>
      </c>
      <c r="BE164" s="653">
        <v>-1.9660191233571669E-2</v>
      </c>
      <c r="BF164" s="559" t="s">
        <v>572</v>
      </c>
      <c r="BG164" s="613" t="s">
        <v>572</v>
      </c>
    </row>
    <row r="165" spans="1:59">
      <c r="A165" s="536" t="s">
        <v>67</v>
      </c>
      <c r="B165" s="536" t="s">
        <v>399</v>
      </c>
      <c r="C165" s="536">
        <v>66</v>
      </c>
      <c r="D165" s="536">
        <v>162</v>
      </c>
      <c r="E165" s="535" t="s">
        <v>399</v>
      </c>
      <c r="F165" s="532">
        <v>2013</v>
      </c>
      <c r="G165" s="534" t="s">
        <v>567</v>
      </c>
      <c r="H165" s="551" t="s">
        <v>434</v>
      </c>
      <c r="I165" s="555" t="s">
        <v>434</v>
      </c>
      <c r="J165" s="552" t="s">
        <v>434</v>
      </c>
      <c r="K165" s="552" t="s">
        <v>434</v>
      </c>
      <c r="L165" s="555" t="s">
        <v>434</v>
      </c>
      <c r="M165" s="553">
        <v>14346</v>
      </c>
      <c r="N165" s="553">
        <v>165133</v>
      </c>
      <c r="O165" s="554">
        <v>524.83894799949132</v>
      </c>
      <c r="P165" s="555">
        <v>86668.23</v>
      </c>
      <c r="Q165" s="555">
        <v>86668.23</v>
      </c>
      <c r="R165" s="555">
        <v>78911.03</v>
      </c>
      <c r="S165" s="556">
        <v>91.049546067803632</v>
      </c>
      <c r="T165" s="562"/>
      <c r="U165" s="565">
        <v>37561</v>
      </c>
      <c r="V165" s="566">
        <v>2729.5089412776369</v>
      </c>
      <c r="W165" s="565">
        <v>13729</v>
      </c>
      <c r="X165" s="565">
        <v>2896</v>
      </c>
      <c r="Y165" s="566">
        <v>997.66854595992322</v>
      </c>
      <c r="Z165" s="566">
        <v>4.7406767955801108</v>
      </c>
      <c r="AA165" s="567"/>
      <c r="AB165" s="567"/>
      <c r="AC165" s="567"/>
      <c r="AD165" s="567"/>
      <c r="AE165" s="567"/>
      <c r="AF165" s="567"/>
      <c r="AG165" s="567"/>
      <c r="AH165" s="567"/>
      <c r="AI165" s="567"/>
      <c r="AJ165" s="567"/>
      <c r="AK165" s="567"/>
      <c r="AL165" s="567"/>
      <c r="AM165" s="567"/>
      <c r="AN165" s="567"/>
      <c r="AO165" s="567"/>
      <c r="AP165" s="567"/>
      <c r="AQ165" s="567"/>
      <c r="AR165" s="563"/>
      <c r="AS165" s="567"/>
      <c r="AT165" s="567"/>
      <c r="AU165" s="567"/>
      <c r="AV165" s="567"/>
      <c r="AW165" s="567"/>
      <c r="AX165" s="567"/>
      <c r="AY165" s="571" t="s">
        <v>435</v>
      </c>
      <c r="AZ165" s="571" t="s">
        <v>433</v>
      </c>
      <c r="BA165" s="563"/>
      <c r="BB165" s="563"/>
      <c r="BC165" s="221" t="s">
        <v>553</v>
      </c>
      <c r="BD165" s="591">
        <v>0</v>
      </c>
      <c r="BE165" s="653">
        <v>-100</v>
      </c>
      <c r="BF165" s="559" t="s">
        <v>455</v>
      </c>
      <c r="BG165" s="613" t="s">
        <v>455</v>
      </c>
    </row>
    <row r="166" spans="1:59">
      <c r="A166" s="536" t="s">
        <v>56</v>
      </c>
      <c r="B166" s="536" t="s">
        <v>411</v>
      </c>
      <c r="C166" s="536">
        <v>15</v>
      </c>
      <c r="D166" s="536">
        <v>163</v>
      </c>
      <c r="E166" s="535" t="s">
        <v>411</v>
      </c>
      <c r="F166" s="532">
        <v>2013</v>
      </c>
      <c r="G166" s="534" t="s">
        <v>567</v>
      </c>
      <c r="H166" s="551">
        <v>-1874.751</v>
      </c>
      <c r="I166" s="555">
        <v>2828.4830000000002</v>
      </c>
      <c r="J166" s="552">
        <v>-3.6585458668123358</v>
      </c>
      <c r="K166" s="552">
        <v>748.97801379999999</v>
      </c>
      <c r="L166" s="555">
        <v>51243.063999999998</v>
      </c>
      <c r="M166" s="553">
        <v>14069</v>
      </c>
      <c r="N166" s="553">
        <v>163130</v>
      </c>
      <c r="O166" s="554">
        <v>169.54042787960523</v>
      </c>
      <c r="P166" s="555">
        <v>27657.13</v>
      </c>
      <c r="Q166" s="555">
        <v>27657.13</v>
      </c>
      <c r="R166" s="555">
        <v>23294.397000000001</v>
      </c>
      <c r="S166" s="556">
        <v>84.225648142088502</v>
      </c>
      <c r="T166" s="562"/>
      <c r="U166" s="565">
        <v>100439</v>
      </c>
      <c r="V166" s="566">
        <v>7388.3896279041255</v>
      </c>
      <c r="W166" s="565">
        <v>2695</v>
      </c>
      <c r="X166" s="565">
        <v>862</v>
      </c>
      <c r="Y166" s="566">
        <v>198.24679703304113</v>
      </c>
      <c r="Z166" s="566">
        <v>3.1264501160092806</v>
      </c>
      <c r="AA166" s="567">
        <v>28990.289000000001</v>
      </c>
      <c r="AB166" s="567">
        <v>0</v>
      </c>
      <c r="AC166" s="567">
        <v>0</v>
      </c>
      <c r="AD166" s="567">
        <v>0</v>
      </c>
      <c r="AE166" s="567">
        <v>0</v>
      </c>
      <c r="AF166" s="567" t="s">
        <v>434</v>
      </c>
      <c r="AG166" s="567">
        <v>28990.289000000001</v>
      </c>
      <c r="AH166" s="567">
        <v>20782.594000000001</v>
      </c>
      <c r="AI166" s="567">
        <v>0</v>
      </c>
      <c r="AJ166" s="567">
        <v>0</v>
      </c>
      <c r="AK166" s="567">
        <v>0</v>
      </c>
      <c r="AL166" s="567">
        <v>0</v>
      </c>
      <c r="AM166" s="567">
        <v>7693.22</v>
      </c>
      <c r="AN166" s="567">
        <v>0</v>
      </c>
      <c r="AO166" s="567">
        <v>28475.813999999998</v>
      </c>
      <c r="AP166" s="567">
        <v>0</v>
      </c>
      <c r="AQ166" s="567">
        <v>28475.813999999998</v>
      </c>
      <c r="AR166" s="563" t="s">
        <v>434</v>
      </c>
      <c r="AS166" s="567">
        <v>0</v>
      </c>
      <c r="AT166" s="567">
        <v>1604.6690000000001</v>
      </c>
      <c r="AU166" s="567">
        <v>0</v>
      </c>
      <c r="AV166" s="567" t="s">
        <v>434</v>
      </c>
      <c r="AW166" s="567">
        <v>30080.483</v>
      </c>
      <c r="AX166" s="567">
        <v>-1090.194</v>
      </c>
      <c r="AY166" s="571">
        <v>0</v>
      </c>
      <c r="AZ166" s="571">
        <v>0</v>
      </c>
      <c r="BA166" s="563"/>
      <c r="BB166" s="563"/>
      <c r="BC166" s="221" t="s">
        <v>553</v>
      </c>
      <c r="BD166" s="591">
        <v>5.5197382420379866E-2</v>
      </c>
      <c r="BE166" s="653">
        <v>0.10254613615873509</v>
      </c>
      <c r="BF166" s="559" t="s">
        <v>581</v>
      </c>
      <c r="BG166" s="613" t="s">
        <v>581</v>
      </c>
    </row>
    <row r="167" spans="1:59">
      <c r="A167" s="536" t="s">
        <v>66</v>
      </c>
      <c r="B167" s="536" t="s">
        <v>223</v>
      </c>
      <c r="C167" s="536">
        <v>75</v>
      </c>
      <c r="D167" s="536">
        <v>164</v>
      </c>
      <c r="E167" s="535" t="s">
        <v>223</v>
      </c>
      <c r="F167" s="532">
        <v>2013</v>
      </c>
      <c r="G167" s="534" t="s">
        <v>567</v>
      </c>
      <c r="H167" s="551">
        <v>2267.2350000000001</v>
      </c>
      <c r="I167" s="555">
        <v>35857.167000000001</v>
      </c>
      <c r="J167" s="552">
        <v>0.41475779709480037</v>
      </c>
      <c r="K167" s="552">
        <v>261.70836270000001</v>
      </c>
      <c r="L167" s="555">
        <v>546640.71799999999</v>
      </c>
      <c r="M167" s="553">
        <v>13819</v>
      </c>
      <c r="N167" s="553">
        <v>158047</v>
      </c>
      <c r="O167" s="554">
        <v>420.06165887362619</v>
      </c>
      <c r="P167" s="555">
        <v>66389.485000000001</v>
      </c>
      <c r="Q167" s="555">
        <v>66389.485000000001</v>
      </c>
      <c r="R167" s="555">
        <v>61716.474999999999</v>
      </c>
      <c r="S167" s="556">
        <v>92.961219687123645</v>
      </c>
      <c r="T167" s="562"/>
      <c r="U167" s="565">
        <v>133887</v>
      </c>
      <c r="V167" s="566">
        <v>10165.608964421976</v>
      </c>
      <c r="W167" s="565">
        <v>8511</v>
      </c>
      <c r="X167" s="565">
        <v>1703</v>
      </c>
      <c r="Y167" s="566">
        <v>646.21283542237438</v>
      </c>
      <c r="Z167" s="566">
        <v>4.9976512037580738</v>
      </c>
      <c r="AA167" s="567">
        <v>66939.350999999995</v>
      </c>
      <c r="AB167" s="567">
        <v>0</v>
      </c>
      <c r="AC167" s="567">
        <v>0</v>
      </c>
      <c r="AD167" s="567">
        <v>0</v>
      </c>
      <c r="AE167" s="567">
        <v>0</v>
      </c>
      <c r="AF167" s="567" t="s">
        <v>434</v>
      </c>
      <c r="AG167" s="567">
        <v>66939.350999999995</v>
      </c>
      <c r="AH167" s="567">
        <v>71688.226999999999</v>
      </c>
      <c r="AI167" s="567">
        <v>79205.31</v>
      </c>
      <c r="AJ167" s="567">
        <v>0</v>
      </c>
      <c r="AK167" s="567">
        <v>8658.9179999999997</v>
      </c>
      <c r="AL167" s="567">
        <v>33438.466</v>
      </c>
      <c r="AM167" s="567">
        <v>0</v>
      </c>
      <c r="AN167" s="567">
        <v>0</v>
      </c>
      <c r="AO167" s="567">
        <v>192990.921</v>
      </c>
      <c r="AP167" s="567">
        <v>135093.56400000001</v>
      </c>
      <c r="AQ167" s="567">
        <v>57897.357000000004</v>
      </c>
      <c r="AR167" s="563" t="s">
        <v>434</v>
      </c>
      <c r="AS167" s="567">
        <v>3578.9059999999999</v>
      </c>
      <c r="AT167" s="567">
        <v>2501.5210000000002</v>
      </c>
      <c r="AU167" s="567">
        <v>0</v>
      </c>
      <c r="AV167" s="567" t="s">
        <v>434</v>
      </c>
      <c r="AW167" s="567">
        <v>63977.784</v>
      </c>
      <c r="AX167" s="567">
        <v>2961.567</v>
      </c>
      <c r="AY167" s="571" t="s">
        <v>435</v>
      </c>
      <c r="AZ167" s="571" t="s">
        <v>431</v>
      </c>
      <c r="BA167" s="563"/>
      <c r="BB167" s="563"/>
      <c r="BC167" s="221" t="s">
        <v>553</v>
      </c>
      <c r="BD167" s="591">
        <v>6.5595492284568527E-2</v>
      </c>
      <c r="BE167" s="653">
        <v>4.7923108441950552E-3</v>
      </c>
      <c r="BF167" s="559" t="s">
        <v>573</v>
      </c>
      <c r="BG167" s="613" t="s">
        <v>573</v>
      </c>
    </row>
    <row r="168" spans="1:59">
      <c r="A168" s="536" t="s">
        <v>54</v>
      </c>
      <c r="B168" s="536" t="s">
        <v>174</v>
      </c>
      <c r="C168" s="536">
        <v>76</v>
      </c>
      <c r="D168" s="536">
        <v>165</v>
      </c>
      <c r="E168" s="535" t="s">
        <v>174</v>
      </c>
      <c r="F168" s="532">
        <v>2013</v>
      </c>
      <c r="G168" s="534" t="s">
        <v>469</v>
      </c>
      <c r="H168" s="551">
        <v>-223.56899999999999</v>
      </c>
      <c r="I168" s="555">
        <v>3872.788</v>
      </c>
      <c r="J168" s="552">
        <v>-0.44268407582994124</v>
      </c>
      <c r="K168" s="552">
        <v>154.99250670000001</v>
      </c>
      <c r="L168" s="555">
        <v>50503.059000000001</v>
      </c>
      <c r="M168" s="553">
        <v>24271</v>
      </c>
      <c r="N168" s="553">
        <v>147761</v>
      </c>
      <c r="O168" s="554">
        <v>326.15557555782647</v>
      </c>
      <c r="P168" s="555">
        <v>48193.074000000001</v>
      </c>
      <c r="Q168" s="555">
        <v>48193.074000000001</v>
      </c>
      <c r="R168" s="555">
        <v>40913.83</v>
      </c>
      <c r="S168" s="556">
        <v>84.895663638306203</v>
      </c>
      <c r="T168" s="562"/>
      <c r="U168" s="565">
        <v>26387</v>
      </c>
      <c r="V168" s="566">
        <v>2142.9470563951245</v>
      </c>
      <c r="W168" s="565">
        <v>5072</v>
      </c>
      <c r="X168" s="565">
        <v>1199</v>
      </c>
      <c r="Y168" s="566">
        <v>411.9084196777228</v>
      </c>
      <c r="Z168" s="566">
        <v>4.2301918265221019</v>
      </c>
      <c r="AA168" s="567">
        <v>48924.779000000002</v>
      </c>
      <c r="AB168" s="567">
        <v>0</v>
      </c>
      <c r="AC168" s="567">
        <v>0</v>
      </c>
      <c r="AD168" s="567">
        <v>0</v>
      </c>
      <c r="AE168" s="567">
        <v>0</v>
      </c>
      <c r="AF168" s="567" t="s">
        <v>434</v>
      </c>
      <c r="AG168" s="567">
        <v>48924.779000000002</v>
      </c>
      <c r="AH168" s="567">
        <v>21063.356</v>
      </c>
      <c r="AI168" s="567">
        <v>1755.231</v>
      </c>
      <c r="AJ168" s="567">
        <v>0</v>
      </c>
      <c r="AK168" s="567">
        <v>13175.752</v>
      </c>
      <c r="AL168" s="567">
        <v>4088.1080000000002</v>
      </c>
      <c r="AM168" s="567">
        <v>0</v>
      </c>
      <c r="AN168" s="567">
        <v>0</v>
      </c>
      <c r="AO168" s="567">
        <v>40082.447</v>
      </c>
      <c r="AP168" s="567">
        <v>0</v>
      </c>
      <c r="AQ168" s="567">
        <v>40082.447</v>
      </c>
      <c r="AR168" s="563" t="s">
        <v>434</v>
      </c>
      <c r="AS168" s="567">
        <v>168.15299999999999</v>
      </c>
      <c r="AT168" s="567">
        <v>6908.9059999999999</v>
      </c>
      <c r="AU168" s="567">
        <v>0</v>
      </c>
      <c r="AV168" s="567" t="s">
        <v>434</v>
      </c>
      <c r="AW168" s="567">
        <v>47159.506000000001</v>
      </c>
      <c r="AX168" s="567">
        <v>1765.2729999999999</v>
      </c>
      <c r="AY168" s="571" t="s">
        <v>430</v>
      </c>
      <c r="AZ168" s="571" t="s">
        <v>433</v>
      </c>
      <c r="BA168" s="563"/>
      <c r="BB168" s="563"/>
      <c r="BC168" s="221" t="s">
        <v>553</v>
      </c>
      <c r="BD168" s="591">
        <v>7.6684226197070562E-2</v>
      </c>
      <c r="BE168" s="653">
        <v>-4.4268407582994124E-3</v>
      </c>
      <c r="BF168" s="559" t="s">
        <v>572</v>
      </c>
      <c r="BG168" s="613" t="s">
        <v>572</v>
      </c>
    </row>
    <row r="169" spans="1:59">
      <c r="A169" s="536" t="s">
        <v>95</v>
      </c>
      <c r="B169" s="536" t="s">
        <v>175</v>
      </c>
      <c r="C169" s="536">
        <v>93</v>
      </c>
      <c r="D169" s="536">
        <v>166</v>
      </c>
      <c r="E169" s="535" t="s">
        <v>175</v>
      </c>
      <c r="F169" s="532">
        <v>2013</v>
      </c>
      <c r="G169" s="534" t="s">
        <v>567</v>
      </c>
      <c r="H169" s="551">
        <v>-693.68600000000004</v>
      </c>
      <c r="I169" s="555">
        <v>30579.848999999998</v>
      </c>
      <c r="J169" s="552">
        <v>-0.10889367420253938</v>
      </c>
      <c r="K169" s="552">
        <v>428.97916079999999</v>
      </c>
      <c r="L169" s="555">
        <v>637030.576</v>
      </c>
      <c r="M169" s="553">
        <v>12821</v>
      </c>
      <c r="N169" s="553">
        <v>142973</v>
      </c>
      <c r="O169" s="554">
        <v>191.17106726444854</v>
      </c>
      <c r="P169" s="555">
        <v>27332.300999999999</v>
      </c>
      <c r="Q169" s="555">
        <v>27332.300999999999</v>
      </c>
      <c r="R169" s="555">
        <v>23999.574000000001</v>
      </c>
      <c r="S169" s="556">
        <v>87.806635818916234</v>
      </c>
      <c r="T169" s="562"/>
      <c r="U169" s="565">
        <v>52292</v>
      </c>
      <c r="V169" s="566">
        <v>4388.9685465087814</v>
      </c>
      <c r="W169" s="565">
        <v>2879</v>
      </c>
      <c r="X169" s="565">
        <v>811</v>
      </c>
      <c r="Y169" s="566">
        <v>241.64002993572214</v>
      </c>
      <c r="Z169" s="566">
        <v>3.5499383477188657</v>
      </c>
      <c r="AA169" s="567">
        <v>27523.363000000001</v>
      </c>
      <c r="AB169" s="567">
        <v>0</v>
      </c>
      <c r="AC169" s="567">
        <v>0</v>
      </c>
      <c r="AD169" s="567">
        <v>0</v>
      </c>
      <c r="AE169" s="567">
        <v>23.707000000000001</v>
      </c>
      <c r="AF169" s="567" t="s">
        <v>434</v>
      </c>
      <c r="AG169" s="567">
        <v>27547.07</v>
      </c>
      <c r="AH169" s="567">
        <v>11666.657999999999</v>
      </c>
      <c r="AI169" s="567">
        <v>3706.614</v>
      </c>
      <c r="AJ169" s="567">
        <v>1016.766</v>
      </c>
      <c r="AK169" s="567">
        <v>2938.7060000000001</v>
      </c>
      <c r="AL169" s="567">
        <v>3965.6529999999998</v>
      </c>
      <c r="AM169" s="567">
        <v>0</v>
      </c>
      <c r="AN169" s="567">
        <v>0</v>
      </c>
      <c r="AO169" s="567">
        <v>23294.397000000001</v>
      </c>
      <c r="AP169" s="567">
        <v>0</v>
      </c>
      <c r="AQ169" s="567">
        <v>23294.397000000001</v>
      </c>
      <c r="AR169" s="563" t="s">
        <v>434</v>
      </c>
      <c r="AS169" s="567">
        <v>1172.9059999999999</v>
      </c>
      <c r="AT169" s="567">
        <v>943.95500000000004</v>
      </c>
      <c r="AU169" s="567">
        <v>0</v>
      </c>
      <c r="AV169" s="567" t="s">
        <v>434</v>
      </c>
      <c r="AW169" s="567">
        <v>25411.258000000002</v>
      </c>
      <c r="AX169" s="567">
        <v>2135.8119999999999</v>
      </c>
      <c r="AY169" s="571" t="s">
        <v>435</v>
      </c>
      <c r="AZ169" s="571" t="s">
        <v>433</v>
      </c>
      <c r="BA169" s="563"/>
      <c r="BB169" s="563"/>
      <c r="BC169" s="221" t="s">
        <v>553</v>
      </c>
      <c r="BD169" s="591">
        <v>4.8003738206751315E-2</v>
      </c>
      <c r="BE169" s="653">
        <v>7.3929903604086342E-2</v>
      </c>
      <c r="BF169" s="559" t="s">
        <v>575</v>
      </c>
      <c r="BG169" s="613" t="s">
        <v>575</v>
      </c>
    </row>
    <row r="170" spans="1:59">
      <c r="A170" s="536" t="s">
        <v>90</v>
      </c>
      <c r="B170" s="536" t="s">
        <v>169</v>
      </c>
      <c r="C170" s="536">
        <v>92</v>
      </c>
      <c r="D170" s="536">
        <v>167</v>
      </c>
      <c r="E170" s="535" t="s">
        <v>169</v>
      </c>
      <c r="F170" s="532">
        <v>2013</v>
      </c>
      <c r="G170" s="534" t="s">
        <v>567</v>
      </c>
      <c r="H170" s="551">
        <v>7412.8609999999999</v>
      </c>
      <c r="I170" s="555">
        <v>1516.2650000000001</v>
      </c>
      <c r="J170" s="552">
        <v>13.731289355015186</v>
      </c>
      <c r="K170" s="552">
        <v>661.82262490000005</v>
      </c>
      <c r="L170" s="555">
        <v>53985.178</v>
      </c>
      <c r="M170" s="553">
        <v>11482</v>
      </c>
      <c r="N170" s="553">
        <v>139969</v>
      </c>
      <c r="O170" s="554">
        <v>240.89131879201824</v>
      </c>
      <c r="P170" s="555">
        <v>33717.317000000003</v>
      </c>
      <c r="Q170" s="555">
        <v>33717.317000000003</v>
      </c>
      <c r="R170" s="555">
        <v>24633.581999999999</v>
      </c>
      <c r="S170" s="556">
        <v>73.05914050041406</v>
      </c>
      <c r="T170" s="562"/>
      <c r="U170" s="565">
        <v>101117</v>
      </c>
      <c r="V170" s="566">
        <v>8669.0910130100237</v>
      </c>
      <c r="W170" s="565">
        <v>3838</v>
      </c>
      <c r="X170" s="565">
        <v>969</v>
      </c>
      <c r="Y170" s="566">
        <v>329.04428837814089</v>
      </c>
      <c r="Z170" s="566">
        <v>3.9607843137254903</v>
      </c>
      <c r="AA170" s="567">
        <v>47923.705000000002</v>
      </c>
      <c r="AB170" s="567">
        <v>0</v>
      </c>
      <c r="AC170" s="567">
        <v>0</v>
      </c>
      <c r="AD170" s="567">
        <v>0</v>
      </c>
      <c r="AE170" s="567">
        <v>0</v>
      </c>
      <c r="AF170" s="567" t="s">
        <v>434</v>
      </c>
      <c r="AG170" s="567">
        <v>47923.705000000002</v>
      </c>
      <c r="AH170" s="567">
        <v>37571.495999999999</v>
      </c>
      <c r="AI170" s="567">
        <v>0</v>
      </c>
      <c r="AJ170" s="567">
        <v>0</v>
      </c>
      <c r="AK170" s="567">
        <v>0</v>
      </c>
      <c r="AL170" s="567">
        <v>3342.3339999999998</v>
      </c>
      <c r="AM170" s="567">
        <v>0</v>
      </c>
      <c r="AN170" s="567">
        <v>0</v>
      </c>
      <c r="AO170" s="567">
        <v>40913.83</v>
      </c>
      <c r="AP170" s="567">
        <v>0</v>
      </c>
      <c r="AQ170" s="567">
        <v>40913.83</v>
      </c>
      <c r="AR170" s="563" t="s">
        <v>434</v>
      </c>
      <c r="AS170" s="567">
        <v>1635.383</v>
      </c>
      <c r="AT170" s="567">
        <v>3662.7109999999998</v>
      </c>
      <c r="AU170" s="567">
        <v>0</v>
      </c>
      <c r="AV170" s="567" t="s">
        <v>434</v>
      </c>
      <c r="AW170" s="567">
        <v>46211.923999999999</v>
      </c>
      <c r="AX170" s="567">
        <v>1711.7809999999999</v>
      </c>
      <c r="AY170" s="571" t="s">
        <v>435</v>
      </c>
      <c r="AZ170" s="571" t="s">
        <v>431</v>
      </c>
      <c r="BA170" s="563"/>
      <c r="BB170" s="563"/>
      <c r="BC170" s="221" t="s">
        <v>553</v>
      </c>
      <c r="BD170" s="591">
        <v>2.8086690757970642E-2</v>
      </c>
      <c r="BE170" s="653">
        <v>0.2413219042378888</v>
      </c>
      <c r="BF170" s="559" t="s">
        <v>582</v>
      </c>
      <c r="BG170" s="613" t="s">
        <v>582</v>
      </c>
    </row>
    <row r="171" spans="1:59">
      <c r="A171" s="536" t="s">
        <v>92</v>
      </c>
      <c r="B171" s="536" t="s">
        <v>406</v>
      </c>
      <c r="C171" s="536">
        <v>89</v>
      </c>
      <c r="D171" s="536">
        <v>168</v>
      </c>
      <c r="E171" s="535" t="s">
        <v>406</v>
      </c>
      <c r="F171" s="532">
        <v>2013</v>
      </c>
      <c r="G171" s="534" t="s">
        <v>567</v>
      </c>
      <c r="H171" s="551">
        <v>-10537.634</v>
      </c>
      <c r="I171" s="555">
        <v>10377.916999999999</v>
      </c>
      <c r="J171" s="552">
        <v>-13.829515107997004</v>
      </c>
      <c r="K171" s="552">
        <v>300.7561096</v>
      </c>
      <c r="L171" s="555">
        <v>76196.698999999993</v>
      </c>
      <c r="M171" s="553">
        <v>11169</v>
      </c>
      <c r="N171" s="553">
        <v>134725</v>
      </c>
      <c r="O171" s="554">
        <v>381.84416403785491</v>
      </c>
      <c r="P171" s="555">
        <v>51443.955000000002</v>
      </c>
      <c r="Q171" s="555">
        <v>51443.955000000002</v>
      </c>
      <c r="R171" s="555">
        <v>49629.311000000002</v>
      </c>
      <c r="S171" s="556">
        <v>96.47258069485521</v>
      </c>
      <c r="T171" s="562"/>
      <c r="U171" s="565">
        <v>92749</v>
      </c>
      <c r="V171" s="566">
        <v>8261.1838931156053</v>
      </c>
      <c r="W171" s="565">
        <v>6985</v>
      </c>
      <c r="X171" s="565">
        <v>1877</v>
      </c>
      <c r="Y171" s="566">
        <v>622.15624420115046</v>
      </c>
      <c r="Z171" s="566">
        <v>3.7213638785295684</v>
      </c>
      <c r="AA171" s="567">
        <v>645.38099999999997</v>
      </c>
      <c r="AB171" s="567">
        <v>0</v>
      </c>
      <c r="AC171" s="567">
        <v>83.923000000000002</v>
      </c>
      <c r="AD171" s="567">
        <v>0</v>
      </c>
      <c r="AE171" s="567">
        <v>3.516</v>
      </c>
      <c r="AF171" s="567" t="s">
        <v>434</v>
      </c>
      <c r="AG171" s="567">
        <v>732.82</v>
      </c>
      <c r="AH171" s="567">
        <v>75.896000000000001</v>
      </c>
      <c r="AI171" s="567">
        <v>60.332000000000001</v>
      </c>
      <c r="AJ171" s="567">
        <v>0</v>
      </c>
      <c r="AK171" s="567">
        <v>12.433</v>
      </c>
      <c r="AL171" s="567">
        <v>13.324</v>
      </c>
      <c r="AM171" s="567">
        <v>30.890999999999998</v>
      </c>
      <c r="AN171" s="567">
        <v>0</v>
      </c>
      <c r="AO171" s="567">
        <v>192.876</v>
      </c>
      <c r="AP171" s="567">
        <v>0</v>
      </c>
      <c r="AQ171" s="567">
        <v>192.876</v>
      </c>
      <c r="AR171" s="563" t="s">
        <v>434</v>
      </c>
      <c r="AS171" s="567">
        <v>10.055</v>
      </c>
      <c r="AT171" s="567">
        <v>0.75700000000000001</v>
      </c>
      <c r="AU171" s="567">
        <v>0</v>
      </c>
      <c r="AV171" s="567" t="s">
        <v>434</v>
      </c>
      <c r="AW171" s="567">
        <v>203.68799999999999</v>
      </c>
      <c r="AX171" s="567">
        <v>529.13199999999995</v>
      </c>
      <c r="AY171" s="586" t="s">
        <v>435</v>
      </c>
      <c r="AZ171" s="586" t="s">
        <v>431</v>
      </c>
      <c r="BA171" s="563"/>
      <c r="BB171" s="563"/>
      <c r="BC171" s="221" t="s">
        <v>553</v>
      </c>
      <c r="BD171" s="591">
        <v>0.1361990366538057</v>
      </c>
      <c r="BE171" s="653">
        <v>-0.10092484360235784</v>
      </c>
      <c r="BF171" s="559" t="s">
        <v>579</v>
      </c>
      <c r="BG171" s="613" t="s">
        <v>579</v>
      </c>
    </row>
    <row r="172" spans="1:59">
      <c r="A172" s="532" t="s">
        <v>55</v>
      </c>
      <c r="B172" s="532" t="s">
        <v>424</v>
      </c>
      <c r="C172" s="532">
        <v>5</v>
      </c>
      <c r="D172" s="532">
        <v>169</v>
      </c>
      <c r="E172" s="535" t="s">
        <v>210</v>
      </c>
      <c r="F172" s="532">
        <v>2013</v>
      </c>
      <c r="G172" s="534" t="s">
        <v>567</v>
      </c>
      <c r="H172" s="551">
        <v>7671.4719999999998</v>
      </c>
      <c r="I172" s="555">
        <v>20746.16</v>
      </c>
      <c r="J172" s="552">
        <v>4.0576605533651531</v>
      </c>
      <c r="K172" s="552">
        <v>623.4576548</v>
      </c>
      <c r="L172" s="555">
        <v>189061.45300000001</v>
      </c>
      <c r="M172" s="553">
        <v>0</v>
      </c>
      <c r="N172" s="553">
        <v>125916</v>
      </c>
      <c r="O172" s="554">
        <v>350.54286984974112</v>
      </c>
      <c r="P172" s="555">
        <v>44138.955999999998</v>
      </c>
      <c r="Q172" s="555">
        <v>44138.955999999998</v>
      </c>
      <c r="R172" s="555">
        <v>33982.213000000003</v>
      </c>
      <c r="S172" s="556">
        <v>76.989163495393967</v>
      </c>
      <c r="T172" s="562"/>
      <c r="U172" s="565">
        <v>50105</v>
      </c>
      <c r="V172" s="566">
        <v>4775.0881540074333</v>
      </c>
      <c r="W172" s="565">
        <v>0</v>
      </c>
      <c r="X172" s="565">
        <v>0</v>
      </c>
      <c r="Y172" s="566">
        <v>0</v>
      </c>
      <c r="Z172" s="566" t="s">
        <v>434</v>
      </c>
      <c r="AA172" s="567">
        <v>65413.131999999998</v>
      </c>
      <c r="AB172" s="567">
        <v>0</v>
      </c>
      <c r="AC172" s="567">
        <v>0</v>
      </c>
      <c r="AD172" s="567">
        <v>0</v>
      </c>
      <c r="AE172" s="567">
        <v>0</v>
      </c>
      <c r="AF172" s="567" t="s">
        <v>434</v>
      </c>
      <c r="AG172" s="567">
        <v>65413.131999999998</v>
      </c>
      <c r="AH172" s="567">
        <v>43980.531000000003</v>
      </c>
      <c r="AI172" s="567">
        <v>357.60700000000003</v>
      </c>
      <c r="AJ172" s="567">
        <v>213.48699999999999</v>
      </c>
      <c r="AK172" s="567">
        <v>0</v>
      </c>
      <c r="AL172" s="567">
        <v>7767.7889999999998</v>
      </c>
      <c r="AM172" s="567">
        <v>0</v>
      </c>
      <c r="AN172" s="567">
        <v>7232.5</v>
      </c>
      <c r="AO172" s="567">
        <v>59551.913999999997</v>
      </c>
      <c r="AP172" s="567">
        <v>0</v>
      </c>
      <c r="AQ172" s="567">
        <v>59551.913999999997</v>
      </c>
      <c r="AR172" s="563" t="s">
        <v>434</v>
      </c>
      <c r="AS172" s="567">
        <v>2313.5059999999999</v>
      </c>
      <c r="AT172" s="567">
        <v>9084.8389999999999</v>
      </c>
      <c r="AU172" s="567">
        <v>0</v>
      </c>
      <c r="AV172" s="567" t="s">
        <v>434</v>
      </c>
      <c r="AW172" s="567">
        <v>70950.259000000005</v>
      </c>
      <c r="AX172" s="567">
        <v>-5537.1270000000004</v>
      </c>
      <c r="AY172" s="571" t="s">
        <v>430</v>
      </c>
      <c r="AZ172" s="571" t="s">
        <v>433</v>
      </c>
      <c r="BA172" s="563"/>
      <c r="BB172" s="563"/>
      <c r="BC172" s="221" t="s">
        <v>553</v>
      </c>
      <c r="BD172" s="591">
        <v>0.10973236305340359</v>
      </c>
      <c r="BE172" s="653">
        <v>0.12037600199265677</v>
      </c>
      <c r="BF172" s="559" t="s">
        <v>581</v>
      </c>
      <c r="BG172" s="613" t="s">
        <v>581</v>
      </c>
    </row>
    <row r="173" spans="1:59">
      <c r="A173" s="536" t="s">
        <v>90</v>
      </c>
      <c r="B173" s="536" t="s">
        <v>410</v>
      </c>
      <c r="C173" s="536">
        <v>95</v>
      </c>
      <c r="D173" s="536">
        <v>170</v>
      </c>
      <c r="E173" s="535" t="s">
        <v>410</v>
      </c>
      <c r="F173" s="532">
        <v>2013</v>
      </c>
      <c r="G173" s="534" t="s">
        <v>469</v>
      </c>
      <c r="H173" s="551">
        <v>2264.4319999999998</v>
      </c>
      <c r="I173" s="555">
        <v>4614.509</v>
      </c>
      <c r="J173" s="552">
        <v>7.6175825746190595</v>
      </c>
      <c r="K173" s="552">
        <v>991.03188050000006</v>
      </c>
      <c r="L173" s="555">
        <v>29726.385999999999</v>
      </c>
      <c r="M173" s="553">
        <v>8431</v>
      </c>
      <c r="N173" s="553">
        <v>121268</v>
      </c>
      <c r="O173" s="554">
        <v>245.12967971765016</v>
      </c>
      <c r="P173" s="555">
        <v>29726.385999999999</v>
      </c>
      <c r="Q173" s="555">
        <v>29726.385999999999</v>
      </c>
      <c r="R173" s="555">
        <v>22473.525000000001</v>
      </c>
      <c r="S173" s="556">
        <v>75.601268852527184</v>
      </c>
      <c r="T173" s="562"/>
      <c r="U173" s="565">
        <v>214779</v>
      </c>
      <c r="V173" s="566">
        <v>21253.323217996505</v>
      </c>
      <c r="W173" s="565">
        <v>2963</v>
      </c>
      <c r="X173" s="565">
        <v>556</v>
      </c>
      <c r="Y173" s="566">
        <v>293.20183395454694</v>
      </c>
      <c r="Z173" s="566">
        <v>5.3291366906474824</v>
      </c>
      <c r="AA173" s="567">
        <v>32598.387999999999</v>
      </c>
      <c r="AB173" s="567">
        <v>0</v>
      </c>
      <c r="AC173" s="567">
        <v>0</v>
      </c>
      <c r="AD173" s="567">
        <v>0</v>
      </c>
      <c r="AE173" s="567">
        <v>0</v>
      </c>
      <c r="AF173" s="567" t="s">
        <v>434</v>
      </c>
      <c r="AG173" s="567">
        <v>32598.387999999999</v>
      </c>
      <c r="AH173" s="567">
        <v>19213.375</v>
      </c>
      <c r="AI173" s="567">
        <v>2068.1950000000002</v>
      </c>
      <c r="AJ173" s="567">
        <v>0</v>
      </c>
      <c r="AK173" s="567">
        <v>4520.3159999999998</v>
      </c>
      <c r="AL173" s="567">
        <v>2450.09</v>
      </c>
      <c r="AM173" s="567">
        <v>0</v>
      </c>
      <c r="AN173" s="567">
        <v>0</v>
      </c>
      <c r="AO173" s="567">
        <v>28251.975999999999</v>
      </c>
      <c r="AP173" s="567">
        <v>784.28300000000002</v>
      </c>
      <c r="AQ173" s="567">
        <v>27467.692999999999</v>
      </c>
      <c r="AR173" s="563" t="s">
        <v>434</v>
      </c>
      <c r="AS173" s="567">
        <v>1570.2629999999999</v>
      </c>
      <c r="AT173" s="567">
        <v>4629.41</v>
      </c>
      <c r="AU173" s="567">
        <v>175.5</v>
      </c>
      <c r="AV173" s="567" t="s">
        <v>434</v>
      </c>
      <c r="AW173" s="567">
        <v>33842.866000000002</v>
      </c>
      <c r="AX173" s="567">
        <v>-1244.4780000000001</v>
      </c>
      <c r="AY173" s="571" t="s">
        <v>435</v>
      </c>
      <c r="AZ173" s="571" t="s">
        <v>431</v>
      </c>
      <c r="BA173" s="563"/>
      <c r="BB173" s="563"/>
      <c r="BC173" s="221" t="s">
        <v>553</v>
      </c>
      <c r="BD173" s="591">
        <v>0.15523276189712401</v>
      </c>
      <c r="BE173" s="653">
        <v>7.6175825746190598E-2</v>
      </c>
      <c r="BF173" s="559" t="s">
        <v>576</v>
      </c>
      <c r="BG173" s="613" t="s">
        <v>576</v>
      </c>
    </row>
    <row r="174" spans="1:59">
      <c r="A174" s="536" t="s">
        <v>95</v>
      </c>
      <c r="B174" s="536" t="s">
        <v>426</v>
      </c>
      <c r="C174" s="536">
        <v>9</v>
      </c>
      <c r="D174" s="536">
        <v>171</v>
      </c>
      <c r="E174" s="535" t="s">
        <v>235</v>
      </c>
      <c r="F174" s="532">
        <v>2013</v>
      </c>
      <c r="G174" s="534" t="s">
        <v>567</v>
      </c>
      <c r="H174" s="551">
        <v>640.97900000000004</v>
      </c>
      <c r="I174" s="555">
        <v>11576.463</v>
      </c>
      <c r="J174" s="552">
        <v>0.36770235349262997</v>
      </c>
      <c r="K174" s="552">
        <v>352.27618200000001</v>
      </c>
      <c r="L174" s="555">
        <v>174320.07</v>
      </c>
      <c r="M174" s="553">
        <v>9691</v>
      </c>
      <c r="N174" s="553">
        <v>119902</v>
      </c>
      <c r="O174" s="554">
        <v>785.30273056329338</v>
      </c>
      <c r="P174" s="555">
        <v>94159.368000000002</v>
      </c>
      <c r="Q174" s="555">
        <v>94159.368000000002</v>
      </c>
      <c r="R174" s="555">
        <v>78758.308999999994</v>
      </c>
      <c r="S174" s="556">
        <v>83.643625348037588</v>
      </c>
      <c r="T174" s="562"/>
      <c r="U174" s="565">
        <v>147965</v>
      </c>
      <c r="V174" s="566">
        <v>14808.593684842621</v>
      </c>
      <c r="W174" s="565">
        <v>22178</v>
      </c>
      <c r="X174" s="565">
        <v>3730</v>
      </c>
      <c r="Y174" s="566">
        <v>2219.6126836916815</v>
      </c>
      <c r="Z174" s="566">
        <v>5.9458445040214478</v>
      </c>
      <c r="AA174" s="567">
        <v>225031.59099999999</v>
      </c>
      <c r="AB174" s="567">
        <v>0</v>
      </c>
      <c r="AC174" s="567">
        <v>0</v>
      </c>
      <c r="AD174" s="567">
        <v>0</v>
      </c>
      <c r="AE174" s="567">
        <v>0</v>
      </c>
      <c r="AF174" s="567" t="s">
        <v>434</v>
      </c>
      <c r="AG174" s="567">
        <v>225031.59099999999</v>
      </c>
      <c r="AH174" s="567">
        <v>130640.473</v>
      </c>
      <c r="AI174" s="567">
        <v>11627.77</v>
      </c>
      <c r="AJ174" s="567">
        <v>0</v>
      </c>
      <c r="AK174" s="567">
        <v>18190.61</v>
      </c>
      <c r="AL174" s="567">
        <v>29869.46</v>
      </c>
      <c r="AM174" s="567">
        <v>0</v>
      </c>
      <c r="AN174" s="567">
        <v>-1077.1980000000001</v>
      </c>
      <c r="AO174" s="567">
        <v>189251.11499999999</v>
      </c>
      <c r="AP174" s="567">
        <v>0</v>
      </c>
      <c r="AQ174" s="567">
        <v>189251.11499999999</v>
      </c>
      <c r="AR174" s="563" t="s">
        <v>434</v>
      </c>
      <c r="AS174" s="567">
        <v>12080.477999999999</v>
      </c>
      <c r="AT174" s="567">
        <v>29483.58</v>
      </c>
      <c r="AU174" s="567">
        <v>3143</v>
      </c>
      <c r="AV174" s="567" t="s">
        <v>434</v>
      </c>
      <c r="AW174" s="567">
        <v>233958.17300000001</v>
      </c>
      <c r="AX174" s="567">
        <v>-8926.5820000000003</v>
      </c>
      <c r="AY174" s="571" t="s">
        <v>435</v>
      </c>
      <c r="AZ174" s="571" t="s">
        <v>433</v>
      </c>
      <c r="BA174" s="563"/>
      <c r="BB174" s="563"/>
      <c r="BC174" s="221" t="s">
        <v>553</v>
      </c>
      <c r="BD174" s="591">
        <v>6.640923790358734E-2</v>
      </c>
      <c r="BE174" s="653">
        <v>9.7154508616036792E-2</v>
      </c>
      <c r="BF174" s="559" t="s">
        <v>576</v>
      </c>
      <c r="BG174" s="613" t="s">
        <v>576</v>
      </c>
    </row>
    <row r="175" spans="1:59">
      <c r="A175" s="536" t="s">
        <v>81</v>
      </c>
      <c r="B175" s="536" t="s">
        <v>151</v>
      </c>
      <c r="C175" s="536">
        <v>42</v>
      </c>
      <c r="D175" s="536">
        <v>172</v>
      </c>
      <c r="E175" s="535" t="s">
        <v>151</v>
      </c>
      <c r="F175" s="532">
        <v>2013</v>
      </c>
      <c r="G175" s="534" t="s">
        <v>567</v>
      </c>
      <c r="H175" s="551">
        <v>28915.766</v>
      </c>
      <c r="I175" s="555">
        <v>63528.546000000002</v>
      </c>
      <c r="J175" s="552">
        <v>4.4767554497832416</v>
      </c>
      <c r="K175" s="552">
        <v>444.19610719999997</v>
      </c>
      <c r="L175" s="555">
        <v>645908.99199999997</v>
      </c>
      <c r="M175" s="553">
        <v>11945</v>
      </c>
      <c r="N175" s="553">
        <v>118783</v>
      </c>
      <c r="O175" s="554">
        <v>3849.5412559036226</v>
      </c>
      <c r="P175" s="555">
        <v>457260.05900000001</v>
      </c>
      <c r="Q175" s="555">
        <v>457260.05900000001</v>
      </c>
      <c r="R175" s="555">
        <v>353680.45199999999</v>
      </c>
      <c r="S175" s="556">
        <v>77.347768526618665</v>
      </c>
      <c r="T175" s="562"/>
      <c r="U175" s="565">
        <v>24310</v>
      </c>
      <c r="V175" s="566">
        <v>2455.9069900575</v>
      </c>
      <c r="W175" s="565">
        <v>0</v>
      </c>
      <c r="X175" s="565">
        <v>0</v>
      </c>
      <c r="Y175" s="566">
        <v>0</v>
      </c>
      <c r="Z175" s="566" t="s">
        <v>434</v>
      </c>
      <c r="AA175" s="567">
        <v>226332.242</v>
      </c>
      <c r="AB175" s="567">
        <v>0</v>
      </c>
      <c r="AC175" s="567">
        <v>0</v>
      </c>
      <c r="AD175" s="567">
        <v>0</v>
      </c>
      <c r="AE175" s="567">
        <v>0</v>
      </c>
      <c r="AF175" s="567" t="s">
        <v>434</v>
      </c>
      <c r="AG175" s="567">
        <v>226332.242</v>
      </c>
      <c r="AH175" s="567">
        <v>161236.48199999999</v>
      </c>
      <c r="AI175" s="567">
        <v>0</v>
      </c>
      <c r="AJ175" s="567">
        <v>0</v>
      </c>
      <c r="AK175" s="567">
        <v>12139.375</v>
      </c>
      <c r="AL175" s="567">
        <v>27523.177</v>
      </c>
      <c r="AM175" s="567">
        <v>1381.5139999999999</v>
      </c>
      <c r="AN175" s="567">
        <v>4454.87</v>
      </c>
      <c r="AO175" s="567">
        <v>206735.41800000001</v>
      </c>
      <c r="AP175" s="567">
        <v>0</v>
      </c>
      <c r="AQ175" s="567">
        <v>206735.41800000001</v>
      </c>
      <c r="AR175" s="563" t="s">
        <v>434</v>
      </c>
      <c r="AS175" s="567">
        <v>6069.6210000000001</v>
      </c>
      <c r="AT175" s="567">
        <v>13717.575999999999</v>
      </c>
      <c r="AU175" s="567">
        <v>0</v>
      </c>
      <c r="AV175" s="567" t="s">
        <v>434</v>
      </c>
      <c r="AW175" s="567">
        <v>226522.61499999999</v>
      </c>
      <c r="AX175" s="567">
        <v>-190.37299999999999</v>
      </c>
      <c r="AY175" s="571" t="s">
        <v>435</v>
      </c>
      <c r="AZ175" s="571" t="s">
        <v>431</v>
      </c>
      <c r="BA175" s="563"/>
      <c r="BB175" s="563"/>
      <c r="BC175" s="221" t="s">
        <v>553</v>
      </c>
      <c r="BD175" s="591">
        <v>9.8355258692543496E-2</v>
      </c>
      <c r="BE175" s="653">
        <v>0.12816705604126985</v>
      </c>
      <c r="BF175" s="559" t="s">
        <v>581</v>
      </c>
      <c r="BG175" s="613" t="s">
        <v>581</v>
      </c>
    </row>
    <row r="176" spans="1:59">
      <c r="A176" s="536" t="s">
        <v>95</v>
      </c>
      <c r="B176" s="536" t="s">
        <v>157</v>
      </c>
      <c r="C176" s="536" t="s">
        <v>20</v>
      </c>
      <c r="D176" s="536">
        <v>173</v>
      </c>
      <c r="E176" s="535" t="s">
        <v>157</v>
      </c>
      <c r="F176" s="532">
        <v>2013</v>
      </c>
      <c r="G176" s="534" t="s">
        <v>567</v>
      </c>
      <c r="H176" s="551">
        <v>250.57300000000001</v>
      </c>
      <c r="I176" s="555">
        <v>7108.4179999999997</v>
      </c>
      <c r="J176" s="552">
        <v>0.16564546625318619</v>
      </c>
      <c r="K176" s="552">
        <v>340.85565810000003</v>
      </c>
      <c r="L176" s="555">
        <v>151270.666</v>
      </c>
      <c r="M176" s="553">
        <v>9104</v>
      </c>
      <c r="N176" s="553">
        <v>109203</v>
      </c>
      <c r="O176" s="554">
        <v>163.62385648745914</v>
      </c>
      <c r="P176" s="555">
        <v>17868.216</v>
      </c>
      <c r="Q176" s="555">
        <v>17868.216</v>
      </c>
      <c r="R176" s="555">
        <v>14667.414000000001</v>
      </c>
      <c r="S176" s="556">
        <v>82.08661681725809</v>
      </c>
      <c r="T176" s="562"/>
      <c r="U176" s="565">
        <v>44569</v>
      </c>
      <c r="V176" s="566">
        <v>4897.5577594022143</v>
      </c>
      <c r="W176" s="565">
        <v>1764</v>
      </c>
      <c r="X176" s="565">
        <v>511</v>
      </c>
      <c r="Y176" s="566">
        <v>193.84082854866625</v>
      </c>
      <c r="Z176" s="566">
        <v>3.452054794520548</v>
      </c>
      <c r="AA176" s="567">
        <v>18279.875</v>
      </c>
      <c r="AB176" s="567">
        <v>0</v>
      </c>
      <c r="AC176" s="567">
        <v>0</v>
      </c>
      <c r="AD176" s="567">
        <v>0</v>
      </c>
      <c r="AE176" s="567">
        <v>0</v>
      </c>
      <c r="AF176" s="567" t="s">
        <v>434</v>
      </c>
      <c r="AG176" s="567">
        <v>18279.875</v>
      </c>
      <c r="AH176" s="567">
        <v>8027.7089999999998</v>
      </c>
      <c r="AI176" s="567">
        <v>175.60300000000001</v>
      </c>
      <c r="AJ176" s="567">
        <v>0</v>
      </c>
      <c r="AK176" s="567">
        <v>279.94799999999998</v>
      </c>
      <c r="AL176" s="567">
        <v>0</v>
      </c>
      <c r="AM176" s="567">
        <v>6392.3159999999998</v>
      </c>
      <c r="AN176" s="567">
        <v>0</v>
      </c>
      <c r="AO176" s="567">
        <v>14875.575999999999</v>
      </c>
      <c r="AP176" s="567">
        <v>0</v>
      </c>
      <c r="AQ176" s="567">
        <v>14875.575999999999</v>
      </c>
      <c r="AR176" s="563" t="s">
        <v>434</v>
      </c>
      <c r="AS176" s="567">
        <v>667.34100000000001</v>
      </c>
      <c r="AT176" s="567">
        <v>3142.2449999999999</v>
      </c>
      <c r="AU176" s="567">
        <v>0</v>
      </c>
      <c r="AV176" s="567" t="s">
        <v>434</v>
      </c>
      <c r="AW176" s="567">
        <v>18685.162</v>
      </c>
      <c r="AX176" s="567">
        <v>-405.28699999999998</v>
      </c>
      <c r="AY176" s="571" t="s">
        <v>435</v>
      </c>
      <c r="AZ176" s="571" t="s">
        <v>433</v>
      </c>
      <c r="BA176" s="563"/>
      <c r="BB176" s="563"/>
      <c r="BC176" s="221" t="s">
        <v>553</v>
      </c>
      <c r="BD176" s="591">
        <v>4.6991384304475789E-2</v>
      </c>
      <c r="BE176" s="653">
        <v>0.13214244752294335</v>
      </c>
      <c r="BF176" s="559" t="s">
        <v>581</v>
      </c>
      <c r="BG176" s="613" t="s">
        <v>581</v>
      </c>
    </row>
    <row r="177" spans="1:59">
      <c r="A177" s="536" t="s">
        <v>95</v>
      </c>
      <c r="B177" s="536" t="s">
        <v>165</v>
      </c>
      <c r="C177" s="536">
        <v>13</v>
      </c>
      <c r="D177" s="536">
        <v>174</v>
      </c>
      <c r="E177" s="535" t="s">
        <v>165</v>
      </c>
      <c r="F177" s="532">
        <v>2013</v>
      </c>
      <c r="G177" s="534" t="s">
        <v>567</v>
      </c>
      <c r="H177" s="551">
        <v>-16480.412</v>
      </c>
      <c r="I177" s="555">
        <v>30138.956999999999</v>
      </c>
      <c r="J177" s="552">
        <v>-4.67620908968025</v>
      </c>
      <c r="K177" s="552">
        <v>299.07982349999997</v>
      </c>
      <c r="L177" s="555">
        <v>352431.033</v>
      </c>
      <c r="M177" s="553">
        <v>8660</v>
      </c>
      <c r="N177" s="553">
        <v>103600</v>
      </c>
      <c r="O177" s="554">
        <v>176.44666988416989</v>
      </c>
      <c r="P177" s="555">
        <v>18279.875</v>
      </c>
      <c r="Q177" s="555">
        <v>18279.875</v>
      </c>
      <c r="R177" s="555">
        <v>14875.575999999999</v>
      </c>
      <c r="S177" s="556">
        <v>81.376792784414548</v>
      </c>
      <c r="T177" s="562"/>
      <c r="U177" s="565">
        <v>105095</v>
      </c>
      <c r="V177" s="566">
        <v>12173.166023166023</v>
      </c>
      <c r="W177" s="565">
        <v>2422</v>
      </c>
      <c r="X177" s="565">
        <v>933</v>
      </c>
      <c r="Y177" s="566">
        <v>280.54054054054052</v>
      </c>
      <c r="Z177" s="566">
        <v>2.5959271168274385</v>
      </c>
      <c r="AA177" s="567">
        <v>25806.280999999999</v>
      </c>
      <c r="AB177" s="567">
        <v>0</v>
      </c>
      <c r="AC177" s="567">
        <v>0</v>
      </c>
      <c r="AD177" s="567">
        <v>0</v>
      </c>
      <c r="AE177" s="567">
        <v>0</v>
      </c>
      <c r="AF177" s="567" t="s">
        <v>434</v>
      </c>
      <c r="AG177" s="567">
        <v>25806.280999999999</v>
      </c>
      <c r="AH177" s="567">
        <v>24305.834999999999</v>
      </c>
      <c r="AI177" s="567">
        <v>0</v>
      </c>
      <c r="AJ177" s="567">
        <v>0</v>
      </c>
      <c r="AK177" s="567">
        <v>0</v>
      </c>
      <c r="AL177" s="567">
        <v>0</v>
      </c>
      <c r="AM177" s="567">
        <v>0</v>
      </c>
      <c r="AN177" s="567">
        <v>0</v>
      </c>
      <c r="AO177" s="567">
        <v>24305.834999999999</v>
      </c>
      <c r="AP177" s="567">
        <v>0</v>
      </c>
      <c r="AQ177" s="567">
        <v>24305.834999999999</v>
      </c>
      <c r="AR177" s="563" t="s">
        <v>434</v>
      </c>
      <c r="AS177" s="567">
        <v>0.46700000000000003</v>
      </c>
      <c r="AT177" s="567">
        <v>146.31399999999999</v>
      </c>
      <c r="AU177" s="567">
        <v>0</v>
      </c>
      <c r="AV177" s="567" t="s">
        <v>434</v>
      </c>
      <c r="AW177" s="567">
        <v>24452.616000000002</v>
      </c>
      <c r="AX177" s="567">
        <v>1353.665</v>
      </c>
      <c r="AY177" s="571" t="s">
        <v>435</v>
      </c>
      <c r="AZ177" s="571" t="s">
        <v>433</v>
      </c>
      <c r="BA177" s="563"/>
      <c r="BB177" s="563"/>
      <c r="BC177" s="221" t="s">
        <v>553</v>
      </c>
      <c r="BD177" s="591">
        <v>8.5517318788439378E-2</v>
      </c>
      <c r="BE177" s="653">
        <v>0.1007147533674152</v>
      </c>
      <c r="BF177" s="559" t="s">
        <v>581</v>
      </c>
      <c r="BG177" s="613" t="s">
        <v>581</v>
      </c>
    </row>
    <row r="178" spans="1:59">
      <c r="A178" s="532" t="s">
        <v>56</v>
      </c>
      <c r="B178" s="532" t="s">
        <v>418</v>
      </c>
      <c r="C178" s="532">
        <v>1</v>
      </c>
      <c r="D178" s="532">
        <v>175</v>
      </c>
      <c r="E178" s="535" t="s">
        <v>370</v>
      </c>
      <c r="F178" s="532">
        <v>2013</v>
      </c>
      <c r="G178" s="534" t="s">
        <v>567</v>
      </c>
      <c r="H178" s="551">
        <v>-2415.7910000000002</v>
      </c>
      <c r="I178" s="551">
        <v>2446.4549999999999</v>
      </c>
      <c r="J178" s="568">
        <v>-6.7256301557243363</v>
      </c>
      <c r="K178" s="568">
        <v>269.82309429999998</v>
      </c>
      <c r="L178" s="551">
        <v>35919.177000000003</v>
      </c>
      <c r="M178" s="557">
        <v>7902</v>
      </c>
      <c r="N178" s="557">
        <v>93452</v>
      </c>
      <c r="O178" s="558">
        <v>333.2771904293113</v>
      </c>
      <c r="P178" s="551">
        <v>30958.048999999999</v>
      </c>
      <c r="Q178" s="551">
        <v>31145.42</v>
      </c>
      <c r="R178" s="551">
        <v>32519.617999999999</v>
      </c>
      <c r="S178" s="569">
        <v>104.41219928965479</v>
      </c>
      <c r="T178" s="562"/>
      <c r="U178" s="560">
        <v>50526</v>
      </c>
      <c r="V178" s="561">
        <v>6487.951033685742</v>
      </c>
      <c r="W178" s="560">
        <v>4962</v>
      </c>
      <c r="X178" s="560">
        <v>1127</v>
      </c>
      <c r="Y178" s="561">
        <v>637.16132346017207</v>
      </c>
      <c r="Z178" s="561">
        <v>4.4028393966282167</v>
      </c>
      <c r="AA178" s="567">
        <v>111254.698</v>
      </c>
      <c r="AB178" s="567">
        <v>0</v>
      </c>
      <c r="AC178" s="567">
        <v>0</v>
      </c>
      <c r="AD178" s="567">
        <v>0</v>
      </c>
      <c r="AE178" s="567">
        <v>0</v>
      </c>
      <c r="AF178" s="567" t="s">
        <v>434</v>
      </c>
      <c r="AG178" s="567">
        <v>111254.698</v>
      </c>
      <c r="AH178" s="567">
        <v>46756.389000000003</v>
      </c>
      <c r="AI178" s="567">
        <v>15823.52</v>
      </c>
      <c r="AJ178" s="567">
        <v>0</v>
      </c>
      <c r="AK178" s="567">
        <v>8123.6229999999996</v>
      </c>
      <c r="AL178" s="567">
        <v>8160.8630000000003</v>
      </c>
      <c r="AM178" s="567">
        <v>0</v>
      </c>
      <c r="AN178" s="567">
        <v>-59.79</v>
      </c>
      <c r="AO178" s="567">
        <v>78804.604999999996</v>
      </c>
      <c r="AP178" s="567">
        <v>1112.152</v>
      </c>
      <c r="AQ178" s="567">
        <v>77692.452999999994</v>
      </c>
      <c r="AR178" s="563" t="s">
        <v>434</v>
      </c>
      <c r="AS178" s="567">
        <v>7433.8109999999997</v>
      </c>
      <c r="AT178" s="567">
        <v>6230.3459999999995</v>
      </c>
      <c r="AU178" s="567">
        <v>0</v>
      </c>
      <c r="AV178" s="567" t="s">
        <v>434</v>
      </c>
      <c r="AW178" s="567">
        <v>91356.61</v>
      </c>
      <c r="AX178" s="567">
        <v>19898.088</v>
      </c>
      <c r="AY178" s="585" t="s">
        <v>430</v>
      </c>
      <c r="AZ178" s="585" t="s">
        <v>433</v>
      </c>
      <c r="BA178" s="563"/>
      <c r="BB178" s="563"/>
      <c r="BC178" s="221" t="s">
        <v>553</v>
      </c>
      <c r="BD178" s="591">
        <v>6.8109995950074234E-2</v>
      </c>
      <c r="BE178" s="653">
        <v>-0.11223198884662218</v>
      </c>
      <c r="BF178" s="559" t="s">
        <v>579</v>
      </c>
      <c r="BG178" s="613" t="s">
        <v>579</v>
      </c>
    </row>
    <row r="179" spans="1:59">
      <c r="A179" s="536" t="s">
        <v>70</v>
      </c>
      <c r="B179" s="536" t="s">
        <v>161</v>
      </c>
      <c r="C179" s="536">
        <v>81</v>
      </c>
      <c r="D179" s="536">
        <v>176</v>
      </c>
      <c r="E179" s="535" t="s">
        <v>161</v>
      </c>
      <c r="F179" s="532">
        <v>2013</v>
      </c>
      <c r="G179" s="534" t="s">
        <v>567</v>
      </c>
      <c r="H179" s="551">
        <v>3972.8629999999998</v>
      </c>
      <c r="I179" s="555">
        <v>15463.553</v>
      </c>
      <c r="J179" s="552">
        <v>2.5720153359550149</v>
      </c>
      <c r="K179" s="552">
        <v>504.04813769999998</v>
      </c>
      <c r="L179" s="555">
        <v>154464.981</v>
      </c>
      <c r="M179" s="553">
        <v>6830</v>
      </c>
      <c r="N179" s="553">
        <v>80629</v>
      </c>
      <c r="O179" s="554">
        <v>1016.2274615833013</v>
      </c>
      <c r="P179" s="555">
        <v>82308.858999999997</v>
      </c>
      <c r="Q179" s="555">
        <v>81937.403999999995</v>
      </c>
      <c r="R179" s="555">
        <v>69533.502999999997</v>
      </c>
      <c r="S179" s="556">
        <v>84.861735429157605</v>
      </c>
      <c r="T179" s="562"/>
      <c r="U179" s="565">
        <v>78033</v>
      </c>
      <c r="V179" s="566">
        <v>11613.637773009712</v>
      </c>
      <c r="W179" s="565">
        <v>0</v>
      </c>
      <c r="X179" s="565">
        <v>0</v>
      </c>
      <c r="Y179" s="566">
        <v>0</v>
      </c>
      <c r="Z179" s="566" t="s">
        <v>434</v>
      </c>
      <c r="AA179" s="567">
        <v>84286.398000000001</v>
      </c>
      <c r="AB179" s="567">
        <v>0</v>
      </c>
      <c r="AC179" s="567">
        <v>0</v>
      </c>
      <c r="AD179" s="567">
        <v>0</v>
      </c>
      <c r="AE179" s="567">
        <v>643.43100000000004</v>
      </c>
      <c r="AF179" s="567" t="s">
        <v>434</v>
      </c>
      <c r="AG179" s="567">
        <v>84929.828999999998</v>
      </c>
      <c r="AH179" s="567">
        <v>34179.156000000003</v>
      </c>
      <c r="AI179" s="567">
        <v>4407.491</v>
      </c>
      <c r="AJ179" s="567">
        <v>0</v>
      </c>
      <c r="AK179" s="567">
        <v>11967.438</v>
      </c>
      <c r="AL179" s="567">
        <v>0</v>
      </c>
      <c r="AM179" s="567">
        <v>22984.953000000001</v>
      </c>
      <c r="AN179" s="567">
        <v>0</v>
      </c>
      <c r="AO179" s="567">
        <v>73539.038</v>
      </c>
      <c r="AP179" s="567">
        <v>0</v>
      </c>
      <c r="AQ179" s="567">
        <v>73539.038</v>
      </c>
      <c r="AR179" s="563" t="s">
        <v>434</v>
      </c>
      <c r="AS179" s="567">
        <v>1245.3810000000001</v>
      </c>
      <c r="AT179" s="567">
        <v>6723.5010000000002</v>
      </c>
      <c r="AU179" s="567">
        <v>0</v>
      </c>
      <c r="AV179" s="567" t="s">
        <v>434</v>
      </c>
      <c r="AW179" s="567">
        <v>81507.92</v>
      </c>
      <c r="AX179" s="567">
        <v>3421.9090000000001</v>
      </c>
      <c r="AY179" s="571" t="s">
        <v>430</v>
      </c>
      <c r="AZ179" s="571" t="s">
        <v>431</v>
      </c>
      <c r="BA179" s="563"/>
      <c r="BB179" s="563"/>
      <c r="BC179" s="221" t="s">
        <v>553</v>
      </c>
      <c r="BD179" s="591">
        <v>0.10011041272843584</v>
      </c>
      <c r="BE179" s="653">
        <v>5.1272232979988133E-2</v>
      </c>
      <c r="BF179" s="559" t="s">
        <v>575</v>
      </c>
      <c r="BG179" s="613" t="s">
        <v>575</v>
      </c>
    </row>
    <row r="180" spans="1:59">
      <c r="A180" s="532" t="s">
        <v>56</v>
      </c>
      <c r="B180" s="532" t="s">
        <v>418</v>
      </c>
      <c r="C180" s="532">
        <v>1</v>
      </c>
      <c r="D180" s="532">
        <v>177</v>
      </c>
      <c r="E180" s="535" t="s">
        <v>371</v>
      </c>
      <c r="F180" s="532">
        <v>2013</v>
      </c>
      <c r="G180" s="534" t="s">
        <v>567</v>
      </c>
      <c r="H180" s="551">
        <v>14053.654</v>
      </c>
      <c r="I180" s="551">
        <v>48336.605000000003</v>
      </c>
      <c r="J180" s="568">
        <v>2.4806097204274837</v>
      </c>
      <c r="K180" s="568">
        <v>126.49998290000001</v>
      </c>
      <c r="L180" s="551">
        <v>566540.31000000006</v>
      </c>
      <c r="M180" s="557">
        <v>5798</v>
      </c>
      <c r="N180" s="557">
        <v>74421</v>
      </c>
      <c r="O180" s="558">
        <v>268.76157267437952</v>
      </c>
      <c r="P180" s="551">
        <v>20684.424999999999</v>
      </c>
      <c r="Q180" s="551">
        <v>20001.505000000001</v>
      </c>
      <c r="R180" s="551">
        <v>18398.798999999999</v>
      </c>
      <c r="S180" s="569">
        <v>91.987072972758796</v>
      </c>
      <c r="T180" s="562"/>
      <c r="U180" s="560">
        <v>6237</v>
      </c>
      <c r="V180" s="561">
        <v>1005.683879550127</v>
      </c>
      <c r="W180" s="560">
        <v>3463</v>
      </c>
      <c r="X180" s="560">
        <v>718</v>
      </c>
      <c r="Y180" s="561">
        <v>558.39077679687182</v>
      </c>
      <c r="Z180" s="561">
        <v>4.8231197771587739</v>
      </c>
      <c r="AA180" s="567">
        <v>30661.707999999999</v>
      </c>
      <c r="AB180" s="567">
        <v>255.08</v>
      </c>
      <c r="AC180" s="567">
        <v>0</v>
      </c>
      <c r="AD180" s="567">
        <v>0</v>
      </c>
      <c r="AE180" s="567">
        <v>0</v>
      </c>
      <c r="AF180" s="567" t="s">
        <v>434</v>
      </c>
      <c r="AG180" s="567">
        <v>30916.788</v>
      </c>
      <c r="AH180" s="567">
        <v>12808.545</v>
      </c>
      <c r="AI180" s="567">
        <v>3708.1260000000002</v>
      </c>
      <c r="AJ180" s="567">
        <v>3780.0859999999998</v>
      </c>
      <c r="AK180" s="567">
        <v>6232.7479999999996</v>
      </c>
      <c r="AL180" s="567">
        <v>5990.1120000000001</v>
      </c>
      <c r="AM180" s="567">
        <v>0</v>
      </c>
      <c r="AN180" s="567">
        <v>0</v>
      </c>
      <c r="AO180" s="567">
        <v>32519.616999999998</v>
      </c>
      <c r="AP180" s="567">
        <v>115.61499999999999</v>
      </c>
      <c r="AQ180" s="567">
        <v>32404.002</v>
      </c>
      <c r="AR180" s="563" t="s">
        <v>434</v>
      </c>
      <c r="AS180" s="567">
        <v>790.73900000000003</v>
      </c>
      <c r="AT180" s="567">
        <v>1592.1959999999999</v>
      </c>
      <c r="AU180" s="567">
        <v>706.48099999999999</v>
      </c>
      <c r="AV180" s="567" t="s">
        <v>434</v>
      </c>
      <c r="AW180" s="567">
        <v>35493.417999999998</v>
      </c>
      <c r="AX180" s="567">
        <v>-4576.63</v>
      </c>
      <c r="AY180" s="585" t="s">
        <v>430</v>
      </c>
      <c r="AZ180" s="585" t="s">
        <v>433</v>
      </c>
      <c r="BA180" s="563"/>
      <c r="BB180" s="563"/>
      <c r="BC180" s="221" t="s">
        <v>553</v>
      </c>
      <c r="BD180" s="591">
        <v>8.5318915789063615E-2</v>
      </c>
      <c r="BE180" s="653">
        <v>-5.1896455166516031E-3</v>
      </c>
      <c r="BF180" s="559" t="s">
        <v>572</v>
      </c>
      <c r="BG180" s="613" t="s">
        <v>572</v>
      </c>
    </row>
    <row r="181" spans="1:59">
      <c r="A181" s="536" t="s">
        <v>95</v>
      </c>
      <c r="B181" s="536" t="s">
        <v>154</v>
      </c>
      <c r="C181" s="536" t="s">
        <v>20</v>
      </c>
      <c r="D181" s="536">
        <v>178</v>
      </c>
      <c r="E181" s="535" t="s">
        <v>154</v>
      </c>
      <c r="F181" s="532">
        <v>2013</v>
      </c>
      <c r="G181" s="534" t="s">
        <v>567</v>
      </c>
      <c r="H181" s="551">
        <v>-15682.617</v>
      </c>
      <c r="I181" s="555">
        <v>30899.63</v>
      </c>
      <c r="J181" s="552">
        <v>-4.9480998132239957</v>
      </c>
      <c r="K181" s="552">
        <v>532.18525650000004</v>
      </c>
      <c r="L181" s="555">
        <v>316942.212</v>
      </c>
      <c r="M181" s="553">
        <v>3790</v>
      </c>
      <c r="N181" s="553">
        <v>47540</v>
      </c>
      <c r="O181" s="554">
        <v>163.06733277240218</v>
      </c>
      <c r="P181" s="555">
        <v>7752.2209999999995</v>
      </c>
      <c r="Q181" s="555">
        <v>7752.2209999999995</v>
      </c>
      <c r="R181" s="555">
        <v>7379.3050000000003</v>
      </c>
      <c r="S181" s="556">
        <v>95.189559224382279</v>
      </c>
      <c r="T181" s="562"/>
      <c r="U181" s="565">
        <v>9588</v>
      </c>
      <c r="V181" s="566">
        <v>2420.1935212452672</v>
      </c>
      <c r="W181" s="565">
        <v>668</v>
      </c>
      <c r="X181" s="565">
        <v>244</v>
      </c>
      <c r="Y181" s="566">
        <v>168.61590239798065</v>
      </c>
      <c r="Z181" s="566">
        <v>2.737704918032787</v>
      </c>
      <c r="AA181" s="567">
        <v>8910.616</v>
      </c>
      <c r="AB181" s="567">
        <v>0</v>
      </c>
      <c r="AC181" s="567">
        <v>0</v>
      </c>
      <c r="AD181" s="567">
        <v>0</v>
      </c>
      <c r="AE181" s="567">
        <v>0</v>
      </c>
      <c r="AF181" s="567" t="s">
        <v>434</v>
      </c>
      <c r="AG181" s="567">
        <v>8910.616</v>
      </c>
      <c r="AH181" s="567">
        <v>6473.3789999999999</v>
      </c>
      <c r="AI181" s="567">
        <v>375.10899999999998</v>
      </c>
      <c r="AJ181" s="567">
        <v>0</v>
      </c>
      <c r="AK181" s="567">
        <v>44.125</v>
      </c>
      <c r="AL181" s="567">
        <v>612.36699999999996</v>
      </c>
      <c r="AM181" s="567">
        <v>0</v>
      </c>
      <c r="AN181" s="567">
        <v>47.597999999999999</v>
      </c>
      <c r="AO181" s="567">
        <v>7552.5780000000004</v>
      </c>
      <c r="AP181" s="567">
        <v>0</v>
      </c>
      <c r="AQ181" s="567">
        <v>7552.5780000000004</v>
      </c>
      <c r="AR181" s="563" t="s">
        <v>434</v>
      </c>
      <c r="AS181" s="567">
        <v>463.81599999999997</v>
      </c>
      <c r="AT181" s="567">
        <v>935.28599999999994</v>
      </c>
      <c r="AU181" s="567">
        <v>0</v>
      </c>
      <c r="AV181" s="567" t="s">
        <v>434</v>
      </c>
      <c r="AW181" s="567">
        <v>8951.68</v>
      </c>
      <c r="AX181" s="567">
        <v>-41.064</v>
      </c>
      <c r="AY181" s="571" t="s">
        <v>430</v>
      </c>
      <c r="AZ181" s="571" t="s">
        <v>431</v>
      </c>
      <c r="BA181" s="563"/>
      <c r="BB181" s="563"/>
      <c r="BC181" s="221" t="s">
        <v>553</v>
      </c>
      <c r="BD181" s="591">
        <v>9.7492946127352709E-2</v>
      </c>
      <c r="BE181" s="653">
        <v>-4.9388538371175517E-2</v>
      </c>
      <c r="BF181" s="559" t="s">
        <v>571</v>
      </c>
      <c r="BG181" s="613" t="s">
        <v>571</v>
      </c>
    </row>
    <row r="182" spans="1:59">
      <c r="A182" s="532" t="s">
        <v>56</v>
      </c>
      <c r="B182" s="532" t="s">
        <v>423</v>
      </c>
      <c r="C182" s="532">
        <v>7</v>
      </c>
      <c r="D182" s="532">
        <v>179</v>
      </c>
      <c r="E182" s="535" t="s">
        <v>216</v>
      </c>
      <c r="F182" s="532">
        <v>2013</v>
      </c>
      <c r="G182" s="534" t="s">
        <v>469</v>
      </c>
      <c r="H182" s="551">
        <v>-13754.785</v>
      </c>
      <c r="I182" s="555">
        <v>7935.21</v>
      </c>
      <c r="J182" s="552">
        <v>-131.84922118117274</v>
      </c>
      <c r="K182" s="552">
        <v>350.91408919999998</v>
      </c>
      <c r="L182" s="555">
        <v>10432.208000000001</v>
      </c>
      <c r="M182" s="553">
        <v>6772</v>
      </c>
      <c r="N182" s="553">
        <v>44249</v>
      </c>
      <c r="O182" s="554">
        <v>236.47725372324797</v>
      </c>
      <c r="P182" s="555">
        <v>10463.882</v>
      </c>
      <c r="Q182" s="555">
        <v>10463.882</v>
      </c>
      <c r="R182" s="555">
        <v>8871.0400000000009</v>
      </c>
      <c r="S182" s="556">
        <v>84.777714427590084</v>
      </c>
      <c r="T182" s="562"/>
      <c r="U182" s="565">
        <v>18398</v>
      </c>
      <c r="V182" s="566">
        <v>4989.4008904156026</v>
      </c>
      <c r="W182" s="565">
        <v>1525</v>
      </c>
      <c r="X182" s="565">
        <v>324</v>
      </c>
      <c r="Y182" s="566">
        <v>413.56866821849081</v>
      </c>
      <c r="Z182" s="566">
        <v>4.7067901234567904</v>
      </c>
      <c r="AA182" s="567">
        <v>57042.917000000001</v>
      </c>
      <c r="AB182" s="567">
        <v>0</v>
      </c>
      <c r="AC182" s="567">
        <v>0</v>
      </c>
      <c r="AD182" s="567">
        <v>0</v>
      </c>
      <c r="AE182" s="567">
        <v>0</v>
      </c>
      <c r="AF182" s="567" t="s">
        <v>434</v>
      </c>
      <c r="AG182" s="567">
        <v>57042.917000000001</v>
      </c>
      <c r="AH182" s="567">
        <v>30966.539000000001</v>
      </c>
      <c r="AI182" s="567">
        <v>11802.878000000001</v>
      </c>
      <c r="AJ182" s="567">
        <v>0</v>
      </c>
      <c r="AK182" s="567">
        <v>2059.8389999999999</v>
      </c>
      <c r="AL182" s="567">
        <v>915.85599999999999</v>
      </c>
      <c r="AM182" s="567">
        <v>2360.4319999999998</v>
      </c>
      <c r="AN182" s="567">
        <v>132.03399999999999</v>
      </c>
      <c r="AO182" s="567">
        <v>48237.578000000001</v>
      </c>
      <c r="AP182" s="567">
        <v>203.90100000000001</v>
      </c>
      <c r="AQ182" s="567">
        <v>48033.677000000003</v>
      </c>
      <c r="AR182" s="563" t="s">
        <v>434</v>
      </c>
      <c r="AS182" s="567">
        <v>2159.3270000000002</v>
      </c>
      <c r="AT182" s="567">
        <v>6203.4380000000001</v>
      </c>
      <c r="AU182" s="567">
        <v>0</v>
      </c>
      <c r="AV182" s="567" t="s">
        <v>434</v>
      </c>
      <c r="AW182" s="567">
        <v>56396.442000000003</v>
      </c>
      <c r="AX182" s="567">
        <v>646.47500000000002</v>
      </c>
      <c r="AY182" s="571" t="s">
        <v>430</v>
      </c>
      <c r="AZ182" s="571" t="s">
        <v>431</v>
      </c>
      <c r="BA182" s="563"/>
      <c r="BB182" s="563"/>
      <c r="BC182" s="221" t="s">
        <v>553</v>
      </c>
      <c r="BD182" s="591">
        <v>0.76064530155073595</v>
      </c>
      <c r="BE182" s="653">
        <v>-1.3184922118117273</v>
      </c>
      <c r="BF182" s="559" t="s">
        <v>580</v>
      </c>
      <c r="BG182" s="613" t="s">
        <v>614</v>
      </c>
    </row>
    <row r="183" spans="1:59">
      <c r="A183" s="532" t="s">
        <v>77</v>
      </c>
      <c r="B183" s="532" t="s">
        <v>419</v>
      </c>
      <c r="C183" s="532">
        <v>2</v>
      </c>
      <c r="D183" s="532">
        <v>180</v>
      </c>
      <c r="E183" s="535" t="s">
        <v>219</v>
      </c>
      <c r="F183" s="532">
        <v>2013</v>
      </c>
      <c r="G183" s="534" t="s">
        <v>469</v>
      </c>
      <c r="H183" s="551">
        <v>-869.03499999999997</v>
      </c>
      <c r="I183" s="551">
        <v>1347.1020000000001</v>
      </c>
      <c r="J183" s="568">
        <v>-8.4347435320060864</v>
      </c>
      <c r="K183" s="568">
        <v>917.30824510000002</v>
      </c>
      <c r="L183" s="551">
        <v>10303.040000000001</v>
      </c>
      <c r="M183" s="557">
        <v>34017</v>
      </c>
      <c r="N183" s="557">
        <v>34017</v>
      </c>
      <c r="O183" s="558">
        <v>308.11682394097068</v>
      </c>
      <c r="P183" s="551">
        <v>10481.209999999999</v>
      </c>
      <c r="Q183" s="551">
        <v>10481.209999999999</v>
      </c>
      <c r="R183" s="551">
        <v>10006.187</v>
      </c>
      <c r="S183" s="569">
        <v>95.467861058026699</v>
      </c>
      <c r="T183" s="564"/>
      <c r="U183" s="560">
        <v>5091</v>
      </c>
      <c r="V183" s="561">
        <v>1795.9255666284505</v>
      </c>
      <c r="W183" s="560">
        <v>762</v>
      </c>
      <c r="X183" s="560">
        <v>192</v>
      </c>
      <c r="Y183" s="561">
        <v>268.8067730840462</v>
      </c>
      <c r="Z183" s="561">
        <v>3.96875</v>
      </c>
      <c r="AA183" s="567">
        <v>110815.70299999999</v>
      </c>
      <c r="AB183" s="567">
        <v>0</v>
      </c>
      <c r="AC183" s="567">
        <v>0</v>
      </c>
      <c r="AD183" s="567">
        <v>80171.712</v>
      </c>
      <c r="AE183" s="567">
        <v>0</v>
      </c>
      <c r="AF183" s="567" t="s">
        <v>434</v>
      </c>
      <c r="AG183" s="567">
        <v>190987.41500000001</v>
      </c>
      <c r="AH183" s="567">
        <v>93022.144</v>
      </c>
      <c r="AI183" s="567">
        <v>13703.663</v>
      </c>
      <c r="AJ183" s="567">
        <v>0</v>
      </c>
      <c r="AK183" s="567">
        <v>10805.137000000001</v>
      </c>
      <c r="AL183" s="567">
        <v>226.30099999999999</v>
      </c>
      <c r="AM183" s="567">
        <v>45248.627999999997</v>
      </c>
      <c r="AN183" s="567">
        <v>544.779</v>
      </c>
      <c r="AO183" s="567">
        <v>163550.652</v>
      </c>
      <c r="AP183" s="567">
        <v>1253.1300000000001</v>
      </c>
      <c r="AQ183" s="567">
        <v>162297.522</v>
      </c>
      <c r="AR183" s="563" t="s">
        <v>434</v>
      </c>
      <c r="AS183" s="567">
        <v>4337.8879999999999</v>
      </c>
      <c r="AT183" s="567">
        <v>11010.476000000001</v>
      </c>
      <c r="AU183" s="567">
        <v>0</v>
      </c>
      <c r="AV183" s="567" t="s">
        <v>434</v>
      </c>
      <c r="AW183" s="567">
        <v>177645.886</v>
      </c>
      <c r="AX183" s="567">
        <v>13341.529</v>
      </c>
      <c r="AY183" s="571" t="s">
        <v>430</v>
      </c>
      <c r="AZ183" s="571" t="s">
        <v>433</v>
      </c>
      <c r="BA183" s="563"/>
      <c r="BB183" s="563"/>
      <c r="BC183" s="221" t="s">
        <v>554</v>
      </c>
      <c r="BD183" s="591">
        <v>0.13074801223716495</v>
      </c>
      <c r="BE183" s="653">
        <v>-8.4347435320060865E-2</v>
      </c>
      <c r="BF183" s="559" t="s">
        <v>569</v>
      </c>
      <c r="BG183" s="613" t="s">
        <v>569</v>
      </c>
    </row>
    <row r="184" spans="1:59">
      <c r="A184" s="536" t="s">
        <v>69</v>
      </c>
      <c r="B184" s="536" t="s">
        <v>408</v>
      </c>
      <c r="C184" s="536">
        <v>96</v>
      </c>
      <c r="D184" s="536">
        <v>181</v>
      </c>
      <c r="E184" s="535" t="s">
        <v>408</v>
      </c>
      <c r="F184" s="532">
        <v>2013</v>
      </c>
      <c r="G184" s="534" t="s">
        <v>469</v>
      </c>
      <c r="H184" s="551">
        <v>-267.51100000000002</v>
      </c>
      <c r="I184" s="555">
        <v>935.28599999999994</v>
      </c>
      <c r="J184" s="552">
        <v>-3.0021605689213855</v>
      </c>
      <c r="K184" s="552">
        <v>926.43817750000005</v>
      </c>
      <c r="L184" s="555">
        <v>8910.616</v>
      </c>
      <c r="M184" s="553">
        <v>2682</v>
      </c>
      <c r="N184" s="553">
        <v>28909</v>
      </c>
      <c r="O184" s="554">
        <v>310.84081082015979</v>
      </c>
      <c r="P184" s="555">
        <v>8986.0969999999998</v>
      </c>
      <c r="Q184" s="555">
        <v>8986.0969999999998</v>
      </c>
      <c r="R184" s="555">
        <v>7552.5789999999997</v>
      </c>
      <c r="S184" s="556">
        <v>84.047378967754298</v>
      </c>
      <c r="T184" s="562"/>
      <c r="U184" s="565">
        <v>402</v>
      </c>
      <c r="V184" s="566">
        <v>166.86844927185305</v>
      </c>
      <c r="W184" s="565">
        <v>314</v>
      </c>
      <c r="X184" s="565">
        <v>698</v>
      </c>
      <c r="Y184" s="566">
        <v>130.34003251582553</v>
      </c>
      <c r="Z184" s="566">
        <v>0.44985673352435529</v>
      </c>
      <c r="AA184" s="567">
        <v>11391.790999999999</v>
      </c>
      <c r="AB184" s="567">
        <v>0</v>
      </c>
      <c r="AC184" s="567">
        <v>0</v>
      </c>
      <c r="AD184" s="567">
        <v>0</v>
      </c>
      <c r="AE184" s="567">
        <v>0</v>
      </c>
      <c r="AF184" s="567" t="s">
        <v>434</v>
      </c>
      <c r="AG184" s="567">
        <v>11391.790999999999</v>
      </c>
      <c r="AH184" s="567">
        <v>5255.4319999999998</v>
      </c>
      <c r="AI184" s="567">
        <v>15.134</v>
      </c>
      <c r="AJ184" s="567">
        <v>541.94200000000001</v>
      </c>
      <c r="AK184" s="567">
        <v>577.66999999999996</v>
      </c>
      <c r="AL184" s="567">
        <v>5741.4229999999998</v>
      </c>
      <c r="AM184" s="567">
        <v>0</v>
      </c>
      <c r="AN184" s="567">
        <v>0</v>
      </c>
      <c r="AO184" s="567">
        <v>12131.601000000001</v>
      </c>
      <c r="AP184" s="567">
        <v>0</v>
      </c>
      <c r="AQ184" s="567">
        <v>12131.601000000001</v>
      </c>
      <c r="AR184" s="563" t="s">
        <v>434</v>
      </c>
      <c r="AS184" s="567">
        <v>383.58</v>
      </c>
      <c r="AT184" s="567">
        <v>1274.25</v>
      </c>
      <c r="AU184" s="567">
        <v>0</v>
      </c>
      <c r="AV184" s="567" t="s">
        <v>434</v>
      </c>
      <c r="AW184" s="567">
        <v>13789.431</v>
      </c>
      <c r="AX184" s="567">
        <v>-2397.64</v>
      </c>
      <c r="AY184" s="571" t="s">
        <v>435</v>
      </c>
      <c r="AZ184" s="571" t="s">
        <v>433</v>
      </c>
      <c r="BA184" s="563"/>
      <c r="BB184" s="563"/>
      <c r="BC184" s="221" t="s">
        <v>553</v>
      </c>
      <c r="BD184" s="591">
        <v>0.10496311366127774</v>
      </c>
      <c r="BE184" s="653">
        <v>-3.0021605689213856E-2</v>
      </c>
      <c r="BF184" s="559" t="s">
        <v>571</v>
      </c>
      <c r="BG184" s="613" t="s">
        <v>571</v>
      </c>
    </row>
    <row r="185" spans="1:59">
      <c r="A185" s="532" t="s">
        <v>77</v>
      </c>
      <c r="B185" s="532" t="s">
        <v>425</v>
      </c>
      <c r="C185" s="532">
        <v>10</v>
      </c>
      <c r="D185" s="532">
        <v>182</v>
      </c>
      <c r="E185" s="535" t="s">
        <v>385</v>
      </c>
      <c r="F185" s="532">
        <v>2013</v>
      </c>
      <c r="G185" s="534" t="s">
        <v>469</v>
      </c>
      <c r="H185" s="551">
        <v>355.71</v>
      </c>
      <c r="I185" s="555">
        <v>59.22</v>
      </c>
      <c r="J185" s="552">
        <v>4.3128910228430088</v>
      </c>
      <c r="K185" s="552">
        <v>1568.2255121000001</v>
      </c>
      <c r="L185" s="555">
        <v>8247.6</v>
      </c>
      <c r="M185" s="553">
        <v>25262</v>
      </c>
      <c r="N185" s="553">
        <v>25262</v>
      </c>
      <c r="O185" s="554">
        <v>326.48246377958992</v>
      </c>
      <c r="P185" s="555">
        <v>8326.7150000000001</v>
      </c>
      <c r="Q185" s="555">
        <v>8247.6</v>
      </c>
      <c r="R185" s="555">
        <v>7583.0259999999998</v>
      </c>
      <c r="S185" s="556">
        <v>91.942213492409905</v>
      </c>
      <c r="T185" s="562"/>
      <c r="U185" s="565">
        <v>10328</v>
      </c>
      <c r="V185" s="566">
        <v>4906.0248594727254</v>
      </c>
      <c r="W185" s="565">
        <v>435</v>
      </c>
      <c r="X185" s="565">
        <v>130</v>
      </c>
      <c r="Y185" s="566">
        <v>206.63447074657589</v>
      </c>
      <c r="Z185" s="566">
        <v>3.3461538461538463</v>
      </c>
      <c r="AA185" s="567">
        <v>40774.855000000003</v>
      </c>
      <c r="AB185" s="567">
        <v>0</v>
      </c>
      <c r="AC185" s="567">
        <v>0</v>
      </c>
      <c r="AD185" s="567">
        <v>0</v>
      </c>
      <c r="AE185" s="567">
        <v>0</v>
      </c>
      <c r="AF185" s="567" t="s">
        <v>434</v>
      </c>
      <c r="AG185" s="567">
        <v>40774.855000000003</v>
      </c>
      <c r="AH185" s="567">
        <v>27380.804</v>
      </c>
      <c r="AI185" s="567">
        <v>43.472999999999999</v>
      </c>
      <c r="AJ185" s="567">
        <v>1437.3440000000001</v>
      </c>
      <c r="AK185" s="567">
        <v>838.50099999999998</v>
      </c>
      <c r="AL185" s="567">
        <v>6498.2650000000003</v>
      </c>
      <c r="AM185" s="567">
        <v>8.0050000000000008</v>
      </c>
      <c r="AN185" s="567">
        <v>449.9</v>
      </c>
      <c r="AO185" s="567">
        <v>36656.292000000001</v>
      </c>
      <c r="AP185" s="567">
        <v>64.676000000000002</v>
      </c>
      <c r="AQ185" s="567">
        <v>36591.616000000002</v>
      </c>
      <c r="AR185" s="563" t="s">
        <v>434</v>
      </c>
      <c r="AS185" s="567">
        <v>244.86699999999999</v>
      </c>
      <c r="AT185" s="567">
        <v>2505.567</v>
      </c>
      <c r="AU185" s="567">
        <v>0</v>
      </c>
      <c r="AV185" s="567" t="s">
        <v>434</v>
      </c>
      <c r="AW185" s="567">
        <v>39342.050000000003</v>
      </c>
      <c r="AX185" s="567">
        <v>1432.8050000000001</v>
      </c>
      <c r="AY185" s="585" t="s">
        <v>430</v>
      </c>
      <c r="AZ185" s="585" t="s">
        <v>433</v>
      </c>
      <c r="BA185" s="563"/>
      <c r="BB185" s="563"/>
      <c r="BC185" s="221" t="s">
        <v>554</v>
      </c>
      <c r="BD185" s="591">
        <v>7.1802706241815796E-3</v>
      </c>
      <c r="BE185" s="653">
        <v>4.3128910228430087E-2</v>
      </c>
      <c r="BF185" s="559" t="s">
        <v>574</v>
      </c>
      <c r="BG185" s="613" t="s">
        <v>574</v>
      </c>
    </row>
    <row r="186" spans="1:59">
      <c r="A186" s="536" t="s">
        <v>91</v>
      </c>
      <c r="B186" s="536" t="s">
        <v>222</v>
      </c>
      <c r="C186" s="536">
        <v>6</v>
      </c>
      <c r="D186" s="536">
        <v>183</v>
      </c>
      <c r="E186" s="535" t="s">
        <v>222</v>
      </c>
      <c r="F186" s="532">
        <v>2013</v>
      </c>
      <c r="G186" s="534" t="s">
        <v>469</v>
      </c>
      <c r="H186" s="551">
        <v>587.06399999999996</v>
      </c>
      <c r="I186" s="555">
        <v>513.36199999999997</v>
      </c>
      <c r="J186" s="552">
        <v>9.4364209676597497</v>
      </c>
      <c r="K186" s="552">
        <v>426.47891770000001</v>
      </c>
      <c r="L186" s="555">
        <v>6221.2569999999996</v>
      </c>
      <c r="M186" s="553">
        <v>2864</v>
      </c>
      <c r="N186" s="553">
        <v>21708</v>
      </c>
      <c r="O186" s="554">
        <v>295.60645844849824</v>
      </c>
      <c r="P186" s="555">
        <v>6417.0249999999996</v>
      </c>
      <c r="Q186" s="555">
        <v>6417.0249999999996</v>
      </c>
      <c r="R186" s="555">
        <v>4898.165</v>
      </c>
      <c r="S186" s="556">
        <v>76.330776333269711</v>
      </c>
      <c r="T186" s="562"/>
      <c r="U186" s="565">
        <v>8565</v>
      </c>
      <c r="V186" s="566">
        <v>4734.6600331674963</v>
      </c>
      <c r="W186" s="565">
        <v>1155</v>
      </c>
      <c r="X186" s="565">
        <v>384</v>
      </c>
      <c r="Y186" s="566">
        <v>638.47429519071306</v>
      </c>
      <c r="Z186" s="566">
        <v>3.0078125</v>
      </c>
      <c r="AA186" s="567">
        <v>7649.5349999999999</v>
      </c>
      <c r="AB186" s="567">
        <v>0</v>
      </c>
      <c r="AC186" s="567">
        <v>150.38499999999999</v>
      </c>
      <c r="AD186" s="567">
        <v>0</v>
      </c>
      <c r="AE186" s="567">
        <v>0</v>
      </c>
      <c r="AF186" s="567" t="s">
        <v>434</v>
      </c>
      <c r="AG186" s="567">
        <v>7799.92</v>
      </c>
      <c r="AH186" s="567">
        <v>4894.4269999999997</v>
      </c>
      <c r="AI186" s="567">
        <v>776.81399999999996</v>
      </c>
      <c r="AJ186" s="567">
        <v>389.10199999999998</v>
      </c>
      <c r="AK186" s="567">
        <v>0</v>
      </c>
      <c r="AL186" s="567">
        <v>754.47</v>
      </c>
      <c r="AM186" s="567">
        <v>564.49300000000005</v>
      </c>
      <c r="AN186" s="567">
        <v>0</v>
      </c>
      <c r="AO186" s="567">
        <v>7379.3059999999996</v>
      </c>
      <c r="AP186" s="567">
        <v>13.534000000000001</v>
      </c>
      <c r="AQ186" s="567">
        <v>7365.7719999999999</v>
      </c>
      <c r="AR186" s="563" t="s">
        <v>434</v>
      </c>
      <c r="AS186" s="567">
        <v>220.875</v>
      </c>
      <c r="AT186" s="567">
        <v>1702.65</v>
      </c>
      <c r="AU186" s="567">
        <v>0</v>
      </c>
      <c r="AV186" s="567" t="s">
        <v>434</v>
      </c>
      <c r="AW186" s="567">
        <v>9289.2970000000005</v>
      </c>
      <c r="AX186" s="567">
        <v>-1489.377</v>
      </c>
      <c r="AY186" s="571" t="s">
        <v>435</v>
      </c>
      <c r="AZ186" s="571" t="s">
        <v>433</v>
      </c>
      <c r="BA186" s="563"/>
      <c r="BB186" s="563"/>
      <c r="BC186" s="221" t="s">
        <v>553</v>
      </c>
      <c r="BD186" s="591">
        <v>8.2517407655719729E-2</v>
      </c>
      <c r="BE186" s="653">
        <v>9.4364209676597491E-2</v>
      </c>
      <c r="BF186" s="559" t="s">
        <v>576</v>
      </c>
      <c r="BG186" s="613" t="s">
        <v>576</v>
      </c>
    </row>
    <row r="187" spans="1:59">
      <c r="A187" s="536" t="s">
        <v>52</v>
      </c>
      <c r="B187" s="536" t="s">
        <v>413</v>
      </c>
      <c r="C187" s="536" t="s">
        <v>20</v>
      </c>
      <c r="D187" s="536">
        <v>184</v>
      </c>
      <c r="E187" s="535" t="s">
        <v>413</v>
      </c>
      <c r="F187" s="532">
        <v>2013</v>
      </c>
      <c r="G187" s="534" t="s">
        <v>567</v>
      </c>
      <c r="H187" s="551">
        <v>-1379.1389999999999</v>
      </c>
      <c r="I187" s="555">
        <v>4210.9989999999998</v>
      </c>
      <c r="J187" s="552">
        <v>-5.6139001300307116</v>
      </c>
      <c r="K187" s="552">
        <v>325.01416749999999</v>
      </c>
      <c r="L187" s="555">
        <v>24566.504000000001</v>
      </c>
      <c r="M187" s="553">
        <v>1479</v>
      </c>
      <c r="N187" s="553">
        <v>17995</v>
      </c>
      <c r="O187" s="554">
        <v>163.3176993609336</v>
      </c>
      <c r="P187" s="555">
        <v>3111.732</v>
      </c>
      <c r="Q187" s="555">
        <v>2938.902</v>
      </c>
      <c r="R187" s="555">
        <v>1650.355</v>
      </c>
      <c r="S187" s="556">
        <v>56.155496168296864</v>
      </c>
      <c r="T187" s="562"/>
      <c r="U187" s="565">
        <v>0</v>
      </c>
      <c r="V187" s="566">
        <v>0</v>
      </c>
      <c r="W187" s="565">
        <v>0</v>
      </c>
      <c r="X187" s="565">
        <v>0</v>
      </c>
      <c r="Y187" s="566">
        <v>0</v>
      </c>
      <c r="Z187" s="566" t="s">
        <v>434</v>
      </c>
      <c r="AA187" s="567">
        <v>3289.3310000000001</v>
      </c>
      <c r="AB187" s="567">
        <v>0</v>
      </c>
      <c r="AC187" s="567">
        <v>0</v>
      </c>
      <c r="AD187" s="567">
        <v>0</v>
      </c>
      <c r="AE187" s="567">
        <v>6.0039999999999996</v>
      </c>
      <c r="AF187" s="567" t="s">
        <v>434</v>
      </c>
      <c r="AG187" s="567">
        <v>3295.335</v>
      </c>
      <c r="AH187" s="567">
        <v>2888.7539999999999</v>
      </c>
      <c r="AI187" s="567">
        <v>0</v>
      </c>
      <c r="AJ187" s="567">
        <v>0</v>
      </c>
      <c r="AK187" s="567">
        <v>0</v>
      </c>
      <c r="AL187" s="567">
        <v>0</v>
      </c>
      <c r="AM187" s="567">
        <v>0</v>
      </c>
      <c r="AN187" s="567">
        <v>0</v>
      </c>
      <c r="AO187" s="567">
        <v>2888.7539999999999</v>
      </c>
      <c r="AP187" s="567">
        <v>0</v>
      </c>
      <c r="AQ187" s="567">
        <v>2888.7539999999999</v>
      </c>
      <c r="AR187" s="563" t="s">
        <v>434</v>
      </c>
      <c r="AS187" s="567">
        <v>0</v>
      </c>
      <c r="AT187" s="567">
        <v>9905.3359999999993</v>
      </c>
      <c r="AU187" s="567">
        <v>0</v>
      </c>
      <c r="AV187" s="567" t="s">
        <v>434</v>
      </c>
      <c r="AW187" s="567">
        <v>12794.09</v>
      </c>
      <c r="AX187" s="567">
        <v>-9498.7549999999992</v>
      </c>
      <c r="AY187" s="571">
        <v>0</v>
      </c>
      <c r="AZ187" s="571">
        <v>0</v>
      </c>
      <c r="BA187" s="563"/>
      <c r="BB187" s="563"/>
      <c r="BC187" s="221" t="s">
        <v>553</v>
      </c>
      <c r="BD187" s="591">
        <v>0.17141222047711793</v>
      </c>
      <c r="BE187" s="653">
        <v>0.26703281783991351</v>
      </c>
      <c r="BF187" s="559" t="s">
        <v>582</v>
      </c>
      <c r="BG187" s="613" t="s">
        <v>582</v>
      </c>
    </row>
    <row r="188" spans="1:59">
      <c r="A188" s="536" t="s">
        <v>95</v>
      </c>
      <c r="B188" s="536" t="s">
        <v>309</v>
      </c>
      <c r="C188" s="536">
        <v>88</v>
      </c>
      <c r="D188" s="536">
        <v>185</v>
      </c>
      <c r="E188" s="535" t="s">
        <v>309</v>
      </c>
      <c r="F188" s="532">
        <v>2013</v>
      </c>
      <c r="G188" s="534" t="s">
        <v>567</v>
      </c>
      <c r="H188" s="551">
        <v>558.56700000000001</v>
      </c>
      <c r="I188" s="555">
        <v>8157.1670000000004</v>
      </c>
      <c r="J188" s="552">
        <v>0.58913278169907524</v>
      </c>
      <c r="K188" s="552">
        <v>541.36595539999996</v>
      </c>
      <c r="L188" s="555">
        <v>94811.732999999993</v>
      </c>
      <c r="M188" s="553">
        <v>1401</v>
      </c>
      <c r="N188" s="553">
        <v>16899</v>
      </c>
      <c r="O188" s="554">
        <v>3356.5724007337712</v>
      </c>
      <c r="P188" s="555">
        <v>56722.716999999997</v>
      </c>
      <c r="Q188" s="555">
        <v>56722.716999999997</v>
      </c>
      <c r="R188" s="555">
        <v>40208.847000000002</v>
      </c>
      <c r="S188" s="556">
        <v>70.886673147197811</v>
      </c>
      <c r="T188" s="562"/>
      <c r="U188" s="565">
        <v>26403</v>
      </c>
      <c r="V188" s="566">
        <v>18748.801704242855</v>
      </c>
      <c r="W188" s="565">
        <v>745</v>
      </c>
      <c r="X188" s="565">
        <v>119</v>
      </c>
      <c r="Y188" s="566">
        <v>529.02538611752175</v>
      </c>
      <c r="Z188" s="566">
        <v>6.2605042016806722</v>
      </c>
      <c r="AA188" s="567">
        <v>66389.485000000001</v>
      </c>
      <c r="AB188" s="567">
        <v>0</v>
      </c>
      <c r="AC188" s="567">
        <v>0</v>
      </c>
      <c r="AD188" s="567">
        <v>0</v>
      </c>
      <c r="AE188" s="567">
        <v>0</v>
      </c>
      <c r="AF188" s="567" t="s">
        <v>434</v>
      </c>
      <c r="AG188" s="567">
        <v>66389.485000000001</v>
      </c>
      <c r="AH188" s="567">
        <v>46793.891000000003</v>
      </c>
      <c r="AI188" s="567">
        <v>592.46199999999999</v>
      </c>
      <c r="AJ188" s="567">
        <v>0</v>
      </c>
      <c r="AK188" s="567">
        <v>3022.3449999999998</v>
      </c>
      <c r="AL188" s="567">
        <v>9192.4470000000001</v>
      </c>
      <c r="AM188" s="567">
        <v>794.71600000000001</v>
      </c>
      <c r="AN188" s="567">
        <v>1320.614</v>
      </c>
      <c r="AO188" s="567">
        <v>61716.474999999999</v>
      </c>
      <c r="AP188" s="567">
        <v>0</v>
      </c>
      <c r="AQ188" s="567">
        <v>61716.474999999999</v>
      </c>
      <c r="AR188" s="563" t="s">
        <v>434</v>
      </c>
      <c r="AS188" s="567">
        <v>1948.6980000000001</v>
      </c>
      <c r="AT188" s="567">
        <v>3704.6179999999999</v>
      </c>
      <c r="AU188" s="567">
        <v>0</v>
      </c>
      <c r="AV188" s="567" t="s">
        <v>434</v>
      </c>
      <c r="AW188" s="567">
        <v>67369.790999999997</v>
      </c>
      <c r="AX188" s="567">
        <v>-980.30600000000004</v>
      </c>
      <c r="AY188" s="571" t="s">
        <v>430</v>
      </c>
      <c r="AZ188" s="571" t="s">
        <v>431</v>
      </c>
      <c r="BA188" s="563"/>
      <c r="BB188" s="563"/>
      <c r="BC188" s="221" t="s">
        <v>553</v>
      </c>
      <c r="BD188" s="591">
        <v>8.6035417156650862E-2</v>
      </c>
      <c r="BE188" s="653">
        <v>0.20509785137137104</v>
      </c>
      <c r="BF188" s="559" t="s">
        <v>582</v>
      </c>
      <c r="BG188" s="613" t="s">
        <v>582</v>
      </c>
    </row>
    <row r="189" spans="1:59">
      <c r="A189" s="536" t="s">
        <v>84</v>
      </c>
      <c r="B189" s="536" t="s">
        <v>427</v>
      </c>
      <c r="C189" s="536">
        <v>63</v>
      </c>
      <c r="D189" s="536">
        <v>186</v>
      </c>
      <c r="E189" s="535" t="s">
        <v>238</v>
      </c>
      <c r="F189" s="532">
        <v>2013</v>
      </c>
      <c r="G189" s="534" t="s">
        <v>567</v>
      </c>
      <c r="H189" s="551">
        <v>-14941.651</v>
      </c>
      <c r="I189" s="555">
        <v>174275.989</v>
      </c>
      <c r="J189" s="552">
        <v>-0.49673810891074383</v>
      </c>
      <c r="K189" s="552">
        <v>934.25454379999996</v>
      </c>
      <c r="L189" s="555">
        <v>3007953.4330000002</v>
      </c>
      <c r="M189" s="553">
        <v>634</v>
      </c>
      <c r="N189" s="553">
        <v>12057</v>
      </c>
      <c r="O189" s="554">
        <v>187.35240938873685</v>
      </c>
      <c r="P189" s="555">
        <v>2258.9079999999999</v>
      </c>
      <c r="Q189" s="555">
        <v>2258.9079999999999</v>
      </c>
      <c r="R189" s="555">
        <v>4973.3149999999996</v>
      </c>
      <c r="S189" s="556">
        <v>220.16456624174157</v>
      </c>
      <c r="T189" s="562"/>
      <c r="U189" s="565">
        <v>6214</v>
      </c>
      <c r="V189" s="566">
        <v>6184.6230405573524</v>
      </c>
      <c r="W189" s="565">
        <v>352</v>
      </c>
      <c r="X189" s="565">
        <v>59</v>
      </c>
      <c r="Y189" s="566">
        <v>350.33590445384425</v>
      </c>
      <c r="Z189" s="566">
        <v>5.9661016949152543</v>
      </c>
      <c r="AA189" s="567">
        <v>50771.436999999998</v>
      </c>
      <c r="AB189" s="567">
        <v>0</v>
      </c>
      <c r="AC189" s="567">
        <v>1753.8779999999999</v>
      </c>
      <c r="AD189" s="567">
        <v>0</v>
      </c>
      <c r="AE189" s="567">
        <v>3384.4780000000001</v>
      </c>
      <c r="AF189" s="567" t="s">
        <v>434</v>
      </c>
      <c r="AG189" s="567">
        <v>55909.792999999998</v>
      </c>
      <c r="AH189" s="567">
        <v>42124.491999999998</v>
      </c>
      <c r="AI189" s="567">
        <v>580.00099999999998</v>
      </c>
      <c r="AJ189" s="567">
        <v>2446.8119999999999</v>
      </c>
      <c r="AK189" s="567">
        <v>3205.4859999999999</v>
      </c>
      <c r="AL189" s="567">
        <v>5745.8370000000004</v>
      </c>
      <c r="AM189" s="567">
        <v>23941.679</v>
      </c>
      <c r="AN189" s="567">
        <v>0</v>
      </c>
      <c r="AO189" s="567">
        <v>78044.307000000001</v>
      </c>
      <c r="AP189" s="567">
        <v>0</v>
      </c>
      <c r="AQ189" s="567">
        <v>78044.307000000001</v>
      </c>
      <c r="AR189" s="563" t="s">
        <v>434</v>
      </c>
      <c r="AS189" s="567">
        <v>652.87400000000002</v>
      </c>
      <c r="AT189" s="567">
        <v>2258.8820000000001</v>
      </c>
      <c r="AU189" s="567">
        <v>0</v>
      </c>
      <c r="AV189" s="567" t="s">
        <v>434</v>
      </c>
      <c r="AW189" s="567">
        <v>80956.062999999995</v>
      </c>
      <c r="AX189" s="567">
        <v>-25046.27</v>
      </c>
      <c r="AY189" s="571" t="s">
        <v>435</v>
      </c>
      <c r="AZ189" s="571" t="s">
        <v>431</v>
      </c>
      <c r="BA189" s="563"/>
      <c r="BB189" s="563"/>
      <c r="BC189" s="221" t="s">
        <v>553</v>
      </c>
      <c r="BD189" s="591">
        <v>5.7938393290279368E-2</v>
      </c>
      <c r="BE189" s="653">
        <v>-1.2595840557076949</v>
      </c>
      <c r="BF189" s="559" t="s">
        <v>580</v>
      </c>
      <c r="BG189" s="613" t="s">
        <v>614</v>
      </c>
    </row>
    <row r="190" spans="1:59">
      <c r="A190" s="536" t="s">
        <v>61</v>
      </c>
      <c r="B190" s="536" t="s">
        <v>400</v>
      </c>
      <c r="C190" s="536">
        <v>67</v>
      </c>
      <c r="D190" s="536">
        <v>187</v>
      </c>
      <c r="E190" s="535" t="s">
        <v>400</v>
      </c>
      <c r="F190" s="532">
        <v>2013</v>
      </c>
      <c r="G190" s="534" t="s">
        <v>567</v>
      </c>
      <c r="H190" s="551">
        <v>11440.755999999999</v>
      </c>
      <c r="I190" s="555">
        <v>87254.232999999993</v>
      </c>
      <c r="J190" s="552">
        <v>1.0223859333238221</v>
      </c>
      <c r="K190" s="552">
        <v>627.59627390000003</v>
      </c>
      <c r="L190" s="555">
        <v>1119025.1769999999</v>
      </c>
      <c r="M190" s="553">
        <v>4176</v>
      </c>
      <c r="N190" s="553">
        <v>11055</v>
      </c>
      <c r="O190" s="554">
        <v>1080.2871099050203</v>
      </c>
      <c r="P190" s="555">
        <v>11942.574000000001</v>
      </c>
      <c r="Q190" s="555">
        <v>11942.574000000001</v>
      </c>
      <c r="R190" s="555">
        <v>12131.601000000001</v>
      </c>
      <c r="S190" s="556">
        <v>101.58279948694478</v>
      </c>
      <c r="T190" s="562">
        <v>155886</v>
      </c>
      <c r="U190" s="565">
        <v>5572</v>
      </c>
      <c r="V190" s="566">
        <v>6048.303934871099</v>
      </c>
      <c r="W190" s="565">
        <v>750</v>
      </c>
      <c r="X190" s="565">
        <v>165</v>
      </c>
      <c r="Y190" s="566">
        <v>814.11126187245588</v>
      </c>
      <c r="Z190" s="566">
        <v>4.5454545454545459</v>
      </c>
      <c r="AA190" s="567">
        <v>17475.595000000001</v>
      </c>
      <c r="AB190" s="567">
        <v>0</v>
      </c>
      <c r="AC190" s="567">
        <v>0</v>
      </c>
      <c r="AD190" s="567">
        <v>0</v>
      </c>
      <c r="AE190" s="567">
        <v>0</v>
      </c>
      <c r="AF190" s="567" t="s">
        <v>434</v>
      </c>
      <c r="AG190" s="567">
        <v>17475.595000000001</v>
      </c>
      <c r="AH190" s="567">
        <v>2420.5439999999999</v>
      </c>
      <c r="AI190" s="567">
        <v>1099.8810000000001</v>
      </c>
      <c r="AJ190" s="567">
        <v>0</v>
      </c>
      <c r="AK190" s="567">
        <v>462.00299999999999</v>
      </c>
      <c r="AL190" s="567">
        <v>11395.352999999999</v>
      </c>
      <c r="AM190" s="567">
        <v>0</v>
      </c>
      <c r="AN190" s="567">
        <v>0</v>
      </c>
      <c r="AO190" s="567">
        <v>15377.781000000001</v>
      </c>
      <c r="AP190" s="567">
        <v>0</v>
      </c>
      <c r="AQ190" s="567">
        <v>15377.781000000001</v>
      </c>
      <c r="AR190" s="563" t="s">
        <v>434</v>
      </c>
      <c r="AS190" s="567">
        <v>0</v>
      </c>
      <c r="AT190" s="567">
        <v>1845.24</v>
      </c>
      <c r="AU190" s="567">
        <v>0</v>
      </c>
      <c r="AV190" s="567" t="s">
        <v>434</v>
      </c>
      <c r="AW190" s="567">
        <v>17223.021000000001</v>
      </c>
      <c r="AX190" s="567">
        <v>252.57400000000001</v>
      </c>
      <c r="AY190" s="571" t="s">
        <v>435</v>
      </c>
      <c r="AZ190" s="571" t="s">
        <v>433</v>
      </c>
      <c r="BA190" s="563"/>
      <c r="BB190" s="563"/>
      <c r="BC190" s="221" t="s">
        <v>553</v>
      </c>
      <c r="BD190" s="591">
        <v>7.7973431512881858E-2</v>
      </c>
      <c r="BE190" s="653">
        <v>-9.3801426382329606E-2</v>
      </c>
      <c r="BF190" s="559" t="s">
        <v>569</v>
      </c>
      <c r="BG190" s="613" t="s">
        <v>569</v>
      </c>
    </row>
    <row r="191" spans="1:59">
      <c r="A191" s="536" t="s">
        <v>95</v>
      </c>
      <c r="B191" s="536" t="s">
        <v>143</v>
      </c>
      <c r="C191" s="536">
        <v>86</v>
      </c>
      <c r="D191" s="536">
        <v>188</v>
      </c>
      <c r="E191" s="535" t="s">
        <v>143</v>
      </c>
      <c r="F191" s="532">
        <v>2013</v>
      </c>
      <c r="G191" s="534" t="s">
        <v>567</v>
      </c>
      <c r="H191" s="551">
        <v>4524.8289999999997</v>
      </c>
      <c r="I191" s="555">
        <v>4533.3680000000004</v>
      </c>
      <c r="J191" s="552">
        <v>4.878850385978553</v>
      </c>
      <c r="K191" s="552">
        <v>577.74020370000005</v>
      </c>
      <c r="L191" s="555">
        <v>92743.754000000001</v>
      </c>
      <c r="M191" s="553">
        <v>878</v>
      </c>
      <c r="N191" s="553">
        <v>9947</v>
      </c>
      <c r="O191" s="554">
        <v>5639.2416809088163</v>
      </c>
      <c r="P191" s="555">
        <v>56202.773999999998</v>
      </c>
      <c r="Q191" s="555">
        <v>56093.536999999997</v>
      </c>
      <c r="R191" s="555">
        <v>46165.838000000003</v>
      </c>
      <c r="S191" s="556">
        <v>82.301527892598415</v>
      </c>
      <c r="T191" s="562"/>
      <c r="U191" s="565">
        <v>46096</v>
      </c>
      <c r="V191" s="566">
        <v>55609.932643007945</v>
      </c>
      <c r="W191" s="565">
        <v>1055</v>
      </c>
      <c r="X191" s="565">
        <v>190</v>
      </c>
      <c r="Y191" s="566">
        <v>1272.7455514225394</v>
      </c>
      <c r="Z191" s="566">
        <v>5.5526315789473681</v>
      </c>
      <c r="AA191" s="567">
        <v>56654.233999999997</v>
      </c>
      <c r="AB191" s="567">
        <v>0</v>
      </c>
      <c r="AC191" s="567">
        <v>0</v>
      </c>
      <c r="AD191" s="567">
        <v>0</v>
      </c>
      <c r="AE191" s="567">
        <v>0</v>
      </c>
      <c r="AF191" s="567" t="s">
        <v>434</v>
      </c>
      <c r="AG191" s="567">
        <v>56654.233999999997</v>
      </c>
      <c r="AH191" s="567">
        <v>32444.43</v>
      </c>
      <c r="AI191" s="567">
        <v>5201.2870000000003</v>
      </c>
      <c r="AJ191" s="567">
        <v>3106.8029999999999</v>
      </c>
      <c r="AK191" s="567">
        <v>4370.7719999999999</v>
      </c>
      <c r="AL191" s="567">
        <v>10668.004999999999</v>
      </c>
      <c r="AM191" s="567">
        <v>297.49900000000002</v>
      </c>
      <c r="AN191" s="567">
        <v>-342.803</v>
      </c>
      <c r="AO191" s="567">
        <v>55745.993000000002</v>
      </c>
      <c r="AP191" s="567">
        <v>309.74400000000003</v>
      </c>
      <c r="AQ191" s="567">
        <v>55436.249000000003</v>
      </c>
      <c r="AR191" s="563" t="s">
        <v>434</v>
      </c>
      <c r="AS191" s="567">
        <v>3730.0709999999999</v>
      </c>
      <c r="AT191" s="567">
        <v>1726.797</v>
      </c>
      <c r="AU191" s="567">
        <v>-1978.373</v>
      </c>
      <c r="AV191" s="567" t="s">
        <v>434</v>
      </c>
      <c r="AW191" s="567">
        <v>58914.743999999999</v>
      </c>
      <c r="AX191" s="567">
        <v>-2260.5100000000002</v>
      </c>
      <c r="AY191" s="571" t="s">
        <v>430</v>
      </c>
      <c r="AZ191" s="571" t="s">
        <v>431</v>
      </c>
      <c r="BA191" s="563"/>
      <c r="BB191" s="563"/>
      <c r="BC191" s="221" t="s">
        <v>553</v>
      </c>
      <c r="BD191" s="591">
        <v>4.8880574750079668E-2</v>
      </c>
      <c r="BE191" s="653">
        <v>0.12810414632393619</v>
      </c>
      <c r="BF191" s="559" t="s">
        <v>581</v>
      </c>
      <c r="BG191" s="613" t="s">
        <v>581</v>
      </c>
    </row>
    <row r="192" spans="1:59">
      <c r="A192" s="532" t="s">
        <v>61</v>
      </c>
      <c r="B192" s="532" t="s">
        <v>421</v>
      </c>
      <c r="C192" s="532">
        <v>4</v>
      </c>
      <c r="D192" s="532">
        <v>189</v>
      </c>
      <c r="E192" s="535" t="s">
        <v>251</v>
      </c>
      <c r="F192" s="532">
        <v>2013</v>
      </c>
      <c r="G192" s="534" t="s">
        <v>469</v>
      </c>
      <c r="H192" s="551">
        <v>-5814.8909999999996</v>
      </c>
      <c r="I192" s="555">
        <v>8416.9410000000007</v>
      </c>
      <c r="J192" s="552">
        <v>-69.996217846276508</v>
      </c>
      <c r="K192" s="552">
        <v>496.73566649999998</v>
      </c>
      <c r="L192" s="555">
        <v>8307.4359999999997</v>
      </c>
      <c r="M192" s="553">
        <v>4272</v>
      </c>
      <c r="N192" s="553">
        <v>6945</v>
      </c>
      <c r="O192" s="554">
        <v>1195.2357091432687</v>
      </c>
      <c r="P192" s="555">
        <v>8300.9120000000003</v>
      </c>
      <c r="Q192" s="555">
        <v>8300.9120000000003</v>
      </c>
      <c r="R192" s="555">
        <v>8469.7739999999994</v>
      </c>
      <c r="S192" s="556">
        <v>102.03425840437772</v>
      </c>
      <c r="T192" s="562"/>
      <c r="U192" s="560">
        <v>2915</v>
      </c>
      <c r="V192" s="561">
        <v>5036.7170626349889</v>
      </c>
      <c r="W192" s="560">
        <v>916</v>
      </c>
      <c r="X192" s="560">
        <v>165</v>
      </c>
      <c r="Y192" s="561">
        <v>1582.7213822894169</v>
      </c>
      <c r="Z192" s="561">
        <v>5.5515151515151517</v>
      </c>
      <c r="AA192" s="567">
        <v>195177.43900000001</v>
      </c>
      <c r="AB192" s="567">
        <v>0</v>
      </c>
      <c r="AC192" s="567">
        <v>0</v>
      </c>
      <c r="AD192" s="567">
        <v>0</v>
      </c>
      <c r="AE192" s="567">
        <v>-54.776000000000003</v>
      </c>
      <c r="AF192" s="567" t="s">
        <v>434</v>
      </c>
      <c r="AG192" s="567">
        <v>195122.663</v>
      </c>
      <c r="AH192" s="567">
        <v>85740.576000000001</v>
      </c>
      <c r="AI192" s="567">
        <v>6004.9009999999998</v>
      </c>
      <c r="AJ192" s="567">
        <v>8352.3549999999996</v>
      </c>
      <c r="AK192" s="567">
        <v>8869.2950000000001</v>
      </c>
      <c r="AL192" s="567">
        <v>0</v>
      </c>
      <c r="AM192" s="567">
        <v>51725.921999999999</v>
      </c>
      <c r="AN192" s="567">
        <v>359.65800000000002</v>
      </c>
      <c r="AO192" s="567">
        <v>161052.70699999999</v>
      </c>
      <c r="AP192" s="567">
        <v>0</v>
      </c>
      <c r="AQ192" s="567">
        <v>161052.70699999999</v>
      </c>
      <c r="AR192" s="563" t="s">
        <v>434</v>
      </c>
      <c r="AS192" s="567">
        <v>5506.5829999999996</v>
      </c>
      <c r="AT192" s="567">
        <v>18898.983</v>
      </c>
      <c r="AU192" s="567">
        <v>0</v>
      </c>
      <c r="AV192" s="567" t="s">
        <v>434</v>
      </c>
      <c r="AW192" s="567">
        <v>185458.27299999999</v>
      </c>
      <c r="AX192" s="567">
        <v>9664.39</v>
      </c>
      <c r="AY192" s="571" t="s">
        <v>430</v>
      </c>
      <c r="AZ192" s="571" t="s">
        <v>433</v>
      </c>
      <c r="BA192" s="563"/>
      <c r="BB192" s="563"/>
      <c r="BC192" s="221" t="s">
        <v>553</v>
      </c>
      <c r="BD192" s="591">
        <v>1.0131815640830697</v>
      </c>
      <c r="BE192" s="653">
        <v>-0.69996217846276509</v>
      </c>
      <c r="BF192" s="559" t="s">
        <v>580</v>
      </c>
      <c r="BG192" s="613" t="s">
        <v>614</v>
      </c>
    </row>
    <row r="193" spans="1:59">
      <c r="A193" s="536" t="s">
        <v>56</v>
      </c>
      <c r="B193" s="536" t="s">
        <v>183</v>
      </c>
      <c r="C193" s="536">
        <v>91</v>
      </c>
      <c r="D193" s="536">
        <v>190</v>
      </c>
      <c r="E193" s="535" t="s">
        <v>183</v>
      </c>
      <c r="F193" s="532">
        <v>2013</v>
      </c>
      <c r="G193" s="534" t="s">
        <v>567</v>
      </c>
      <c r="H193" s="551">
        <v>-1916.4390000000001</v>
      </c>
      <c r="I193" s="555">
        <v>5450.6049999999996</v>
      </c>
      <c r="J193" s="552">
        <v>-3.7021061356234468</v>
      </c>
      <c r="K193" s="552" t="s">
        <v>434</v>
      </c>
      <c r="L193" s="555">
        <v>51766.182000000001</v>
      </c>
      <c r="M193" s="553">
        <v>523</v>
      </c>
      <c r="N193" s="553">
        <v>5274</v>
      </c>
      <c r="O193" s="554">
        <v>3313.5371634433068</v>
      </c>
      <c r="P193" s="555">
        <v>17501.103999999999</v>
      </c>
      <c r="Q193" s="555">
        <v>17475.595000000001</v>
      </c>
      <c r="R193" s="555">
        <v>15377.781000000001</v>
      </c>
      <c r="S193" s="556">
        <v>87.995750645400051</v>
      </c>
      <c r="T193" s="562"/>
      <c r="U193" s="565">
        <v>9777</v>
      </c>
      <c r="V193" s="566">
        <v>22245.733788395904</v>
      </c>
      <c r="W193" s="565">
        <v>1630</v>
      </c>
      <c r="X193" s="565">
        <v>298</v>
      </c>
      <c r="Y193" s="566">
        <v>3708.759954493743</v>
      </c>
      <c r="Z193" s="566">
        <v>5.4697986577181208</v>
      </c>
      <c r="AA193" s="567">
        <v>17763.052</v>
      </c>
      <c r="AB193" s="567">
        <v>0</v>
      </c>
      <c r="AC193" s="567">
        <v>0</v>
      </c>
      <c r="AD193" s="567">
        <v>0</v>
      </c>
      <c r="AE193" s="567">
        <v>0</v>
      </c>
      <c r="AF193" s="567" t="s">
        <v>434</v>
      </c>
      <c r="AG193" s="567">
        <v>17763.052</v>
      </c>
      <c r="AH193" s="567">
        <v>9144.7739999999994</v>
      </c>
      <c r="AI193" s="567">
        <v>868.35299999999995</v>
      </c>
      <c r="AJ193" s="567">
        <v>242.053</v>
      </c>
      <c r="AK193" s="567">
        <v>1671.223</v>
      </c>
      <c r="AL193" s="567">
        <v>199.999</v>
      </c>
      <c r="AM193" s="567">
        <v>4140.1049999999996</v>
      </c>
      <c r="AN193" s="567">
        <v>0</v>
      </c>
      <c r="AO193" s="567">
        <v>16266.507</v>
      </c>
      <c r="AP193" s="567">
        <v>0</v>
      </c>
      <c r="AQ193" s="567">
        <v>16266.507</v>
      </c>
      <c r="AR193" s="563" t="s">
        <v>434</v>
      </c>
      <c r="AS193" s="567">
        <v>1750.134</v>
      </c>
      <c r="AT193" s="567">
        <v>3296.6469999999999</v>
      </c>
      <c r="AU193" s="567">
        <v>-2811.9430000000002</v>
      </c>
      <c r="AV193" s="567" t="s">
        <v>434</v>
      </c>
      <c r="AW193" s="567">
        <v>18501.345000000001</v>
      </c>
      <c r="AX193" s="567">
        <v>-738.29300000000001</v>
      </c>
      <c r="AY193" s="571" t="s">
        <v>430</v>
      </c>
      <c r="AZ193" s="571" t="s">
        <v>431</v>
      </c>
      <c r="BA193" s="563"/>
      <c r="BB193" s="563"/>
      <c r="BC193" s="221" t="s">
        <v>553</v>
      </c>
      <c r="BD193" s="591">
        <v>0.1052927758898657</v>
      </c>
      <c r="BE193" s="653">
        <v>1.4749717656133796E-2</v>
      </c>
      <c r="BF193" s="559" t="s">
        <v>573</v>
      </c>
      <c r="BG193" s="613" t="s">
        <v>573</v>
      </c>
    </row>
    <row r="194" spans="1:59">
      <c r="A194" s="536" t="s">
        <v>92</v>
      </c>
      <c r="B194" s="536" t="s">
        <v>427</v>
      </c>
      <c r="C194" s="536">
        <v>63</v>
      </c>
      <c r="D194" s="536">
        <v>191</v>
      </c>
      <c r="E194" s="535" t="s">
        <v>239</v>
      </c>
      <c r="F194" s="532">
        <v>2013</v>
      </c>
      <c r="G194" s="534" t="s">
        <v>567</v>
      </c>
      <c r="H194" s="551">
        <v>-19378.215</v>
      </c>
      <c r="I194" s="555">
        <v>64528.279000000002</v>
      </c>
      <c r="J194" s="552">
        <v>-0.80436957763093497</v>
      </c>
      <c r="K194" s="552">
        <v>330.28812299999998</v>
      </c>
      <c r="L194" s="555">
        <v>2409118.338</v>
      </c>
      <c r="M194" s="553">
        <v>1007</v>
      </c>
      <c r="N194" s="553">
        <v>1508</v>
      </c>
      <c r="O194" s="554">
        <v>427.97148541114058</v>
      </c>
      <c r="P194" s="555">
        <v>644.32399999999996</v>
      </c>
      <c r="Q194" s="555">
        <v>645.38099999999997</v>
      </c>
      <c r="R194" s="555">
        <v>192.87700000000001</v>
      </c>
      <c r="S194" s="556">
        <v>29.885757405315623</v>
      </c>
      <c r="T194" s="562"/>
      <c r="U194" s="565">
        <v>939</v>
      </c>
      <c r="V194" s="566">
        <v>7472.1485411140584</v>
      </c>
      <c r="W194" s="565">
        <v>0</v>
      </c>
      <c r="X194" s="565">
        <v>0</v>
      </c>
      <c r="Y194" s="566">
        <v>0</v>
      </c>
      <c r="Z194" s="566" t="s">
        <v>434</v>
      </c>
      <c r="AA194" s="567">
        <v>2258.9079999999999</v>
      </c>
      <c r="AB194" s="567">
        <v>0</v>
      </c>
      <c r="AC194" s="567">
        <v>306.56700000000001</v>
      </c>
      <c r="AD194" s="567">
        <v>0</v>
      </c>
      <c r="AE194" s="567">
        <v>0</v>
      </c>
      <c r="AF194" s="567" t="s">
        <v>434</v>
      </c>
      <c r="AG194" s="567">
        <v>2565.4749999999999</v>
      </c>
      <c r="AH194" s="567">
        <v>2119.1959999999999</v>
      </c>
      <c r="AI194" s="567">
        <v>490.60700000000003</v>
      </c>
      <c r="AJ194" s="567">
        <v>373.30599999999998</v>
      </c>
      <c r="AK194" s="567">
        <v>289.65199999999999</v>
      </c>
      <c r="AL194" s="567">
        <v>750.93600000000004</v>
      </c>
      <c r="AM194" s="567">
        <v>949.61800000000005</v>
      </c>
      <c r="AN194" s="567">
        <v>0</v>
      </c>
      <c r="AO194" s="567">
        <v>4973.3149999999996</v>
      </c>
      <c r="AP194" s="567">
        <v>0</v>
      </c>
      <c r="AQ194" s="567">
        <v>4973.3149999999996</v>
      </c>
      <c r="AR194" s="563" t="s">
        <v>434</v>
      </c>
      <c r="AS194" s="567">
        <v>61.226999999999997</v>
      </c>
      <c r="AT194" s="567">
        <v>191.93899999999999</v>
      </c>
      <c r="AU194" s="567">
        <v>0</v>
      </c>
      <c r="AV194" s="567" t="s">
        <v>434</v>
      </c>
      <c r="AW194" s="567">
        <v>5226.4809999999998</v>
      </c>
      <c r="AX194" s="567">
        <v>-2661.0059999999999</v>
      </c>
      <c r="AY194" s="571" t="s">
        <v>435</v>
      </c>
      <c r="AZ194" s="571" t="s">
        <v>431</v>
      </c>
      <c r="BA194" s="563"/>
      <c r="BB194" s="563"/>
      <c r="BC194" s="221" t="s">
        <v>553</v>
      </c>
      <c r="BD194" s="591">
        <v>2.6785018395389427E-2</v>
      </c>
      <c r="BE194" s="653">
        <v>0.67435740755145435</v>
      </c>
      <c r="BF194" s="559" t="s">
        <v>582</v>
      </c>
      <c r="BG194" s="613" t="s">
        <v>614</v>
      </c>
    </row>
    <row r="195" spans="1:59">
      <c r="A195" s="536" t="s">
        <v>56</v>
      </c>
      <c r="B195" s="536" t="s">
        <v>416</v>
      </c>
      <c r="C195" s="536">
        <v>11</v>
      </c>
      <c r="D195" s="536">
        <v>192</v>
      </c>
      <c r="E195" s="535" t="s">
        <v>416</v>
      </c>
      <c r="F195" s="532">
        <v>2013</v>
      </c>
      <c r="G195" s="534" t="s">
        <v>567</v>
      </c>
      <c r="H195" s="551">
        <v>-22833.404999999999</v>
      </c>
      <c r="I195" s="555">
        <v>28158.080999999998</v>
      </c>
      <c r="J195" s="552">
        <v>-21.883856794343554</v>
      </c>
      <c r="K195" s="552" t="s">
        <v>434</v>
      </c>
      <c r="L195" s="555">
        <v>104339.035</v>
      </c>
      <c r="M195" s="553">
        <v>408</v>
      </c>
      <c r="N195" s="553">
        <v>1416</v>
      </c>
      <c r="O195" s="554">
        <v>344.76059322033899</v>
      </c>
      <c r="P195" s="555">
        <v>488.18099999999998</v>
      </c>
      <c r="Q195" s="555">
        <v>488.18099999999998</v>
      </c>
      <c r="R195" s="555">
        <v>265.78800000000001</v>
      </c>
      <c r="S195" s="556">
        <v>54.444560521609823</v>
      </c>
      <c r="T195" s="562"/>
      <c r="U195" s="565">
        <v>108</v>
      </c>
      <c r="V195" s="566">
        <v>915.25423728813564</v>
      </c>
      <c r="W195" s="565">
        <v>107</v>
      </c>
      <c r="X195" s="565">
        <v>17</v>
      </c>
      <c r="Y195" s="566">
        <v>906.77966101694915</v>
      </c>
      <c r="Z195" s="566">
        <v>6.2941176470588234</v>
      </c>
      <c r="AA195" s="567">
        <v>2938.902</v>
      </c>
      <c r="AB195" s="567">
        <v>0</v>
      </c>
      <c r="AC195" s="567">
        <v>0</v>
      </c>
      <c r="AD195" s="567">
        <v>0</v>
      </c>
      <c r="AE195" s="567">
        <v>0</v>
      </c>
      <c r="AF195" s="567" t="s">
        <v>434</v>
      </c>
      <c r="AG195" s="567">
        <v>2938.902</v>
      </c>
      <c r="AH195" s="567">
        <v>1359.114</v>
      </c>
      <c r="AI195" s="567">
        <v>85.79</v>
      </c>
      <c r="AJ195" s="567">
        <v>0</v>
      </c>
      <c r="AK195" s="567">
        <v>0</v>
      </c>
      <c r="AL195" s="567">
        <v>205.45099999999999</v>
      </c>
      <c r="AM195" s="567">
        <v>0</v>
      </c>
      <c r="AN195" s="567">
        <v>0</v>
      </c>
      <c r="AO195" s="567">
        <v>1650.355</v>
      </c>
      <c r="AP195" s="567">
        <v>0</v>
      </c>
      <c r="AQ195" s="567">
        <v>1650.355</v>
      </c>
      <c r="AR195" s="563" t="s">
        <v>434</v>
      </c>
      <c r="AS195" s="567">
        <v>179.81100000000001</v>
      </c>
      <c r="AT195" s="567">
        <v>983.26800000000003</v>
      </c>
      <c r="AU195" s="567">
        <v>0</v>
      </c>
      <c r="AV195" s="567" t="s">
        <v>434</v>
      </c>
      <c r="AW195" s="567">
        <v>2813.4340000000002</v>
      </c>
      <c r="AX195" s="567">
        <v>125.468</v>
      </c>
      <c r="AY195" s="571">
        <v>0</v>
      </c>
      <c r="AZ195" s="571">
        <v>0</v>
      </c>
      <c r="BA195" s="563"/>
      <c r="BB195" s="563"/>
      <c r="BC195" s="221" t="s">
        <v>553</v>
      </c>
      <c r="BD195" s="591">
        <v>0.26987101232055671</v>
      </c>
      <c r="BE195" s="653">
        <v>0.18568338246334509</v>
      </c>
      <c r="BF195" s="559" t="s">
        <v>582</v>
      </c>
      <c r="BG195" s="613" t="s">
        <v>582</v>
      </c>
    </row>
    <row r="196" spans="1:59">
      <c r="A196" s="536" t="s">
        <v>81</v>
      </c>
      <c r="B196" s="536" t="s">
        <v>184</v>
      </c>
      <c r="C196" s="536">
        <v>43</v>
      </c>
      <c r="D196" s="536">
        <v>193</v>
      </c>
      <c r="E196" s="535" t="s">
        <v>184</v>
      </c>
      <c r="F196" s="532">
        <v>2013</v>
      </c>
      <c r="G196" s="534" t="s">
        <v>469</v>
      </c>
      <c r="H196" s="551">
        <v>-9575.7690000000002</v>
      </c>
      <c r="I196" s="555">
        <v>9905.3359999999993</v>
      </c>
      <c r="J196" s="552">
        <v>-290.58560055350972</v>
      </c>
      <c r="K196" s="552">
        <v>963.24585750000006</v>
      </c>
      <c r="L196" s="555">
        <v>3295.335</v>
      </c>
      <c r="M196" s="553">
        <v>240</v>
      </c>
      <c r="N196" s="553">
        <v>885</v>
      </c>
      <c r="O196" s="554">
        <v>3716.7581920903954</v>
      </c>
      <c r="P196" s="555">
        <v>3289.3310000000001</v>
      </c>
      <c r="Q196" s="555">
        <v>3289.3310000000001</v>
      </c>
      <c r="R196" s="555">
        <v>2888.7539999999999</v>
      </c>
      <c r="S196" s="556">
        <v>87.821930964077481</v>
      </c>
      <c r="T196" s="562"/>
      <c r="U196" s="559">
        <v>0</v>
      </c>
      <c r="V196" s="559">
        <v>0</v>
      </c>
      <c r="W196" s="559">
        <v>0</v>
      </c>
      <c r="X196" s="559">
        <v>0</v>
      </c>
      <c r="Y196" s="559">
        <v>0</v>
      </c>
      <c r="Z196" s="559" t="s">
        <v>434</v>
      </c>
      <c r="AA196" s="567">
        <v>3289.3310000000001</v>
      </c>
      <c r="AB196" s="567">
        <v>0</v>
      </c>
      <c r="AC196" s="567">
        <v>0</v>
      </c>
      <c r="AD196" s="567">
        <v>0</v>
      </c>
      <c r="AE196" s="567">
        <v>6.0039999999999996</v>
      </c>
      <c r="AF196" s="567" t="s">
        <v>434</v>
      </c>
      <c r="AG196" s="567">
        <v>3295.335</v>
      </c>
      <c r="AH196" s="567">
        <v>2888.7539999999999</v>
      </c>
      <c r="AI196" s="567">
        <v>0</v>
      </c>
      <c r="AJ196" s="567">
        <v>0</v>
      </c>
      <c r="AK196" s="567">
        <v>0</v>
      </c>
      <c r="AL196" s="567">
        <v>0</v>
      </c>
      <c r="AM196" s="567">
        <v>0</v>
      </c>
      <c r="AN196" s="567">
        <v>0</v>
      </c>
      <c r="AO196" s="567">
        <v>2888.7539999999999</v>
      </c>
      <c r="AP196" s="567">
        <v>0</v>
      </c>
      <c r="AQ196" s="567">
        <v>2888.7539999999999</v>
      </c>
      <c r="AR196" s="563" t="s">
        <v>434</v>
      </c>
      <c r="AS196" s="567">
        <v>0</v>
      </c>
      <c r="AT196" s="567">
        <v>9905.3359999999993</v>
      </c>
      <c r="AU196" s="567">
        <v>0</v>
      </c>
      <c r="AV196" s="567" t="s">
        <v>434</v>
      </c>
      <c r="AW196" s="567">
        <v>12794.09</v>
      </c>
      <c r="AX196" s="567">
        <v>-9498.7549999999992</v>
      </c>
      <c r="AY196" s="571" t="s">
        <v>430</v>
      </c>
      <c r="AZ196" s="571" t="s">
        <v>433</v>
      </c>
      <c r="BA196" s="563"/>
      <c r="BB196" s="563"/>
      <c r="BC196" s="221" t="s">
        <v>553</v>
      </c>
      <c r="BD196" s="591">
        <v>3.0058661714211148</v>
      </c>
      <c r="BE196" s="653">
        <v>-2.9058560055350973</v>
      </c>
      <c r="BF196" s="559" t="s">
        <v>580</v>
      </c>
      <c r="BG196" s="613" t="s">
        <v>614</v>
      </c>
    </row>
    <row r="197" spans="1:59">
      <c r="A197" s="536" t="s">
        <v>66</v>
      </c>
      <c r="B197" s="536" t="s">
        <v>270</v>
      </c>
      <c r="C197" s="536">
        <v>14</v>
      </c>
      <c r="D197" s="536">
        <v>194</v>
      </c>
      <c r="E197" s="535" t="s">
        <v>270</v>
      </c>
      <c r="F197" s="532">
        <v>2013</v>
      </c>
      <c r="G197" s="534" t="s">
        <v>567</v>
      </c>
      <c r="H197" s="551">
        <v>62444.093999999997</v>
      </c>
      <c r="I197" s="555">
        <v>187086.07199999999</v>
      </c>
      <c r="J197" s="552">
        <v>2.488431810247826</v>
      </c>
      <c r="K197" s="552">
        <v>555.39704819999997</v>
      </c>
      <c r="L197" s="555">
        <v>2509375.3319999999</v>
      </c>
      <c r="M197" s="553">
        <v>52</v>
      </c>
      <c r="N197" s="553">
        <v>306</v>
      </c>
      <c r="O197" s="554">
        <v>1391.7058823529412</v>
      </c>
      <c r="P197" s="555">
        <v>425.86200000000002</v>
      </c>
      <c r="Q197" s="555">
        <v>425.86200000000002</v>
      </c>
      <c r="R197" s="555">
        <v>227.59200000000001</v>
      </c>
      <c r="S197" s="556">
        <v>53.44266452512786</v>
      </c>
      <c r="T197" s="562"/>
      <c r="U197" s="565">
        <v>327</v>
      </c>
      <c r="V197" s="566">
        <v>12823.529411764706</v>
      </c>
      <c r="W197" s="565">
        <v>16</v>
      </c>
      <c r="X197" s="565">
        <v>137</v>
      </c>
      <c r="Y197" s="566">
        <v>627.45098039215691</v>
      </c>
      <c r="Z197" s="566">
        <v>0.11678832116788321</v>
      </c>
      <c r="AA197" s="567">
        <v>733397.69700000004</v>
      </c>
      <c r="AB197" s="567">
        <v>0</v>
      </c>
      <c r="AC197" s="567">
        <v>0</v>
      </c>
      <c r="AD197" s="567">
        <v>0</v>
      </c>
      <c r="AE197" s="567">
        <v>0</v>
      </c>
      <c r="AF197" s="567" t="s">
        <v>434</v>
      </c>
      <c r="AG197" s="567">
        <v>733397.69700000004</v>
      </c>
      <c r="AH197" s="567">
        <v>576341.61499999999</v>
      </c>
      <c r="AI197" s="567">
        <v>2707.7550000000001</v>
      </c>
      <c r="AJ197" s="567">
        <v>0</v>
      </c>
      <c r="AK197" s="567">
        <v>40540.900999999998</v>
      </c>
      <c r="AL197" s="567">
        <v>112352.632</v>
      </c>
      <c r="AM197" s="567">
        <v>0</v>
      </c>
      <c r="AN197" s="567">
        <v>820.61900000000003</v>
      </c>
      <c r="AO197" s="567">
        <v>732763.522</v>
      </c>
      <c r="AP197" s="567">
        <v>614.07500000000005</v>
      </c>
      <c r="AQ197" s="567">
        <v>732149.44700000004</v>
      </c>
      <c r="AR197" s="563" t="s">
        <v>434</v>
      </c>
      <c r="AS197" s="567">
        <v>18682.05</v>
      </c>
      <c r="AT197" s="567">
        <v>34329.137000000002</v>
      </c>
      <c r="AU197" s="567">
        <v>16343</v>
      </c>
      <c r="AV197" s="567" t="s">
        <v>434</v>
      </c>
      <c r="AW197" s="567">
        <v>801503.63399999996</v>
      </c>
      <c r="AX197" s="567">
        <v>-68105.937000000005</v>
      </c>
      <c r="AY197" s="571" t="s">
        <v>430</v>
      </c>
      <c r="AZ197" s="571" t="s">
        <v>431</v>
      </c>
      <c r="BA197" s="563"/>
      <c r="BB197" s="563"/>
      <c r="BC197" s="221" t="s">
        <v>553</v>
      </c>
      <c r="BD197" s="591">
        <v>7.4554838255658756E-2</v>
      </c>
      <c r="BE197" s="653">
        <v>0.39101851649306263</v>
      </c>
      <c r="BF197" s="559" t="s">
        <v>582</v>
      </c>
      <c r="BG197" s="613" t="s">
        <v>582</v>
      </c>
    </row>
    <row r="198" spans="1:59">
      <c r="A198" s="532" t="s">
        <v>63</v>
      </c>
      <c r="B198" s="532" t="s">
        <v>424</v>
      </c>
      <c r="C198" s="532">
        <v>5</v>
      </c>
      <c r="D198" s="532">
        <v>195</v>
      </c>
      <c r="E198" s="535" t="s">
        <v>384</v>
      </c>
      <c r="F198" s="532">
        <v>2013</v>
      </c>
      <c r="G198" s="534" t="s">
        <v>567</v>
      </c>
      <c r="H198" s="551">
        <v>33904.909</v>
      </c>
      <c r="I198" s="555">
        <v>44214.639000000003</v>
      </c>
      <c r="J198" s="552">
        <v>4.8457764996937085</v>
      </c>
      <c r="K198" s="552">
        <v>539.8242371</v>
      </c>
      <c r="L198" s="555">
        <v>699679.58700000006</v>
      </c>
      <c r="M198" s="553">
        <v>0</v>
      </c>
      <c r="N198" s="553">
        <v>0</v>
      </c>
      <c r="O198" s="554" t="s">
        <v>434</v>
      </c>
      <c r="P198" s="555">
        <v>285.09100000000001</v>
      </c>
      <c r="Q198" s="555">
        <v>285.09100000000001</v>
      </c>
      <c r="R198" s="555">
        <v>-7363.415</v>
      </c>
      <c r="S198" s="556">
        <v>-2582.8296929752255</v>
      </c>
      <c r="T198" s="562"/>
      <c r="U198" s="565">
        <v>0</v>
      </c>
      <c r="V198" s="566" t="s">
        <v>434</v>
      </c>
      <c r="W198" s="565">
        <v>0</v>
      </c>
      <c r="X198" s="565">
        <v>0</v>
      </c>
      <c r="Y198" s="566" t="s">
        <v>434</v>
      </c>
      <c r="Z198" s="566" t="s">
        <v>434</v>
      </c>
      <c r="AA198" s="567">
        <v>43055.241999999998</v>
      </c>
      <c r="AB198" s="567">
        <v>0</v>
      </c>
      <c r="AC198" s="567">
        <v>0</v>
      </c>
      <c r="AD198" s="567">
        <v>0</v>
      </c>
      <c r="AE198" s="567">
        <v>0</v>
      </c>
      <c r="AF198" s="567" t="s">
        <v>434</v>
      </c>
      <c r="AG198" s="567">
        <v>43055.241999999998</v>
      </c>
      <c r="AH198" s="567">
        <v>20527.55</v>
      </c>
      <c r="AI198" s="567">
        <v>0</v>
      </c>
      <c r="AJ198" s="567">
        <v>3358.587</v>
      </c>
      <c r="AK198" s="567">
        <v>6702.3320000000003</v>
      </c>
      <c r="AL198" s="567">
        <v>3073.1779999999999</v>
      </c>
      <c r="AM198" s="567">
        <v>319.56599999999997</v>
      </c>
      <c r="AN198" s="567">
        <v>1</v>
      </c>
      <c r="AO198" s="567">
        <v>33982.213000000003</v>
      </c>
      <c r="AP198" s="567">
        <v>279.83100000000002</v>
      </c>
      <c r="AQ198" s="567">
        <v>33702.381999999998</v>
      </c>
      <c r="AR198" s="563" t="s">
        <v>434</v>
      </c>
      <c r="AS198" s="567">
        <v>2158.02</v>
      </c>
      <c r="AT198" s="567">
        <v>2865.4650000000001</v>
      </c>
      <c r="AU198" s="567">
        <v>0</v>
      </c>
      <c r="AV198" s="567" t="s">
        <v>434</v>
      </c>
      <c r="AW198" s="567">
        <v>38725.866999999998</v>
      </c>
      <c r="AX198" s="567">
        <v>4329.375</v>
      </c>
      <c r="AY198" s="571">
        <v>0</v>
      </c>
      <c r="AZ198" s="571">
        <v>0</v>
      </c>
      <c r="BA198" s="563"/>
      <c r="BB198" s="563"/>
      <c r="BC198" s="221" t="s">
        <v>553</v>
      </c>
      <c r="BD198" s="591">
        <v>6.3192695373003649E-2</v>
      </c>
      <c r="BE198" s="653">
        <v>26.765104234379251</v>
      </c>
      <c r="BF198" s="559" t="s">
        <v>582</v>
      </c>
      <c r="BG198" s="613" t="s">
        <v>614</v>
      </c>
    </row>
    <row r="199" spans="1:59">
      <c r="A199" s="532" t="s">
        <v>90</v>
      </c>
      <c r="B199" s="532" t="s">
        <v>420</v>
      </c>
      <c r="C199" s="532">
        <v>3</v>
      </c>
      <c r="D199" s="532">
        <v>195</v>
      </c>
      <c r="E199" s="535" t="s">
        <v>379</v>
      </c>
      <c r="F199" s="532">
        <v>2013</v>
      </c>
      <c r="G199" s="534" t="s">
        <v>567</v>
      </c>
      <c r="H199" s="551">
        <v>1310.3009999999999</v>
      </c>
      <c r="I199" s="551">
        <v>92.754000000000005</v>
      </c>
      <c r="J199" s="568">
        <v>2179.6573234633615</v>
      </c>
      <c r="K199" s="568">
        <v>2902.9216093999999</v>
      </c>
      <c r="L199" s="551">
        <v>60.115000000000002</v>
      </c>
      <c r="M199" s="557">
        <v>0</v>
      </c>
      <c r="N199" s="557">
        <v>0</v>
      </c>
      <c r="O199" s="558" t="s">
        <v>434</v>
      </c>
      <c r="P199" s="551">
        <v>25.233000000000001</v>
      </c>
      <c r="Q199" s="551">
        <v>25.233000000000001</v>
      </c>
      <c r="R199" s="551">
        <v>-843.27</v>
      </c>
      <c r="S199" s="569">
        <v>-3341.9331827368919</v>
      </c>
      <c r="T199" s="562"/>
      <c r="U199" s="560">
        <v>219</v>
      </c>
      <c r="V199" s="561" t="s">
        <v>434</v>
      </c>
      <c r="W199" s="560">
        <v>42</v>
      </c>
      <c r="X199" s="560">
        <v>5</v>
      </c>
      <c r="Y199" s="561" t="s">
        <v>434</v>
      </c>
      <c r="Z199" s="561">
        <v>8.4</v>
      </c>
      <c r="AA199" s="567">
        <v>2847.4380000000001</v>
      </c>
      <c r="AB199" s="567">
        <v>0</v>
      </c>
      <c r="AC199" s="567">
        <v>0</v>
      </c>
      <c r="AD199" s="567">
        <v>0</v>
      </c>
      <c r="AE199" s="567">
        <v>0</v>
      </c>
      <c r="AF199" s="567" t="s">
        <v>434</v>
      </c>
      <c r="AG199" s="567">
        <v>2847.4380000000001</v>
      </c>
      <c r="AH199" s="567">
        <v>0</v>
      </c>
      <c r="AI199" s="567">
        <v>0</v>
      </c>
      <c r="AJ199" s="567">
        <v>0</v>
      </c>
      <c r="AK199" s="567">
        <v>0</v>
      </c>
      <c r="AL199" s="567">
        <v>0</v>
      </c>
      <c r="AM199" s="567">
        <v>0</v>
      </c>
      <c r="AN199" s="567">
        <v>0</v>
      </c>
      <c r="AO199" s="567">
        <v>0</v>
      </c>
      <c r="AP199" s="567">
        <v>-4596.8649999999998</v>
      </c>
      <c r="AQ199" s="567">
        <v>4596.8649999999998</v>
      </c>
      <c r="AR199" s="563" t="s">
        <v>434</v>
      </c>
      <c r="AS199" s="567">
        <v>0.41699999999999998</v>
      </c>
      <c r="AT199" s="567">
        <v>1.8</v>
      </c>
      <c r="AU199" s="567">
        <v>0</v>
      </c>
      <c r="AV199" s="567" t="s">
        <v>434</v>
      </c>
      <c r="AW199" s="567">
        <v>4599.0820000000003</v>
      </c>
      <c r="AX199" s="567">
        <v>-1751.644</v>
      </c>
      <c r="AY199" s="571">
        <v>0</v>
      </c>
      <c r="AZ199" s="571">
        <v>0</v>
      </c>
      <c r="BA199" s="563"/>
      <c r="BB199" s="563"/>
      <c r="BC199" s="221" t="s">
        <v>553</v>
      </c>
      <c r="BD199" s="591">
        <v>1.5429426931714214</v>
      </c>
      <c r="BE199" s="653">
        <v>32.876389134197503</v>
      </c>
      <c r="BF199" s="559" t="s">
        <v>582</v>
      </c>
      <c r="BG199" s="613" t="s">
        <v>614</v>
      </c>
    </row>
    <row r="200" spans="1:59">
      <c r="A200" s="532" t="s">
        <v>63</v>
      </c>
      <c r="B200" s="532" t="s">
        <v>420</v>
      </c>
      <c r="C200" s="532">
        <v>3</v>
      </c>
      <c r="D200" s="532">
        <v>195</v>
      </c>
      <c r="E200" s="535" t="s">
        <v>378</v>
      </c>
      <c r="F200" s="532">
        <v>2013</v>
      </c>
      <c r="G200" s="534" t="s">
        <v>469</v>
      </c>
      <c r="H200" s="551">
        <v>783.399</v>
      </c>
      <c r="I200" s="551">
        <v>-21.186</v>
      </c>
      <c r="J200" s="568">
        <v>-42.154964084290661</v>
      </c>
      <c r="K200" s="568">
        <v>816.14852129999997</v>
      </c>
      <c r="L200" s="551">
        <v>-1858.3789999999999</v>
      </c>
      <c r="M200" s="557">
        <v>0</v>
      </c>
      <c r="N200" s="557">
        <v>0</v>
      </c>
      <c r="O200" s="558" t="s">
        <v>434</v>
      </c>
      <c r="P200" s="551">
        <v>-1429.124</v>
      </c>
      <c r="Q200" s="551">
        <v>-1679.982</v>
      </c>
      <c r="R200" s="551">
        <v>2088.5320000000002</v>
      </c>
      <c r="S200" s="569">
        <v>-124.31871293859102</v>
      </c>
      <c r="T200" s="562"/>
      <c r="U200" s="560">
        <v>0</v>
      </c>
      <c r="V200" s="561" t="s">
        <v>434</v>
      </c>
      <c r="W200" s="560">
        <v>0</v>
      </c>
      <c r="X200" s="560">
        <v>0</v>
      </c>
      <c r="Y200" s="561" t="s">
        <v>434</v>
      </c>
      <c r="Z200" s="561" t="s">
        <v>434</v>
      </c>
      <c r="AA200" s="567">
        <v>25.233000000000001</v>
      </c>
      <c r="AB200" s="567">
        <v>0</v>
      </c>
      <c r="AC200" s="567">
        <v>0</v>
      </c>
      <c r="AD200" s="567">
        <v>0</v>
      </c>
      <c r="AE200" s="567">
        <v>0</v>
      </c>
      <c r="AF200" s="567" t="s">
        <v>434</v>
      </c>
      <c r="AG200" s="567">
        <v>25.233000000000001</v>
      </c>
      <c r="AH200" s="567">
        <v>-843.26900000000001</v>
      </c>
      <c r="AI200" s="567">
        <v>0</v>
      </c>
      <c r="AJ200" s="567">
        <v>0</v>
      </c>
      <c r="AK200" s="567">
        <v>0</v>
      </c>
      <c r="AL200" s="567">
        <v>0</v>
      </c>
      <c r="AM200" s="567">
        <v>0</v>
      </c>
      <c r="AN200" s="567">
        <v>0</v>
      </c>
      <c r="AO200" s="567">
        <v>-843.26900000000001</v>
      </c>
      <c r="AP200" s="567">
        <v>0</v>
      </c>
      <c r="AQ200" s="567">
        <v>-843.26900000000001</v>
      </c>
      <c r="AR200" s="563" t="s">
        <v>434</v>
      </c>
      <c r="AS200" s="567">
        <v>-23.891999999999999</v>
      </c>
      <c r="AT200" s="567">
        <v>75.91</v>
      </c>
      <c r="AU200" s="567">
        <v>0</v>
      </c>
      <c r="AV200" s="567" t="s">
        <v>434</v>
      </c>
      <c r="AW200" s="567">
        <v>-791.25099999999998</v>
      </c>
      <c r="AX200" s="567">
        <v>816.48400000000004</v>
      </c>
      <c r="AY200" s="534" t="s">
        <v>430</v>
      </c>
      <c r="AZ200" s="571" t="s">
        <v>433</v>
      </c>
      <c r="BA200" s="563"/>
      <c r="BB200" s="563"/>
      <c r="BC200" s="221" t="s">
        <v>553</v>
      </c>
      <c r="BD200" s="591">
        <v>1.1400257966754899E-2</v>
      </c>
      <c r="BE200" s="653">
        <v>-0.42154964084290664</v>
      </c>
      <c r="BF200" s="559" t="s">
        <v>580</v>
      </c>
      <c r="BG200" s="613" t="s">
        <v>580</v>
      </c>
    </row>
    <row r="201" spans="1:59">
      <c r="A201" s="536" t="s">
        <v>61</v>
      </c>
      <c r="B201" s="536" t="s">
        <v>401</v>
      </c>
      <c r="C201" s="536">
        <v>68</v>
      </c>
      <c r="D201" s="536" t="s">
        <v>20</v>
      </c>
      <c r="E201" s="535" t="s">
        <v>401</v>
      </c>
      <c r="F201" s="532">
        <v>2013</v>
      </c>
      <c r="G201" s="534" t="s">
        <v>567</v>
      </c>
      <c r="H201" s="551" t="s">
        <v>20</v>
      </c>
      <c r="I201" s="555" t="s">
        <v>20</v>
      </c>
      <c r="J201" s="552" t="s">
        <v>20</v>
      </c>
      <c r="K201" s="552" t="s">
        <v>20</v>
      </c>
      <c r="L201" s="555" t="s">
        <v>20</v>
      </c>
      <c r="M201" s="553" t="s">
        <v>20</v>
      </c>
      <c r="N201" s="553" t="s">
        <v>20</v>
      </c>
      <c r="O201" s="554" t="s">
        <v>20</v>
      </c>
      <c r="P201" s="555" t="s">
        <v>20</v>
      </c>
      <c r="Q201" s="555" t="s">
        <v>20</v>
      </c>
      <c r="R201" s="555" t="s">
        <v>20</v>
      </c>
      <c r="S201" s="556" t="s">
        <v>20</v>
      </c>
      <c r="T201" s="562">
        <v>59508</v>
      </c>
      <c r="U201" s="565" t="s">
        <v>20</v>
      </c>
      <c r="V201" s="566" t="s">
        <v>20</v>
      </c>
      <c r="W201" s="565" t="s">
        <v>20</v>
      </c>
      <c r="X201" s="565" t="s">
        <v>20</v>
      </c>
      <c r="Y201" s="566" t="s">
        <v>20</v>
      </c>
      <c r="Z201" s="566" t="s">
        <v>20</v>
      </c>
      <c r="AA201" s="567">
        <v>1071386.5859999999</v>
      </c>
      <c r="AB201" s="567">
        <v>0</v>
      </c>
      <c r="AC201" s="567">
        <v>0</v>
      </c>
      <c r="AD201" s="567">
        <v>351.61799999999999</v>
      </c>
      <c r="AE201" s="567">
        <v>0</v>
      </c>
      <c r="AF201" s="567" t="s">
        <v>434</v>
      </c>
      <c r="AG201" s="567">
        <v>1071738.2039999999</v>
      </c>
      <c r="AH201" s="567">
        <v>649343.93599999999</v>
      </c>
      <c r="AI201" s="567">
        <v>0</v>
      </c>
      <c r="AJ201" s="567">
        <v>0</v>
      </c>
      <c r="AK201" s="567">
        <v>0</v>
      </c>
      <c r="AL201" s="567">
        <v>177746.022</v>
      </c>
      <c r="AM201" s="567">
        <v>21991.885999999999</v>
      </c>
      <c r="AN201" s="567">
        <v>6956.9</v>
      </c>
      <c r="AO201" s="567">
        <v>856038.74300000002</v>
      </c>
      <c r="AP201" s="567">
        <v>0</v>
      </c>
      <c r="AQ201" s="567">
        <v>856038.74300000002</v>
      </c>
      <c r="AR201" s="563" t="s">
        <v>434</v>
      </c>
      <c r="AS201" s="567">
        <v>54234.464999999997</v>
      </c>
      <c r="AT201" s="567">
        <v>85407.543000000005</v>
      </c>
      <c r="AU201" s="567">
        <v>0</v>
      </c>
      <c r="AV201" s="567" t="s">
        <v>434</v>
      </c>
      <c r="AW201" s="567">
        <v>995680.75100000005</v>
      </c>
      <c r="AX201" s="567">
        <v>76057.452999999994</v>
      </c>
      <c r="AY201" s="571">
        <v>0</v>
      </c>
      <c r="AZ201" s="571">
        <v>0</v>
      </c>
      <c r="BA201" s="563"/>
      <c r="BB201" s="563"/>
      <c r="BC201" s="221" t="e">
        <v>#N/A</v>
      </c>
      <c r="BD201" s="591">
        <v>0</v>
      </c>
      <c r="BE201" s="653">
        <v>-100</v>
      </c>
      <c r="BF201" s="559" t="s">
        <v>455</v>
      </c>
      <c r="BG201" s="613" t="s">
        <v>455</v>
      </c>
    </row>
    <row r="203" spans="1:59">
      <c r="A203" s="649" t="s">
        <v>577</v>
      </c>
    </row>
    <row r="205" spans="1:59">
      <c r="A205" s="702" t="s">
        <v>637</v>
      </c>
    </row>
    <row r="206" spans="1:59">
      <c r="A206" s="649" t="s">
        <v>578</v>
      </c>
    </row>
  </sheetData>
  <autoFilter ref="A3:BF201"/>
  <mergeCells count="5">
    <mergeCell ref="H2:L2"/>
    <mergeCell ref="M2:Z2"/>
    <mergeCell ref="AA2:AX2"/>
    <mergeCell ref="AY2:BB2"/>
    <mergeCell ref="BC2:BG2"/>
  </mergeCells>
  <conditionalFormatting sqref="H198:H199 H196 H158:H159 H134 H124:H126 H120 I106 H2:H105 H107:H114">
    <cfRule type="cellIs" dxfId="506" priority="443" stopIfTrue="1" operator="lessThan">
      <formula>0</formula>
    </cfRule>
  </conditionalFormatting>
  <conditionalFormatting sqref="M2">
    <cfRule type="cellIs" dxfId="505" priority="442" stopIfTrue="1" operator="lessThan">
      <formula>0</formula>
    </cfRule>
  </conditionalFormatting>
  <conditionalFormatting sqref="A11 A9 A4:B8 A12:B23 A10:B10 C4:E23">
    <cfRule type="expression" dxfId="504" priority="441" stopIfTrue="1">
      <formula>#REF!="Yes"</formula>
    </cfRule>
  </conditionalFormatting>
  <conditionalFormatting sqref="T20:T23 A105:Z105 A118:D118 A106:E106 A116:E117 A107:Z111 A24:S31 A79:E79 A81:B81 C81:E82 A84:E96 A97:D97 A101:D101 A103:D104 A173:D176">
    <cfRule type="expression" dxfId="503" priority="440" stopIfTrue="1">
      <formula>#REF!="Yes"</formula>
    </cfRule>
  </conditionalFormatting>
  <conditionalFormatting sqref="T4:T19">
    <cfRule type="expression" dxfId="502" priority="439" stopIfTrue="1">
      <formula>#REF!="Yes"</formula>
    </cfRule>
  </conditionalFormatting>
  <conditionalFormatting sqref="H4:K23">
    <cfRule type="expression" dxfId="501" priority="435" stopIfTrue="1">
      <formula>#REF!="Yes"</formula>
    </cfRule>
  </conditionalFormatting>
  <conditionalFormatting sqref="M4:S23">
    <cfRule type="expression" dxfId="500" priority="438" stopIfTrue="1">
      <formula>#REF!="Yes"</formula>
    </cfRule>
  </conditionalFormatting>
  <conditionalFormatting sqref="U4:Z23 B112:B115 D112:D115">
    <cfRule type="expression" dxfId="499" priority="437" stopIfTrue="1">
      <formula>#REF!="Yes"</formula>
    </cfRule>
  </conditionalFormatting>
  <conditionalFormatting sqref="F4:G23 G4:G201">
    <cfRule type="expression" dxfId="498" priority="436" stopIfTrue="1">
      <formula>#REF!="Yes"</formula>
    </cfRule>
  </conditionalFormatting>
  <conditionalFormatting sqref="L4:L23">
    <cfRule type="expression" dxfId="497" priority="434" stopIfTrue="1">
      <formula>#REF!="Yes"</formula>
    </cfRule>
  </conditionalFormatting>
  <conditionalFormatting sqref="H198:Z199 A198:A199 H196:Z196 A196 T191:Z192 A191:A192 A183:A184 T183:Z184 T169:Z169 A169 T165:Z165 A165 H158:Z159 A157:A159 T157:Z157 A145 A138 T138:Z138 T135 A124:A126 E120:Z120 A113:A115 F112:Z112 F101:Z104 A98:A100 F60:G76 I60:T76 U24:Z39 F77:Z96 H106:Z106 E118:E119 C98:C100 C113:C115 A119:A122 C119:C122 C124:C126 C138 C145 C157:C159 C165 C169 C183:C184 C191:C192 C196 C198:C199 E97:Z100 E113:Z114 E169 E165 E157:E159 E145 E138:G138 E124:Z126 E121:E122 D119:D172 E198:E199 E196 E191:E192 E183:E184 A32:S39 B119:B172">
    <cfRule type="expression" dxfId="496" priority="433" stopIfTrue="1">
      <formula>#REF!="Yes"</formula>
    </cfRule>
  </conditionalFormatting>
  <conditionalFormatting sqref="T40:T59 F40:G59">
    <cfRule type="expression" dxfId="495" priority="432" stopIfTrue="1">
      <formula>#REF!="Yes"</formula>
    </cfRule>
  </conditionalFormatting>
  <conditionalFormatting sqref="A40:B58 C40:E59 A59">
    <cfRule type="expression" dxfId="494" priority="431" stopIfTrue="1">
      <formula>#REF!="Yes"</formula>
    </cfRule>
  </conditionalFormatting>
  <conditionalFormatting sqref="H40:L59">
    <cfRule type="expression" dxfId="493" priority="430" stopIfTrue="1">
      <formula>#REF!="Yes"</formula>
    </cfRule>
  </conditionalFormatting>
  <conditionalFormatting sqref="M40:S59">
    <cfRule type="expression" dxfId="492" priority="429" stopIfTrue="1">
      <formula>#REF!="Yes"</formula>
    </cfRule>
  </conditionalFormatting>
  <conditionalFormatting sqref="U40:Z59">
    <cfRule type="expression" dxfId="491" priority="428" stopIfTrue="1">
      <formula>#REF!="Yes"</formula>
    </cfRule>
  </conditionalFormatting>
  <conditionalFormatting sqref="A61:A68 C61:C68 B61:B76 E61:E68 D61:D76 A60:E60">
    <cfRule type="expression" dxfId="490" priority="427" stopIfTrue="1">
      <formula>#REF!="Yes"</formula>
    </cfRule>
  </conditionalFormatting>
  <conditionalFormatting sqref="H60:H76">
    <cfRule type="expression" dxfId="489" priority="426" stopIfTrue="1">
      <formula>#REF!="Yes"</formula>
    </cfRule>
  </conditionalFormatting>
  <conditionalFormatting sqref="U60:Z76">
    <cfRule type="expression" dxfId="488" priority="425" stopIfTrue="1">
      <formula>#REF!="Yes"</formula>
    </cfRule>
  </conditionalFormatting>
  <conditionalFormatting sqref="A69:A76 C69:C76 E69:E76">
    <cfRule type="expression" dxfId="487" priority="424" stopIfTrue="1">
      <formula>#REF!="Yes"</formula>
    </cfRule>
  </conditionalFormatting>
  <conditionalFormatting sqref="A77:E78 A80:E80 A82">
    <cfRule type="expression" dxfId="486" priority="423" stopIfTrue="1">
      <formula>#REF!="Yes"</formula>
    </cfRule>
  </conditionalFormatting>
  <conditionalFormatting sqref="A83:E83">
    <cfRule type="expression" dxfId="485" priority="422" stopIfTrue="1">
      <formula>#REF!="Yes"</formula>
    </cfRule>
  </conditionalFormatting>
  <conditionalFormatting sqref="B98:B100 D98:D100">
    <cfRule type="expression" dxfId="484" priority="421" stopIfTrue="1">
      <formula>#REF!="Yes"</formula>
    </cfRule>
  </conditionalFormatting>
  <conditionalFormatting sqref="B98:B100 D98:D100">
    <cfRule type="expression" dxfId="483" priority="420" stopIfTrue="1">
      <formula>#REF!="Yes"</formula>
    </cfRule>
  </conditionalFormatting>
  <conditionalFormatting sqref="E101:E104">
    <cfRule type="expression" dxfId="482" priority="419" stopIfTrue="1">
      <formula>#REF!="Yes"</formula>
    </cfRule>
  </conditionalFormatting>
  <conditionalFormatting sqref="A102:D102">
    <cfRule type="expression" dxfId="481" priority="418" stopIfTrue="1">
      <formula>#REF!="Yes"</formula>
    </cfRule>
  </conditionalFormatting>
  <conditionalFormatting sqref="H106">
    <cfRule type="cellIs" dxfId="480" priority="417" stopIfTrue="1" operator="lessThan">
      <formula>0</formula>
    </cfRule>
  </conditionalFormatting>
  <conditionalFormatting sqref="H106">
    <cfRule type="cellIs" dxfId="479" priority="416" stopIfTrue="1" operator="lessThan">
      <formula>0</formula>
    </cfRule>
  </conditionalFormatting>
  <conditionalFormatting sqref="A112 C112 E112">
    <cfRule type="expression" dxfId="478" priority="415" stopIfTrue="1">
      <formula>#REF!="Yes"</formula>
    </cfRule>
  </conditionalFormatting>
  <conditionalFormatting sqref="T121:Z122 E115:Z115 T116:Z119">
    <cfRule type="expression" dxfId="477" priority="414" stopIfTrue="1">
      <formula>#REF!="Yes"</formula>
    </cfRule>
  </conditionalFormatting>
  <conditionalFormatting sqref="H115">
    <cfRule type="cellIs" dxfId="476" priority="413" stopIfTrue="1" operator="lessThan">
      <formula>0</formula>
    </cfRule>
  </conditionalFormatting>
  <conditionalFormatting sqref="H121:H122 H116:H119">
    <cfRule type="cellIs" dxfId="475" priority="412" stopIfTrue="1" operator="lessThan">
      <formula>0</formula>
    </cfRule>
  </conditionalFormatting>
  <conditionalFormatting sqref="H121:S122 H116:S119">
    <cfRule type="expression" dxfId="474" priority="411" stopIfTrue="1">
      <formula>#REF!="Yes"</formula>
    </cfRule>
  </conditionalFormatting>
  <conditionalFormatting sqref="F121:G122 F116:G119">
    <cfRule type="expression" dxfId="473" priority="410" stopIfTrue="1">
      <formula>#REF!="Yes"</formula>
    </cfRule>
  </conditionalFormatting>
  <conditionalFormatting sqref="A123 C123">
    <cfRule type="expression" dxfId="472" priority="409" stopIfTrue="1">
      <formula>#REF!="Yes"</formula>
    </cfRule>
  </conditionalFormatting>
  <conditionalFormatting sqref="T130:Z131 T123:Z123">
    <cfRule type="expression" dxfId="471" priority="408" stopIfTrue="1">
      <formula>#REF!="Yes"</formula>
    </cfRule>
  </conditionalFormatting>
  <conditionalFormatting sqref="H123">
    <cfRule type="cellIs" dxfId="470" priority="407" stopIfTrue="1" operator="lessThan">
      <formula>0</formula>
    </cfRule>
  </conditionalFormatting>
  <conditionalFormatting sqref="M130:S131 H123:S123">
    <cfRule type="expression" dxfId="469" priority="406" stopIfTrue="1">
      <formula>#REF!="Yes"</formula>
    </cfRule>
  </conditionalFormatting>
  <conditionalFormatting sqref="F123:G123">
    <cfRule type="expression" dxfId="468" priority="405" stopIfTrue="1">
      <formula>#REF!="Yes"</formula>
    </cfRule>
  </conditionalFormatting>
  <conditionalFormatting sqref="E123">
    <cfRule type="expression" dxfId="467" priority="404" stopIfTrue="1">
      <formula>#REF!="Yes"</formula>
    </cfRule>
  </conditionalFormatting>
  <conditionalFormatting sqref="A127 C127 E127">
    <cfRule type="expression" dxfId="466" priority="403" stopIfTrue="1">
      <formula>#REF!="Yes"</formula>
    </cfRule>
  </conditionalFormatting>
  <conditionalFormatting sqref="T127:Z127">
    <cfRule type="expression" dxfId="465" priority="402" stopIfTrue="1">
      <formula>#REF!="Yes"</formula>
    </cfRule>
  </conditionalFormatting>
  <conditionalFormatting sqref="H127">
    <cfRule type="cellIs" dxfId="464" priority="401" stopIfTrue="1" operator="lessThan">
      <formula>0</formula>
    </cfRule>
  </conditionalFormatting>
  <conditionalFormatting sqref="H127:S127">
    <cfRule type="expression" dxfId="463" priority="400" stopIfTrue="1">
      <formula>#REF!="Yes"</formula>
    </cfRule>
  </conditionalFormatting>
  <conditionalFormatting sqref="F127:G127">
    <cfRule type="expression" dxfId="462" priority="399" stopIfTrue="1">
      <formula>#REF!="Yes"</formula>
    </cfRule>
  </conditionalFormatting>
  <conditionalFormatting sqref="A128 C128 E128">
    <cfRule type="expression" dxfId="461" priority="398" stopIfTrue="1">
      <formula>#REF!="Yes"</formula>
    </cfRule>
  </conditionalFormatting>
  <conditionalFormatting sqref="T128:Z128">
    <cfRule type="expression" dxfId="460" priority="397" stopIfTrue="1">
      <formula>#REF!="Yes"</formula>
    </cfRule>
  </conditionalFormatting>
  <conditionalFormatting sqref="H128">
    <cfRule type="cellIs" dxfId="459" priority="396" stopIfTrue="1" operator="lessThan">
      <formula>0</formula>
    </cfRule>
  </conditionalFormatting>
  <conditionalFormatting sqref="H128:S128">
    <cfRule type="expression" dxfId="458" priority="395" stopIfTrue="1">
      <formula>#REF!="Yes"</formula>
    </cfRule>
  </conditionalFormatting>
  <conditionalFormatting sqref="F128:G128">
    <cfRule type="expression" dxfId="457" priority="394" stopIfTrue="1">
      <formula>#REF!="Yes"</formula>
    </cfRule>
  </conditionalFormatting>
  <conditionalFormatting sqref="A129 C129 E129">
    <cfRule type="expression" dxfId="456" priority="393" stopIfTrue="1">
      <formula>#REF!="Yes"</formula>
    </cfRule>
  </conditionalFormatting>
  <conditionalFormatting sqref="T129:Z129">
    <cfRule type="expression" dxfId="455" priority="392" stopIfTrue="1">
      <formula>#REF!="Yes"</formula>
    </cfRule>
  </conditionalFormatting>
  <conditionalFormatting sqref="H129">
    <cfRule type="cellIs" dxfId="454" priority="391" stopIfTrue="1" operator="lessThan">
      <formula>0</formula>
    </cfRule>
  </conditionalFormatting>
  <conditionalFormatting sqref="H129:S129">
    <cfRule type="expression" dxfId="453" priority="390" stopIfTrue="1">
      <formula>#REF!="Yes"</formula>
    </cfRule>
  </conditionalFormatting>
  <conditionalFormatting sqref="F129:G129">
    <cfRule type="expression" dxfId="452" priority="389" stopIfTrue="1">
      <formula>#REF!="Yes"</formula>
    </cfRule>
  </conditionalFormatting>
  <conditionalFormatting sqref="A130:A131 C130:C131 E130:E131">
    <cfRule type="expression" dxfId="451" priority="388" stopIfTrue="1">
      <formula>#REF!="Yes"</formula>
    </cfRule>
  </conditionalFormatting>
  <conditionalFormatting sqref="H130:H131">
    <cfRule type="cellIs" dxfId="450" priority="387" stopIfTrue="1" operator="lessThan">
      <formula>0</formula>
    </cfRule>
  </conditionalFormatting>
  <conditionalFormatting sqref="H130:L131">
    <cfRule type="expression" dxfId="449" priority="386" stopIfTrue="1">
      <formula>#REF!="Yes"</formula>
    </cfRule>
  </conditionalFormatting>
  <conditionalFormatting sqref="F130:G131">
    <cfRule type="expression" dxfId="448" priority="385" stopIfTrue="1">
      <formula>#REF!="Yes"</formula>
    </cfRule>
  </conditionalFormatting>
  <conditionalFormatting sqref="A132 C132 E132">
    <cfRule type="expression" dxfId="447" priority="384" stopIfTrue="1">
      <formula>#REF!="Yes"</formula>
    </cfRule>
  </conditionalFormatting>
  <conditionalFormatting sqref="T132:Z132">
    <cfRule type="expression" dxfId="446" priority="383" stopIfTrue="1">
      <formula>#REF!="Yes"</formula>
    </cfRule>
  </conditionalFormatting>
  <conditionalFormatting sqref="H132">
    <cfRule type="cellIs" dxfId="445" priority="382" stopIfTrue="1" operator="lessThan">
      <formula>0</formula>
    </cfRule>
  </conditionalFormatting>
  <conditionalFormatting sqref="H132:S132">
    <cfRule type="expression" dxfId="444" priority="381" stopIfTrue="1">
      <formula>#REF!="Yes"</formula>
    </cfRule>
  </conditionalFormatting>
  <conditionalFormatting sqref="F132:G132">
    <cfRule type="expression" dxfId="443" priority="380" stopIfTrue="1">
      <formula>#REF!="Yes"</formula>
    </cfRule>
  </conditionalFormatting>
  <conditionalFormatting sqref="A133 C133 E133">
    <cfRule type="expression" dxfId="442" priority="379" stopIfTrue="1">
      <formula>#REF!="Yes"</formula>
    </cfRule>
  </conditionalFormatting>
  <conditionalFormatting sqref="T133:Z133">
    <cfRule type="expression" dxfId="441" priority="378" stopIfTrue="1">
      <formula>#REF!="Yes"</formula>
    </cfRule>
  </conditionalFormatting>
  <conditionalFormatting sqref="H133">
    <cfRule type="cellIs" dxfId="440" priority="377" stopIfTrue="1" operator="lessThan">
      <formula>0</formula>
    </cfRule>
  </conditionalFormatting>
  <conditionalFormatting sqref="H133:S133">
    <cfRule type="expression" dxfId="439" priority="376" stopIfTrue="1">
      <formula>#REF!="Yes"</formula>
    </cfRule>
  </conditionalFormatting>
  <conditionalFormatting sqref="F133:G133">
    <cfRule type="expression" dxfId="438" priority="375" stopIfTrue="1">
      <formula>#REF!="Yes"</formula>
    </cfRule>
  </conditionalFormatting>
  <conditionalFormatting sqref="A134 C134 E134">
    <cfRule type="expression" dxfId="437" priority="374" stopIfTrue="1">
      <formula>#REF!="Yes"</formula>
    </cfRule>
  </conditionalFormatting>
  <conditionalFormatting sqref="T134:Z134">
    <cfRule type="expression" dxfId="436" priority="373" stopIfTrue="1">
      <formula>#REF!="Yes"</formula>
    </cfRule>
  </conditionalFormatting>
  <conditionalFormatting sqref="H134:S134">
    <cfRule type="expression" dxfId="435" priority="372" stopIfTrue="1">
      <formula>#REF!="Yes"</formula>
    </cfRule>
  </conditionalFormatting>
  <conditionalFormatting sqref="F134:G134">
    <cfRule type="expression" dxfId="434" priority="371" stopIfTrue="1">
      <formula>#REF!="Yes"</formula>
    </cfRule>
  </conditionalFormatting>
  <conditionalFormatting sqref="A135 C135 E135">
    <cfRule type="expression" dxfId="433" priority="370" stopIfTrue="1">
      <formula>#REF!="Yes"</formula>
    </cfRule>
  </conditionalFormatting>
  <conditionalFormatting sqref="H135">
    <cfRule type="cellIs" dxfId="432" priority="369" stopIfTrue="1" operator="lessThan">
      <formula>0</formula>
    </cfRule>
  </conditionalFormatting>
  <conditionalFormatting sqref="H135:S135">
    <cfRule type="expression" dxfId="431" priority="368" stopIfTrue="1">
      <formula>#REF!="Yes"</formula>
    </cfRule>
  </conditionalFormatting>
  <conditionalFormatting sqref="F135:G135">
    <cfRule type="expression" dxfId="430" priority="367" stopIfTrue="1">
      <formula>#REF!="Yes"</formula>
    </cfRule>
  </conditionalFormatting>
  <conditionalFormatting sqref="H136">
    <cfRule type="cellIs" dxfId="429" priority="366" stopIfTrue="1" operator="lessThan">
      <formula>0</formula>
    </cfRule>
  </conditionalFormatting>
  <conditionalFormatting sqref="A136 C136 E136">
    <cfRule type="expression" dxfId="428" priority="365" stopIfTrue="1">
      <formula>#REF!="Yes"</formula>
    </cfRule>
  </conditionalFormatting>
  <conditionalFormatting sqref="T136:Z136">
    <cfRule type="expression" dxfId="427" priority="364" stopIfTrue="1">
      <formula>#REF!="Yes"</formula>
    </cfRule>
  </conditionalFormatting>
  <conditionalFormatting sqref="H136:S136">
    <cfRule type="expression" dxfId="426" priority="363" stopIfTrue="1">
      <formula>#REF!="Yes"</formula>
    </cfRule>
  </conditionalFormatting>
  <conditionalFormatting sqref="F136:G136">
    <cfRule type="expression" dxfId="425" priority="362" stopIfTrue="1">
      <formula>#REF!="Yes"</formula>
    </cfRule>
  </conditionalFormatting>
  <conditionalFormatting sqref="H137">
    <cfRule type="cellIs" dxfId="424" priority="361" stopIfTrue="1" operator="lessThan">
      <formula>0</formula>
    </cfRule>
  </conditionalFormatting>
  <conditionalFormatting sqref="T137:Z137">
    <cfRule type="expression" dxfId="423" priority="359" stopIfTrue="1">
      <formula>#REF!="Yes"</formula>
    </cfRule>
  </conditionalFormatting>
  <conditionalFormatting sqref="A137 C137 E137">
    <cfRule type="expression" dxfId="422" priority="360" stopIfTrue="1">
      <formula>#REF!="Yes"</formula>
    </cfRule>
  </conditionalFormatting>
  <conditionalFormatting sqref="H137:S137">
    <cfRule type="expression" dxfId="421" priority="358" stopIfTrue="1">
      <formula>#REF!="Yes"</formula>
    </cfRule>
  </conditionalFormatting>
  <conditionalFormatting sqref="F137:G137">
    <cfRule type="expression" dxfId="420" priority="357" stopIfTrue="1">
      <formula>#REF!="Yes"</formula>
    </cfRule>
  </conditionalFormatting>
  <conditionalFormatting sqref="H138:S138">
    <cfRule type="expression" dxfId="419" priority="355" stopIfTrue="1">
      <formula>#REF!="Yes"</formula>
    </cfRule>
  </conditionalFormatting>
  <conditionalFormatting sqref="H138">
    <cfRule type="cellIs" dxfId="418" priority="356" stopIfTrue="1" operator="lessThan">
      <formula>0</formula>
    </cfRule>
  </conditionalFormatting>
  <conditionalFormatting sqref="T139:Z139">
    <cfRule type="expression" dxfId="417" priority="352" stopIfTrue="1">
      <formula>#REF!="Yes"</formula>
    </cfRule>
  </conditionalFormatting>
  <conditionalFormatting sqref="H139">
    <cfRule type="cellIs" dxfId="416" priority="354" stopIfTrue="1" operator="lessThan">
      <formula>0</formula>
    </cfRule>
  </conditionalFormatting>
  <conditionalFormatting sqref="A139 C139 E139">
    <cfRule type="expression" dxfId="415" priority="353" stopIfTrue="1">
      <formula>#REF!="Yes"</formula>
    </cfRule>
  </conditionalFormatting>
  <conditionalFormatting sqref="H139:S139">
    <cfRule type="expression" dxfId="414" priority="351" stopIfTrue="1">
      <formula>#REF!="Yes"</formula>
    </cfRule>
  </conditionalFormatting>
  <conditionalFormatting sqref="F139:G139">
    <cfRule type="expression" dxfId="413" priority="350" stopIfTrue="1">
      <formula>#REF!="Yes"</formula>
    </cfRule>
  </conditionalFormatting>
  <conditionalFormatting sqref="A140 C140 E140">
    <cfRule type="expression" dxfId="412" priority="348" stopIfTrue="1">
      <formula>#REF!="Yes"</formula>
    </cfRule>
  </conditionalFormatting>
  <conditionalFormatting sqref="H140">
    <cfRule type="cellIs" dxfId="411" priority="349" stopIfTrue="1" operator="lessThan">
      <formula>0</formula>
    </cfRule>
  </conditionalFormatting>
  <conditionalFormatting sqref="T140:Z140">
    <cfRule type="expression" dxfId="410" priority="347" stopIfTrue="1">
      <formula>#REF!="Yes"</formula>
    </cfRule>
  </conditionalFormatting>
  <conditionalFormatting sqref="H140:S140">
    <cfRule type="expression" dxfId="409" priority="346" stopIfTrue="1">
      <formula>#REF!="Yes"</formula>
    </cfRule>
  </conditionalFormatting>
  <conditionalFormatting sqref="F140:G140">
    <cfRule type="expression" dxfId="408" priority="345" stopIfTrue="1">
      <formula>#REF!="Yes"</formula>
    </cfRule>
  </conditionalFormatting>
  <conditionalFormatting sqref="H141">
    <cfRule type="cellIs" dxfId="407" priority="344" stopIfTrue="1" operator="lessThan">
      <formula>0</formula>
    </cfRule>
  </conditionalFormatting>
  <conditionalFormatting sqref="A141 C141 E141">
    <cfRule type="expression" dxfId="406" priority="343" stopIfTrue="1">
      <formula>#REF!="Yes"</formula>
    </cfRule>
  </conditionalFormatting>
  <conditionalFormatting sqref="T141:Z141">
    <cfRule type="expression" dxfId="405" priority="342" stopIfTrue="1">
      <formula>#REF!="Yes"</formula>
    </cfRule>
  </conditionalFormatting>
  <conditionalFormatting sqref="H141:S141">
    <cfRule type="expression" dxfId="404" priority="341" stopIfTrue="1">
      <formula>#REF!="Yes"</formula>
    </cfRule>
  </conditionalFormatting>
  <conditionalFormatting sqref="F141:G141">
    <cfRule type="expression" dxfId="403" priority="340" stopIfTrue="1">
      <formula>#REF!="Yes"</formula>
    </cfRule>
  </conditionalFormatting>
  <conditionalFormatting sqref="H142">
    <cfRule type="cellIs" dxfId="402" priority="339" stopIfTrue="1" operator="lessThan">
      <formula>0</formula>
    </cfRule>
  </conditionalFormatting>
  <conditionalFormatting sqref="A142 C142 E142">
    <cfRule type="expression" dxfId="401" priority="338" stopIfTrue="1">
      <formula>#REF!="Yes"</formula>
    </cfRule>
  </conditionalFormatting>
  <conditionalFormatting sqref="T142:Z142">
    <cfRule type="expression" dxfId="400" priority="337" stopIfTrue="1">
      <formula>#REF!="Yes"</formula>
    </cfRule>
  </conditionalFormatting>
  <conditionalFormatting sqref="H142:S142">
    <cfRule type="expression" dxfId="399" priority="336" stopIfTrue="1">
      <formula>#REF!="Yes"</formula>
    </cfRule>
  </conditionalFormatting>
  <conditionalFormatting sqref="F142:G142">
    <cfRule type="expression" dxfId="398" priority="335" stopIfTrue="1">
      <formula>#REF!="Yes"</formula>
    </cfRule>
  </conditionalFormatting>
  <conditionalFormatting sqref="H143">
    <cfRule type="cellIs" dxfId="397" priority="334" stopIfTrue="1" operator="lessThan">
      <formula>0</formula>
    </cfRule>
  </conditionalFormatting>
  <conditionalFormatting sqref="A143 C143 E143">
    <cfRule type="expression" dxfId="396" priority="333" stopIfTrue="1">
      <formula>#REF!="Yes"</formula>
    </cfRule>
  </conditionalFormatting>
  <conditionalFormatting sqref="T143:Z143">
    <cfRule type="expression" dxfId="395" priority="332" stopIfTrue="1">
      <formula>#REF!="Yes"</formula>
    </cfRule>
  </conditionalFormatting>
  <conditionalFormatting sqref="H143:S143">
    <cfRule type="expression" dxfId="394" priority="331" stopIfTrue="1">
      <formula>#REF!="Yes"</formula>
    </cfRule>
  </conditionalFormatting>
  <conditionalFormatting sqref="F143:G143">
    <cfRule type="expression" dxfId="393" priority="330" stopIfTrue="1">
      <formula>#REF!="Yes"</formula>
    </cfRule>
  </conditionalFormatting>
  <conditionalFormatting sqref="H144:S144">
    <cfRule type="expression" dxfId="392" priority="326" stopIfTrue="1">
      <formula>#REF!="Yes"</formula>
    </cfRule>
  </conditionalFormatting>
  <conditionalFormatting sqref="H144">
    <cfRule type="cellIs" dxfId="391" priority="329" stopIfTrue="1" operator="lessThan">
      <formula>0</formula>
    </cfRule>
  </conditionalFormatting>
  <conditionalFormatting sqref="A144 C144 E144">
    <cfRule type="expression" dxfId="390" priority="328" stopIfTrue="1">
      <formula>#REF!="Yes"</formula>
    </cfRule>
  </conditionalFormatting>
  <conditionalFormatting sqref="T144:Z144">
    <cfRule type="expression" dxfId="389" priority="327" stopIfTrue="1">
      <formula>#REF!="Yes"</formula>
    </cfRule>
  </conditionalFormatting>
  <conditionalFormatting sqref="F144:G144">
    <cfRule type="expression" dxfId="388" priority="325" stopIfTrue="1">
      <formula>#REF!="Yes"</formula>
    </cfRule>
  </conditionalFormatting>
  <conditionalFormatting sqref="T145:Z145">
    <cfRule type="expression" dxfId="387" priority="323" stopIfTrue="1">
      <formula>#REF!="Yes"</formula>
    </cfRule>
  </conditionalFormatting>
  <conditionalFormatting sqref="H145">
    <cfRule type="cellIs" dxfId="386" priority="324" stopIfTrue="1" operator="lessThan">
      <formula>0</formula>
    </cfRule>
  </conditionalFormatting>
  <conditionalFormatting sqref="H145:S145">
    <cfRule type="expression" dxfId="385" priority="322" stopIfTrue="1">
      <formula>#REF!="Yes"</formula>
    </cfRule>
  </conditionalFormatting>
  <conditionalFormatting sqref="F145:G145">
    <cfRule type="expression" dxfId="384" priority="321" stopIfTrue="1">
      <formula>#REF!="Yes"</formula>
    </cfRule>
  </conditionalFormatting>
  <conditionalFormatting sqref="A146 C146 E146">
    <cfRule type="expression" dxfId="383" priority="319" stopIfTrue="1">
      <formula>#REF!="Yes"</formula>
    </cfRule>
  </conditionalFormatting>
  <conditionalFormatting sqref="H146">
    <cfRule type="cellIs" dxfId="382" priority="320" stopIfTrue="1" operator="lessThan">
      <formula>0</formula>
    </cfRule>
  </conditionalFormatting>
  <conditionalFormatting sqref="T146:Z146">
    <cfRule type="expression" dxfId="381" priority="318" stopIfTrue="1">
      <formula>#REF!="Yes"</formula>
    </cfRule>
  </conditionalFormatting>
  <conditionalFormatting sqref="H146:S146">
    <cfRule type="expression" dxfId="380" priority="317" stopIfTrue="1">
      <formula>#REF!="Yes"</formula>
    </cfRule>
  </conditionalFormatting>
  <conditionalFormatting sqref="F146:G146">
    <cfRule type="expression" dxfId="379" priority="316" stopIfTrue="1">
      <formula>#REF!="Yes"</formula>
    </cfRule>
  </conditionalFormatting>
  <conditionalFormatting sqref="H147">
    <cfRule type="cellIs" dxfId="378" priority="315" stopIfTrue="1" operator="lessThan">
      <formula>0</formula>
    </cfRule>
  </conditionalFormatting>
  <conditionalFormatting sqref="A147 C147 E147">
    <cfRule type="expression" dxfId="377" priority="314" stopIfTrue="1">
      <formula>#REF!="Yes"</formula>
    </cfRule>
  </conditionalFormatting>
  <conditionalFormatting sqref="T147:Z147">
    <cfRule type="expression" dxfId="376" priority="313" stopIfTrue="1">
      <formula>#REF!="Yes"</formula>
    </cfRule>
  </conditionalFormatting>
  <conditionalFormatting sqref="H147:S147">
    <cfRule type="expression" dxfId="375" priority="312" stopIfTrue="1">
      <formula>#REF!="Yes"</formula>
    </cfRule>
  </conditionalFormatting>
  <conditionalFormatting sqref="F147:G147">
    <cfRule type="expression" dxfId="374" priority="311" stopIfTrue="1">
      <formula>#REF!="Yes"</formula>
    </cfRule>
  </conditionalFormatting>
  <conditionalFormatting sqref="H148">
    <cfRule type="cellIs" dxfId="373" priority="310" stopIfTrue="1" operator="lessThan">
      <formula>0</formula>
    </cfRule>
  </conditionalFormatting>
  <conditionalFormatting sqref="T148:Z148">
    <cfRule type="expression" dxfId="372" priority="309" stopIfTrue="1">
      <formula>#REF!="Yes"</formula>
    </cfRule>
  </conditionalFormatting>
  <conditionalFormatting sqref="H148:S148">
    <cfRule type="expression" dxfId="371" priority="308" stopIfTrue="1">
      <formula>#REF!="Yes"</formula>
    </cfRule>
  </conditionalFormatting>
  <conditionalFormatting sqref="A148 C148">
    <cfRule type="expression" dxfId="370" priority="307" stopIfTrue="1">
      <formula>#REF!="Yes"</formula>
    </cfRule>
  </conditionalFormatting>
  <conditionalFormatting sqref="E148">
    <cfRule type="expression" dxfId="369" priority="306" stopIfTrue="1">
      <formula>#REF!="Yes"</formula>
    </cfRule>
  </conditionalFormatting>
  <conditionalFormatting sqref="F198:G199 F196:G196 F191:G192 F183:G184 F169:G169 F165:G165 F157:G159 F148:G148">
    <cfRule type="expression" dxfId="368" priority="305" stopIfTrue="1">
      <formula>#REF!="Yes"</formula>
    </cfRule>
  </conditionalFormatting>
  <conditionalFormatting sqref="H149">
    <cfRule type="cellIs" dxfId="367" priority="304" stopIfTrue="1" operator="lessThan">
      <formula>0</formula>
    </cfRule>
  </conditionalFormatting>
  <conditionalFormatting sqref="A149 C149 E149">
    <cfRule type="expression" dxfId="366" priority="303" stopIfTrue="1">
      <formula>#REF!="Yes"</formula>
    </cfRule>
  </conditionalFormatting>
  <conditionalFormatting sqref="T149:Z149">
    <cfRule type="expression" dxfId="365" priority="302" stopIfTrue="1">
      <formula>#REF!="Yes"</formula>
    </cfRule>
  </conditionalFormatting>
  <conditionalFormatting sqref="H149:S149">
    <cfRule type="expression" dxfId="364" priority="301" stopIfTrue="1">
      <formula>#REF!="Yes"</formula>
    </cfRule>
  </conditionalFormatting>
  <conditionalFormatting sqref="F149:G149">
    <cfRule type="expression" dxfId="363" priority="300" stopIfTrue="1">
      <formula>#REF!="Yes"</formula>
    </cfRule>
  </conditionalFormatting>
  <conditionalFormatting sqref="H150">
    <cfRule type="cellIs" dxfId="362" priority="299" stopIfTrue="1" operator="lessThan">
      <formula>0</formula>
    </cfRule>
  </conditionalFormatting>
  <conditionalFormatting sqref="A150 C150 E150">
    <cfRule type="expression" dxfId="361" priority="298" stopIfTrue="1">
      <formula>#REF!="Yes"</formula>
    </cfRule>
  </conditionalFormatting>
  <conditionalFormatting sqref="T150:Z150">
    <cfRule type="expression" dxfId="360" priority="297" stopIfTrue="1">
      <formula>#REF!="Yes"</formula>
    </cfRule>
  </conditionalFormatting>
  <conditionalFormatting sqref="H150:S150">
    <cfRule type="expression" dxfId="359" priority="296" stopIfTrue="1">
      <formula>#REF!="Yes"</formula>
    </cfRule>
  </conditionalFormatting>
  <conditionalFormatting sqref="F150:G150">
    <cfRule type="expression" dxfId="358" priority="295" stopIfTrue="1">
      <formula>#REF!="Yes"</formula>
    </cfRule>
  </conditionalFormatting>
  <conditionalFormatting sqref="H151">
    <cfRule type="cellIs" dxfId="357" priority="294" stopIfTrue="1" operator="lessThan">
      <formula>0</formula>
    </cfRule>
  </conditionalFormatting>
  <conditionalFormatting sqref="A151 C151 E151">
    <cfRule type="expression" dxfId="356" priority="293" stopIfTrue="1">
      <formula>#REF!="Yes"</formula>
    </cfRule>
  </conditionalFormatting>
  <conditionalFormatting sqref="T151:Z151">
    <cfRule type="expression" dxfId="355" priority="292" stopIfTrue="1">
      <formula>#REF!="Yes"</formula>
    </cfRule>
  </conditionalFormatting>
  <conditionalFormatting sqref="H151:S151">
    <cfRule type="expression" dxfId="354" priority="291" stopIfTrue="1">
      <formula>#REF!="Yes"</formula>
    </cfRule>
  </conditionalFormatting>
  <conditionalFormatting sqref="F151:G151">
    <cfRule type="expression" dxfId="353" priority="290" stopIfTrue="1">
      <formula>#REF!="Yes"</formula>
    </cfRule>
  </conditionalFormatting>
  <conditionalFormatting sqref="H152:S152">
    <cfRule type="expression" dxfId="352" priority="286" stopIfTrue="1">
      <formula>#REF!="Yes"</formula>
    </cfRule>
  </conditionalFormatting>
  <conditionalFormatting sqref="H152">
    <cfRule type="cellIs" dxfId="351" priority="289" stopIfTrue="1" operator="lessThan">
      <formula>0</formula>
    </cfRule>
  </conditionalFormatting>
  <conditionalFormatting sqref="A152 C152 E152">
    <cfRule type="expression" dxfId="350" priority="288" stopIfTrue="1">
      <formula>#REF!="Yes"</formula>
    </cfRule>
  </conditionalFormatting>
  <conditionalFormatting sqref="T152:Z152">
    <cfRule type="expression" dxfId="349" priority="287" stopIfTrue="1">
      <formula>#REF!="Yes"</formula>
    </cfRule>
  </conditionalFormatting>
  <conditionalFormatting sqref="F152:G152">
    <cfRule type="expression" dxfId="348" priority="285" stopIfTrue="1">
      <formula>#REF!="Yes"</formula>
    </cfRule>
  </conditionalFormatting>
  <conditionalFormatting sqref="T153:Z153">
    <cfRule type="expression" dxfId="347" priority="282" stopIfTrue="1">
      <formula>#REF!="Yes"</formula>
    </cfRule>
  </conditionalFormatting>
  <conditionalFormatting sqref="H153">
    <cfRule type="cellIs" dxfId="346" priority="284" stopIfTrue="1" operator="lessThan">
      <formula>0</formula>
    </cfRule>
  </conditionalFormatting>
  <conditionalFormatting sqref="A153 C153 E153">
    <cfRule type="expression" dxfId="345" priority="283" stopIfTrue="1">
      <formula>#REF!="Yes"</formula>
    </cfRule>
  </conditionalFormatting>
  <conditionalFormatting sqref="H153:S153">
    <cfRule type="expression" dxfId="344" priority="281" stopIfTrue="1">
      <formula>#REF!="Yes"</formula>
    </cfRule>
  </conditionalFormatting>
  <conditionalFormatting sqref="F153:G153">
    <cfRule type="expression" dxfId="343" priority="280" stopIfTrue="1">
      <formula>#REF!="Yes"</formula>
    </cfRule>
  </conditionalFormatting>
  <conditionalFormatting sqref="A154 C154 E154">
    <cfRule type="expression" dxfId="342" priority="278" stopIfTrue="1">
      <formula>#REF!="Yes"</formula>
    </cfRule>
  </conditionalFormatting>
  <conditionalFormatting sqref="H154">
    <cfRule type="cellIs" dxfId="341" priority="279" stopIfTrue="1" operator="lessThan">
      <formula>0</formula>
    </cfRule>
  </conditionalFormatting>
  <conditionalFormatting sqref="T154:Z154">
    <cfRule type="expression" dxfId="340" priority="277" stopIfTrue="1">
      <formula>#REF!="Yes"</formula>
    </cfRule>
  </conditionalFormatting>
  <conditionalFormatting sqref="H154:S154">
    <cfRule type="expression" dxfId="339" priority="276" stopIfTrue="1">
      <formula>#REF!="Yes"</formula>
    </cfRule>
  </conditionalFormatting>
  <conditionalFormatting sqref="F154:G154">
    <cfRule type="expression" dxfId="338" priority="275" stopIfTrue="1">
      <formula>#REF!="Yes"</formula>
    </cfRule>
  </conditionalFormatting>
  <conditionalFormatting sqref="H155">
    <cfRule type="cellIs" dxfId="337" priority="274" stopIfTrue="1" operator="lessThan">
      <formula>0</formula>
    </cfRule>
  </conditionalFormatting>
  <conditionalFormatting sqref="A155 C155 E155">
    <cfRule type="expression" dxfId="336" priority="273" stopIfTrue="1">
      <formula>#REF!="Yes"</formula>
    </cfRule>
  </conditionalFormatting>
  <conditionalFormatting sqref="T155:Z155">
    <cfRule type="expression" dxfId="335" priority="272" stopIfTrue="1">
      <formula>#REF!="Yes"</formula>
    </cfRule>
  </conditionalFormatting>
  <conditionalFormatting sqref="H155:S155">
    <cfRule type="expression" dxfId="334" priority="271" stopIfTrue="1">
      <formula>#REF!="Yes"</formula>
    </cfRule>
  </conditionalFormatting>
  <conditionalFormatting sqref="F155:G155">
    <cfRule type="expression" dxfId="333" priority="270" stopIfTrue="1">
      <formula>#REF!="Yes"</formula>
    </cfRule>
  </conditionalFormatting>
  <conditionalFormatting sqref="H156">
    <cfRule type="cellIs" dxfId="332" priority="269" stopIfTrue="1" operator="lessThan">
      <formula>0</formula>
    </cfRule>
  </conditionalFormatting>
  <conditionalFormatting sqref="A156 C156 E156">
    <cfRule type="expression" dxfId="331" priority="268" stopIfTrue="1">
      <formula>#REF!="Yes"</formula>
    </cfRule>
  </conditionalFormatting>
  <conditionalFormatting sqref="T156:Z156">
    <cfRule type="expression" dxfId="330" priority="267" stopIfTrue="1">
      <formula>#REF!="Yes"</formula>
    </cfRule>
  </conditionalFormatting>
  <conditionalFormatting sqref="H156:S156">
    <cfRule type="expression" dxfId="329" priority="266" stopIfTrue="1">
      <formula>#REF!="Yes"</formula>
    </cfRule>
  </conditionalFormatting>
  <conditionalFormatting sqref="F156:G156">
    <cfRule type="expression" dxfId="328" priority="265" stopIfTrue="1">
      <formula>#REF!="Yes"</formula>
    </cfRule>
  </conditionalFormatting>
  <conditionalFormatting sqref="H157">
    <cfRule type="cellIs" dxfId="327" priority="264" stopIfTrue="1" operator="lessThan">
      <formula>0</formula>
    </cfRule>
  </conditionalFormatting>
  <conditionalFormatting sqref="H157:S157">
    <cfRule type="expression" dxfId="326" priority="263" stopIfTrue="1">
      <formula>#REF!="Yes"</formula>
    </cfRule>
  </conditionalFormatting>
  <conditionalFormatting sqref="T160:Z160">
    <cfRule type="expression" dxfId="325" priority="260" stopIfTrue="1">
      <formula>#REF!="Yes"</formula>
    </cfRule>
  </conditionalFormatting>
  <conditionalFormatting sqref="H160">
    <cfRule type="cellIs" dxfId="324" priority="262" stopIfTrue="1" operator="lessThan">
      <formula>0</formula>
    </cfRule>
  </conditionalFormatting>
  <conditionalFormatting sqref="A160 C160 E160">
    <cfRule type="expression" dxfId="323" priority="261" stopIfTrue="1">
      <formula>#REF!="Yes"</formula>
    </cfRule>
  </conditionalFormatting>
  <conditionalFormatting sqref="H160:S160">
    <cfRule type="expression" dxfId="322" priority="259" stopIfTrue="1">
      <formula>#REF!="Yes"</formula>
    </cfRule>
  </conditionalFormatting>
  <conditionalFormatting sqref="F160:G160">
    <cfRule type="expression" dxfId="321" priority="258" stopIfTrue="1">
      <formula>#REF!="Yes"</formula>
    </cfRule>
  </conditionalFormatting>
  <conditionalFormatting sqref="H161">
    <cfRule type="cellIs" dxfId="320" priority="257" stopIfTrue="1" operator="lessThan">
      <formula>0</formula>
    </cfRule>
  </conditionalFormatting>
  <conditionalFormatting sqref="A161 C161 E161">
    <cfRule type="expression" dxfId="319" priority="256" stopIfTrue="1">
      <formula>#REF!="Yes"</formula>
    </cfRule>
  </conditionalFormatting>
  <conditionalFormatting sqref="T161:Z161">
    <cfRule type="expression" dxfId="318" priority="255" stopIfTrue="1">
      <formula>#REF!="Yes"</formula>
    </cfRule>
  </conditionalFormatting>
  <conditionalFormatting sqref="H161:S161">
    <cfRule type="expression" dxfId="317" priority="254" stopIfTrue="1">
      <formula>#REF!="Yes"</formula>
    </cfRule>
  </conditionalFormatting>
  <conditionalFormatting sqref="F161:G161">
    <cfRule type="expression" dxfId="316" priority="253" stopIfTrue="1">
      <formula>#REF!="Yes"</formula>
    </cfRule>
  </conditionalFormatting>
  <conditionalFormatting sqref="H162">
    <cfRule type="cellIs" dxfId="315" priority="252" stopIfTrue="1" operator="lessThan">
      <formula>0</formula>
    </cfRule>
  </conditionalFormatting>
  <conditionalFormatting sqref="A162 C162 E162">
    <cfRule type="expression" dxfId="314" priority="251" stopIfTrue="1">
      <formula>#REF!="Yes"</formula>
    </cfRule>
  </conditionalFormatting>
  <conditionalFormatting sqref="T162:Z162">
    <cfRule type="expression" dxfId="313" priority="250" stopIfTrue="1">
      <formula>#REF!="Yes"</formula>
    </cfRule>
  </conditionalFormatting>
  <conditionalFormatting sqref="H162:S162">
    <cfRule type="expression" dxfId="312" priority="249" stopIfTrue="1">
      <formula>#REF!="Yes"</formula>
    </cfRule>
  </conditionalFormatting>
  <conditionalFormatting sqref="F162:G162">
    <cfRule type="expression" dxfId="311" priority="248" stopIfTrue="1">
      <formula>#REF!="Yes"</formula>
    </cfRule>
  </conditionalFormatting>
  <conditionalFormatting sqref="H163">
    <cfRule type="cellIs" dxfId="310" priority="247" stopIfTrue="1" operator="lessThan">
      <formula>0</formula>
    </cfRule>
  </conditionalFormatting>
  <conditionalFormatting sqref="E163">
    <cfRule type="expression" dxfId="309" priority="246" stopIfTrue="1">
      <formula>#REF!="Yes"</formula>
    </cfRule>
  </conditionalFormatting>
  <conditionalFormatting sqref="T163:Z163">
    <cfRule type="expression" dxfId="308" priority="245" stopIfTrue="1">
      <formula>#REF!="Yes"</formula>
    </cfRule>
  </conditionalFormatting>
  <conditionalFormatting sqref="H163:S163">
    <cfRule type="expression" dxfId="307" priority="244" stopIfTrue="1">
      <formula>#REF!="Yes"</formula>
    </cfRule>
  </conditionalFormatting>
  <conditionalFormatting sqref="F163:G163">
    <cfRule type="expression" dxfId="306" priority="243" stopIfTrue="1">
      <formula>#REF!="Yes"</formula>
    </cfRule>
  </conditionalFormatting>
  <conditionalFormatting sqref="A163 C163">
    <cfRule type="expression" dxfId="305" priority="242" stopIfTrue="1">
      <formula>#REF!="Yes"</formula>
    </cfRule>
  </conditionalFormatting>
  <conditionalFormatting sqref="H164">
    <cfRule type="cellIs" dxfId="304" priority="241" stopIfTrue="1" operator="lessThan">
      <formula>0</formula>
    </cfRule>
  </conditionalFormatting>
  <conditionalFormatting sqref="E164">
    <cfRule type="expression" dxfId="303" priority="240" stopIfTrue="1">
      <formula>#REF!="Yes"</formula>
    </cfRule>
  </conditionalFormatting>
  <conditionalFormatting sqref="T164:Z164">
    <cfRule type="expression" dxfId="302" priority="239" stopIfTrue="1">
      <formula>#REF!="Yes"</formula>
    </cfRule>
  </conditionalFormatting>
  <conditionalFormatting sqref="H164:S164">
    <cfRule type="expression" dxfId="301" priority="238" stopIfTrue="1">
      <formula>#REF!="Yes"</formula>
    </cfRule>
  </conditionalFormatting>
  <conditionalFormatting sqref="A164 C164">
    <cfRule type="expression" dxfId="300" priority="237" stopIfTrue="1">
      <formula>#REF!="Yes"</formula>
    </cfRule>
  </conditionalFormatting>
  <conditionalFormatting sqref="F164:G164">
    <cfRule type="expression" dxfId="299" priority="236" stopIfTrue="1">
      <formula>#REF!="Yes"</formula>
    </cfRule>
  </conditionalFormatting>
  <conditionalFormatting sqref="H165">
    <cfRule type="cellIs" dxfId="298" priority="235" stopIfTrue="1" operator="lessThan">
      <formula>0</formula>
    </cfRule>
  </conditionalFormatting>
  <conditionalFormatting sqref="H165:S165">
    <cfRule type="expression" dxfId="297" priority="234" stopIfTrue="1">
      <formula>#REF!="Yes"</formula>
    </cfRule>
  </conditionalFormatting>
  <conditionalFormatting sqref="H166">
    <cfRule type="cellIs" dxfId="296" priority="233" stopIfTrue="1" operator="lessThan">
      <formula>0</formula>
    </cfRule>
  </conditionalFormatting>
  <conditionalFormatting sqref="E166">
    <cfRule type="expression" dxfId="295" priority="232" stopIfTrue="1">
      <formula>#REF!="Yes"</formula>
    </cfRule>
  </conditionalFormatting>
  <conditionalFormatting sqref="T166:Z166">
    <cfRule type="expression" dxfId="294" priority="231" stopIfTrue="1">
      <formula>#REF!="Yes"</formula>
    </cfRule>
  </conditionalFormatting>
  <conditionalFormatting sqref="H166:S166">
    <cfRule type="expression" dxfId="293" priority="230" stopIfTrue="1">
      <formula>#REF!="Yes"</formula>
    </cfRule>
  </conditionalFormatting>
  <conditionalFormatting sqref="A166 C166">
    <cfRule type="expression" dxfId="292" priority="229" stopIfTrue="1">
      <formula>#REF!="Yes"</formula>
    </cfRule>
  </conditionalFormatting>
  <conditionalFormatting sqref="F166:G166">
    <cfRule type="expression" dxfId="291" priority="228" stopIfTrue="1">
      <formula>#REF!="Yes"</formula>
    </cfRule>
  </conditionalFormatting>
  <conditionalFormatting sqref="H167">
    <cfRule type="cellIs" dxfId="290" priority="227" stopIfTrue="1" operator="lessThan">
      <formula>0</formula>
    </cfRule>
  </conditionalFormatting>
  <conditionalFormatting sqref="E167">
    <cfRule type="expression" dxfId="289" priority="226" stopIfTrue="1">
      <formula>#REF!="Yes"</formula>
    </cfRule>
  </conditionalFormatting>
  <conditionalFormatting sqref="T167:Z167">
    <cfRule type="expression" dxfId="288" priority="225" stopIfTrue="1">
      <formula>#REF!="Yes"</formula>
    </cfRule>
  </conditionalFormatting>
  <conditionalFormatting sqref="H167:S167">
    <cfRule type="expression" dxfId="287" priority="224" stopIfTrue="1">
      <formula>#REF!="Yes"</formula>
    </cfRule>
  </conditionalFormatting>
  <conditionalFormatting sqref="A167 C167">
    <cfRule type="expression" dxfId="286" priority="223" stopIfTrue="1">
      <formula>#REF!="Yes"</formula>
    </cfRule>
  </conditionalFormatting>
  <conditionalFormatting sqref="F167:G167">
    <cfRule type="expression" dxfId="285" priority="222" stopIfTrue="1">
      <formula>#REF!="Yes"</formula>
    </cfRule>
  </conditionalFormatting>
  <conditionalFormatting sqref="F168:G168">
    <cfRule type="expression" dxfId="284" priority="216" stopIfTrue="1">
      <formula>#REF!="Yes"</formula>
    </cfRule>
  </conditionalFormatting>
  <conditionalFormatting sqref="H168">
    <cfRule type="cellIs" dxfId="283" priority="221" stopIfTrue="1" operator="lessThan">
      <formula>0</formula>
    </cfRule>
  </conditionalFormatting>
  <conditionalFormatting sqref="E168">
    <cfRule type="expression" dxfId="282" priority="220" stopIfTrue="1">
      <formula>#REF!="Yes"</formula>
    </cfRule>
  </conditionalFormatting>
  <conditionalFormatting sqref="T168:Z168">
    <cfRule type="expression" dxfId="281" priority="219" stopIfTrue="1">
      <formula>#REF!="Yes"</formula>
    </cfRule>
  </conditionalFormatting>
  <conditionalFormatting sqref="H168:S168">
    <cfRule type="expression" dxfId="280" priority="218" stopIfTrue="1">
      <formula>#REF!="Yes"</formula>
    </cfRule>
  </conditionalFormatting>
  <conditionalFormatting sqref="A168 C168">
    <cfRule type="expression" dxfId="279" priority="217" stopIfTrue="1">
      <formula>#REF!="Yes"</formula>
    </cfRule>
  </conditionalFormatting>
  <conditionalFormatting sqref="H169">
    <cfRule type="cellIs" dxfId="278" priority="215" stopIfTrue="1" operator="lessThan">
      <formula>0</formula>
    </cfRule>
  </conditionalFormatting>
  <conditionalFormatting sqref="H169:S169">
    <cfRule type="expression" dxfId="277" priority="214" stopIfTrue="1">
      <formula>#REF!="Yes"</formula>
    </cfRule>
  </conditionalFormatting>
  <conditionalFormatting sqref="F170:G170">
    <cfRule type="expression" dxfId="276" priority="208" stopIfTrue="1">
      <formula>#REF!="Yes"</formula>
    </cfRule>
  </conditionalFormatting>
  <conditionalFormatting sqref="H170">
    <cfRule type="cellIs" dxfId="275" priority="213" stopIfTrue="1" operator="lessThan">
      <formula>0</formula>
    </cfRule>
  </conditionalFormatting>
  <conditionalFormatting sqref="E170">
    <cfRule type="expression" dxfId="274" priority="212" stopIfTrue="1">
      <formula>#REF!="Yes"</formula>
    </cfRule>
  </conditionalFormatting>
  <conditionalFormatting sqref="T170:Z170">
    <cfRule type="expression" dxfId="273" priority="211" stopIfTrue="1">
      <formula>#REF!="Yes"</formula>
    </cfRule>
  </conditionalFormatting>
  <conditionalFormatting sqref="H170:S170">
    <cfRule type="expression" dxfId="272" priority="210" stopIfTrue="1">
      <formula>#REF!="Yes"</formula>
    </cfRule>
  </conditionalFormatting>
  <conditionalFormatting sqref="A170 C170">
    <cfRule type="expression" dxfId="271" priority="209" stopIfTrue="1">
      <formula>#REF!="Yes"</formula>
    </cfRule>
  </conditionalFormatting>
  <conditionalFormatting sqref="F171:G171">
    <cfRule type="expression" dxfId="270" priority="202" stopIfTrue="1">
      <formula>#REF!="Yes"</formula>
    </cfRule>
  </conditionalFormatting>
  <conditionalFormatting sqref="H171">
    <cfRule type="cellIs" dxfId="269" priority="207" stopIfTrue="1" operator="lessThan">
      <formula>0</formula>
    </cfRule>
  </conditionalFormatting>
  <conditionalFormatting sqref="E171">
    <cfRule type="expression" dxfId="268" priority="206" stopIfTrue="1">
      <formula>#REF!="Yes"</formula>
    </cfRule>
  </conditionalFormatting>
  <conditionalFormatting sqref="T171:Z171">
    <cfRule type="expression" dxfId="267" priority="205" stopIfTrue="1">
      <formula>#REF!="Yes"</formula>
    </cfRule>
  </conditionalFormatting>
  <conditionalFormatting sqref="H171:S171">
    <cfRule type="expression" dxfId="266" priority="204" stopIfTrue="1">
      <formula>#REF!="Yes"</formula>
    </cfRule>
  </conditionalFormatting>
  <conditionalFormatting sqref="A171 C171">
    <cfRule type="expression" dxfId="265" priority="203" stopIfTrue="1">
      <formula>#REF!="Yes"</formula>
    </cfRule>
  </conditionalFormatting>
  <conditionalFormatting sqref="F172:G172">
    <cfRule type="expression" dxfId="264" priority="196" stopIfTrue="1">
      <formula>#REF!="Yes"</formula>
    </cfRule>
  </conditionalFormatting>
  <conditionalFormatting sqref="H172">
    <cfRule type="cellIs" dxfId="263" priority="201" stopIfTrue="1" operator="lessThan">
      <formula>0</formula>
    </cfRule>
  </conditionalFormatting>
  <conditionalFormatting sqref="E172">
    <cfRule type="expression" dxfId="262" priority="200" stopIfTrue="1">
      <formula>#REF!="Yes"</formula>
    </cfRule>
  </conditionalFormatting>
  <conditionalFormatting sqref="T172:Z172">
    <cfRule type="expression" dxfId="261" priority="199" stopIfTrue="1">
      <formula>#REF!="Yes"</formula>
    </cfRule>
  </conditionalFormatting>
  <conditionalFormatting sqref="H172:S172">
    <cfRule type="expression" dxfId="260" priority="198" stopIfTrue="1">
      <formula>#REF!="Yes"</formula>
    </cfRule>
  </conditionalFormatting>
  <conditionalFormatting sqref="A172 C172">
    <cfRule type="expression" dxfId="259" priority="197" stopIfTrue="1">
      <formula>#REF!="Yes"</formula>
    </cfRule>
  </conditionalFormatting>
  <conditionalFormatting sqref="F173:G175">
    <cfRule type="expression" dxfId="258" priority="190" stopIfTrue="1">
      <formula>#REF!="Yes"</formula>
    </cfRule>
  </conditionalFormatting>
  <conditionalFormatting sqref="H173:H175">
    <cfRule type="cellIs" dxfId="257" priority="195" stopIfTrue="1" operator="lessThan">
      <formula>0</formula>
    </cfRule>
  </conditionalFormatting>
  <conditionalFormatting sqref="E173:E175">
    <cfRule type="expression" dxfId="256" priority="194" stopIfTrue="1">
      <formula>#REF!="Yes"</formula>
    </cfRule>
  </conditionalFormatting>
  <conditionalFormatting sqref="T173:Z175">
    <cfRule type="expression" dxfId="255" priority="193" stopIfTrue="1">
      <formula>#REF!="Yes"</formula>
    </cfRule>
  </conditionalFormatting>
  <conditionalFormatting sqref="H173:S175">
    <cfRule type="expression" dxfId="254" priority="192" stopIfTrue="1">
      <formula>#REF!="Yes"</formula>
    </cfRule>
  </conditionalFormatting>
  <conditionalFormatting sqref="F176:G176">
    <cfRule type="expression" dxfId="253" priority="184" stopIfTrue="1">
      <formula>#REF!="Yes"</formula>
    </cfRule>
  </conditionalFormatting>
  <conditionalFormatting sqref="H176">
    <cfRule type="cellIs" dxfId="252" priority="189" stopIfTrue="1" operator="lessThan">
      <formula>0</formula>
    </cfRule>
  </conditionalFormatting>
  <conditionalFormatting sqref="E176">
    <cfRule type="expression" dxfId="251" priority="188" stopIfTrue="1">
      <formula>#REF!="Yes"</formula>
    </cfRule>
  </conditionalFormatting>
  <conditionalFormatting sqref="T176:Z176">
    <cfRule type="expression" dxfId="250" priority="187" stopIfTrue="1">
      <formula>#REF!="Yes"</formula>
    </cfRule>
  </conditionalFormatting>
  <conditionalFormatting sqref="H176:S176">
    <cfRule type="expression" dxfId="249" priority="186" stopIfTrue="1">
      <formula>#REF!="Yes"</formula>
    </cfRule>
  </conditionalFormatting>
  <conditionalFormatting sqref="B177:B201 D177:D201">
    <cfRule type="expression" dxfId="248" priority="185" stopIfTrue="1">
      <formula>#REF!="Yes"</formula>
    </cfRule>
  </conditionalFormatting>
  <conditionalFormatting sqref="F177:G177">
    <cfRule type="expression" dxfId="247" priority="178" stopIfTrue="1">
      <formula>#REF!="Yes"</formula>
    </cfRule>
  </conditionalFormatting>
  <conditionalFormatting sqref="H177">
    <cfRule type="cellIs" dxfId="246" priority="183" stopIfTrue="1" operator="lessThan">
      <formula>0</formula>
    </cfRule>
  </conditionalFormatting>
  <conditionalFormatting sqref="E177">
    <cfRule type="expression" dxfId="245" priority="182" stopIfTrue="1">
      <formula>#REF!="Yes"</formula>
    </cfRule>
  </conditionalFormatting>
  <conditionalFormatting sqref="T177:Z177">
    <cfRule type="expression" dxfId="244" priority="181" stopIfTrue="1">
      <formula>#REF!="Yes"</formula>
    </cfRule>
  </conditionalFormatting>
  <conditionalFormatting sqref="H177:S177">
    <cfRule type="expression" dxfId="243" priority="180" stopIfTrue="1">
      <formula>#REF!="Yes"</formula>
    </cfRule>
  </conditionalFormatting>
  <conditionalFormatting sqref="A177 C177">
    <cfRule type="expression" dxfId="242" priority="179" stopIfTrue="1">
      <formula>#REF!="Yes"</formula>
    </cfRule>
  </conditionalFormatting>
  <conditionalFormatting sqref="F178:G178">
    <cfRule type="expression" dxfId="241" priority="172" stopIfTrue="1">
      <formula>#REF!="Yes"</formula>
    </cfRule>
  </conditionalFormatting>
  <conditionalFormatting sqref="H178">
    <cfRule type="cellIs" dxfId="240" priority="177" stopIfTrue="1" operator="lessThan">
      <formula>0</formula>
    </cfRule>
  </conditionalFormatting>
  <conditionalFormatting sqref="E178">
    <cfRule type="expression" dxfId="239" priority="176" stopIfTrue="1">
      <formula>#REF!="Yes"</formula>
    </cfRule>
  </conditionalFormatting>
  <conditionalFormatting sqref="T178:Z178">
    <cfRule type="expression" dxfId="238" priority="175" stopIfTrue="1">
      <formula>#REF!="Yes"</formula>
    </cfRule>
  </conditionalFormatting>
  <conditionalFormatting sqref="H178:S178">
    <cfRule type="expression" dxfId="237" priority="174" stopIfTrue="1">
      <formula>#REF!="Yes"</formula>
    </cfRule>
  </conditionalFormatting>
  <conditionalFormatting sqref="A178 C178">
    <cfRule type="expression" dxfId="236" priority="173" stopIfTrue="1">
      <formula>#REF!="Yes"</formula>
    </cfRule>
  </conditionalFormatting>
  <conditionalFormatting sqref="F179:G179">
    <cfRule type="expression" dxfId="235" priority="166" stopIfTrue="1">
      <formula>#REF!="Yes"</formula>
    </cfRule>
  </conditionalFormatting>
  <conditionalFormatting sqref="H179">
    <cfRule type="cellIs" dxfId="234" priority="171" stopIfTrue="1" operator="lessThan">
      <formula>0</formula>
    </cfRule>
  </conditionalFormatting>
  <conditionalFormatting sqref="E179">
    <cfRule type="expression" dxfId="233" priority="170" stopIfTrue="1">
      <formula>#REF!="Yes"</formula>
    </cfRule>
  </conditionalFormatting>
  <conditionalFormatting sqref="T179:Z179">
    <cfRule type="expression" dxfId="232" priority="169" stopIfTrue="1">
      <formula>#REF!="Yes"</formula>
    </cfRule>
  </conditionalFormatting>
  <conditionalFormatting sqref="H179:S179">
    <cfRule type="expression" dxfId="231" priority="168" stopIfTrue="1">
      <formula>#REF!="Yes"</formula>
    </cfRule>
  </conditionalFormatting>
  <conditionalFormatting sqref="A179 C179">
    <cfRule type="expression" dxfId="230" priority="167" stopIfTrue="1">
      <formula>#REF!="Yes"</formula>
    </cfRule>
  </conditionalFormatting>
  <conditionalFormatting sqref="F180:G180">
    <cfRule type="expression" dxfId="229" priority="160" stopIfTrue="1">
      <formula>#REF!="Yes"</formula>
    </cfRule>
  </conditionalFormatting>
  <conditionalFormatting sqref="H180">
    <cfRule type="cellIs" dxfId="228" priority="165" stopIfTrue="1" operator="lessThan">
      <formula>0</formula>
    </cfRule>
  </conditionalFormatting>
  <conditionalFormatting sqref="E180">
    <cfRule type="expression" dxfId="227" priority="164" stopIfTrue="1">
      <formula>#REF!="Yes"</formula>
    </cfRule>
  </conditionalFormatting>
  <conditionalFormatting sqref="T180:Z180">
    <cfRule type="expression" dxfId="226" priority="163" stopIfTrue="1">
      <formula>#REF!="Yes"</formula>
    </cfRule>
  </conditionalFormatting>
  <conditionalFormatting sqref="H180:S180">
    <cfRule type="expression" dxfId="225" priority="162" stopIfTrue="1">
      <formula>#REF!="Yes"</formula>
    </cfRule>
  </conditionalFormatting>
  <conditionalFormatting sqref="A180 C180">
    <cfRule type="expression" dxfId="224" priority="161" stopIfTrue="1">
      <formula>#REF!="Yes"</formula>
    </cfRule>
  </conditionalFormatting>
  <conditionalFormatting sqref="F181:G181">
    <cfRule type="expression" dxfId="223" priority="154" stopIfTrue="1">
      <formula>#REF!="Yes"</formula>
    </cfRule>
  </conditionalFormatting>
  <conditionalFormatting sqref="H181">
    <cfRule type="cellIs" dxfId="222" priority="159" stopIfTrue="1" operator="lessThan">
      <formula>0</formula>
    </cfRule>
  </conditionalFormatting>
  <conditionalFormatting sqref="E181">
    <cfRule type="expression" dxfId="221" priority="158" stopIfTrue="1">
      <formula>#REF!="Yes"</formula>
    </cfRule>
  </conditionalFormatting>
  <conditionalFormatting sqref="T181:Z181">
    <cfRule type="expression" dxfId="220" priority="157" stopIfTrue="1">
      <formula>#REF!="Yes"</formula>
    </cfRule>
  </conditionalFormatting>
  <conditionalFormatting sqref="H181:S181">
    <cfRule type="expression" dxfId="219" priority="156" stopIfTrue="1">
      <formula>#REF!="Yes"</formula>
    </cfRule>
  </conditionalFormatting>
  <conditionalFormatting sqref="A181 C181">
    <cfRule type="expression" dxfId="218" priority="155" stopIfTrue="1">
      <formula>#REF!="Yes"</formula>
    </cfRule>
  </conditionalFormatting>
  <conditionalFormatting sqref="F182:G182">
    <cfRule type="expression" dxfId="217" priority="148" stopIfTrue="1">
      <formula>#REF!="Yes"</formula>
    </cfRule>
  </conditionalFormatting>
  <conditionalFormatting sqref="H182">
    <cfRule type="cellIs" dxfId="216" priority="153" stopIfTrue="1" operator="lessThan">
      <formula>0</formula>
    </cfRule>
  </conditionalFormatting>
  <conditionalFormatting sqref="E182">
    <cfRule type="expression" dxfId="215" priority="152" stopIfTrue="1">
      <formula>#REF!="Yes"</formula>
    </cfRule>
  </conditionalFormatting>
  <conditionalFormatting sqref="T182:Z182">
    <cfRule type="expression" dxfId="214" priority="151" stopIfTrue="1">
      <formula>#REF!="Yes"</formula>
    </cfRule>
  </conditionalFormatting>
  <conditionalFormatting sqref="H182:S182">
    <cfRule type="expression" dxfId="213" priority="150" stopIfTrue="1">
      <formula>#REF!="Yes"</formula>
    </cfRule>
  </conditionalFormatting>
  <conditionalFormatting sqref="A182 C182">
    <cfRule type="expression" dxfId="212" priority="149" stopIfTrue="1">
      <formula>#REF!="Yes"</formula>
    </cfRule>
  </conditionalFormatting>
  <conditionalFormatting sqref="H183">
    <cfRule type="cellIs" dxfId="211" priority="147" stopIfTrue="1" operator="lessThan">
      <formula>0</formula>
    </cfRule>
  </conditionalFormatting>
  <conditionalFormatting sqref="H183:S183">
    <cfRule type="expression" dxfId="210" priority="146" stopIfTrue="1">
      <formula>#REF!="Yes"</formula>
    </cfRule>
  </conditionalFormatting>
  <conditionalFormatting sqref="H184">
    <cfRule type="cellIs" dxfId="209" priority="145" stopIfTrue="1" operator="lessThan">
      <formula>0</formula>
    </cfRule>
  </conditionalFormatting>
  <conditionalFormatting sqref="H184:S184">
    <cfRule type="expression" dxfId="208" priority="144" stopIfTrue="1">
      <formula>#REF!="Yes"</formula>
    </cfRule>
  </conditionalFormatting>
  <conditionalFormatting sqref="A185 C185">
    <cfRule type="expression" dxfId="207" priority="139" stopIfTrue="1">
      <formula>#REF!="Yes"</formula>
    </cfRule>
  </conditionalFormatting>
  <conditionalFormatting sqref="F185:G185">
    <cfRule type="expression" dxfId="206" priority="138" stopIfTrue="1">
      <formula>#REF!="Yes"</formula>
    </cfRule>
  </conditionalFormatting>
  <conditionalFormatting sqref="H185">
    <cfRule type="cellIs" dxfId="205" priority="143" stopIfTrue="1" operator="lessThan">
      <formula>0</formula>
    </cfRule>
  </conditionalFormatting>
  <conditionalFormatting sqref="E185">
    <cfRule type="expression" dxfId="204" priority="142" stopIfTrue="1">
      <formula>#REF!="Yes"</formula>
    </cfRule>
  </conditionalFormatting>
  <conditionalFormatting sqref="T185:Z185">
    <cfRule type="expression" dxfId="203" priority="141" stopIfTrue="1">
      <formula>#REF!="Yes"</formula>
    </cfRule>
  </conditionalFormatting>
  <conditionalFormatting sqref="H185:S185">
    <cfRule type="expression" dxfId="202" priority="140" stopIfTrue="1">
      <formula>#REF!="Yes"</formula>
    </cfRule>
  </conditionalFormatting>
  <conditionalFormatting sqref="F186:G186">
    <cfRule type="expression" dxfId="201" priority="132" stopIfTrue="1">
      <formula>#REF!="Yes"</formula>
    </cfRule>
  </conditionalFormatting>
  <conditionalFormatting sqref="H186">
    <cfRule type="cellIs" dxfId="200" priority="137" stopIfTrue="1" operator="lessThan">
      <formula>0</formula>
    </cfRule>
  </conditionalFormatting>
  <conditionalFormatting sqref="E186">
    <cfRule type="expression" dxfId="199" priority="136" stopIfTrue="1">
      <formula>#REF!="Yes"</formula>
    </cfRule>
  </conditionalFormatting>
  <conditionalFormatting sqref="T186:Z186">
    <cfRule type="expression" dxfId="198" priority="135" stopIfTrue="1">
      <formula>#REF!="Yes"</formula>
    </cfRule>
  </conditionalFormatting>
  <conditionalFormatting sqref="H186:S186">
    <cfRule type="expression" dxfId="197" priority="134" stopIfTrue="1">
      <formula>#REF!="Yes"</formula>
    </cfRule>
  </conditionalFormatting>
  <conditionalFormatting sqref="A186 C186">
    <cfRule type="expression" dxfId="196" priority="133" stopIfTrue="1">
      <formula>#REF!="Yes"</formula>
    </cfRule>
  </conditionalFormatting>
  <conditionalFormatting sqref="T187:Z187">
    <cfRule type="expression" dxfId="195" priority="129" stopIfTrue="1">
      <formula>#REF!="Yes"</formula>
    </cfRule>
  </conditionalFormatting>
  <conditionalFormatting sqref="F187:G187">
    <cfRule type="expression" dxfId="194" priority="126" stopIfTrue="1">
      <formula>#REF!="Yes"</formula>
    </cfRule>
  </conditionalFormatting>
  <conditionalFormatting sqref="H187">
    <cfRule type="cellIs" dxfId="193" priority="131" stopIfTrue="1" operator="lessThan">
      <formula>0</formula>
    </cfRule>
  </conditionalFormatting>
  <conditionalFormatting sqref="E187">
    <cfRule type="expression" dxfId="192" priority="130" stopIfTrue="1">
      <formula>#REF!="Yes"</formula>
    </cfRule>
  </conditionalFormatting>
  <conditionalFormatting sqref="H187:S187">
    <cfRule type="expression" dxfId="191" priority="128" stopIfTrue="1">
      <formula>#REF!="Yes"</formula>
    </cfRule>
  </conditionalFormatting>
  <conditionalFormatting sqref="A187 C187">
    <cfRule type="expression" dxfId="190" priority="127" stopIfTrue="1">
      <formula>#REF!="Yes"</formula>
    </cfRule>
  </conditionalFormatting>
  <conditionalFormatting sqref="H188:S188">
    <cfRule type="expression" dxfId="189" priority="122" stopIfTrue="1">
      <formula>#REF!="Yes"</formula>
    </cfRule>
  </conditionalFormatting>
  <conditionalFormatting sqref="F188:G188">
    <cfRule type="expression" dxfId="188" priority="120" stopIfTrue="1">
      <formula>#REF!="Yes"</formula>
    </cfRule>
  </conditionalFormatting>
  <conditionalFormatting sqref="H188">
    <cfRule type="cellIs" dxfId="187" priority="125" stopIfTrue="1" operator="lessThan">
      <formula>0</formula>
    </cfRule>
  </conditionalFormatting>
  <conditionalFormatting sqref="E188">
    <cfRule type="expression" dxfId="186" priority="124" stopIfTrue="1">
      <formula>#REF!="Yes"</formula>
    </cfRule>
  </conditionalFormatting>
  <conditionalFormatting sqref="T188:Z188">
    <cfRule type="expression" dxfId="185" priority="123" stopIfTrue="1">
      <formula>#REF!="Yes"</formula>
    </cfRule>
  </conditionalFormatting>
  <conditionalFormatting sqref="A188 C188">
    <cfRule type="expression" dxfId="184" priority="121" stopIfTrue="1">
      <formula>#REF!="Yes"</formula>
    </cfRule>
  </conditionalFormatting>
  <conditionalFormatting sqref="F189:G189">
    <cfRule type="expression" dxfId="183" priority="114" stopIfTrue="1">
      <formula>#REF!="Yes"</formula>
    </cfRule>
  </conditionalFormatting>
  <conditionalFormatting sqref="H189">
    <cfRule type="cellIs" dxfId="182" priority="119" stopIfTrue="1" operator="lessThan">
      <formula>0</formula>
    </cfRule>
  </conditionalFormatting>
  <conditionalFormatting sqref="E189">
    <cfRule type="expression" dxfId="181" priority="118" stopIfTrue="1">
      <formula>#REF!="Yes"</formula>
    </cfRule>
  </conditionalFormatting>
  <conditionalFormatting sqref="T189:Z189">
    <cfRule type="expression" dxfId="180" priority="117" stopIfTrue="1">
      <formula>#REF!="Yes"</formula>
    </cfRule>
  </conditionalFormatting>
  <conditionalFormatting sqref="H189:S189">
    <cfRule type="expression" dxfId="179" priority="116" stopIfTrue="1">
      <formula>#REF!="Yes"</formula>
    </cfRule>
  </conditionalFormatting>
  <conditionalFormatting sqref="A189 C189">
    <cfRule type="expression" dxfId="178" priority="115" stopIfTrue="1">
      <formula>#REF!="Yes"</formula>
    </cfRule>
  </conditionalFormatting>
  <conditionalFormatting sqref="F190:G190">
    <cfRule type="expression" dxfId="177" priority="108" stopIfTrue="1">
      <formula>#REF!="Yes"</formula>
    </cfRule>
  </conditionalFormatting>
  <conditionalFormatting sqref="H190">
    <cfRule type="cellIs" dxfId="176" priority="113" stopIfTrue="1" operator="lessThan">
      <formula>0</formula>
    </cfRule>
  </conditionalFormatting>
  <conditionalFormatting sqref="E190">
    <cfRule type="expression" dxfId="175" priority="112" stopIfTrue="1">
      <formula>#REF!="Yes"</formula>
    </cfRule>
  </conditionalFormatting>
  <conditionalFormatting sqref="T190:Z190">
    <cfRule type="expression" dxfId="174" priority="111" stopIfTrue="1">
      <formula>#REF!="Yes"</formula>
    </cfRule>
  </conditionalFormatting>
  <conditionalFormatting sqref="H190:S190">
    <cfRule type="expression" dxfId="173" priority="110" stopIfTrue="1">
      <formula>#REF!="Yes"</formula>
    </cfRule>
  </conditionalFormatting>
  <conditionalFormatting sqref="A190 C190">
    <cfRule type="expression" dxfId="172" priority="109" stopIfTrue="1">
      <formula>#REF!="Yes"</formula>
    </cfRule>
  </conditionalFormatting>
  <conditionalFormatting sqref="H191">
    <cfRule type="cellIs" dxfId="171" priority="107" stopIfTrue="1" operator="lessThan">
      <formula>0</formula>
    </cfRule>
  </conditionalFormatting>
  <conditionalFormatting sqref="H191:S191">
    <cfRule type="expression" dxfId="170" priority="106" stopIfTrue="1">
      <formula>#REF!="Yes"</formula>
    </cfRule>
  </conditionalFormatting>
  <conditionalFormatting sqref="H192">
    <cfRule type="cellIs" dxfId="169" priority="105" stopIfTrue="1" operator="lessThan">
      <formula>0</formula>
    </cfRule>
  </conditionalFormatting>
  <conditionalFormatting sqref="H192:S192">
    <cfRule type="expression" dxfId="168" priority="104" stopIfTrue="1">
      <formula>#REF!="Yes"</formula>
    </cfRule>
  </conditionalFormatting>
  <conditionalFormatting sqref="F193:G193">
    <cfRule type="expression" dxfId="167" priority="98" stopIfTrue="1">
      <formula>#REF!="Yes"</formula>
    </cfRule>
  </conditionalFormatting>
  <conditionalFormatting sqref="H193">
    <cfRule type="cellIs" dxfId="166" priority="103" stopIfTrue="1" operator="lessThan">
      <formula>0</formula>
    </cfRule>
  </conditionalFormatting>
  <conditionalFormatting sqref="E193">
    <cfRule type="expression" dxfId="165" priority="102" stopIfTrue="1">
      <formula>#REF!="Yes"</formula>
    </cfRule>
  </conditionalFormatting>
  <conditionalFormatting sqref="T193:Z193">
    <cfRule type="expression" dxfId="164" priority="101" stopIfTrue="1">
      <formula>#REF!="Yes"</formula>
    </cfRule>
  </conditionalFormatting>
  <conditionalFormatting sqref="H193:S193">
    <cfRule type="expression" dxfId="163" priority="100" stopIfTrue="1">
      <formula>#REF!="Yes"</formula>
    </cfRule>
  </conditionalFormatting>
  <conditionalFormatting sqref="A193 C193">
    <cfRule type="expression" dxfId="162" priority="99" stopIfTrue="1">
      <formula>#REF!="Yes"</formula>
    </cfRule>
  </conditionalFormatting>
  <conditionalFormatting sqref="H194:S194">
    <cfRule type="expression" dxfId="161" priority="94" stopIfTrue="1">
      <formula>#REF!="Yes"</formula>
    </cfRule>
  </conditionalFormatting>
  <conditionalFormatting sqref="F194:G194">
    <cfRule type="expression" dxfId="160" priority="92" stopIfTrue="1">
      <formula>#REF!="Yes"</formula>
    </cfRule>
  </conditionalFormatting>
  <conditionalFormatting sqref="H194">
    <cfRule type="cellIs" dxfId="159" priority="97" stopIfTrue="1" operator="lessThan">
      <formula>0</formula>
    </cfRule>
  </conditionalFormatting>
  <conditionalFormatting sqref="E194">
    <cfRule type="expression" dxfId="158" priority="96" stopIfTrue="1">
      <formula>#REF!="Yes"</formula>
    </cfRule>
  </conditionalFormatting>
  <conditionalFormatting sqref="T194:Z194">
    <cfRule type="expression" dxfId="157" priority="95" stopIfTrue="1">
      <formula>#REF!="Yes"</formula>
    </cfRule>
  </conditionalFormatting>
  <conditionalFormatting sqref="A194 C194">
    <cfRule type="expression" dxfId="156" priority="93" stopIfTrue="1">
      <formula>#REF!="Yes"</formula>
    </cfRule>
  </conditionalFormatting>
  <conditionalFormatting sqref="F195:G195">
    <cfRule type="expression" dxfId="155" priority="86" stopIfTrue="1">
      <formula>#REF!="Yes"</formula>
    </cfRule>
  </conditionalFormatting>
  <conditionalFormatting sqref="H195">
    <cfRule type="cellIs" dxfId="154" priority="91" stopIfTrue="1" operator="lessThan">
      <formula>0</formula>
    </cfRule>
  </conditionalFormatting>
  <conditionalFormatting sqref="E195">
    <cfRule type="expression" dxfId="153" priority="90" stopIfTrue="1">
      <formula>#REF!="Yes"</formula>
    </cfRule>
  </conditionalFormatting>
  <conditionalFormatting sqref="T195:Z195">
    <cfRule type="expression" dxfId="152" priority="89" stopIfTrue="1">
      <formula>#REF!="Yes"</formula>
    </cfRule>
  </conditionalFormatting>
  <conditionalFormatting sqref="H195:S195">
    <cfRule type="expression" dxfId="151" priority="88" stopIfTrue="1">
      <formula>#REF!="Yes"</formula>
    </cfRule>
  </conditionalFormatting>
  <conditionalFormatting sqref="A195 C195">
    <cfRule type="expression" dxfId="150" priority="87" stopIfTrue="1">
      <formula>#REF!="Yes"</formula>
    </cfRule>
  </conditionalFormatting>
  <conditionalFormatting sqref="H197">
    <cfRule type="cellIs" dxfId="149" priority="85" stopIfTrue="1" operator="lessThan">
      <formula>0</formula>
    </cfRule>
  </conditionalFormatting>
  <conditionalFormatting sqref="E197">
    <cfRule type="expression" dxfId="148" priority="84" stopIfTrue="1">
      <formula>#REF!="Yes"</formula>
    </cfRule>
  </conditionalFormatting>
  <conditionalFormatting sqref="T197:Z197">
    <cfRule type="expression" dxfId="147" priority="83" stopIfTrue="1">
      <formula>#REF!="Yes"</formula>
    </cfRule>
  </conditionalFormatting>
  <conditionalFormatting sqref="H197:S197">
    <cfRule type="expression" dxfId="146" priority="82" stopIfTrue="1">
      <formula>#REF!="Yes"</formula>
    </cfRule>
  </conditionalFormatting>
  <conditionalFormatting sqref="A197 C197">
    <cfRule type="expression" dxfId="145" priority="81" stopIfTrue="1">
      <formula>#REF!="Yes"</formula>
    </cfRule>
  </conditionalFormatting>
  <conditionalFormatting sqref="F197:G197">
    <cfRule type="expression" dxfId="144" priority="80" stopIfTrue="1">
      <formula>#REF!="Yes"</formula>
    </cfRule>
  </conditionalFormatting>
  <conditionalFormatting sqref="H200:Z200">
    <cfRule type="expression" dxfId="143" priority="79" stopIfTrue="1">
      <formula>#REF!="Yes"</formula>
    </cfRule>
  </conditionalFormatting>
  <conditionalFormatting sqref="H200">
    <cfRule type="cellIs" dxfId="142" priority="78" stopIfTrue="1" operator="lessThan">
      <formula>0</formula>
    </cfRule>
  </conditionalFormatting>
  <conditionalFormatting sqref="A200 C200 E200">
    <cfRule type="expression" dxfId="141" priority="77" stopIfTrue="1">
      <formula>#REF!="Yes"</formula>
    </cfRule>
  </conditionalFormatting>
  <conditionalFormatting sqref="F200:G200">
    <cfRule type="expression" dxfId="140" priority="76" stopIfTrue="1">
      <formula>#REF!="Yes"</formula>
    </cfRule>
  </conditionalFormatting>
  <conditionalFormatting sqref="H201:Z201">
    <cfRule type="expression" dxfId="139" priority="75" stopIfTrue="1">
      <formula>#REF!="Yes"</formula>
    </cfRule>
  </conditionalFormatting>
  <conditionalFormatting sqref="H201">
    <cfRule type="cellIs" dxfId="138" priority="74" stopIfTrue="1" operator="lessThan">
      <formula>0</formula>
    </cfRule>
  </conditionalFormatting>
  <conditionalFormatting sqref="A201 C201 E201">
    <cfRule type="expression" dxfId="137" priority="73" stopIfTrue="1">
      <formula>#REF!="Yes"</formula>
    </cfRule>
  </conditionalFormatting>
  <conditionalFormatting sqref="F201:G201">
    <cfRule type="expression" dxfId="136" priority="72" stopIfTrue="1">
      <formula>#REF!="Yes"</formula>
    </cfRule>
  </conditionalFormatting>
  <conditionalFormatting sqref="B82">
    <cfRule type="expression" dxfId="135" priority="2" stopIfTrue="1">
      <formula>#REF!="Yes"</formula>
    </cfRule>
  </conditionalFormatting>
  <conditionalFormatting sqref="B11">
    <cfRule type="expression" dxfId="134" priority="5" stopIfTrue="1">
      <formula>#REF!="Yes"</formula>
    </cfRule>
  </conditionalFormatting>
  <conditionalFormatting sqref="B9">
    <cfRule type="expression" dxfId="133" priority="4" stopIfTrue="1">
      <formula>#REF!="Yes"</formula>
    </cfRule>
  </conditionalFormatting>
  <conditionalFormatting sqref="B59">
    <cfRule type="expression" dxfId="132" priority="3" stopIfTrue="1">
      <formula>#REF!="Yes"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3"/>
  <sheetViews>
    <sheetView zoomScale="80" zoomScaleNormal="80" workbookViewId="0">
      <selection activeCell="C3" sqref="C3"/>
    </sheetView>
  </sheetViews>
  <sheetFormatPr defaultColWidth="9.1640625" defaultRowHeight="12.75"/>
  <cols>
    <col min="1" max="1" width="9.1640625" style="511"/>
    <col min="2" max="2" width="58.5" style="511" bestFit="1" customWidth="1"/>
    <col min="3" max="3" width="18.33203125" style="537" bestFit="1" customWidth="1"/>
    <col min="4" max="4" width="7.6640625" style="537" bestFit="1" customWidth="1"/>
    <col min="5" max="16384" width="9.1640625" style="511"/>
  </cols>
  <sheetData>
    <row r="1" spans="2:4" ht="15.75" thickBot="1">
      <c r="B1" s="547">
        <v>2015</v>
      </c>
      <c r="C1" s="548" t="s">
        <v>428</v>
      </c>
      <c r="D1" s="549" t="s">
        <v>122</v>
      </c>
    </row>
    <row r="2" spans="2:4">
      <c r="B2" s="539" t="s">
        <v>418</v>
      </c>
      <c r="C2" s="540">
        <f>SUM('2015'!L5:L22)</f>
        <v>46891122.798</v>
      </c>
      <c r="D2" s="541" t="str">
        <f t="shared" ref="D2:D33" si="0">IFERROR(_xlfn.RANK.EQ(C2,$C$2:$C$103,0),"-")</f>
        <v>-</v>
      </c>
    </row>
    <row r="3" spans="2:4">
      <c r="B3" s="542" t="s">
        <v>419</v>
      </c>
      <c r="C3" s="543">
        <f>SUM('2015'!L24:L40)</f>
        <v>36171258.480000004</v>
      </c>
      <c r="D3" s="541" t="str">
        <f t="shared" si="0"/>
        <v>-</v>
      </c>
    </row>
    <row r="4" spans="2:4">
      <c r="B4" s="542" t="s">
        <v>420</v>
      </c>
      <c r="C4" s="543">
        <f>SUM('2015'!L42:L59)</f>
        <v>29108434.138</v>
      </c>
      <c r="D4" s="541" t="str">
        <f t="shared" si="0"/>
        <v>-</v>
      </c>
    </row>
    <row r="5" spans="2:4">
      <c r="B5" s="542" t="s">
        <v>421</v>
      </c>
      <c r="C5" s="543">
        <f>SUM('2015'!L61:L70)</f>
        <v>44366247.506999992</v>
      </c>
      <c r="D5" s="541" t="str">
        <f t="shared" si="0"/>
        <v>-</v>
      </c>
    </row>
    <row r="6" spans="2:4">
      <c r="B6" s="542" t="s">
        <v>422</v>
      </c>
      <c r="C6" s="543">
        <f>SUM('2015'!L72:L80)</f>
        <v>13694028.423999999</v>
      </c>
      <c r="D6" s="541" t="str">
        <f t="shared" si="0"/>
        <v>-</v>
      </c>
    </row>
    <row r="7" spans="2:4">
      <c r="B7" s="542" t="s">
        <v>424</v>
      </c>
      <c r="C7" s="543">
        <f>SUM('2015'!L89:L95)</f>
        <v>9278722.3250000011</v>
      </c>
      <c r="D7" s="541" t="str">
        <f t="shared" si="0"/>
        <v>-</v>
      </c>
    </row>
    <row r="8" spans="2:4">
      <c r="B8" s="542" t="s">
        <v>423</v>
      </c>
      <c r="C8" s="543">
        <f>SUM('2015'!L82:L87)</f>
        <v>8418548.2219999991</v>
      </c>
      <c r="D8" s="541" t="str">
        <f t="shared" si="0"/>
        <v>-</v>
      </c>
    </row>
    <row r="9" spans="2:4">
      <c r="B9" s="542" t="s">
        <v>426</v>
      </c>
      <c r="C9" s="543">
        <f>SUM('2015'!L106:L110)</f>
        <v>3649181.352</v>
      </c>
      <c r="D9" s="541" t="str">
        <f t="shared" si="0"/>
        <v>-</v>
      </c>
    </row>
    <row r="10" spans="2:4">
      <c r="B10" s="542" t="s">
        <v>425</v>
      </c>
      <c r="C10" s="543">
        <f>SUM('2015'!L100:L102)</f>
        <v>1257010.449</v>
      </c>
      <c r="D10" s="541" t="str">
        <f t="shared" si="0"/>
        <v>-</v>
      </c>
    </row>
    <row r="11" spans="2:4">
      <c r="B11" s="542" t="s">
        <v>270</v>
      </c>
      <c r="C11" s="543">
        <f>SUM('2015'!L113:L114)</f>
        <v>1253543.3429999999</v>
      </c>
      <c r="D11" s="541" t="str">
        <f t="shared" si="0"/>
        <v>-</v>
      </c>
    </row>
    <row r="12" spans="2:4">
      <c r="B12" s="542" t="s">
        <v>203</v>
      </c>
      <c r="C12" s="543">
        <f>SUM('2015'!L96)</f>
        <v>1114952.5919999999</v>
      </c>
      <c r="D12" s="541" t="str">
        <f t="shared" si="0"/>
        <v>-</v>
      </c>
    </row>
    <row r="13" spans="2:4">
      <c r="B13" s="542" t="s">
        <v>232</v>
      </c>
      <c r="C13" s="543">
        <f>SUM('2015'!L97)</f>
        <v>1025230.346</v>
      </c>
      <c r="D13" s="541" t="str">
        <f t="shared" si="0"/>
        <v>-</v>
      </c>
    </row>
    <row r="14" spans="2:4">
      <c r="B14" s="542" t="s">
        <v>329</v>
      </c>
      <c r="C14" s="543">
        <f>SUM('2015'!L98)</f>
        <v>1004878.926</v>
      </c>
      <c r="D14" s="541" t="str">
        <f t="shared" si="0"/>
        <v>-</v>
      </c>
    </row>
    <row r="15" spans="2:4">
      <c r="B15" s="542" t="s">
        <v>326</v>
      </c>
      <c r="C15" s="543">
        <f>SUM('2015'!L99)</f>
        <v>355140.772</v>
      </c>
      <c r="D15" s="541" t="str">
        <f t="shared" si="0"/>
        <v>-</v>
      </c>
    </row>
    <row r="16" spans="2:4">
      <c r="B16" s="542" t="s">
        <v>330</v>
      </c>
      <c r="C16" s="543">
        <f>SUM('2015'!L103)</f>
        <v>1425014</v>
      </c>
      <c r="D16" s="541" t="str">
        <f t="shared" si="0"/>
        <v>-</v>
      </c>
    </row>
    <row r="17" spans="2:4">
      <c r="B17" s="542" t="s">
        <v>142</v>
      </c>
      <c r="C17" s="543">
        <f>SUM('2015'!L104)</f>
        <v>308896.342</v>
      </c>
      <c r="D17" s="541" t="str">
        <f t="shared" si="0"/>
        <v>-</v>
      </c>
    </row>
    <row r="18" spans="2:4">
      <c r="B18" s="542" t="s">
        <v>244</v>
      </c>
      <c r="C18" s="543">
        <f>SUM('2015'!L105)</f>
        <v>314670.03000000003</v>
      </c>
      <c r="D18" s="541" t="str">
        <f t="shared" si="0"/>
        <v>-</v>
      </c>
    </row>
    <row r="19" spans="2:4">
      <c r="B19" s="542" t="s">
        <v>162</v>
      </c>
      <c r="C19" s="543">
        <f>SUM('2015'!L111)</f>
        <v>522881.728</v>
      </c>
      <c r="D19" s="541" t="str">
        <f t="shared" si="0"/>
        <v>-</v>
      </c>
    </row>
    <row r="20" spans="2:4">
      <c r="B20" s="542" t="s">
        <v>331</v>
      </c>
      <c r="C20" s="543">
        <f>SUM('2015'!L112)</f>
        <v>510038.71</v>
      </c>
      <c r="D20" s="541" t="str">
        <f t="shared" si="0"/>
        <v>-</v>
      </c>
    </row>
    <row r="21" spans="2:4">
      <c r="B21" s="542" t="s">
        <v>147</v>
      </c>
      <c r="C21" s="543">
        <f>SUM('2015'!L115)</f>
        <v>501918.63299999997</v>
      </c>
      <c r="D21" s="541" t="str">
        <f t="shared" si="0"/>
        <v>-</v>
      </c>
    </row>
    <row r="22" spans="2:4">
      <c r="B22" s="542" t="s">
        <v>261</v>
      </c>
      <c r="C22" s="543">
        <f>SUM('2015'!L116)</f>
        <v>342786.68199999997</v>
      </c>
      <c r="D22" s="541" t="str">
        <f t="shared" si="0"/>
        <v>-</v>
      </c>
    </row>
    <row r="23" spans="2:4">
      <c r="B23" s="542" t="s">
        <v>163</v>
      </c>
      <c r="C23" s="543">
        <f>SUM('2015'!L117)</f>
        <v>2029208.5090000001</v>
      </c>
      <c r="D23" s="541" t="str">
        <f t="shared" si="0"/>
        <v>-</v>
      </c>
    </row>
    <row r="24" spans="2:4">
      <c r="B24" s="542" t="s">
        <v>146</v>
      </c>
      <c r="C24" s="543">
        <f>SUM('2015'!L118)</f>
        <v>418451.93</v>
      </c>
      <c r="D24" s="541" t="str">
        <f t="shared" si="0"/>
        <v>-</v>
      </c>
    </row>
    <row r="25" spans="2:4">
      <c r="B25" s="542" t="s">
        <v>325</v>
      </c>
      <c r="C25" s="543">
        <f>SUM('2015'!L119)</f>
        <v>603384.91500000004</v>
      </c>
      <c r="D25" s="541" t="str">
        <f t="shared" si="0"/>
        <v>-</v>
      </c>
    </row>
    <row r="26" spans="2:4">
      <c r="B26" s="542" t="s">
        <v>156</v>
      </c>
      <c r="C26" s="543">
        <f>SUM('2015'!L120)</f>
        <v>918913.25199999998</v>
      </c>
      <c r="D26" s="541" t="str">
        <f t="shared" si="0"/>
        <v>-</v>
      </c>
    </row>
    <row r="27" spans="2:4">
      <c r="B27" s="542" t="s">
        <v>221</v>
      </c>
      <c r="C27" s="543">
        <f>SUM('2015'!L121)</f>
        <v>681151.64099999995</v>
      </c>
      <c r="D27" s="541" t="str">
        <f t="shared" si="0"/>
        <v>-</v>
      </c>
    </row>
    <row r="28" spans="2:4">
      <c r="B28" s="542" t="s">
        <v>230</v>
      </c>
      <c r="C28" s="543">
        <f>SUM('2015'!L122)</f>
        <v>664408.63500000001</v>
      </c>
      <c r="D28" s="541" t="str">
        <f t="shared" si="0"/>
        <v>-</v>
      </c>
    </row>
    <row r="29" spans="2:4">
      <c r="B29" s="542" t="s">
        <v>152</v>
      </c>
      <c r="C29" s="543">
        <f>SUM('2015'!L123)</f>
        <v>266589.89199999999</v>
      </c>
      <c r="D29" s="541" t="str">
        <f t="shared" si="0"/>
        <v>-</v>
      </c>
    </row>
    <row r="30" spans="2:4">
      <c r="B30" s="542" t="s">
        <v>389</v>
      </c>
      <c r="C30" s="543">
        <f>SUM('2015'!L124)</f>
        <v>768507.75300000003</v>
      </c>
      <c r="D30" s="541" t="str">
        <f t="shared" si="0"/>
        <v>-</v>
      </c>
    </row>
    <row r="31" spans="2:4">
      <c r="B31" s="542" t="s">
        <v>390</v>
      </c>
      <c r="C31" s="543">
        <f>SUM('2015'!L125)</f>
        <v>266030.217</v>
      </c>
      <c r="D31" s="541" t="str">
        <f t="shared" si="0"/>
        <v>-</v>
      </c>
    </row>
    <row r="32" spans="2:4">
      <c r="B32" s="542" t="s">
        <v>427</v>
      </c>
      <c r="C32" s="543">
        <f>SUM('2015'!L169:L171)</f>
        <v>877636</v>
      </c>
      <c r="D32" s="541" t="str">
        <f t="shared" si="0"/>
        <v>-</v>
      </c>
    </row>
    <row r="33" spans="2:4">
      <c r="B33" s="542" t="s">
        <v>318</v>
      </c>
      <c r="C33" s="543">
        <f>SUM('2015'!L126)</f>
        <v>1507696.135</v>
      </c>
      <c r="D33" s="541" t="str">
        <f t="shared" si="0"/>
        <v>-</v>
      </c>
    </row>
    <row r="34" spans="2:4">
      <c r="B34" s="542" t="s">
        <v>227</v>
      </c>
      <c r="C34" s="543">
        <f>SUM('2015'!L127)</f>
        <v>490396.57799999998</v>
      </c>
      <c r="D34" s="541" t="str">
        <f t="shared" ref="D34:D65" si="1">IFERROR(_xlfn.RANK.EQ(C34,$C$2:$C$103,0),"-")</f>
        <v>-</v>
      </c>
    </row>
    <row r="35" spans="2:4">
      <c r="B35" s="542" t="s">
        <v>327</v>
      </c>
      <c r="C35" s="543">
        <f>SUM('2015'!L128)</f>
        <v>343746.63199999998</v>
      </c>
      <c r="D35" s="541" t="str">
        <f t="shared" si="1"/>
        <v>-</v>
      </c>
    </row>
    <row r="36" spans="2:4">
      <c r="B36" s="542" t="s">
        <v>243</v>
      </c>
      <c r="C36" s="543">
        <f>SUM('2015'!L129)</f>
        <v>898478.50100000005</v>
      </c>
      <c r="D36" s="541" t="str">
        <f t="shared" si="1"/>
        <v>-</v>
      </c>
    </row>
    <row r="37" spans="2:4">
      <c r="B37" s="542" t="s">
        <v>151</v>
      </c>
      <c r="C37" s="543">
        <f>SUM('2015'!L130)</f>
        <v>325752.12800000003</v>
      </c>
      <c r="D37" s="541" t="str">
        <f t="shared" si="1"/>
        <v>-</v>
      </c>
    </row>
    <row r="38" spans="2:4">
      <c r="B38" s="542" t="s">
        <v>215</v>
      </c>
      <c r="C38" s="543">
        <f>SUM('2015'!L131)</f>
        <v>222732.49100000001</v>
      </c>
      <c r="D38" s="541" t="str">
        <f t="shared" si="1"/>
        <v>-</v>
      </c>
    </row>
    <row r="39" spans="2:4">
      <c r="B39" s="542" t="s">
        <v>248</v>
      </c>
      <c r="C39" s="543">
        <f>SUM('2015'!L132)</f>
        <v>270994.48300000001</v>
      </c>
      <c r="D39" s="541" t="str">
        <f t="shared" si="1"/>
        <v>-</v>
      </c>
    </row>
    <row r="40" spans="2:4">
      <c r="B40" s="542" t="s">
        <v>184</v>
      </c>
      <c r="C40" s="543">
        <f>SUM('2015'!L133)</f>
        <v>191977.86300000001</v>
      </c>
      <c r="D40" s="541" t="str">
        <f t="shared" si="1"/>
        <v>-</v>
      </c>
    </row>
    <row r="41" spans="2:4">
      <c r="B41" s="542" t="s">
        <v>218</v>
      </c>
      <c r="C41" s="543">
        <f>SUM('2015'!L134)</f>
        <v>322400.68400000001</v>
      </c>
      <c r="D41" s="541" t="str">
        <f t="shared" si="1"/>
        <v>-</v>
      </c>
    </row>
    <row r="42" spans="2:4">
      <c r="B42" s="542" t="s">
        <v>391</v>
      </c>
      <c r="C42" s="543">
        <f>SUM('2015'!L135)</f>
        <v>286395.95500000002</v>
      </c>
      <c r="D42" s="541" t="str">
        <f t="shared" si="1"/>
        <v>-</v>
      </c>
    </row>
    <row r="43" spans="2:4">
      <c r="B43" s="542" t="s">
        <v>155</v>
      </c>
      <c r="C43" s="543">
        <f>SUM('2015'!L136)</f>
        <v>258787.16099999999</v>
      </c>
      <c r="D43" s="541" t="str">
        <f t="shared" si="1"/>
        <v>-</v>
      </c>
    </row>
    <row r="44" spans="2:4">
      <c r="B44" s="542" t="s">
        <v>228</v>
      </c>
      <c r="C44" s="543">
        <f>SUM('2015'!L137)</f>
        <v>151744.44099999999</v>
      </c>
      <c r="D44" s="541" t="str">
        <f t="shared" si="1"/>
        <v>-</v>
      </c>
    </row>
    <row r="45" spans="2:4">
      <c r="B45" s="542" t="s">
        <v>229</v>
      </c>
      <c r="C45" s="543">
        <f>SUM('2015'!L138)</f>
        <v>350016.766</v>
      </c>
      <c r="D45" s="541" t="str">
        <f t="shared" si="1"/>
        <v>-</v>
      </c>
    </row>
    <row r="46" spans="2:4">
      <c r="B46" s="542" t="s">
        <v>164</v>
      </c>
      <c r="C46" s="543">
        <f>SUM('2015'!L139)</f>
        <v>188644.70800000001</v>
      </c>
      <c r="D46" s="541" t="str">
        <f t="shared" si="1"/>
        <v>-</v>
      </c>
    </row>
    <row r="47" spans="2:4">
      <c r="B47" s="542" t="s">
        <v>202</v>
      </c>
      <c r="C47" s="543">
        <f>SUM('2015'!L140)</f>
        <v>1158289.7</v>
      </c>
      <c r="D47" s="541" t="str">
        <f t="shared" si="1"/>
        <v>-</v>
      </c>
    </row>
    <row r="48" spans="2:4">
      <c r="B48" s="542" t="s">
        <v>394</v>
      </c>
      <c r="C48" s="543">
        <f>SUM('2015'!L141)</f>
        <v>144158.345</v>
      </c>
      <c r="D48" s="541" t="str">
        <f t="shared" si="1"/>
        <v>-</v>
      </c>
    </row>
    <row r="49" spans="2:4">
      <c r="B49" s="542" t="s">
        <v>149</v>
      </c>
      <c r="C49" s="543">
        <f>SUM('2015'!L142)</f>
        <v>2213499.8309999998</v>
      </c>
      <c r="D49" s="541" t="str">
        <f t="shared" si="1"/>
        <v>-</v>
      </c>
    </row>
    <row r="50" spans="2:4">
      <c r="B50" s="542" t="s">
        <v>395</v>
      </c>
      <c r="C50" s="543">
        <f>SUM('2015'!L143)</f>
        <v>220093.37299999999</v>
      </c>
      <c r="D50" s="541" t="str">
        <f t="shared" si="1"/>
        <v>-</v>
      </c>
    </row>
    <row r="51" spans="2:4">
      <c r="B51" s="542" t="s">
        <v>236</v>
      </c>
      <c r="C51" s="543">
        <f>SUM('2015'!L144)</f>
        <v>739333.76199999999</v>
      </c>
      <c r="D51" s="541" t="str">
        <f t="shared" si="1"/>
        <v>-</v>
      </c>
    </row>
    <row r="52" spans="2:4">
      <c r="B52" s="542" t="s">
        <v>396</v>
      </c>
      <c r="C52" s="543">
        <f>SUM('2015'!L145)</f>
        <v>407677.11900000001</v>
      </c>
      <c r="D52" s="541" t="str">
        <f t="shared" si="1"/>
        <v>-</v>
      </c>
    </row>
    <row r="53" spans="2:4">
      <c r="B53" s="542" t="s">
        <v>332</v>
      </c>
      <c r="C53" s="543">
        <f>SUM('2015'!L146)</f>
        <v>282130.59700000001</v>
      </c>
      <c r="D53" s="541" t="str">
        <f t="shared" si="1"/>
        <v>-</v>
      </c>
    </row>
    <row r="54" spans="2:4">
      <c r="B54" s="542" t="s">
        <v>269</v>
      </c>
      <c r="C54" s="543">
        <f>SUM('2015'!L147)</f>
        <v>1220592.4509999999</v>
      </c>
      <c r="D54" s="541" t="str">
        <f t="shared" si="1"/>
        <v>-</v>
      </c>
    </row>
    <row r="55" spans="2:4">
      <c r="B55" s="542" t="s">
        <v>397</v>
      </c>
      <c r="C55" s="543">
        <f>SUM('2015'!L148)</f>
        <v>688916.51800000004</v>
      </c>
      <c r="D55" s="541" t="str">
        <f t="shared" si="1"/>
        <v>-</v>
      </c>
    </row>
    <row r="56" spans="2:4">
      <c r="B56" s="542" t="s">
        <v>398</v>
      </c>
      <c r="C56" s="543">
        <f>SUM('2015'!L149)</f>
        <v>463011.77899999998</v>
      </c>
      <c r="D56" s="541" t="str">
        <f t="shared" si="1"/>
        <v>-</v>
      </c>
    </row>
    <row r="57" spans="2:4">
      <c r="B57" s="542" t="s">
        <v>205</v>
      </c>
      <c r="C57" s="543">
        <f>SUM('2015'!L150)</f>
        <v>248058.20199999999</v>
      </c>
      <c r="D57" s="541" t="str">
        <f t="shared" si="1"/>
        <v>-</v>
      </c>
    </row>
    <row r="58" spans="2:4">
      <c r="B58" s="542" t="s">
        <v>148</v>
      </c>
      <c r="C58" s="543">
        <f>SUM('2015'!L151)</f>
        <v>440886.76799999998</v>
      </c>
      <c r="D58" s="541" t="str">
        <f t="shared" si="1"/>
        <v>-</v>
      </c>
    </row>
    <row r="59" spans="2:4">
      <c r="B59" s="542" t="s">
        <v>144</v>
      </c>
      <c r="C59" s="543">
        <f>SUM('2015'!L152)</f>
        <v>196772.71100000001</v>
      </c>
      <c r="D59" s="541" t="str">
        <f t="shared" si="1"/>
        <v>-</v>
      </c>
    </row>
    <row r="60" spans="2:4">
      <c r="B60" s="542" t="s">
        <v>141</v>
      </c>
      <c r="C60" s="543">
        <f>SUM('2015'!L153)</f>
        <v>130628.41499999999</v>
      </c>
      <c r="D60" s="541" t="str">
        <f t="shared" si="1"/>
        <v>-</v>
      </c>
    </row>
    <row r="61" spans="2:4">
      <c r="B61" s="542" t="s">
        <v>158</v>
      </c>
      <c r="C61" s="543">
        <f>SUM('2015'!L154)</f>
        <v>403403.38500000001</v>
      </c>
      <c r="D61" s="541" t="str">
        <f t="shared" si="1"/>
        <v>-</v>
      </c>
    </row>
    <row r="62" spans="2:4">
      <c r="B62" s="542" t="s">
        <v>159</v>
      </c>
      <c r="C62" s="543">
        <f>SUM('2015'!L155)</f>
        <v>163713.79999999999</v>
      </c>
      <c r="D62" s="541" t="str">
        <f t="shared" si="1"/>
        <v>-</v>
      </c>
    </row>
    <row r="63" spans="2:4">
      <c r="B63" s="542" t="s">
        <v>177</v>
      </c>
      <c r="C63" s="543">
        <f>SUM('2015'!L156)</f>
        <v>481018.74400000001</v>
      </c>
      <c r="D63" s="541" t="str">
        <f t="shared" si="1"/>
        <v>-</v>
      </c>
    </row>
    <row r="64" spans="2:4">
      <c r="B64" s="542" t="s">
        <v>214</v>
      </c>
      <c r="C64" s="543">
        <f>SUM('2015'!L157)</f>
        <v>132967.33199999999</v>
      </c>
      <c r="D64" s="541" t="str">
        <f t="shared" si="1"/>
        <v>-</v>
      </c>
    </row>
    <row r="65" spans="2:4">
      <c r="B65" s="542" t="s">
        <v>265</v>
      </c>
      <c r="C65" s="543">
        <f>SUM('2015'!L158)</f>
        <v>2242321.4509999999</v>
      </c>
      <c r="D65" s="541" t="str">
        <f t="shared" si="1"/>
        <v>-</v>
      </c>
    </row>
    <row r="66" spans="2:4">
      <c r="B66" s="542" t="s">
        <v>150</v>
      </c>
      <c r="C66" s="543">
        <f>SUM('2015'!L159)</f>
        <v>1095881.328</v>
      </c>
      <c r="D66" s="541" t="str">
        <f t="shared" ref="D66:D97" si="2">IFERROR(_xlfn.RANK.EQ(C66,$C$2:$C$103,0),"-")</f>
        <v>-</v>
      </c>
    </row>
    <row r="67" spans="2:4">
      <c r="B67" s="542" t="s">
        <v>264</v>
      </c>
      <c r="C67" s="543">
        <f>SUM('2015'!L160)</f>
        <v>1560102.382</v>
      </c>
      <c r="D67" s="541" t="str">
        <f t="shared" si="2"/>
        <v>-</v>
      </c>
    </row>
    <row r="68" spans="2:4">
      <c r="B68" s="542" t="s">
        <v>262</v>
      </c>
      <c r="C68" s="543">
        <f>SUM('2015'!L161)</f>
        <v>131563.78200000001</v>
      </c>
      <c r="D68" s="541" t="str">
        <f t="shared" si="2"/>
        <v>-</v>
      </c>
    </row>
    <row r="69" spans="2:4">
      <c r="B69" s="542" t="s">
        <v>223</v>
      </c>
      <c r="C69" s="543">
        <f>SUM('2015'!L162)</f>
        <v>92859.36</v>
      </c>
      <c r="D69" s="541" t="str">
        <f t="shared" si="2"/>
        <v>-</v>
      </c>
    </row>
    <row r="70" spans="2:4">
      <c r="B70" s="542" t="s">
        <v>174</v>
      </c>
      <c r="C70" s="543">
        <f>SUM('2015'!L163)</f>
        <v>1270628.6089999999</v>
      </c>
      <c r="D70" s="541" t="str">
        <f t="shared" si="2"/>
        <v>-</v>
      </c>
    </row>
    <row r="71" spans="2:4">
      <c r="B71" s="542" t="s">
        <v>225</v>
      </c>
      <c r="C71" s="543">
        <f>SUM('2015'!L164)</f>
        <v>180663.35800000001</v>
      </c>
      <c r="D71" s="541" t="str">
        <f t="shared" si="2"/>
        <v>-</v>
      </c>
    </row>
    <row r="72" spans="2:4">
      <c r="B72" s="542" t="s">
        <v>140</v>
      </c>
      <c r="C72" s="543">
        <f>SUM('2015'!L165)</f>
        <v>70296.945999999996</v>
      </c>
      <c r="D72" s="541" t="str">
        <f t="shared" si="2"/>
        <v>-</v>
      </c>
    </row>
    <row r="73" spans="2:4">
      <c r="B73" s="542" t="s">
        <v>259</v>
      </c>
      <c r="C73" s="543">
        <f>SUM('2015'!L166)</f>
        <v>2981701.4580000001</v>
      </c>
      <c r="D73" s="541" t="str">
        <f t="shared" si="2"/>
        <v>-</v>
      </c>
    </row>
    <row r="74" spans="2:4">
      <c r="B74" s="542" t="s">
        <v>167</v>
      </c>
      <c r="C74" s="543">
        <f>SUM('2015'!L167)</f>
        <v>76301.861999999994</v>
      </c>
      <c r="D74" s="541" t="str">
        <f t="shared" si="2"/>
        <v>-</v>
      </c>
    </row>
    <row r="75" spans="2:4">
      <c r="B75" s="542" t="s">
        <v>161</v>
      </c>
      <c r="C75" s="543">
        <f>SUM('2015'!L168)</f>
        <v>88869.951000000001</v>
      </c>
      <c r="D75" s="541" t="str">
        <f t="shared" si="2"/>
        <v>-</v>
      </c>
    </row>
    <row r="76" spans="2:4">
      <c r="B76" s="542" t="s">
        <v>166</v>
      </c>
      <c r="C76" s="543">
        <f>SUM('2015'!L172)</f>
        <v>298107.065</v>
      </c>
      <c r="D76" s="541" t="str">
        <f t="shared" si="2"/>
        <v>-</v>
      </c>
    </row>
    <row r="77" spans="2:4">
      <c r="B77" s="542" t="s">
        <v>404</v>
      </c>
      <c r="C77" s="543">
        <f>SUM('2015'!L173)</f>
        <v>254222.29800000001</v>
      </c>
      <c r="D77" s="541" t="str">
        <f t="shared" si="2"/>
        <v>-</v>
      </c>
    </row>
    <row r="78" spans="2:4">
      <c r="B78" s="542" t="s">
        <v>322</v>
      </c>
      <c r="C78" s="543">
        <f>SUM('2015'!L174)</f>
        <v>832065.39500000002</v>
      </c>
      <c r="D78" s="541" t="str">
        <f t="shared" si="2"/>
        <v>-</v>
      </c>
    </row>
    <row r="79" spans="2:4">
      <c r="B79" s="542" t="s">
        <v>405</v>
      </c>
      <c r="C79" s="543">
        <f>SUM('2015'!L175)</f>
        <v>79478.955000000002</v>
      </c>
      <c r="D79" s="541" t="str">
        <f t="shared" si="2"/>
        <v>-</v>
      </c>
    </row>
    <row r="80" spans="2:4">
      <c r="B80" s="542" t="s">
        <v>143</v>
      </c>
      <c r="C80" s="543">
        <f>SUM('2015'!L176)</f>
        <v>143624.95600000001</v>
      </c>
      <c r="D80" s="541" t="str">
        <f t="shared" si="2"/>
        <v>-</v>
      </c>
    </row>
    <row r="81" spans="2:4">
      <c r="B81" s="542" t="s">
        <v>153</v>
      </c>
      <c r="C81" s="543">
        <f>SUM('2015'!L177)</f>
        <v>1589610.084</v>
      </c>
      <c r="D81" s="541" t="str">
        <f t="shared" si="2"/>
        <v>-</v>
      </c>
    </row>
    <row r="82" spans="2:4">
      <c r="B82" s="542" t="s">
        <v>309</v>
      </c>
      <c r="C82" s="543">
        <f>SUM('2015'!L178)</f>
        <v>58645.75</v>
      </c>
      <c r="D82" s="541" t="str">
        <f t="shared" si="2"/>
        <v>-</v>
      </c>
    </row>
    <row r="83" spans="2:4">
      <c r="B83" s="542" t="s">
        <v>406</v>
      </c>
      <c r="C83" s="543">
        <f>SUM('2015'!L179)</f>
        <v>811907.71699999995</v>
      </c>
      <c r="D83" s="541" t="str">
        <f t="shared" si="2"/>
        <v>-</v>
      </c>
    </row>
    <row r="84" spans="2:4">
      <c r="B84" s="542" t="s">
        <v>407</v>
      </c>
      <c r="C84" s="543">
        <f>SUM('2015'!L180)</f>
        <v>32870.974999999999</v>
      </c>
      <c r="D84" s="541" t="str">
        <f t="shared" si="2"/>
        <v>-</v>
      </c>
    </row>
    <row r="85" spans="2:4">
      <c r="B85" s="542" t="s">
        <v>183</v>
      </c>
      <c r="C85" s="543">
        <f>SUM('2015'!L181)</f>
        <v>68389.593999999997</v>
      </c>
      <c r="D85" s="541" t="str">
        <f t="shared" si="2"/>
        <v>-</v>
      </c>
    </row>
    <row r="86" spans="2:4">
      <c r="B86" s="542" t="s">
        <v>169</v>
      </c>
      <c r="C86" s="543">
        <f>SUM('2015'!L182)</f>
        <v>252011.26800000001</v>
      </c>
      <c r="D86" s="541" t="str">
        <f t="shared" si="2"/>
        <v>-</v>
      </c>
    </row>
    <row r="87" spans="2:4">
      <c r="B87" s="542" t="s">
        <v>263</v>
      </c>
      <c r="C87" s="543">
        <f>SUM('2015'!L183)</f>
        <v>142285.04999999999</v>
      </c>
      <c r="D87" s="541" t="str">
        <f t="shared" si="2"/>
        <v>-</v>
      </c>
    </row>
    <row r="88" spans="2:4">
      <c r="B88" s="542" t="s">
        <v>175</v>
      </c>
      <c r="C88" s="543">
        <f>SUM('2015'!L184)</f>
        <v>0</v>
      </c>
      <c r="D88" s="541" t="str">
        <f t="shared" si="2"/>
        <v>-</v>
      </c>
    </row>
    <row r="89" spans="2:4">
      <c r="B89" s="542" t="s">
        <v>220</v>
      </c>
      <c r="C89" s="543">
        <f>SUM('2015'!L185)</f>
        <v>36576.813999999998</v>
      </c>
      <c r="D89" s="541" t="str">
        <f t="shared" si="2"/>
        <v>-</v>
      </c>
    </row>
    <row r="90" spans="2:4">
      <c r="B90" s="542" t="s">
        <v>408</v>
      </c>
      <c r="C90" s="543">
        <f>SUM('2015'!L186)</f>
        <v>782956.87199999997</v>
      </c>
      <c r="D90" s="541" t="str">
        <f t="shared" si="2"/>
        <v>-</v>
      </c>
    </row>
    <row r="91" spans="2:4">
      <c r="B91" s="542" t="s">
        <v>409</v>
      </c>
      <c r="C91" s="543">
        <f>SUM('2015'!L187)</f>
        <v>17718.056</v>
      </c>
      <c r="D91" s="541" t="str">
        <f t="shared" si="2"/>
        <v>-</v>
      </c>
    </row>
    <row r="92" spans="2:4">
      <c r="B92" s="542" t="s">
        <v>410</v>
      </c>
      <c r="C92" s="543">
        <f>SUM('2015'!L188)</f>
        <v>383577.70899999997</v>
      </c>
      <c r="D92" s="541" t="str">
        <f t="shared" si="2"/>
        <v>-</v>
      </c>
    </row>
    <row r="93" spans="2:4">
      <c r="B93" s="542" t="s">
        <v>411</v>
      </c>
      <c r="C93" s="543">
        <f>SUM('2015'!L189)</f>
        <v>118833.42</v>
      </c>
      <c r="D93" s="541" t="str">
        <f t="shared" si="2"/>
        <v>-</v>
      </c>
    </row>
    <row r="94" spans="2:4">
      <c r="B94" s="542" t="s">
        <v>157</v>
      </c>
      <c r="C94" s="543">
        <f>SUM('2015'!L190)</f>
        <v>111172.31200000001</v>
      </c>
      <c r="D94" s="541" t="str">
        <f t="shared" si="2"/>
        <v>-</v>
      </c>
    </row>
    <row r="95" spans="2:4">
      <c r="B95" s="542" t="s">
        <v>222</v>
      </c>
      <c r="C95" s="543">
        <f>SUM('2015'!L191)</f>
        <v>102193.97900000001</v>
      </c>
      <c r="D95" s="541" t="str">
        <f t="shared" si="2"/>
        <v>-</v>
      </c>
    </row>
    <row r="96" spans="2:4">
      <c r="B96" s="542" t="s">
        <v>165</v>
      </c>
      <c r="C96" s="543">
        <f>SUM('2015'!L192)</f>
        <v>96156.726999999999</v>
      </c>
      <c r="D96" s="541" t="str">
        <f t="shared" si="2"/>
        <v>-</v>
      </c>
    </row>
    <row r="97" spans="2:4">
      <c r="B97" s="542" t="s">
        <v>412</v>
      </c>
      <c r="C97" s="543">
        <f>SUM('2015'!L193)</f>
        <v>2519099.827</v>
      </c>
      <c r="D97" s="541" t="str">
        <f t="shared" si="2"/>
        <v>-</v>
      </c>
    </row>
    <row r="98" spans="2:4">
      <c r="B98" s="542" t="s">
        <v>168</v>
      </c>
      <c r="C98" s="543">
        <f>SUM('2015'!L194)</f>
        <v>3357499.89</v>
      </c>
      <c r="D98" s="541" t="str">
        <f t="shared" ref="D98:D103" si="3">IFERROR(_xlfn.RANK.EQ(C98,$C$2:$C$103,0),"-")</f>
        <v>-</v>
      </c>
    </row>
    <row r="99" spans="2:4">
      <c r="B99" s="542" t="s">
        <v>154</v>
      </c>
      <c r="C99" s="543" t="e">
        <f>SUM('2015'!#REF!)</f>
        <v>#REF!</v>
      </c>
      <c r="D99" s="541" t="str">
        <f t="shared" si="3"/>
        <v>-</v>
      </c>
    </row>
    <row r="100" spans="2:4">
      <c r="B100" s="542" t="s">
        <v>173</v>
      </c>
      <c r="C100" s="543">
        <f>SUM('2015'!L195)</f>
        <v>514765.03700000001</v>
      </c>
      <c r="D100" s="541" t="str">
        <f t="shared" si="3"/>
        <v>-</v>
      </c>
    </row>
    <row r="101" spans="2:4">
      <c r="B101" s="542" t="s">
        <v>413</v>
      </c>
      <c r="C101" s="543">
        <f>SUM('2015'!L196)</f>
        <v>84808.884000000005</v>
      </c>
      <c r="D101" s="541" t="str">
        <f t="shared" si="3"/>
        <v>-</v>
      </c>
    </row>
    <row r="102" spans="2:4">
      <c r="B102" s="542" t="s">
        <v>333</v>
      </c>
      <c r="C102" s="543" t="e">
        <f>SUM('2015'!#REF!)</f>
        <v>#REF!</v>
      </c>
      <c r="D102" s="541" t="str">
        <f t="shared" si="3"/>
        <v>-</v>
      </c>
    </row>
    <row r="103" spans="2:4" ht="13.5" thickBot="1">
      <c r="B103" s="544" t="s">
        <v>414</v>
      </c>
      <c r="C103" s="545" t="e">
        <f>SUM('2015'!#REF!)</f>
        <v>#REF!</v>
      </c>
      <c r="D103" s="546" t="str">
        <f t="shared" si="3"/>
        <v>-</v>
      </c>
    </row>
  </sheetData>
  <autoFilter ref="B1:D1">
    <sortState ref="B2:D103">
      <sortCondition ref="D1"/>
    </sortState>
  </autoFilter>
  <conditionalFormatting sqref="B14 B76">
    <cfRule type="expression" dxfId="131" priority="116" stopIfTrue="1">
      <formula>#REF!="Yes"</formula>
    </cfRule>
  </conditionalFormatting>
  <conditionalFormatting sqref="B18:B19 B22:B74">
    <cfRule type="expression" dxfId="130" priority="115" stopIfTrue="1">
      <formula>#REF!="Yes"</formula>
    </cfRule>
  </conditionalFormatting>
  <conditionalFormatting sqref="B9">
    <cfRule type="expression" dxfId="129" priority="114" stopIfTrue="1">
      <formula>#REF!="Yes"</formula>
    </cfRule>
  </conditionalFormatting>
  <conditionalFormatting sqref="B15:B16">
    <cfRule type="expression" dxfId="128" priority="113" stopIfTrue="1">
      <formula>#REF!="Yes"</formula>
    </cfRule>
  </conditionalFormatting>
  <conditionalFormatting sqref="B77:B102">
    <cfRule type="expression" dxfId="127" priority="112" stopIfTrue="1">
      <formula>#REF!="Yes"</formula>
    </cfRule>
  </conditionalFormatting>
  <conditionalFormatting sqref="B2:B103">
    <cfRule type="expression" dxfId="126" priority="111" stopIfTrue="1">
      <formula>#REF!="Yes"</formula>
    </cfRule>
  </conditionalFormatting>
  <conditionalFormatting sqref="B3">
    <cfRule type="expression" dxfId="125" priority="110" stopIfTrue="1">
      <formula>#REF!="Yes"</formula>
    </cfRule>
  </conditionalFormatting>
  <conditionalFormatting sqref="B4">
    <cfRule type="expression" dxfId="124" priority="109" stopIfTrue="1">
      <formula>#REF!="Yes"</formula>
    </cfRule>
  </conditionalFormatting>
  <conditionalFormatting sqref="B5">
    <cfRule type="expression" dxfId="123" priority="108" stopIfTrue="1">
      <formula>#REF!="Yes"</formula>
    </cfRule>
  </conditionalFormatting>
  <conditionalFormatting sqref="B6">
    <cfRule type="expression" dxfId="122" priority="107" stopIfTrue="1">
      <formula>#REF!="Yes"</formula>
    </cfRule>
  </conditionalFormatting>
  <conditionalFormatting sqref="B7">
    <cfRule type="expression" dxfId="121" priority="106" stopIfTrue="1">
      <formula>#REF!="Yes"</formula>
    </cfRule>
  </conditionalFormatting>
  <conditionalFormatting sqref="B8">
    <cfRule type="expression" dxfId="120" priority="105" stopIfTrue="1">
      <formula>#REF!="Yes"</formula>
    </cfRule>
  </conditionalFormatting>
  <conditionalFormatting sqref="B13">
    <cfRule type="expression" dxfId="119" priority="104" stopIfTrue="1">
      <formula>#REF!="Yes"</formula>
    </cfRule>
  </conditionalFormatting>
  <conditionalFormatting sqref="B17">
    <cfRule type="expression" dxfId="118" priority="103" stopIfTrue="1">
      <formula>#REF!="Yes"</formula>
    </cfRule>
  </conditionalFormatting>
  <conditionalFormatting sqref="B20">
    <cfRule type="expression" dxfId="117" priority="102" stopIfTrue="1">
      <formula>#REF!="Yes"</formula>
    </cfRule>
  </conditionalFormatting>
  <conditionalFormatting sqref="B75">
    <cfRule type="expression" dxfId="116" priority="101" stopIfTrue="1">
      <formula>#REF!="Yes"</formula>
    </cfRule>
  </conditionalFormatting>
  <conditionalFormatting sqref="B21">
    <cfRule type="expression" dxfId="115" priority="100" stopIfTrue="1">
      <formula>#REF!="Yes"</formula>
    </cfRule>
  </conditionalFormatting>
  <conditionalFormatting sqref="B9:B12">
    <cfRule type="expression" dxfId="114" priority="99" stopIfTrue="1">
      <formula>#REF!="Yes"</formula>
    </cfRule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3"/>
  <sheetViews>
    <sheetView showGridLines="0" workbookViewId="0">
      <selection activeCell="C3" sqref="C3"/>
    </sheetView>
  </sheetViews>
  <sheetFormatPr defaultRowHeight="11.25"/>
  <cols>
    <col min="2" max="2" width="58.5" bestFit="1" customWidth="1"/>
    <col min="3" max="3" width="18.33203125" bestFit="1" customWidth="1"/>
    <col min="4" max="4" width="7.5" bestFit="1" customWidth="1"/>
  </cols>
  <sheetData>
    <row r="1" spans="2:4" ht="15.75" thickBot="1">
      <c r="B1" s="547">
        <v>2015</v>
      </c>
      <c r="C1" s="548" t="s">
        <v>438</v>
      </c>
      <c r="D1" s="549" t="s">
        <v>122</v>
      </c>
    </row>
    <row r="2" spans="2:4" ht="12.75">
      <c r="B2" s="539" t="s">
        <v>418</v>
      </c>
      <c r="C2" s="584">
        <f>SUMIF('2015'!$B$4:$B$196,'2015 MM Ranking by Corp'!B2,'2015'!$N$4:$N$196)</f>
        <v>49943592</v>
      </c>
      <c r="D2" s="541">
        <f t="shared" ref="D2:D33" si="0">IFERROR(_xlfn.RANK.EQ(C2,$C$2:$C$103,0),"-")</f>
        <v>1</v>
      </c>
    </row>
    <row r="3" spans="2:4" ht="12.75">
      <c r="B3" s="542" t="s">
        <v>419</v>
      </c>
      <c r="C3" s="584">
        <f>SUMIF('2015'!$B$4:$B$196,'2015 MM Ranking by Corp'!B3,'2015'!$N$4:$N$196)</f>
        <v>44367791</v>
      </c>
      <c r="D3" s="541">
        <f t="shared" si="0"/>
        <v>3</v>
      </c>
    </row>
    <row r="4" spans="2:4" ht="12.75">
      <c r="B4" s="542" t="s">
        <v>420</v>
      </c>
      <c r="C4" s="584">
        <f>SUMIF('2015'!$B$4:$B$196,'2015 MM Ranking by Corp'!B4,'2015'!$N$4:$N$196)</f>
        <v>45453811</v>
      </c>
      <c r="D4" s="541">
        <f t="shared" si="0"/>
        <v>2</v>
      </c>
    </row>
    <row r="5" spans="2:4" ht="12.75">
      <c r="B5" s="542" t="s">
        <v>421</v>
      </c>
      <c r="C5" s="584">
        <f>SUMIF('2015'!$B$4:$B$196,'2015 MM Ranking by Corp'!B5,'2015'!$N$4:$N$196)</f>
        <v>24927881</v>
      </c>
      <c r="D5" s="541">
        <f t="shared" si="0"/>
        <v>5</v>
      </c>
    </row>
    <row r="6" spans="2:4" ht="12.75">
      <c r="B6" s="542" t="s">
        <v>422</v>
      </c>
      <c r="C6" s="584">
        <f>SUMIF('2015'!$B$4:$B$196,'2015 MM Ranking by Corp'!B6,'2015'!$N$4:$N$196)</f>
        <v>25404588</v>
      </c>
      <c r="D6" s="541">
        <f t="shared" si="0"/>
        <v>4</v>
      </c>
    </row>
    <row r="7" spans="2:4" ht="12.75">
      <c r="B7" s="542" t="s">
        <v>424</v>
      </c>
      <c r="C7" s="584">
        <f>SUMIF('2015'!$B$4:$B$196,'2015 MM Ranking by Corp'!B7,'2015'!$N$4:$N$196)</f>
        <v>14187072</v>
      </c>
      <c r="D7" s="541">
        <f t="shared" si="0"/>
        <v>8</v>
      </c>
    </row>
    <row r="8" spans="2:4" ht="12.75">
      <c r="B8" s="542" t="s">
        <v>423</v>
      </c>
      <c r="C8" s="584">
        <f>SUMIF('2015'!$B$4:$B$196,'2015 MM Ranking by Corp'!B8,'2015'!$N$4:$N$196)</f>
        <v>18219220</v>
      </c>
      <c r="D8" s="541">
        <f t="shared" si="0"/>
        <v>6</v>
      </c>
    </row>
    <row r="9" spans="2:4" ht="12.75">
      <c r="B9" s="542" t="s">
        <v>426</v>
      </c>
      <c r="C9" s="584">
        <f>SUMIF('2015'!$B$4:$B$196,'2015 MM Ranking by Corp'!B9,'2015'!$N$4:$N$196)</f>
        <v>12408439</v>
      </c>
      <c r="D9" s="541">
        <f t="shared" si="0"/>
        <v>9</v>
      </c>
    </row>
    <row r="10" spans="2:4" ht="12.75">
      <c r="B10" s="542" t="s">
        <v>425</v>
      </c>
      <c r="C10" s="584">
        <f>SUMIF('2015'!$B$4:$B$196,'2015 MM Ranking by Corp'!B10,'2015'!$N$4:$N$196)</f>
        <v>8489307</v>
      </c>
      <c r="D10" s="541">
        <f t="shared" si="0"/>
        <v>12</v>
      </c>
    </row>
    <row r="11" spans="2:4" ht="12.75">
      <c r="B11" s="542" t="s">
        <v>270</v>
      </c>
      <c r="C11" s="584">
        <f>SUMIF('2015'!$B$4:$B$196,'2015 MM Ranking by Corp'!B11,'2015'!$N$4:$N$196)</f>
        <v>14999</v>
      </c>
      <c r="D11" s="541">
        <f t="shared" si="0"/>
        <v>95</v>
      </c>
    </row>
    <row r="12" spans="2:4" ht="12.75">
      <c r="B12" s="542" t="s">
        <v>203</v>
      </c>
      <c r="C12" s="584">
        <f>SUMIF('2015'!$B$4:$B$196,'2015 MM Ranking by Corp'!B12,'2015'!$N$4:$N$196)</f>
        <v>14790660</v>
      </c>
      <c r="D12" s="541">
        <f t="shared" si="0"/>
        <v>7</v>
      </c>
    </row>
    <row r="13" spans="2:4" ht="12.75">
      <c r="B13" s="542" t="s">
        <v>232</v>
      </c>
      <c r="C13" s="584">
        <f>SUMIF('2015'!$B$4:$B$196,'2015 MM Ranking by Corp'!B13,'2015'!$N$4:$N$196)</f>
        <v>10006460</v>
      </c>
      <c r="D13" s="541">
        <f t="shared" si="0"/>
        <v>11</v>
      </c>
    </row>
    <row r="14" spans="2:4" ht="12.75">
      <c r="B14" s="542" t="s">
        <v>329</v>
      </c>
      <c r="C14" s="584">
        <f>SUMIF('2015'!$B$4:$B$196,'2015 MM Ranking by Corp'!B14,'2015'!$N$4:$N$196)</f>
        <v>11763368</v>
      </c>
      <c r="D14" s="541">
        <f t="shared" si="0"/>
        <v>10</v>
      </c>
    </row>
    <row r="15" spans="2:4" ht="12.75">
      <c r="B15" s="542" t="s">
        <v>326</v>
      </c>
      <c r="C15" s="584">
        <f>SUMIF('2015'!$B$4:$B$196,'2015 MM Ranking by Corp'!B15,'2015'!$N$4:$N$196)</f>
        <v>4757822</v>
      </c>
      <c r="D15" s="541">
        <f t="shared" si="0"/>
        <v>14</v>
      </c>
    </row>
    <row r="16" spans="2:4" ht="12.75">
      <c r="B16" s="542" t="s">
        <v>330</v>
      </c>
      <c r="C16" s="584">
        <f>SUMIF('2015'!$B$4:$B$196,'2015 MM Ranking by Corp'!B16,'2015'!$N$4:$N$196)</f>
        <v>5897011</v>
      </c>
      <c r="D16" s="541">
        <f t="shared" si="0"/>
        <v>13</v>
      </c>
    </row>
    <row r="17" spans="2:4" ht="12.75">
      <c r="B17" s="542" t="s">
        <v>142</v>
      </c>
      <c r="C17" s="584">
        <f>SUMIF('2015'!$B$4:$B$196,'2015 MM Ranking by Corp'!B17,'2015'!$N$4:$N$196)</f>
        <v>3436434</v>
      </c>
      <c r="D17" s="541">
        <f t="shared" si="0"/>
        <v>18</v>
      </c>
    </row>
    <row r="18" spans="2:4" ht="12.75">
      <c r="B18" s="542" t="s">
        <v>244</v>
      </c>
      <c r="C18" s="584">
        <f>SUMIF('2015'!$B$4:$B$196,'2015 MM Ranking by Corp'!B18,'2015'!$N$4:$N$196)</f>
        <v>2378978</v>
      </c>
      <c r="D18" s="541">
        <f t="shared" si="0"/>
        <v>27</v>
      </c>
    </row>
    <row r="19" spans="2:4" ht="12.75">
      <c r="B19" s="542" t="s">
        <v>162</v>
      </c>
      <c r="C19" s="584">
        <f>SUMIF('2015'!$B$4:$B$196,'2015 MM Ranking by Corp'!B19,'2015'!$N$4:$N$196)</f>
        <v>3262983</v>
      </c>
      <c r="D19" s="541">
        <f t="shared" si="0"/>
        <v>20</v>
      </c>
    </row>
    <row r="20" spans="2:4" ht="12.75">
      <c r="B20" s="542" t="s">
        <v>331</v>
      </c>
      <c r="C20" s="584">
        <f>SUMIF('2015'!$B$4:$B$196,'2015 MM Ranking by Corp'!B20,'2015'!$N$4:$N$196)</f>
        <v>2713887</v>
      </c>
      <c r="D20" s="541">
        <f t="shared" si="0"/>
        <v>22</v>
      </c>
    </row>
    <row r="21" spans="2:4" ht="12.75">
      <c r="B21" s="542" t="s">
        <v>147</v>
      </c>
      <c r="C21" s="584">
        <f>SUMIF('2015'!$B$4:$B$196,'2015 MM Ranking by Corp'!B21,'2015'!$N$4:$N$196)</f>
        <v>3482906</v>
      </c>
      <c r="D21" s="541">
        <f t="shared" si="0"/>
        <v>17</v>
      </c>
    </row>
    <row r="22" spans="2:4" ht="12.75">
      <c r="B22" s="542" t="s">
        <v>261</v>
      </c>
      <c r="C22" s="584">
        <f>SUMIF('2015'!$B$4:$B$196,'2015 MM Ranking by Corp'!B22,'2015'!$N$4:$N$196)</f>
        <v>2511794</v>
      </c>
      <c r="D22" s="541">
        <f t="shared" si="0"/>
        <v>25</v>
      </c>
    </row>
    <row r="23" spans="2:4" ht="12.75">
      <c r="B23" s="542" t="s">
        <v>163</v>
      </c>
      <c r="C23" s="584">
        <f>SUMIF('2015'!$B$4:$B$196,'2015 MM Ranking by Corp'!B23,'2015'!$N$4:$N$196)</f>
        <v>1877818</v>
      </c>
      <c r="D23" s="541">
        <f t="shared" si="0"/>
        <v>32</v>
      </c>
    </row>
    <row r="24" spans="2:4" ht="12.75">
      <c r="B24" s="542" t="s">
        <v>146</v>
      </c>
      <c r="C24" s="584">
        <f>SUMIF('2015'!$B$4:$B$196,'2015 MM Ranking by Corp'!B24,'2015'!$N$4:$N$196)</f>
        <v>2851651</v>
      </c>
      <c r="D24" s="541">
        <f t="shared" si="0"/>
        <v>21</v>
      </c>
    </row>
    <row r="25" spans="2:4" ht="12.75">
      <c r="B25" s="542" t="s">
        <v>325</v>
      </c>
      <c r="C25" s="584">
        <f>SUMIF('2015'!$B$4:$B$196,'2015 MM Ranking by Corp'!B25,'2015'!$N$4:$N$196)</f>
        <v>4459755</v>
      </c>
      <c r="D25" s="541">
        <f t="shared" si="0"/>
        <v>15</v>
      </c>
    </row>
    <row r="26" spans="2:4" ht="12.75">
      <c r="B26" s="542" t="s">
        <v>156</v>
      </c>
      <c r="C26" s="584">
        <f>SUMIF('2015'!$B$4:$B$196,'2015 MM Ranking by Corp'!B26,'2015'!$N$4:$N$196)</f>
        <v>2533297</v>
      </c>
      <c r="D26" s="541">
        <f t="shared" si="0"/>
        <v>24</v>
      </c>
    </row>
    <row r="27" spans="2:4" ht="12.75">
      <c r="B27" s="542" t="s">
        <v>221</v>
      </c>
      <c r="C27" s="584">
        <f>SUMIF('2015'!$B$4:$B$196,'2015 MM Ranking by Corp'!B27,'2015'!$N$4:$N$196)</f>
        <v>1489626</v>
      </c>
      <c r="D27" s="541">
        <f t="shared" si="0"/>
        <v>37</v>
      </c>
    </row>
    <row r="28" spans="2:4" ht="12.75">
      <c r="B28" s="542" t="s">
        <v>230</v>
      </c>
      <c r="C28" s="584">
        <f>SUMIF('2015'!$B$4:$B$196,'2015 MM Ranking by Corp'!B28,'2015'!$N$4:$N$196)</f>
        <v>2505800</v>
      </c>
      <c r="D28" s="541">
        <f t="shared" si="0"/>
        <v>26</v>
      </c>
    </row>
    <row r="29" spans="2:4" ht="12.75">
      <c r="B29" s="542" t="s">
        <v>152</v>
      </c>
      <c r="C29" s="584">
        <f>SUMIF('2015'!$B$4:$B$196,'2015 MM Ranking by Corp'!B29,'2015'!$N$4:$N$196)</f>
        <v>2127839</v>
      </c>
      <c r="D29" s="541">
        <f t="shared" si="0"/>
        <v>29</v>
      </c>
    </row>
    <row r="30" spans="2:4" ht="12.75">
      <c r="B30" s="542" t="s">
        <v>389</v>
      </c>
      <c r="C30" s="584">
        <f>SUMIF('2015'!$B$4:$B$196,'2015 MM Ranking by Corp'!B30,'2015'!$N$4:$N$196)</f>
        <v>2694709</v>
      </c>
      <c r="D30" s="541">
        <f t="shared" si="0"/>
        <v>23</v>
      </c>
    </row>
    <row r="31" spans="2:4" ht="12.75">
      <c r="B31" s="542" t="s">
        <v>390</v>
      </c>
      <c r="C31" s="584">
        <f>SUMIF('2015'!$B$4:$B$196,'2015 MM Ranking by Corp'!B31,'2015'!$N$4:$N$196)</f>
        <v>2085265</v>
      </c>
      <c r="D31" s="541">
        <f t="shared" si="0"/>
        <v>30</v>
      </c>
    </row>
    <row r="32" spans="2:4" ht="12.75">
      <c r="B32" s="542" t="s">
        <v>427</v>
      </c>
      <c r="C32" s="584">
        <f>SUMIF('2015'!$B$4:$B$196,'2015 MM Ranking by Corp'!B32,'2015'!$N$4:$N$196)</f>
        <v>608370</v>
      </c>
      <c r="D32" s="541">
        <f t="shared" si="0"/>
        <v>58</v>
      </c>
    </row>
    <row r="33" spans="2:4" ht="12.75">
      <c r="B33" s="542" t="s">
        <v>318</v>
      </c>
      <c r="C33" s="584">
        <f>SUMIF('2015'!$B$4:$B$196,'2015 MM Ranking by Corp'!B33,'2015'!$N$4:$N$196)</f>
        <v>1094918</v>
      </c>
      <c r="D33" s="541">
        <f t="shared" si="0"/>
        <v>45</v>
      </c>
    </row>
    <row r="34" spans="2:4" ht="12.75">
      <c r="B34" s="542" t="s">
        <v>227</v>
      </c>
      <c r="C34" s="584">
        <f>SUMIF('2015'!$B$4:$B$196,'2015 MM Ranking by Corp'!B34,'2015'!$N$4:$N$196)</f>
        <v>716924</v>
      </c>
      <c r="D34" s="541">
        <f t="shared" ref="D34:D65" si="1">IFERROR(_xlfn.RANK.EQ(C34,$C$2:$C$103,0),"-")</f>
        <v>54</v>
      </c>
    </row>
    <row r="35" spans="2:4" ht="12.75">
      <c r="B35" s="542" t="s">
        <v>327</v>
      </c>
      <c r="C35" s="584">
        <f>SUMIF('2015'!$B$4:$B$196,'2015 MM Ranking by Corp'!B35,'2015'!$N$4:$N$196)</f>
        <v>1262724</v>
      </c>
      <c r="D35" s="541">
        <f t="shared" si="1"/>
        <v>40</v>
      </c>
    </row>
    <row r="36" spans="2:4" ht="12.75">
      <c r="B36" s="542" t="s">
        <v>243</v>
      </c>
      <c r="C36" s="584">
        <f>SUMIF('2015'!$B$4:$B$196,'2015 MM Ranking by Corp'!B36,'2015'!$N$4:$N$196)</f>
        <v>2016975</v>
      </c>
      <c r="D36" s="541">
        <f t="shared" si="1"/>
        <v>31</v>
      </c>
    </row>
    <row r="37" spans="2:4" ht="12.75">
      <c r="B37" s="542" t="s">
        <v>151</v>
      </c>
      <c r="C37" s="584">
        <f>SUMIF('2015'!$B$4:$B$196,'2015 MM Ranking by Corp'!B37,'2015'!$N$4:$N$196)</f>
        <v>141582</v>
      </c>
      <c r="D37" s="541">
        <f t="shared" si="1"/>
        <v>84</v>
      </c>
    </row>
    <row r="38" spans="2:4" ht="12.75">
      <c r="B38" s="542" t="s">
        <v>215</v>
      </c>
      <c r="C38" s="584">
        <f>SUMIF('2015'!$B$4:$B$196,'2015 MM Ranking by Corp'!B38,'2015'!$N$4:$N$196)</f>
        <v>489934</v>
      </c>
      <c r="D38" s="541">
        <f t="shared" si="1"/>
        <v>63</v>
      </c>
    </row>
    <row r="39" spans="2:4" ht="12.75">
      <c r="B39" s="542" t="s">
        <v>248</v>
      </c>
      <c r="C39" s="584">
        <f>SUMIF('2015'!$B$4:$B$196,'2015 MM Ranking by Corp'!B39,'2015'!$N$4:$N$196)</f>
        <v>3328820</v>
      </c>
      <c r="D39" s="541">
        <f t="shared" si="1"/>
        <v>19</v>
      </c>
    </row>
    <row r="40" spans="2:4" ht="12.75">
      <c r="B40" s="542" t="s">
        <v>184</v>
      </c>
      <c r="C40" s="584">
        <f>SUMIF('2015'!$B$4:$B$196,'2015 MM Ranking by Corp'!B40,'2015'!$N$4:$N$196)</f>
        <v>21721</v>
      </c>
      <c r="D40" s="541">
        <f t="shared" si="1"/>
        <v>93</v>
      </c>
    </row>
    <row r="41" spans="2:4" ht="12.75">
      <c r="B41" s="542" t="s">
        <v>218</v>
      </c>
      <c r="C41" s="584">
        <f>SUMIF('2015'!$B$4:$B$196,'2015 MM Ranking by Corp'!B41,'2015'!$N$4:$N$196)</f>
        <v>1872674</v>
      </c>
      <c r="D41" s="541">
        <f t="shared" si="1"/>
        <v>33</v>
      </c>
    </row>
    <row r="42" spans="2:4" ht="12.75">
      <c r="B42" s="542" t="s">
        <v>391</v>
      </c>
      <c r="C42" s="584">
        <f>SUMIF('2015'!$B$4:$B$196,'2015 MM Ranking by Corp'!B42,'2015'!$N$4:$N$196)</f>
        <v>4162799</v>
      </c>
      <c r="D42" s="541">
        <f t="shared" si="1"/>
        <v>16</v>
      </c>
    </row>
    <row r="43" spans="2:4" ht="12.75">
      <c r="B43" s="542" t="s">
        <v>155</v>
      </c>
      <c r="C43" s="584">
        <f>SUMIF('2015'!$B$4:$B$196,'2015 MM Ranking by Corp'!B43,'2015'!$N$4:$N$196)</f>
        <v>1835443</v>
      </c>
      <c r="D43" s="541">
        <f t="shared" si="1"/>
        <v>34</v>
      </c>
    </row>
    <row r="44" spans="2:4" ht="12.75">
      <c r="B44" s="542" t="s">
        <v>228</v>
      </c>
      <c r="C44" s="584">
        <f>SUMIF('2015'!$B$4:$B$196,'2015 MM Ranking by Corp'!B44,'2015'!$N$4:$N$196)</f>
        <v>624169</v>
      </c>
      <c r="D44" s="541">
        <f t="shared" si="1"/>
        <v>57</v>
      </c>
    </row>
    <row r="45" spans="2:4" ht="12.75">
      <c r="B45" s="542" t="s">
        <v>229</v>
      </c>
      <c r="C45" s="584">
        <f>SUMIF('2015'!$B$4:$B$196,'2015 MM Ranking by Corp'!B45,'2015'!$N$4:$N$196)</f>
        <v>152274</v>
      </c>
      <c r="D45" s="541">
        <f t="shared" si="1"/>
        <v>82</v>
      </c>
    </row>
    <row r="46" spans="2:4" ht="12.75">
      <c r="B46" s="542" t="s">
        <v>164</v>
      </c>
      <c r="C46" s="584">
        <f>SUMIF('2015'!$B$4:$B$196,'2015 MM Ranking by Corp'!B46,'2015'!$N$4:$N$196)</f>
        <v>2192424</v>
      </c>
      <c r="D46" s="541">
        <f t="shared" si="1"/>
        <v>28</v>
      </c>
    </row>
    <row r="47" spans="2:4" ht="12.75">
      <c r="B47" s="542" t="s">
        <v>202</v>
      </c>
      <c r="C47" s="584">
        <f>SUMIF('2015'!$B$4:$B$196,'2015 MM Ranking by Corp'!B47,'2015'!$N$4:$N$196)</f>
        <v>1172734</v>
      </c>
      <c r="D47" s="541">
        <f t="shared" si="1"/>
        <v>42</v>
      </c>
    </row>
    <row r="48" spans="2:4" ht="12.75">
      <c r="B48" s="542" t="s">
        <v>394</v>
      </c>
      <c r="C48" s="584">
        <f>SUMIF('2015'!$B$4:$B$196,'2015 MM Ranking by Corp'!B48,'2015'!$N$4:$N$196)</f>
        <v>1140573</v>
      </c>
      <c r="D48" s="541">
        <f t="shared" si="1"/>
        <v>43</v>
      </c>
    </row>
    <row r="49" spans="2:4" ht="12.75">
      <c r="B49" s="542" t="s">
        <v>149</v>
      </c>
      <c r="C49" s="584">
        <f>SUMIF('2015'!$B$4:$B$196,'2015 MM Ranking by Corp'!B49,'2015'!$N$4:$N$196)</f>
        <v>1640595</v>
      </c>
      <c r="D49" s="541">
        <f t="shared" si="1"/>
        <v>35</v>
      </c>
    </row>
    <row r="50" spans="2:4" ht="12.75">
      <c r="B50" s="542" t="s">
        <v>395</v>
      </c>
      <c r="C50" s="584">
        <f>SUMIF('2015'!$B$4:$B$196,'2015 MM Ranking by Corp'!B50,'2015'!$N$4:$N$196)</f>
        <v>1283404</v>
      </c>
      <c r="D50" s="541">
        <f t="shared" si="1"/>
        <v>39</v>
      </c>
    </row>
    <row r="51" spans="2:4" ht="12.75">
      <c r="B51" s="542" t="s">
        <v>236</v>
      </c>
      <c r="C51" s="584">
        <f>SUMIF('2015'!$B$4:$B$196,'2015 MM Ranking by Corp'!B51,'2015'!$N$4:$N$196)</f>
        <v>908135</v>
      </c>
      <c r="D51" s="541">
        <f t="shared" si="1"/>
        <v>49</v>
      </c>
    </row>
    <row r="52" spans="2:4" ht="12.75">
      <c r="B52" s="542" t="s">
        <v>396</v>
      </c>
      <c r="C52" s="584">
        <f>SUMIF('2015'!$B$4:$B$196,'2015 MM Ranking by Corp'!B52,'2015'!$N$4:$N$196)</f>
        <v>1131873</v>
      </c>
      <c r="D52" s="541">
        <f t="shared" si="1"/>
        <v>44</v>
      </c>
    </row>
    <row r="53" spans="2:4" ht="12.75">
      <c r="B53" s="542" t="s">
        <v>332</v>
      </c>
      <c r="C53" s="584">
        <f>SUMIF('2015'!$B$4:$B$196,'2015 MM Ranking by Corp'!B53,'2015'!$N$4:$N$196)</f>
        <v>986926</v>
      </c>
      <c r="D53" s="541">
        <f t="shared" si="1"/>
        <v>48</v>
      </c>
    </row>
    <row r="54" spans="2:4" ht="12.75">
      <c r="B54" s="542" t="s">
        <v>269</v>
      </c>
      <c r="C54" s="584">
        <f>SUMIF('2015'!$B$4:$B$196,'2015 MM Ranking by Corp'!B54,'2015'!$N$4:$N$196)</f>
        <v>767100</v>
      </c>
      <c r="D54" s="541">
        <f t="shared" si="1"/>
        <v>53</v>
      </c>
    </row>
    <row r="55" spans="2:4" ht="12.75">
      <c r="B55" s="542" t="s">
        <v>397</v>
      </c>
      <c r="C55" s="584">
        <f>SUMIF('2015'!$B$4:$B$196,'2015 MM Ranking by Corp'!B55,'2015'!$N$4:$N$196)</f>
        <v>1074124</v>
      </c>
      <c r="D55" s="541">
        <f t="shared" si="1"/>
        <v>46</v>
      </c>
    </row>
    <row r="56" spans="2:4" ht="12.75">
      <c r="B56" s="542" t="s">
        <v>398</v>
      </c>
      <c r="C56" s="584">
        <f>SUMIF('2015'!$B$4:$B$196,'2015 MM Ranking by Corp'!B56,'2015'!$N$4:$N$196)</f>
        <v>1036110</v>
      </c>
      <c r="D56" s="541">
        <f t="shared" si="1"/>
        <v>47</v>
      </c>
    </row>
    <row r="57" spans="2:4" ht="12.75">
      <c r="B57" s="542" t="s">
        <v>205</v>
      </c>
      <c r="C57" s="584">
        <f>SUMIF('2015'!$B$4:$B$196,'2015 MM Ranking by Corp'!B57,'2015'!$N$4:$N$196)</f>
        <v>1321303</v>
      </c>
      <c r="D57" s="541">
        <f t="shared" si="1"/>
        <v>38</v>
      </c>
    </row>
    <row r="58" spans="2:4" ht="12.75">
      <c r="B58" s="542" t="s">
        <v>148</v>
      </c>
      <c r="C58" s="584">
        <f>SUMIF('2015'!$B$4:$B$196,'2015 MM Ranking by Corp'!B58,'2015'!$N$4:$N$196)</f>
        <v>1195887</v>
      </c>
      <c r="D58" s="541">
        <f t="shared" si="1"/>
        <v>41</v>
      </c>
    </row>
    <row r="59" spans="2:4" ht="12.75">
      <c r="B59" s="542" t="s">
        <v>144</v>
      </c>
      <c r="C59" s="584">
        <f>SUMIF('2015'!$B$4:$B$196,'2015 MM Ranking by Corp'!B59,'2015'!$N$4:$N$196)</f>
        <v>1618356</v>
      </c>
      <c r="D59" s="541">
        <f t="shared" si="1"/>
        <v>36</v>
      </c>
    </row>
    <row r="60" spans="2:4" ht="12.75">
      <c r="B60" s="542" t="s">
        <v>141</v>
      </c>
      <c r="C60" s="584">
        <f>SUMIF('2015'!$B$4:$B$196,'2015 MM Ranking by Corp'!B60,'2015'!$N$4:$N$196)</f>
        <v>777057</v>
      </c>
      <c r="D60" s="541">
        <f t="shared" si="1"/>
        <v>51</v>
      </c>
    </row>
    <row r="61" spans="2:4" ht="12.75">
      <c r="B61" s="542" t="s">
        <v>158</v>
      </c>
      <c r="C61" s="584">
        <f>SUMIF('2015'!$B$4:$B$196,'2015 MM Ranking by Corp'!B61,'2015'!$N$4:$N$196)</f>
        <v>370726</v>
      </c>
      <c r="D61" s="541">
        <f t="shared" si="1"/>
        <v>69</v>
      </c>
    </row>
    <row r="62" spans="2:4" ht="12.75">
      <c r="B62" s="542" t="s">
        <v>159</v>
      </c>
      <c r="C62" s="584">
        <f>SUMIF('2015'!$B$4:$B$196,'2015 MM Ranking by Corp'!B62,'2015'!$N$4:$N$196)</f>
        <v>706089</v>
      </c>
      <c r="D62" s="541">
        <f t="shared" si="1"/>
        <v>55</v>
      </c>
    </row>
    <row r="63" spans="2:4" ht="12.75">
      <c r="B63" s="542" t="s">
        <v>177</v>
      </c>
      <c r="C63" s="584">
        <f>SUMIF('2015'!$B$4:$B$196,'2015 MM Ranking by Corp'!B63,'2015'!$N$4:$N$196)</f>
        <v>490939</v>
      </c>
      <c r="D63" s="541">
        <f t="shared" si="1"/>
        <v>62</v>
      </c>
    </row>
    <row r="64" spans="2:4" ht="12.75">
      <c r="B64" s="542" t="s">
        <v>214</v>
      </c>
      <c r="C64" s="584">
        <f>SUMIF('2015'!$B$4:$B$196,'2015 MM Ranking by Corp'!B64,'2015'!$N$4:$N$196)</f>
        <v>366032</v>
      </c>
      <c r="D64" s="541">
        <f t="shared" si="1"/>
        <v>70</v>
      </c>
    </row>
    <row r="65" spans="2:4" ht="12.75">
      <c r="B65" s="542" t="s">
        <v>265</v>
      </c>
      <c r="C65" s="584">
        <f>SUMIF('2015'!$B$4:$B$196,'2015 MM Ranking by Corp'!B65,'2015'!$N$4:$N$196)</f>
        <v>506447</v>
      </c>
      <c r="D65" s="541">
        <f t="shared" si="1"/>
        <v>61</v>
      </c>
    </row>
    <row r="66" spans="2:4" ht="12.75">
      <c r="B66" s="542" t="s">
        <v>150</v>
      </c>
      <c r="C66" s="584">
        <f>SUMIF('2015'!$B$4:$B$196,'2015 MM Ranking by Corp'!B66,'2015'!$N$4:$N$196)</f>
        <v>768765</v>
      </c>
      <c r="D66" s="541">
        <f t="shared" ref="D66:D97" si="2">IFERROR(_xlfn.RANK.EQ(C66,$C$2:$C$103,0),"-")</f>
        <v>52</v>
      </c>
    </row>
    <row r="67" spans="2:4" ht="12.75">
      <c r="B67" s="542" t="s">
        <v>264</v>
      </c>
      <c r="C67" s="584">
        <f>SUMIF('2015'!$B$4:$B$196,'2015 MM Ranking by Corp'!B67,'2015'!$N$4:$N$196)</f>
        <v>223523</v>
      </c>
      <c r="D67" s="541">
        <f t="shared" si="2"/>
        <v>75</v>
      </c>
    </row>
    <row r="68" spans="2:4" ht="12.75">
      <c r="B68" s="542" t="s">
        <v>262</v>
      </c>
      <c r="C68" s="584">
        <f>SUMIF('2015'!$B$4:$B$196,'2015 MM Ranking by Corp'!B68,'2015'!$N$4:$N$196)</f>
        <v>468853</v>
      </c>
      <c r="D68" s="541">
        <f t="shared" si="2"/>
        <v>64</v>
      </c>
    </row>
    <row r="69" spans="2:4" ht="12.75">
      <c r="B69" s="542" t="s">
        <v>223</v>
      </c>
      <c r="C69" s="584">
        <f>SUMIF('2015'!$B$4:$B$196,'2015 MM Ranking by Corp'!B69,'2015'!$N$4:$N$196)</f>
        <v>863888</v>
      </c>
      <c r="D69" s="541">
        <f t="shared" si="2"/>
        <v>50</v>
      </c>
    </row>
    <row r="70" spans="2:4" ht="12.75">
      <c r="B70" s="542" t="s">
        <v>174</v>
      </c>
      <c r="C70" s="584">
        <f>SUMIF('2015'!$B$4:$B$196,'2015 MM Ranking by Corp'!B70,'2015'!$N$4:$N$196)</f>
        <v>332101</v>
      </c>
      <c r="D70" s="541">
        <f t="shared" si="2"/>
        <v>72</v>
      </c>
    </row>
    <row r="71" spans="2:4" ht="12.75">
      <c r="B71" s="542" t="s">
        <v>225</v>
      </c>
      <c r="C71" s="584">
        <f>SUMIF('2015'!$B$4:$B$196,'2015 MM Ranking by Corp'!B71,'2015'!$N$4:$N$196)</f>
        <v>552293</v>
      </c>
      <c r="D71" s="541">
        <f t="shared" si="2"/>
        <v>59</v>
      </c>
    </row>
    <row r="72" spans="2:4" ht="12.75">
      <c r="B72" s="542" t="s">
        <v>140</v>
      </c>
      <c r="C72" s="584">
        <f>SUMIF('2015'!$B$4:$B$196,'2015 MM Ranking by Corp'!B72,'2015'!$N$4:$N$196)</f>
        <v>393674</v>
      </c>
      <c r="D72" s="541">
        <f t="shared" si="2"/>
        <v>68</v>
      </c>
    </row>
    <row r="73" spans="2:4" ht="12.75">
      <c r="B73" s="542" t="s">
        <v>259</v>
      </c>
      <c r="C73" s="584">
        <f>SUMIF('2015'!$B$4:$B$196,'2015 MM Ranking by Corp'!B73,'2015'!$N$4:$N$196)</f>
        <v>358742</v>
      </c>
      <c r="D73" s="541">
        <f t="shared" si="2"/>
        <v>71</v>
      </c>
    </row>
    <row r="74" spans="2:4" ht="12.75">
      <c r="B74" s="542" t="s">
        <v>167</v>
      </c>
      <c r="C74" s="584">
        <f>SUMIF('2015'!$B$4:$B$196,'2015 MM Ranking by Corp'!B74,'2015'!$N$4:$N$196)</f>
        <v>662287</v>
      </c>
      <c r="D74" s="541">
        <f t="shared" si="2"/>
        <v>56</v>
      </c>
    </row>
    <row r="75" spans="2:4" ht="12.75">
      <c r="B75" s="542" t="s">
        <v>161</v>
      </c>
      <c r="C75" s="584">
        <f>SUMIF('2015'!$B$4:$B$196,'2015 MM Ranking by Corp'!B75,'2015'!$N$4:$N$196)</f>
        <v>163850</v>
      </c>
      <c r="D75" s="541">
        <f t="shared" si="2"/>
        <v>81</v>
      </c>
    </row>
    <row r="76" spans="2:4" ht="12.75">
      <c r="B76" s="542" t="s">
        <v>166</v>
      </c>
      <c r="C76" s="584">
        <f>SUMIF('2015'!$B$4:$B$196,'2015 MM Ranking by Corp'!B76,'2015'!$N$4:$N$196)</f>
        <v>190041</v>
      </c>
      <c r="D76" s="541">
        <f t="shared" si="2"/>
        <v>78</v>
      </c>
    </row>
    <row r="77" spans="2:4" ht="12.75">
      <c r="B77" s="542" t="s">
        <v>404</v>
      </c>
      <c r="C77" s="584">
        <f>SUMIF('2015'!$B$4:$B$196,'2015 MM Ranking by Corp'!B77,'2015'!$N$4:$N$196)</f>
        <v>457679</v>
      </c>
      <c r="D77" s="541">
        <f t="shared" si="2"/>
        <v>65</v>
      </c>
    </row>
    <row r="78" spans="2:4" ht="12.75">
      <c r="B78" s="542" t="s">
        <v>322</v>
      </c>
      <c r="C78" s="584">
        <f>SUMIF('2015'!$B$4:$B$196,'2015 MM Ranking by Corp'!B78,'2015'!$N$4:$N$196)</f>
        <v>247025</v>
      </c>
      <c r="D78" s="541">
        <f t="shared" si="2"/>
        <v>74</v>
      </c>
    </row>
    <row r="79" spans="2:4" ht="12.75">
      <c r="B79" s="542" t="s">
        <v>405</v>
      </c>
      <c r="C79" s="584">
        <f>SUMIF('2015'!$B$4:$B$196,'2015 MM Ranking by Corp'!B79,'2015'!$N$4:$N$196)</f>
        <v>509286</v>
      </c>
      <c r="D79" s="541">
        <f t="shared" si="2"/>
        <v>60</v>
      </c>
    </row>
    <row r="80" spans="2:4" ht="12.75">
      <c r="B80" s="542" t="s">
        <v>143</v>
      </c>
      <c r="C80" s="584">
        <f>SUMIF('2015'!$B$4:$B$196,'2015 MM Ranking by Corp'!B80,'2015'!$N$4:$N$196)</f>
        <v>32027</v>
      </c>
      <c r="D80" s="541">
        <f t="shared" si="2"/>
        <v>91</v>
      </c>
    </row>
    <row r="81" spans="2:4" ht="12.75">
      <c r="B81" s="542" t="s">
        <v>153</v>
      </c>
      <c r="C81" s="584">
        <f>SUMIF('2015'!$B$4:$B$196,'2015 MM Ranking by Corp'!B81,'2015'!$N$4:$N$196)</f>
        <v>455418</v>
      </c>
      <c r="D81" s="541">
        <f t="shared" si="2"/>
        <v>66</v>
      </c>
    </row>
    <row r="82" spans="2:4" ht="12.75">
      <c r="B82" s="542" t="s">
        <v>309</v>
      </c>
      <c r="C82" s="584">
        <f>SUMIF('2015'!$B$4:$B$196,'2015 MM Ranking by Corp'!B82,'2015'!$N$4:$N$196)</f>
        <v>16234</v>
      </c>
      <c r="D82" s="541">
        <f t="shared" si="2"/>
        <v>94</v>
      </c>
    </row>
    <row r="83" spans="2:4" ht="12.75">
      <c r="B83" s="542" t="s">
        <v>406</v>
      </c>
      <c r="C83" s="584">
        <f>SUMIF('2015'!$B$4:$B$196,'2015 MM Ranking by Corp'!B83,'2015'!$N$4:$N$196)</f>
        <v>0</v>
      </c>
      <c r="D83" s="541">
        <f t="shared" si="2"/>
        <v>96</v>
      </c>
    </row>
    <row r="84" spans="2:4" ht="12.75">
      <c r="B84" s="542" t="s">
        <v>407</v>
      </c>
      <c r="C84" s="584">
        <f>SUMIF('2015'!$B$4:$B$196,'2015 MM Ranking by Corp'!B84,'2015'!$N$4:$N$196)</f>
        <v>0</v>
      </c>
      <c r="D84" s="541">
        <f t="shared" si="2"/>
        <v>96</v>
      </c>
    </row>
    <row r="85" spans="2:4" ht="12.75">
      <c r="B85" s="542" t="s">
        <v>183</v>
      </c>
      <c r="C85" s="584">
        <f>SUMIF('2015'!$B$4:$B$196,'2015 MM Ranking by Corp'!B85,'2015'!$N$4:$N$196)</f>
        <v>21890</v>
      </c>
      <c r="D85" s="541">
        <f t="shared" si="2"/>
        <v>92</v>
      </c>
    </row>
    <row r="86" spans="2:4" ht="12.75">
      <c r="B86" s="542" t="s">
        <v>169</v>
      </c>
      <c r="C86" s="584">
        <f>SUMIF('2015'!$B$4:$B$196,'2015 MM Ranking by Corp'!B86,'2015'!$N$4:$N$196)</f>
        <v>206395</v>
      </c>
      <c r="D86" s="541">
        <f t="shared" si="2"/>
        <v>76</v>
      </c>
    </row>
    <row r="87" spans="2:4" ht="12.75">
      <c r="B87" s="542" t="s">
        <v>263</v>
      </c>
      <c r="C87" s="584">
        <f>SUMIF('2015'!$B$4:$B$196,'2015 MM Ranking by Corp'!B87,'2015'!$N$4:$N$196)</f>
        <v>399891</v>
      </c>
      <c r="D87" s="541">
        <f t="shared" si="2"/>
        <v>67</v>
      </c>
    </row>
    <row r="88" spans="2:4" ht="12.75">
      <c r="B88" s="542" t="s">
        <v>175</v>
      </c>
      <c r="C88" s="584">
        <f>SUMIF('2015'!$B$4:$B$196,'2015 MM Ranking by Corp'!B88,'2015'!$N$4:$N$196)</f>
        <v>182106</v>
      </c>
      <c r="D88" s="541">
        <f t="shared" si="2"/>
        <v>79</v>
      </c>
    </row>
    <row r="89" spans="2:4" ht="12.75">
      <c r="B89" s="542" t="s">
        <v>220</v>
      </c>
      <c r="C89" s="584">
        <f>SUMIF('2015'!$B$4:$B$196,'2015 MM Ranking by Corp'!B89,'2015'!$N$4:$N$196)</f>
        <v>205445</v>
      </c>
      <c r="D89" s="541">
        <f t="shared" si="2"/>
        <v>77</v>
      </c>
    </row>
    <row r="90" spans="2:4" ht="12.75">
      <c r="B90" s="542" t="s">
        <v>408</v>
      </c>
      <c r="C90" s="584">
        <f>SUMIF('2015'!$B$4:$B$196,'2015 MM Ranking by Corp'!B90,'2015'!$N$4:$N$196)</f>
        <v>83508</v>
      </c>
      <c r="D90" s="541">
        <f t="shared" si="2"/>
        <v>88</v>
      </c>
    </row>
    <row r="91" spans="2:4" ht="12.75">
      <c r="B91" s="542" t="s">
        <v>409</v>
      </c>
      <c r="C91" s="584">
        <f>SUMIF('2015'!$B$4:$B$196,'2015 MM Ranking by Corp'!B91,'2015'!$N$4:$N$196)</f>
        <v>174766</v>
      </c>
      <c r="D91" s="541">
        <f t="shared" si="2"/>
        <v>80</v>
      </c>
    </row>
    <row r="92" spans="2:4" ht="12.75">
      <c r="B92" s="542" t="s">
        <v>410</v>
      </c>
      <c r="C92" s="584">
        <f>SUMIF('2015'!$B$4:$B$196,'2015 MM Ranking by Corp'!B92,'2015'!$N$4:$N$196)</f>
        <v>0</v>
      </c>
      <c r="D92" s="541">
        <f t="shared" si="2"/>
        <v>96</v>
      </c>
    </row>
    <row r="93" spans="2:4" ht="12.75">
      <c r="B93" s="542" t="s">
        <v>411</v>
      </c>
      <c r="C93" s="584">
        <f>SUMIF('2015'!$B$4:$B$196,'2015 MM Ranking by Corp'!B93,'2015'!$N$4:$N$196)</f>
        <v>0</v>
      </c>
      <c r="D93" s="541">
        <f t="shared" si="2"/>
        <v>96</v>
      </c>
    </row>
    <row r="94" spans="2:4" ht="12.75">
      <c r="B94" s="542" t="s">
        <v>157</v>
      </c>
      <c r="C94" s="584">
        <f>SUMIF('2015'!$B$4:$B$196,'2015 MM Ranking by Corp'!B94,'2015'!$N$4:$N$196)</f>
        <v>107396</v>
      </c>
      <c r="D94" s="541">
        <f t="shared" si="2"/>
        <v>87</v>
      </c>
    </row>
    <row r="95" spans="2:4" ht="12.75">
      <c r="B95" s="542" t="s">
        <v>222</v>
      </c>
      <c r="C95" s="584">
        <f>SUMIF('2015'!$B$4:$B$196,'2015 MM Ranking by Corp'!B95,'2015'!$N$4:$N$196)</f>
        <v>139796</v>
      </c>
      <c r="D95" s="541">
        <f t="shared" si="2"/>
        <v>85</v>
      </c>
    </row>
    <row r="96" spans="2:4" ht="12.75">
      <c r="B96" s="542" t="s">
        <v>165</v>
      </c>
      <c r="C96" s="584">
        <f>SUMIF('2015'!$B$4:$B$196,'2015 MM Ranking by Corp'!B96,'2015'!$N$4:$N$196)</f>
        <v>120182</v>
      </c>
      <c r="D96" s="541">
        <f t="shared" si="2"/>
        <v>86</v>
      </c>
    </row>
    <row r="97" spans="2:4" ht="12.75">
      <c r="B97" s="542" t="s">
        <v>412</v>
      </c>
      <c r="C97" s="584">
        <f>SUMIF('2015'!$B$4:$B$196,'2015 MM Ranking by Corp'!B97,'2015'!$N$4:$N$196)</f>
        <v>0</v>
      </c>
      <c r="D97" s="541">
        <f t="shared" si="2"/>
        <v>96</v>
      </c>
    </row>
    <row r="98" spans="2:4" ht="12.75">
      <c r="B98" s="542" t="s">
        <v>168</v>
      </c>
      <c r="C98" s="584">
        <f>SUMIF('2015'!$B$4:$B$196,'2015 MM Ranking by Corp'!B98,'2015'!$N$4:$N$196)</f>
        <v>146166</v>
      </c>
      <c r="D98" s="541">
        <f t="shared" ref="D98:D103" si="3">IFERROR(_xlfn.RANK.EQ(C98,$C$2:$C$103,0),"-")</f>
        <v>83</v>
      </c>
    </row>
    <row r="99" spans="2:4" ht="12.75">
      <c r="B99" s="542" t="s">
        <v>154</v>
      </c>
      <c r="C99" s="584">
        <f>SUMIF('2015'!$B$4:$B$196,'2015 MM Ranking by Corp'!B99,'2015'!$N$4:$N$196)</f>
        <v>73141</v>
      </c>
      <c r="D99" s="541">
        <f t="shared" si="3"/>
        <v>90</v>
      </c>
    </row>
    <row r="100" spans="2:4" ht="12.75">
      <c r="B100" s="542" t="s">
        <v>173</v>
      </c>
      <c r="C100" s="584">
        <f>SUMIF('2015'!$B$4:$B$196,'2015 MM Ranking by Corp'!B100,'2015'!$N$4:$N$196)</f>
        <v>77801</v>
      </c>
      <c r="D100" s="541">
        <f t="shared" si="3"/>
        <v>89</v>
      </c>
    </row>
    <row r="101" spans="2:4" ht="12.75">
      <c r="B101" s="542" t="s">
        <v>413</v>
      </c>
      <c r="C101" s="584">
        <f>SUMIF('2015'!$B$4:$B$196,'2015 MM Ranking by Corp'!B101,'2015'!$N$4:$N$196)</f>
        <v>0</v>
      </c>
      <c r="D101" s="541">
        <f t="shared" si="3"/>
        <v>96</v>
      </c>
    </row>
    <row r="102" spans="2:4" ht="12.75">
      <c r="B102" s="542" t="s">
        <v>333</v>
      </c>
      <c r="C102" s="584">
        <f>SUMIF('2015'!$B$4:$B$196,'2015 MM Ranking by Corp'!B102,'2015'!$N$4:$N$196)</f>
        <v>305361</v>
      </c>
      <c r="D102" s="541">
        <f t="shared" si="3"/>
        <v>73</v>
      </c>
    </row>
    <row r="103" spans="2:4" ht="13.5" thickBot="1">
      <c r="B103" s="544" t="s">
        <v>414</v>
      </c>
      <c r="C103" s="584">
        <f>SUMIF('2015'!$B$4:$B$196,'2015 MM Ranking by Corp'!B103,'2015'!$N$4:$N$196)</f>
        <v>0</v>
      </c>
      <c r="D103" s="546">
        <f t="shared" si="3"/>
        <v>96</v>
      </c>
    </row>
  </sheetData>
  <conditionalFormatting sqref="B14 B76">
    <cfRule type="expression" dxfId="113" priority="18" stopIfTrue="1">
      <formula>#REF!="Yes"</formula>
    </cfRule>
  </conditionalFormatting>
  <conditionalFormatting sqref="B18:B19 B22:B74">
    <cfRule type="expression" dxfId="112" priority="17" stopIfTrue="1">
      <formula>#REF!="Yes"</formula>
    </cfRule>
  </conditionalFormatting>
  <conditionalFormatting sqref="B9">
    <cfRule type="expression" dxfId="111" priority="16" stopIfTrue="1">
      <formula>#REF!="Yes"</formula>
    </cfRule>
  </conditionalFormatting>
  <conditionalFormatting sqref="B15:B16">
    <cfRule type="expression" dxfId="110" priority="15" stopIfTrue="1">
      <formula>#REF!="Yes"</formula>
    </cfRule>
  </conditionalFormatting>
  <conditionalFormatting sqref="B77:B102">
    <cfRule type="expression" dxfId="109" priority="14" stopIfTrue="1">
      <formula>#REF!="Yes"</formula>
    </cfRule>
  </conditionalFormatting>
  <conditionalFormatting sqref="B2:B103">
    <cfRule type="expression" dxfId="108" priority="13" stopIfTrue="1">
      <formula>#REF!="Yes"</formula>
    </cfRule>
  </conditionalFormatting>
  <conditionalFormatting sqref="B3">
    <cfRule type="expression" dxfId="107" priority="12" stopIfTrue="1">
      <formula>#REF!="Yes"</formula>
    </cfRule>
  </conditionalFormatting>
  <conditionalFormatting sqref="B4">
    <cfRule type="expression" dxfId="106" priority="11" stopIfTrue="1">
      <formula>#REF!="Yes"</formula>
    </cfRule>
  </conditionalFormatting>
  <conditionalFormatting sqref="B5">
    <cfRule type="expression" dxfId="105" priority="10" stopIfTrue="1">
      <formula>#REF!="Yes"</formula>
    </cfRule>
  </conditionalFormatting>
  <conditionalFormatting sqref="B6">
    <cfRule type="expression" dxfId="104" priority="9" stopIfTrue="1">
      <formula>#REF!="Yes"</formula>
    </cfRule>
  </conditionalFormatting>
  <conditionalFormatting sqref="B7">
    <cfRule type="expression" dxfId="103" priority="8" stopIfTrue="1">
      <formula>#REF!="Yes"</formula>
    </cfRule>
  </conditionalFormatting>
  <conditionalFormatting sqref="B8">
    <cfRule type="expression" dxfId="102" priority="7" stopIfTrue="1">
      <formula>#REF!="Yes"</formula>
    </cfRule>
  </conditionalFormatting>
  <conditionalFormatting sqref="B13">
    <cfRule type="expression" dxfId="101" priority="6" stopIfTrue="1">
      <formula>#REF!="Yes"</formula>
    </cfRule>
  </conditionalFormatting>
  <conditionalFormatting sqref="B17">
    <cfRule type="expression" dxfId="100" priority="5" stopIfTrue="1">
      <formula>#REF!="Yes"</formula>
    </cfRule>
  </conditionalFormatting>
  <conditionalFormatting sqref="B20">
    <cfRule type="expression" dxfId="99" priority="4" stopIfTrue="1">
      <formula>#REF!="Yes"</formula>
    </cfRule>
  </conditionalFormatting>
  <conditionalFormatting sqref="B75">
    <cfRule type="expression" dxfId="98" priority="3" stopIfTrue="1">
      <formula>#REF!="Yes"</formula>
    </cfRule>
  </conditionalFormatting>
  <conditionalFormatting sqref="B21">
    <cfRule type="expression" dxfId="97" priority="2" stopIfTrue="1">
      <formula>#REF!="Yes"</formula>
    </cfRule>
  </conditionalFormatting>
  <conditionalFormatting sqref="B9:B12">
    <cfRule type="expression" dxfId="96" priority="1" stopIfTrue="1">
      <formula>#REF!="Yes"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3"/>
  <sheetViews>
    <sheetView zoomScale="80" zoomScaleNormal="80" workbookViewId="0">
      <selection activeCell="C3" sqref="C3"/>
    </sheetView>
  </sheetViews>
  <sheetFormatPr defaultColWidth="9.1640625" defaultRowHeight="11.25"/>
  <cols>
    <col min="1" max="1" width="9.1640625" style="511"/>
    <col min="2" max="2" width="58.5" style="511" bestFit="1" customWidth="1"/>
    <col min="3" max="3" width="16.1640625" style="511" bestFit="1" customWidth="1"/>
    <col min="4" max="16384" width="9.1640625" style="511"/>
  </cols>
  <sheetData>
    <row r="1" spans="2:4" ht="15.75" thickBot="1">
      <c r="B1" s="547">
        <v>2014</v>
      </c>
      <c r="C1" s="548" t="s">
        <v>428</v>
      </c>
      <c r="D1" s="550" t="s">
        <v>122</v>
      </c>
    </row>
    <row r="2" spans="2:4" ht="12.75">
      <c r="B2" s="539" t="s">
        <v>418</v>
      </c>
      <c r="C2" s="543">
        <f>SUM('2014'!M4:M22)</f>
        <v>44764249.965000004</v>
      </c>
      <c r="D2" s="541">
        <f t="shared" ref="D2:D33" si="0">IFERROR(_xlfn.RANK.EQ(C2,$C$2:$C$102,0),"-")</f>
        <v>1</v>
      </c>
    </row>
    <row r="3" spans="2:4" ht="12.75">
      <c r="B3" s="542" t="s">
        <v>419</v>
      </c>
      <c r="C3" s="543">
        <f>SUM('2014'!M23:M39)</f>
        <v>33109815.676000003</v>
      </c>
      <c r="D3" s="541">
        <f t="shared" si="0"/>
        <v>2</v>
      </c>
    </row>
    <row r="4" spans="2:4" ht="12.75">
      <c r="B4" s="542" t="s">
        <v>420</v>
      </c>
      <c r="C4" s="543">
        <f>SUM('2014'!M40:M60)</f>
        <v>29287393.756999999</v>
      </c>
      <c r="D4" s="541">
        <f t="shared" si="0"/>
        <v>3</v>
      </c>
    </row>
    <row r="5" spans="2:4" ht="12.75">
      <c r="B5" s="542" t="s">
        <v>421</v>
      </c>
      <c r="C5" s="543">
        <f>SUM('2014'!M61:M70)</f>
        <v>15482191.198000001</v>
      </c>
      <c r="D5" s="541">
        <f t="shared" si="0"/>
        <v>5</v>
      </c>
    </row>
    <row r="6" spans="2:4" ht="12.75">
      <c r="B6" s="542" t="s">
        <v>424</v>
      </c>
      <c r="C6" s="543">
        <f>SUM('2014'!M86:M99)</f>
        <v>14388457.793</v>
      </c>
      <c r="D6" s="541">
        <f t="shared" si="0"/>
        <v>6</v>
      </c>
    </row>
    <row r="7" spans="2:4" ht="12.75">
      <c r="B7" s="542" t="s">
        <v>422</v>
      </c>
      <c r="C7" s="543">
        <f>SUM('2014'!M71:M79)</f>
        <v>7121444.3559999997</v>
      </c>
      <c r="D7" s="541">
        <f t="shared" si="0"/>
        <v>7</v>
      </c>
    </row>
    <row r="8" spans="2:4" ht="12.75">
      <c r="B8" s="542" t="s">
        <v>423</v>
      </c>
      <c r="C8" s="543">
        <f>SUM('2014'!M80:M85)</f>
        <v>4517991.2379999999</v>
      </c>
      <c r="D8" s="541">
        <f t="shared" si="0"/>
        <v>8</v>
      </c>
    </row>
    <row r="9" spans="2:4" ht="12.75">
      <c r="B9" s="542" t="s">
        <v>425</v>
      </c>
      <c r="C9" s="543">
        <f>SUM('2014'!M104:M107)</f>
        <v>2444234.1149999998</v>
      </c>
      <c r="D9" s="541">
        <f t="shared" si="0"/>
        <v>14</v>
      </c>
    </row>
    <row r="10" spans="2:4" ht="12.75">
      <c r="B10" s="542" t="s">
        <v>426</v>
      </c>
      <c r="C10" s="543">
        <f>SUM('2014'!M112:M116)</f>
        <v>3431136.1399999997</v>
      </c>
      <c r="D10" s="541">
        <f t="shared" si="0"/>
        <v>9</v>
      </c>
    </row>
    <row r="11" spans="2:4" ht="12.75">
      <c r="B11" s="542" t="s">
        <v>142</v>
      </c>
      <c r="C11" s="543">
        <f>SUM('2014'!M109:M110)</f>
        <v>928312.74</v>
      </c>
      <c r="D11" s="541">
        <f t="shared" si="0"/>
        <v>29</v>
      </c>
    </row>
    <row r="12" spans="2:4" ht="12.75">
      <c r="B12" s="542" t="s">
        <v>270</v>
      </c>
      <c r="C12" s="543">
        <f>SUM('2014'!M120:M121)</f>
        <v>1110356.7140000002</v>
      </c>
      <c r="D12" s="541">
        <f t="shared" si="0"/>
        <v>24</v>
      </c>
    </row>
    <row r="13" spans="2:4" ht="12.75">
      <c r="B13" s="542" t="s">
        <v>203</v>
      </c>
      <c r="C13" s="543">
        <f>SUM('2014'!M100)</f>
        <v>511012.24900000001</v>
      </c>
      <c r="D13" s="541">
        <f t="shared" si="0"/>
        <v>40</v>
      </c>
    </row>
    <row r="14" spans="2:4" ht="12.75">
      <c r="B14" s="542" t="s">
        <v>232</v>
      </c>
      <c r="C14" s="543">
        <f>SUM('2014'!M101)</f>
        <v>341051.36300000001</v>
      </c>
      <c r="D14" s="541">
        <f t="shared" si="0"/>
        <v>47</v>
      </c>
    </row>
    <row r="15" spans="2:4" ht="12.75">
      <c r="B15" s="542" t="s">
        <v>329</v>
      </c>
      <c r="C15" s="543">
        <f>SUM('2014'!M102)</f>
        <v>275225.092</v>
      </c>
      <c r="D15" s="541">
        <f t="shared" si="0"/>
        <v>54</v>
      </c>
    </row>
    <row r="16" spans="2:4" ht="12.75">
      <c r="B16" s="542" t="s">
        <v>326</v>
      </c>
      <c r="C16" s="543">
        <f>SUM('2014'!M103)</f>
        <v>170735.10399999999</v>
      </c>
      <c r="D16" s="541">
        <f t="shared" si="0"/>
        <v>71</v>
      </c>
    </row>
    <row r="17" spans="2:4" ht="12.75">
      <c r="B17" s="542" t="s">
        <v>330</v>
      </c>
      <c r="C17" s="543">
        <f>SUM('2014'!M108)</f>
        <v>275467.103</v>
      </c>
      <c r="D17" s="541">
        <f t="shared" si="0"/>
        <v>53</v>
      </c>
    </row>
    <row r="18" spans="2:4" ht="12.75">
      <c r="B18" s="542" t="s">
        <v>244</v>
      </c>
      <c r="C18" s="543">
        <f>SUM('2014'!M111)</f>
        <v>2869460.165</v>
      </c>
      <c r="D18" s="541">
        <f t="shared" si="0"/>
        <v>12</v>
      </c>
    </row>
    <row r="19" spans="2:4" ht="12.75">
      <c r="B19" s="542" t="s">
        <v>162</v>
      </c>
      <c r="C19" s="543">
        <f>SUM('2014'!M117)</f>
        <v>676752.29500000004</v>
      </c>
      <c r="D19" s="541">
        <f t="shared" si="0"/>
        <v>34</v>
      </c>
    </row>
    <row r="20" spans="2:4" ht="12.75">
      <c r="B20" s="542" t="s">
        <v>331</v>
      </c>
      <c r="C20" s="543">
        <f>SUM('2014'!M118)</f>
        <v>691474.08</v>
      </c>
      <c r="D20" s="541">
        <f t="shared" si="0"/>
        <v>33</v>
      </c>
    </row>
    <row r="21" spans="2:4" ht="12.75">
      <c r="B21" s="542" t="s">
        <v>386</v>
      </c>
      <c r="C21" s="543">
        <f>SUM('2014'!M119)</f>
        <v>259251.54699999999</v>
      </c>
      <c r="D21" s="541">
        <f t="shared" si="0"/>
        <v>57</v>
      </c>
    </row>
    <row r="22" spans="2:4" ht="12.75">
      <c r="B22" s="542" t="s">
        <v>147</v>
      </c>
      <c r="C22" s="543">
        <f>SUM('2014'!M122)</f>
        <v>645487.36899999995</v>
      </c>
      <c r="D22" s="541">
        <f t="shared" si="0"/>
        <v>37</v>
      </c>
    </row>
    <row r="23" spans="2:4" ht="12.75">
      <c r="B23" s="542" t="s">
        <v>261</v>
      </c>
      <c r="C23" s="543">
        <f>SUM('2014'!M123)</f>
        <v>31458.073</v>
      </c>
      <c r="D23" s="541">
        <f t="shared" si="0"/>
        <v>95</v>
      </c>
    </row>
    <row r="24" spans="2:4" ht="12.75">
      <c r="B24" s="542" t="s">
        <v>387</v>
      </c>
      <c r="C24" s="543">
        <f>SUM('2014'!M124)</f>
        <v>217311.69</v>
      </c>
      <c r="D24" s="541">
        <f t="shared" si="0"/>
        <v>60</v>
      </c>
    </row>
    <row r="25" spans="2:4" ht="12.75">
      <c r="B25" s="542" t="s">
        <v>163</v>
      </c>
      <c r="C25" s="543">
        <f>SUM('2014'!M125)</f>
        <v>179237.75399999999</v>
      </c>
      <c r="D25" s="541">
        <f t="shared" si="0"/>
        <v>66</v>
      </c>
    </row>
    <row r="26" spans="2:4" ht="12.75">
      <c r="B26" s="542" t="s">
        <v>146</v>
      </c>
      <c r="C26" s="543">
        <f>SUM('2014'!M126)</f>
        <v>320439.11099999998</v>
      </c>
      <c r="D26" s="541">
        <f t="shared" si="0"/>
        <v>50</v>
      </c>
    </row>
    <row r="27" spans="2:4" ht="12.75">
      <c r="B27" s="542" t="s">
        <v>325</v>
      </c>
      <c r="C27" s="543">
        <f>SUM('2014'!M127)</f>
        <v>145027.33499999999</v>
      </c>
      <c r="D27" s="541">
        <f t="shared" si="0"/>
        <v>76</v>
      </c>
    </row>
    <row r="28" spans="2:4" ht="12.75">
      <c r="B28" s="542" t="s">
        <v>156</v>
      </c>
      <c r="C28" s="543">
        <f>SUM('2014'!M128)</f>
        <v>1339419.1299999999</v>
      </c>
      <c r="D28" s="541">
        <f t="shared" si="0"/>
        <v>20</v>
      </c>
    </row>
    <row r="29" spans="2:4" ht="12.75">
      <c r="B29" s="542" t="s">
        <v>221</v>
      </c>
      <c r="C29" s="543">
        <f>SUM('2014'!M129)</f>
        <v>150645.29300000001</v>
      </c>
      <c r="D29" s="541">
        <f t="shared" si="0"/>
        <v>74</v>
      </c>
    </row>
    <row r="30" spans="2:4" ht="12.75">
      <c r="B30" s="542" t="s">
        <v>230</v>
      </c>
      <c r="C30" s="543">
        <f>SUM('2014'!M130)</f>
        <v>204193.842</v>
      </c>
      <c r="D30" s="541">
        <f t="shared" si="0"/>
        <v>62</v>
      </c>
    </row>
    <row r="31" spans="2:4" ht="12.75">
      <c r="B31" s="542" t="s">
        <v>388</v>
      </c>
      <c r="C31" s="543">
        <f>SUM('2014'!M131)</f>
        <v>237584.15400000001</v>
      </c>
      <c r="D31" s="541">
        <f t="shared" si="0"/>
        <v>58</v>
      </c>
    </row>
    <row r="32" spans="2:4" ht="12.75">
      <c r="B32" s="542" t="s">
        <v>152</v>
      </c>
      <c r="C32" s="543">
        <f>SUM('2014'!M132)</f>
        <v>1110277.27</v>
      </c>
      <c r="D32" s="541">
        <f t="shared" si="0"/>
        <v>25</v>
      </c>
    </row>
    <row r="33" spans="2:4" ht="12.75">
      <c r="B33" s="542" t="s">
        <v>389</v>
      </c>
      <c r="C33" s="543">
        <f>SUM('2014'!M133)</f>
        <v>272273.79700000002</v>
      </c>
      <c r="D33" s="541">
        <f t="shared" si="0"/>
        <v>55</v>
      </c>
    </row>
    <row r="34" spans="2:4" ht="12.75">
      <c r="B34" s="542" t="s">
        <v>390</v>
      </c>
      <c r="C34" s="543">
        <f>SUM('2014'!M134)</f>
        <v>585013.57499999995</v>
      </c>
      <c r="D34" s="541">
        <f t="shared" ref="D34:D65" si="1">IFERROR(_xlfn.RANK.EQ(C34,$C$2:$C$102,0),"-")</f>
        <v>39</v>
      </c>
    </row>
    <row r="35" spans="2:4" ht="12.75">
      <c r="B35" s="542" t="s">
        <v>318</v>
      </c>
      <c r="C35" s="543">
        <f>SUM('2014'!M135)</f>
        <v>261791.63200000001</v>
      </c>
      <c r="D35" s="541">
        <f t="shared" si="1"/>
        <v>56</v>
      </c>
    </row>
    <row r="36" spans="2:4" ht="12.75">
      <c r="B36" s="542" t="s">
        <v>227</v>
      </c>
      <c r="C36" s="543">
        <f>SUM('2014'!M136)</f>
        <v>87480.763999999996</v>
      </c>
      <c r="D36" s="541">
        <f t="shared" si="1"/>
        <v>85</v>
      </c>
    </row>
    <row r="37" spans="2:4" ht="12.75">
      <c r="B37" s="542" t="s">
        <v>327</v>
      </c>
      <c r="C37" s="543">
        <f>SUM('2014'!M137)</f>
        <v>176669.288</v>
      </c>
      <c r="D37" s="541">
        <f t="shared" si="1"/>
        <v>68</v>
      </c>
    </row>
    <row r="38" spans="2:4" ht="12.75">
      <c r="B38" s="542" t="s">
        <v>243</v>
      </c>
      <c r="C38" s="543">
        <f>SUM('2014'!M138)</f>
        <v>179230.33600000001</v>
      </c>
      <c r="D38" s="541">
        <f t="shared" si="1"/>
        <v>67</v>
      </c>
    </row>
    <row r="39" spans="2:4" ht="12.75">
      <c r="B39" s="542" t="s">
        <v>151</v>
      </c>
      <c r="C39" s="543">
        <f>SUM('2014'!M139)</f>
        <v>27705479.809</v>
      </c>
      <c r="D39" s="541">
        <f t="shared" si="1"/>
        <v>4</v>
      </c>
    </row>
    <row r="40" spans="2:4" ht="12.75">
      <c r="B40" s="542" t="s">
        <v>215</v>
      </c>
      <c r="C40" s="543">
        <f>SUM('2014'!M140)</f>
        <v>1098011.3940000001</v>
      </c>
      <c r="D40" s="541">
        <f t="shared" si="1"/>
        <v>27</v>
      </c>
    </row>
    <row r="41" spans="2:4" ht="12.75">
      <c r="B41" s="542" t="s">
        <v>184</v>
      </c>
      <c r="C41" s="543">
        <f>SUM('2014'!M141)</f>
        <v>611664.103</v>
      </c>
      <c r="D41" s="541">
        <f t="shared" si="1"/>
        <v>38</v>
      </c>
    </row>
    <row r="42" spans="2:4" ht="12.75">
      <c r="B42" s="542" t="s">
        <v>218</v>
      </c>
      <c r="C42" s="543">
        <f>SUM('2014'!M142)</f>
        <v>2205421.6910000001</v>
      </c>
      <c r="D42" s="541">
        <f t="shared" si="1"/>
        <v>17</v>
      </c>
    </row>
    <row r="43" spans="2:4" ht="12.75">
      <c r="B43" s="542" t="s">
        <v>391</v>
      </c>
      <c r="C43" s="543">
        <f>SUM('2014'!M143)</f>
        <v>478211.70600000001</v>
      </c>
      <c r="D43" s="541">
        <f t="shared" si="1"/>
        <v>41</v>
      </c>
    </row>
    <row r="44" spans="2:4" ht="12.75">
      <c r="B44" s="542" t="s">
        <v>392</v>
      </c>
      <c r="C44" s="543">
        <f>SUM('2014'!M144)</f>
        <v>478211.70600000001</v>
      </c>
      <c r="D44" s="541">
        <f t="shared" si="1"/>
        <v>41</v>
      </c>
    </row>
    <row r="45" spans="2:4" ht="12.75">
      <c r="B45" s="542" t="s">
        <v>392</v>
      </c>
      <c r="C45" s="543">
        <f>SUM('2014'!M145)</f>
        <v>1160640.4809999999</v>
      </c>
      <c r="D45" s="541">
        <f t="shared" si="1"/>
        <v>23</v>
      </c>
    </row>
    <row r="46" spans="2:4" ht="12.75">
      <c r="B46" s="542" t="s">
        <v>155</v>
      </c>
      <c r="C46" s="543">
        <f>SUM('2014'!M146)</f>
        <v>174619.08499999999</v>
      </c>
      <c r="D46" s="541">
        <f t="shared" si="1"/>
        <v>70</v>
      </c>
    </row>
    <row r="47" spans="2:4" ht="12.75">
      <c r="B47" s="542" t="s">
        <v>228</v>
      </c>
      <c r="C47" s="543">
        <f>SUM('2014'!M147)</f>
        <v>662445.59400000004</v>
      </c>
      <c r="D47" s="541">
        <f t="shared" si="1"/>
        <v>36</v>
      </c>
    </row>
    <row r="48" spans="2:4" ht="12.75">
      <c r="B48" s="542" t="s">
        <v>229</v>
      </c>
      <c r="C48" s="543">
        <f>SUM('2014'!M148)</f>
        <v>414215.821</v>
      </c>
      <c r="D48" s="541">
        <f t="shared" si="1"/>
        <v>43</v>
      </c>
    </row>
    <row r="49" spans="2:4" ht="12.75">
      <c r="B49" s="542" t="s">
        <v>164</v>
      </c>
      <c r="C49" s="543">
        <f>SUM('2014'!M149)</f>
        <v>187519.05499999999</v>
      </c>
      <c r="D49" s="541">
        <f t="shared" si="1"/>
        <v>64</v>
      </c>
    </row>
    <row r="50" spans="2:4" ht="12.75">
      <c r="B50" s="542" t="s">
        <v>202</v>
      </c>
      <c r="C50" s="543">
        <f>SUM('2014'!M150)</f>
        <v>2443787.9929999998</v>
      </c>
      <c r="D50" s="541">
        <f t="shared" si="1"/>
        <v>15</v>
      </c>
    </row>
    <row r="51" spans="2:4" ht="12.75">
      <c r="B51" s="542" t="s">
        <v>394</v>
      </c>
      <c r="C51" s="543">
        <f>SUM('2014'!M151)</f>
        <v>150403.761</v>
      </c>
      <c r="D51" s="541">
        <f t="shared" si="1"/>
        <v>75</v>
      </c>
    </row>
    <row r="52" spans="2:4" ht="12.75">
      <c r="B52" s="542" t="s">
        <v>427</v>
      </c>
      <c r="C52" s="543">
        <f>SUM('2014'!M184:M186)</f>
        <v>3007310.9409999996</v>
      </c>
      <c r="D52" s="541">
        <f t="shared" si="1"/>
        <v>11</v>
      </c>
    </row>
    <row r="53" spans="2:4" ht="12.75">
      <c r="B53" s="542" t="s">
        <v>149</v>
      </c>
      <c r="C53" s="543">
        <f>SUM('2014'!M152)</f>
        <v>117623.49</v>
      </c>
      <c r="D53" s="541">
        <f t="shared" si="1"/>
        <v>79</v>
      </c>
    </row>
    <row r="54" spans="2:4" ht="12.75">
      <c r="B54" s="542" t="s">
        <v>395</v>
      </c>
      <c r="C54" s="543">
        <f>SUM('2014'!M153)</f>
        <v>190123.75</v>
      </c>
      <c r="D54" s="541">
        <f t="shared" si="1"/>
        <v>63</v>
      </c>
    </row>
    <row r="55" spans="2:4" ht="12.75">
      <c r="B55" s="542" t="s">
        <v>236</v>
      </c>
      <c r="C55" s="543">
        <f>SUM('2014'!M154)</f>
        <v>402574.886</v>
      </c>
      <c r="D55" s="541">
        <f t="shared" si="1"/>
        <v>44</v>
      </c>
    </row>
    <row r="56" spans="2:4" ht="12.75">
      <c r="B56" s="542" t="s">
        <v>396</v>
      </c>
      <c r="C56" s="543">
        <f>SUM('2014'!M155)</f>
        <v>381496.11700000003</v>
      </c>
      <c r="D56" s="541">
        <f t="shared" si="1"/>
        <v>45</v>
      </c>
    </row>
    <row r="57" spans="2:4" ht="12.75">
      <c r="B57" s="542" t="s">
        <v>332</v>
      </c>
      <c r="C57" s="543">
        <f>SUM('2014'!M156)</f>
        <v>138661.06400000001</v>
      </c>
      <c r="D57" s="541">
        <f t="shared" si="1"/>
        <v>77</v>
      </c>
    </row>
    <row r="58" spans="2:4" ht="12.75">
      <c r="B58" s="542" t="s">
        <v>269</v>
      </c>
      <c r="C58" s="543">
        <f>SUM('2014'!M157)</f>
        <v>104179.591</v>
      </c>
      <c r="D58" s="541">
        <f t="shared" si="1"/>
        <v>80</v>
      </c>
    </row>
    <row r="59" spans="2:4" ht="12.75">
      <c r="B59" s="542" t="s">
        <v>397</v>
      </c>
      <c r="C59" s="543">
        <f>SUM('2014'!M158)</f>
        <v>179465.46100000001</v>
      </c>
      <c r="D59" s="541">
        <f t="shared" si="1"/>
        <v>65</v>
      </c>
    </row>
    <row r="60" spans="2:4" ht="12.75">
      <c r="B60" s="542" t="s">
        <v>398</v>
      </c>
      <c r="C60" s="543">
        <f>SUM('2014'!M159)</f>
        <v>119092.512</v>
      </c>
      <c r="D60" s="541">
        <f t="shared" si="1"/>
        <v>78</v>
      </c>
    </row>
    <row r="61" spans="2:4" ht="12.75">
      <c r="B61" s="542" t="s">
        <v>205</v>
      </c>
      <c r="C61" s="543">
        <f>SUM('2014'!M160)</f>
        <v>1103651.7039999999</v>
      </c>
      <c r="D61" s="541">
        <f t="shared" si="1"/>
        <v>26</v>
      </c>
    </row>
    <row r="62" spans="2:4" ht="12.75">
      <c r="B62" s="542" t="s">
        <v>148</v>
      </c>
      <c r="C62" s="543">
        <f>SUM('2014'!M161)</f>
        <v>366173.913</v>
      </c>
      <c r="D62" s="541">
        <f t="shared" si="1"/>
        <v>46</v>
      </c>
    </row>
    <row r="63" spans="2:4" ht="12.75">
      <c r="B63" s="542" t="s">
        <v>144</v>
      </c>
      <c r="C63" s="543">
        <f>SUM('2014'!M162)</f>
        <v>0</v>
      </c>
      <c r="D63" s="541">
        <f t="shared" si="1"/>
        <v>101</v>
      </c>
    </row>
    <row r="64" spans="2:4" ht="12.75">
      <c r="B64" s="542" t="s">
        <v>141</v>
      </c>
      <c r="C64" s="543">
        <f>SUM('2014'!M163)</f>
        <v>332439.58</v>
      </c>
      <c r="D64" s="541">
        <f t="shared" si="1"/>
        <v>49</v>
      </c>
    </row>
    <row r="65" spans="2:4" ht="12.75">
      <c r="B65" s="542" t="s">
        <v>158</v>
      </c>
      <c r="C65" s="543">
        <f>SUM('2014'!M164)</f>
        <v>65662.911999999997</v>
      </c>
      <c r="D65" s="541">
        <f t="shared" si="1"/>
        <v>87</v>
      </c>
    </row>
    <row r="66" spans="2:4" ht="12.75">
      <c r="B66" s="542" t="s">
        <v>399</v>
      </c>
      <c r="C66" s="543">
        <f>SUM('2014'!M165)</f>
        <v>1656693.169</v>
      </c>
      <c r="D66" s="541">
        <f t="shared" ref="D66:D97" si="2">IFERROR(_xlfn.RANK.EQ(C66,$C$2:$C$102,0),"-")</f>
        <v>18</v>
      </c>
    </row>
    <row r="67" spans="2:4" ht="12.75">
      <c r="B67" s="542" t="s">
        <v>159</v>
      </c>
      <c r="C67" s="543">
        <f>SUM('2014'!M166)</f>
        <v>1203468.882</v>
      </c>
      <c r="D67" s="541">
        <f t="shared" si="2"/>
        <v>22</v>
      </c>
    </row>
    <row r="68" spans="2:4" ht="12.75">
      <c r="B68" s="542" t="s">
        <v>400</v>
      </c>
      <c r="C68" s="543">
        <f>SUM('2014'!M167)</f>
        <v>175467.75200000001</v>
      </c>
      <c r="D68" s="541">
        <f t="shared" si="2"/>
        <v>69</v>
      </c>
    </row>
    <row r="69" spans="2:4" ht="12.75">
      <c r="B69" s="542" t="s">
        <v>401</v>
      </c>
      <c r="C69" s="543">
        <f>SUM('2014'!M168)</f>
        <v>67506.682000000001</v>
      </c>
      <c r="D69" s="541">
        <f t="shared" si="2"/>
        <v>86</v>
      </c>
    </row>
    <row r="70" spans="2:4" ht="12.75">
      <c r="B70" s="542" t="s">
        <v>177</v>
      </c>
      <c r="C70" s="543">
        <f>SUM('2014'!M169)</f>
        <v>335337.63799999998</v>
      </c>
      <c r="D70" s="541">
        <f t="shared" si="2"/>
        <v>48</v>
      </c>
    </row>
    <row r="71" spans="2:4" ht="12.75">
      <c r="B71" s="542" t="s">
        <v>214</v>
      </c>
      <c r="C71" s="543">
        <f>SUM('2014'!M170)</f>
        <v>49975.92</v>
      </c>
      <c r="D71" s="541">
        <f t="shared" si="2"/>
        <v>89</v>
      </c>
    </row>
    <row r="72" spans="2:4" ht="12.75">
      <c r="B72" s="542" t="s">
        <v>265</v>
      </c>
      <c r="C72" s="543">
        <f>SUM('2014'!M171)</f>
        <v>295638.11800000002</v>
      </c>
      <c r="D72" s="541">
        <f t="shared" si="2"/>
        <v>51</v>
      </c>
    </row>
    <row r="73" spans="2:4" ht="12.75">
      <c r="B73" s="542" t="s">
        <v>150</v>
      </c>
      <c r="C73" s="543">
        <f>SUM('2014'!M172)</f>
        <v>295525.93199999997</v>
      </c>
      <c r="D73" s="541">
        <f t="shared" si="2"/>
        <v>52</v>
      </c>
    </row>
    <row r="74" spans="2:4" ht="12.75">
      <c r="B74" s="542" t="s">
        <v>264</v>
      </c>
      <c r="C74" s="543">
        <f>SUM('2014'!M173)</f>
        <v>755081.19</v>
      </c>
      <c r="D74" s="541">
        <f t="shared" si="2"/>
        <v>31</v>
      </c>
    </row>
    <row r="75" spans="2:4" ht="12.75">
      <c r="B75" s="542" t="s">
        <v>262</v>
      </c>
      <c r="C75" s="543">
        <f>SUM('2014'!M174)</f>
        <v>98579.702000000005</v>
      </c>
      <c r="D75" s="541">
        <f t="shared" si="2"/>
        <v>82</v>
      </c>
    </row>
    <row r="76" spans="2:4" ht="12.75">
      <c r="B76" s="542" t="s">
        <v>402</v>
      </c>
      <c r="C76" s="543">
        <f>SUM('2014'!M175)</f>
        <v>1366188.3559999999</v>
      </c>
      <c r="D76" s="541">
        <f t="shared" si="2"/>
        <v>19</v>
      </c>
    </row>
    <row r="77" spans="2:4" ht="12.75">
      <c r="B77" s="542" t="s">
        <v>223</v>
      </c>
      <c r="C77" s="543">
        <f>SUM('2014'!M176)</f>
        <v>49020.873</v>
      </c>
      <c r="D77" s="541">
        <f t="shared" si="2"/>
        <v>91</v>
      </c>
    </row>
    <row r="78" spans="2:4" ht="12.75">
      <c r="B78" s="542" t="s">
        <v>174</v>
      </c>
      <c r="C78" s="543">
        <f>SUM('2014'!M177)</f>
        <v>778104.97</v>
      </c>
      <c r="D78" s="541">
        <f t="shared" si="2"/>
        <v>30</v>
      </c>
    </row>
    <row r="79" spans="2:4" ht="12.75">
      <c r="B79" s="542" t="s">
        <v>225</v>
      </c>
      <c r="C79" s="543">
        <f>SUM('2014'!M178)</f>
        <v>1234733.747</v>
      </c>
      <c r="D79" s="541">
        <f t="shared" si="2"/>
        <v>21</v>
      </c>
    </row>
    <row r="80" spans="2:4" ht="12.75">
      <c r="B80" s="542" t="s">
        <v>140</v>
      </c>
      <c r="C80" s="543">
        <f>SUM('2014'!M179)</f>
        <v>158222.03099999999</v>
      </c>
      <c r="D80" s="541">
        <f t="shared" si="2"/>
        <v>73</v>
      </c>
    </row>
    <row r="81" spans="2:4" ht="12.75">
      <c r="B81" s="542" t="s">
        <v>403</v>
      </c>
      <c r="C81" s="543">
        <f>SUM('2014'!M180)</f>
        <v>232289.43700000001</v>
      </c>
      <c r="D81" s="541">
        <f t="shared" si="2"/>
        <v>59</v>
      </c>
    </row>
    <row r="82" spans="2:4" ht="12.75">
      <c r="B82" s="542" t="s">
        <v>259</v>
      </c>
      <c r="C82" s="543">
        <f>SUM('2014'!M181)</f>
        <v>168332.03099999999</v>
      </c>
      <c r="D82" s="541">
        <f t="shared" si="2"/>
        <v>72</v>
      </c>
    </row>
    <row r="83" spans="2:4" ht="12.75">
      <c r="B83" s="542" t="s">
        <v>167</v>
      </c>
      <c r="C83" s="543">
        <f>SUM('2014'!M182)</f>
        <v>20514.45</v>
      </c>
      <c r="D83" s="541">
        <f t="shared" si="2"/>
        <v>97</v>
      </c>
    </row>
    <row r="84" spans="2:4" ht="12.75">
      <c r="B84" s="542" t="s">
        <v>161</v>
      </c>
      <c r="C84" s="543">
        <f>SUM('2014'!M183)</f>
        <v>21932.852999999999</v>
      </c>
      <c r="D84" s="541">
        <f t="shared" si="2"/>
        <v>96</v>
      </c>
    </row>
    <row r="85" spans="2:4" ht="12.75">
      <c r="B85" s="542" t="s">
        <v>166</v>
      </c>
      <c r="C85" s="543">
        <f>SUM('2014'!M187)</f>
        <v>5145.8419999999996</v>
      </c>
      <c r="D85" s="541">
        <f t="shared" si="2"/>
        <v>100</v>
      </c>
    </row>
    <row r="86" spans="2:4" ht="12.75">
      <c r="B86" s="542" t="s">
        <v>404</v>
      </c>
      <c r="C86" s="543">
        <f>SUM('2014'!M188)</f>
        <v>102148.958</v>
      </c>
      <c r="D86" s="541">
        <f t="shared" si="2"/>
        <v>81</v>
      </c>
    </row>
    <row r="87" spans="2:4" ht="12.75">
      <c r="B87" s="542" t="s">
        <v>322</v>
      </c>
      <c r="C87" s="543">
        <f>SUM('2014'!M189)</f>
        <v>87940.801999999996</v>
      </c>
      <c r="D87" s="541">
        <f t="shared" si="2"/>
        <v>84</v>
      </c>
    </row>
    <row r="88" spans="2:4" ht="12.75">
      <c r="B88" s="542" t="s">
        <v>405</v>
      </c>
      <c r="C88" s="543">
        <f>SUM('2014'!M190)</f>
        <v>49124.311000000002</v>
      </c>
      <c r="D88" s="541">
        <f t="shared" si="2"/>
        <v>90</v>
      </c>
    </row>
    <row r="89" spans="2:4" ht="12.75">
      <c r="B89" s="542" t="s">
        <v>143</v>
      </c>
      <c r="C89" s="543">
        <f>SUM('2014'!M191)</f>
        <v>3137567.702</v>
      </c>
      <c r="D89" s="541">
        <f t="shared" si="2"/>
        <v>10</v>
      </c>
    </row>
    <row r="90" spans="2:4" ht="12.75">
      <c r="B90" s="542" t="s">
        <v>153</v>
      </c>
      <c r="C90" s="543">
        <f>SUM('2014'!M192)</f>
        <v>39887.620000000003</v>
      </c>
      <c r="D90" s="541">
        <f t="shared" si="2"/>
        <v>94</v>
      </c>
    </row>
    <row r="91" spans="2:4" ht="12.75">
      <c r="B91" s="542" t="s">
        <v>309</v>
      </c>
      <c r="C91" s="543">
        <f>SUM('2014'!M193)</f>
        <v>92180.611000000004</v>
      </c>
      <c r="D91" s="541">
        <f t="shared" si="2"/>
        <v>83</v>
      </c>
    </row>
    <row r="92" spans="2:4" ht="12.75">
      <c r="B92" s="542" t="s">
        <v>406</v>
      </c>
      <c r="C92" s="543">
        <f>SUM('2014'!M194)</f>
        <v>2641826.4130000002</v>
      </c>
      <c r="D92" s="541">
        <f t="shared" si="2"/>
        <v>13</v>
      </c>
    </row>
    <row r="93" spans="2:4" ht="12.75">
      <c r="B93" s="542" t="s">
        <v>407</v>
      </c>
      <c r="C93" s="543">
        <f>SUM('2014'!M195)</f>
        <v>1003215.613</v>
      </c>
      <c r="D93" s="541">
        <f t="shared" si="2"/>
        <v>28</v>
      </c>
    </row>
    <row r="94" spans="2:4" ht="12.75">
      <c r="B94" s="542" t="s">
        <v>183</v>
      </c>
      <c r="C94" s="543">
        <f>SUM('2014'!M196)</f>
        <v>2311114.0690000001</v>
      </c>
      <c r="D94" s="541">
        <f t="shared" si="2"/>
        <v>16</v>
      </c>
    </row>
    <row r="95" spans="2:4" ht="12.75">
      <c r="B95" s="542" t="s">
        <v>169</v>
      </c>
      <c r="C95" s="543">
        <f>SUM('2014'!M197)</f>
        <v>11382.45</v>
      </c>
      <c r="D95" s="541">
        <f t="shared" si="2"/>
        <v>99</v>
      </c>
    </row>
    <row r="96" spans="2:4" ht="12.75">
      <c r="B96" s="542" t="s">
        <v>263</v>
      </c>
      <c r="C96" s="543">
        <f>SUM('2014'!M198)</f>
        <v>206720.18599999999</v>
      </c>
      <c r="D96" s="541">
        <f t="shared" si="2"/>
        <v>61</v>
      </c>
    </row>
    <row r="97" spans="2:4" ht="12.75">
      <c r="B97" s="542" t="s">
        <v>175</v>
      </c>
      <c r="C97" s="543">
        <f>SUM('2014'!M199)</f>
        <v>62691.536999999997</v>
      </c>
      <c r="D97" s="541">
        <f t="shared" si="2"/>
        <v>88</v>
      </c>
    </row>
    <row r="98" spans="2:4" ht="12.75">
      <c r="B98" s="542" t="s">
        <v>220</v>
      </c>
      <c r="C98" s="543">
        <f>SUM('2014'!M200)</f>
        <v>663739.80599999998</v>
      </c>
      <c r="D98" s="541">
        <f t="shared" ref="D98:D112" si="3">IFERROR(_xlfn.RANK.EQ(C98,$C$2:$C$102,0),"-")</f>
        <v>35</v>
      </c>
    </row>
    <row r="99" spans="2:4" ht="12.75">
      <c r="B99" s="542" t="s">
        <v>408</v>
      </c>
      <c r="C99" s="543">
        <f>SUM('2014'!M201)</f>
        <v>700823.59299999999</v>
      </c>
      <c r="D99" s="541">
        <f t="shared" si="3"/>
        <v>32</v>
      </c>
    </row>
    <row r="100" spans="2:4" ht="12.75">
      <c r="B100" s="542" t="s">
        <v>409</v>
      </c>
      <c r="C100" s="543">
        <f>SUM('2014'!M202)</f>
        <v>46831.938999999998</v>
      </c>
      <c r="D100" s="541">
        <f t="shared" si="3"/>
        <v>93</v>
      </c>
    </row>
    <row r="101" spans="2:4" ht="12.75">
      <c r="B101" s="542" t="s">
        <v>410</v>
      </c>
      <c r="C101" s="543">
        <f>SUM('2014'!M203)</f>
        <v>47911.995000000003</v>
      </c>
      <c r="D101" s="541">
        <f t="shared" si="3"/>
        <v>92</v>
      </c>
    </row>
    <row r="102" spans="2:4" ht="12.75">
      <c r="B102" s="542" t="s">
        <v>411</v>
      </c>
      <c r="C102" s="543">
        <f>SUM('2014'!M204)</f>
        <v>18149.545999999998</v>
      </c>
      <c r="D102" s="541">
        <f t="shared" si="3"/>
        <v>98</v>
      </c>
    </row>
    <row r="103" spans="2:4" ht="12.75">
      <c r="B103" s="542" t="s">
        <v>333</v>
      </c>
      <c r="C103" s="543">
        <f>SUM('2014'!M212)</f>
        <v>0</v>
      </c>
      <c r="D103" s="541">
        <f t="shared" si="3"/>
        <v>101</v>
      </c>
    </row>
    <row r="104" spans="2:4" ht="12.75">
      <c r="B104" s="542" t="s">
        <v>157</v>
      </c>
      <c r="C104" s="543">
        <f>SUM('2014'!M205)</f>
        <v>9789.0390000000007</v>
      </c>
      <c r="D104" s="541" t="str">
        <f t="shared" si="3"/>
        <v>-</v>
      </c>
    </row>
    <row r="105" spans="2:4" ht="12.75">
      <c r="B105" s="542" t="s">
        <v>222</v>
      </c>
      <c r="C105" s="543">
        <f>SUM('2014'!M206)</f>
        <v>585054.66700000002</v>
      </c>
      <c r="D105" s="541" t="str">
        <f t="shared" si="3"/>
        <v>-</v>
      </c>
    </row>
    <row r="106" spans="2:4" ht="12.75">
      <c r="B106" s="542" t="s">
        <v>165</v>
      </c>
      <c r="C106" s="543">
        <f>SUM('2014'!M207)</f>
        <v>297482.91800000001</v>
      </c>
      <c r="D106" s="541" t="str">
        <f t="shared" si="3"/>
        <v>-</v>
      </c>
    </row>
    <row r="107" spans="2:4" ht="12.75">
      <c r="B107" s="542" t="s">
        <v>412</v>
      </c>
      <c r="C107" s="543">
        <f>SUM('2014'!M208)</f>
        <v>128266.841</v>
      </c>
      <c r="D107" s="541" t="str">
        <f t="shared" si="3"/>
        <v>-</v>
      </c>
    </row>
    <row r="108" spans="2:4" ht="12.75">
      <c r="B108" s="542" t="s">
        <v>168</v>
      </c>
      <c r="C108" s="543" t="e">
        <f>SUM('2014'!#REF!)</f>
        <v>#REF!</v>
      </c>
      <c r="D108" s="541" t="str">
        <f t="shared" si="3"/>
        <v>-</v>
      </c>
    </row>
    <row r="109" spans="2:4" ht="12.75">
      <c r="B109" s="542" t="s">
        <v>154</v>
      </c>
      <c r="C109" s="543">
        <f>SUM('2014'!M209)</f>
        <v>45085.434000000001</v>
      </c>
      <c r="D109" s="541" t="str">
        <f t="shared" si="3"/>
        <v>-</v>
      </c>
    </row>
    <row r="110" spans="2:4" ht="12.75">
      <c r="B110" s="542" t="s">
        <v>173</v>
      </c>
      <c r="C110" s="543">
        <f>SUM('2014'!M210)</f>
        <v>37797.995000000003</v>
      </c>
      <c r="D110" s="541" t="str">
        <f t="shared" si="3"/>
        <v>-</v>
      </c>
    </row>
    <row r="111" spans="2:4" ht="12.75">
      <c r="B111" s="542" t="s">
        <v>413</v>
      </c>
      <c r="C111" s="543">
        <f>SUM('2014'!M211)</f>
        <v>338.31299999999999</v>
      </c>
      <c r="D111" s="541" t="str">
        <f t="shared" si="3"/>
        <v>-</v>
      </c>
    </row>
    <row r="112" spans="2:4" ht="13.5" thickBot="1">
      <c r="B112" s="544" t="s">
        <v>414</v>
      </c>
      <c r="C112" s="545">
        <f>SUM('2014'!M213)</f>
        <v>-1722.232</v>
      </c>
      <c r="D112" s="546" t="str">
        <f t="shared" si="3"/>
        <v>-</v>
      </c>
    </row>
    <row r="207" spans="2:2">
      <c r="B207" s="515" t="s">
        <v>404</v>
      </c>
    </row>
    <row r="208" spans="2:2">
      <c r="B208" s="515" t="s">
        <v>322</v>
      </c>
    </row>
    <row r="209" spans="2:2">
      <c r="B209" s="515" t="s">
        <v>405</v>
      </c>
    </row>
    <row r="210" spans="2:2">
      <c r="B210" s="515" t="s">
        <v>143</v>
      </c>
    </row>
    <row r="211" spans="2:2">
      <c r="B211" s="515" t="s">
        <v>153</v>
      </c>
    </row>
    <row r="212" spans="2:2">
      <c r="B212" s="515" t="s">
        <v>309</v>
      </c>
    </row>
    <row r="213" spans="2:2">
      <c r="B213" s="515" t="s">
        <v>406</v>
      </c>
    </row>
    <row r="214" spans="2:2">
      <c r="B214" s="515" t="s">
        <v>407</v>
      </c>
    </row>
    <row r="215" spans="2:2">
      <c r="B215" s="515" t="s">
        <v>183</v>
      </c>
    </row>
    <row r="216" spans="2:2">
      <c r="B216" s="515" t="s">
        <v>169</v>
      </c>
    </row>
    <row r="217" spans="2:2">
      <c r="B217" s="515" t="s">
        <v>263</v>
      </c>
    </row>
    <row r="218" spans="2:2">
      <c r="B218" s="515" t="s">
        <v>175</v>
      </c>
    </row>
    <row r="219" spans="2:2">
      <c r="B219" s="515" t="s">
        <v>220</v>
      </c>
    </row>
    <row r="220" spans="2:2">
      <c r="B220" s="515" t="s">
        <v>408</v>
      </c>
    </row>
    <row r="221" spans="2:2">
      <c r="B221" s="515" t="s">
        <v>409</v>
      </c>
    </row>
    <row r="222" spans="2:2">
      <c r="B222" s="515" t="s">
        <v>410</v>
      </c>
    </row>
    <row r="223" spans="2:2">
      <c r="B223" s="515" t="s">
        <v>411</v>
      </c>
    </row>
    <row r="224" spans="2:2">
      <c r="B224" s="515" t="s">
        <v>157</v>
      </c>
    </row>
    <row r="225" spans="2:2">
      <c r="B225" s="515" t="s">
        <v>222</v>
      </c>
    </row>
    <row r="226" spans="2:2">
      <c r="B226" s="515" t="s">
        <v>165</v>
      </c>
    </row>
    <row r="227" spans="2:2">
      <c r="B227" s="515" t="s">
        <v>412</v>
      </c>
    </row>
    <row r="228" spans="2:2">
      <c r="B228" s="515" t="s">
        <v>168</v>
      </c>
    </row>
    <row r="229" spans="2:2">
      <c r="B229" s="515" t="s">
        <v>154</v>
      </c>
    </row>
    <row r="230" spans="2:2">
      <c r="B230" s="515" t="s">
        <v>173</v>
      </c>
    </row>
    <row r="231" spans="2:2">
      <c r="B231" s="515" t="s">
        <v>413</v>
      </c>
    </row>
    <row r="232" spans="2:2">
      <c r="B232" s="515" t="s">
        <v>333</v>
      </c>
    </row>
    <row r="233" spans="2:2">
      <c r="B233" s="516" t="s">
        <v>414</v>
      </c>
    </row>
  </sheetData>
  <autoFilter ref="D1:D233">
    <sortState ref="B2:D233">
      <sortCondition ref="D1:D233"/>
    </sortState>
  </autoFilter>
  <conditionalFormatting sqref="B233 B231 B227 B222:B223 B213:B214 B2:B5">
    <cfRule type="expression" dxfId="95" priority="334" stopIfTrue="1">
      <formula>#REF!="Yes"</formula>
    </cfRule>
  </conditionalFormatting>
  <conditionalFormatting sqref="B228">
    <cfRule type="expression" dxfId="94" priority="260" stopIfTrue="1">
      <formula>#REF!="Yes"</formula>
    </cfRule>
  </conditionalFormatting>
  <conditionalFormatting sqref="B229">
    <cfRule type="expression" dxfId="93" priority="259" stopIfTrue="1">
      <formula>#REF!="Yes"</formula>
    </cfRule>
  </conditionalFormatting>
  <conditionalFormatting sqref="B230">
    <cfRule type="expression" dxfId="92" priority="258" stopIfTrue="1">
      <formula>#REF!="Yes"</formula>
    </cfRule>
  </conditionalFormatting>
  <conditionalFormatting sqref="B232">
    <cfRule type="expression" dxfId="91" priority="257" stopIfTrue="1">
      <formula>#REF!="Yes"</formula>
    </cfRule>
  </conditionalFormatting>
  <conditionalFormatting sqref="B207">
    <cfRule type="expression" dxfId="90" priority="276" stopIfTrue="1">
      <formula>#REF!="Yes"</formula>
    </cfRule>
  </conditionalFormatting>
  <conditionalFormatting sqref="B208">
    <cfRule type="expression" dxfId="89" priority="275" stopIfTrue="1">
      <formula>#REF!="Yes"</formula>
    </cfRule>
  </conditionalFormatting>
  <conditionalFormatting sqref="B209">
    <cfRule type="expression" dxfId="88" priority="274" stopIfTrue="1">
      <formula>#REF!="Yes"</formula>
    </cfRule>
  </conditionalFormatting>
  <conditionalFormatting sqref="B210">
    <cfRule type="expression" dxfId="87" priority="273" stopIfTrue="1">
      <formula>#REF!="Yes"</formula>
    </cfRule>
  </conditionalFormatting>
  <conditionalFormatting sqref="B211">
    <cfRule type="expression" dxfId="86" priority="272" stopIfTrue="1">
      <formula>#REF!="Yes"</formula>
    </cfRule>
  </conditionalFormatting>
  <conditionalFormatting sqref="B212">
    <cfRule type="expression" dxfId="85" priority="271" stopIfTrue="1">
      <formula>#REF!="Yes"</formula>
    </cfRule>
  </conditionalFormatting>
  <conditionalFormatting sqref="B215">
    <cfRule type="expression" dxfId="84" priority="270" stopIfTrue="1">
      <formula>#REF!="Yes"</formula>
    </cfRule>
  </conditionalFormatting>
  <conditionalFormatting sqref="B216">
    <cfRule type="expression" dxfId="83" priority="269" stopIfTrue="1">
      <formula>#REF!="Yes"</formula>
    </cfRule>
  </conditionalFormatting>
  <conditionalFormatting sqref="B217">
    <cfRule type="expression" dxfId="82" priority="268" stopIfTrue="1">
      <formula>#REF!="Yes"</formula>
    </cfRule>
  </conditionalFormatting>
  <conditionalFormatting sqref="B218">
    <cfRule type="expression" dxfId="81" priority="267" stopIfTrue="1">
      <formula>#REF!="Yes"</formula>
    </cfRule>
  </conditionalFormatting>
  <conditionalFormatting sqref="B219">
    <cfRule type="expression" dxfId="80" priority="266" stopIfTrue="1">
      <formula>#REF!="Yes"</formula>
    </cfRule>
  </conditionalFormatting>
  <conditionalFormatting sqref="B220">
    <cfRule type="expression" dxfId="79" priority="265" stopIfTrue="1">
      <formula>#REF!="Yes"</formula>
    </cfRule>
  </conditionalFormatting>
  <conditionalFormatting sqref="B221">
    <cfRule type="expression" dxfId="78" priority="264" stopIfTrue="1">
      <formula>#REF!="Yes"</formula>
    </cfRule>
  </conditionalFormatting>
  <conditionalFormatting sqref="B224">
    <cfRule type="expression" dxfId="77" priority="263" stopIfTrue="1">
      <formula>#REF!="Yes"</formula>
    </cfRule>
  </conditionalFormatting>
  <conditionalFormatting sqref="B225">
    <cfRule type="expression" dxfId="76" priority="262" stopIfTrue="1">
      <formula>#REF!="Yes"</formula>
    </cfRule>
  </conditionalFormatting>
  <conditionalFormatting sqref="B226">
    <cfRule type="expression" dxfId="75" priority="261" stopIfTrue="1">
      <formula>#REF!="Yes"</formula>
    </cfRule>
  </conditionalFormatting>
  <conditionalFormatting sqref="B6:B112">
    <cfRule type="expression" dxfId="74" priority="154" stopIfTrue="1">
      <formula>#REF!="Yes"</formula>
    </cfRule>
  </conditionalFormatting>
  <conditionalFormatting sqref="B6:B112">
    <cfRule type="expression" dxfId="73" priority="155" stopIfTrue="1">
      <formula>#REF!="Yes"</formula>
    </cfRule>
  </conditionalFormatting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2"/>
  <sheetViews>
    <sheetView zoomScale="80" zoomScaleNormal="80" workbookViewId="0">
      <selection activeCell="C3" sqref="C3"/>
    </sheetView>
  </sheetViews>
  <sheetFormatPr defaultColWidth="9.1640625" defaultRowHeight="11.25"/>
  <cols>
    <col min="1" max="1" width="9.1640625" style="511"/>
    <col min="2" max="2" width="7" style="511" customWidth="1"/>
    <col min="3" max="3" width="53.83203125" style="511" customWidth="1"/>
    <col min="4" max="4" width="16.1640625" style="511" bestFit="1" customWidth="1"/>
    <col min="5" max="16384" width="9.1640625" style="511"/>
  </cols>
  <sheetData>
    <row r="1" spans="2:5" ht="15.75" thickBot="1">
      <c r="B1" s="538"/>
      <c r="C1" s="547">
        <v>2013</v>
      </c>
      <c r="D1" s="548" t="s">
        <v>428</v>
      </c>
      <c r="E1" s="549" t="s">
        <v>122</v>
      </c>
    </row>
    <row r="2" spans="2:5" ht="13.5" thickTop="1">
      <c r="C2" s="542" t="s">
        <v>418</v>
      </c>
      <c r="D2" s="543">
        <f>SUM('2013'!L4:L23)</f>
        <v>39255244.148999996</v>
      </c>
      <c r="E2" s="541">
        <f t="shared" ref="E2:E33" si="0">IFERROR(_xlfn.RANK.EQ(D2,$D$2:$D$103,0),"-")</f>
        <v>1</v>
      </c>
    </row>
    <row r="3" spans="2:5" ht="12.75">
      <c r="C3" s="542" t="s">
        <v>419</v>
      </c>
      <c r="D3" s="543">
        <f>SUM('2013'!L24:L39)</f>
        <v>27929307.888069998</v>
      </c>
      <c r="E3" s="541">
        <f t="shared" si="0"/>
        <v>2</v>
      </c>
    </row>
    <row r="4" spans="2:5" ht="12.75">
      <c r="C4" s="542" t="s">
        <v>420</v>
      </c>
      <c r="D4" s="543">
        <f>SUM('2013'!L40:L59)</f>
        <v>21361427.271000002</v>
      </c>
      <c r="E4" s="541">
        <f t="shared" si="0"/>
        <v>4</v>
      </c>
    </row>
    <row r="5" spans="2:5" ht="12.75">
      <c r="C5" s="542" t="s">
        <v>421</v>
      </c>
      <c r="D5" s="543">
        <f>SUM('2013'!L60:L76)</f>
        <v>14979275.103400001</v>
      </c>
      <c r="E5" s="541">
        <f t="shared" si="0"/>
        <v>5</v>
      </c>
    </row>
    <row r="6" spans="2:5" ht="12.75">
      <c r="C6" s="542" t="s">
        <v>424</v>
      </c>
      <c r="D6" s="543">
        <f>SUM('2013'!L83:L96)</f>
        <v>7073678.6189999999</v>
      </c>
      <c r="E6" s="541">
        <f t="shared" si="0"/>
        <v>6</v>
      </c>
    </row>
    <row r="7" spans="2:5" ht="12.75">
      <c r="C7" s="542" t="s">
        <v>222</v>
      </c>
      <c r="D7" s="543">
        <f>'2013'!L194</f>
        <v>2409118.338</v>
      </c>
      <c r="E7" s="541">
        <f t="shared" si="0"/>
        <v>13</v>
      </c>
    </row>
    <row r="8" spans="2:5" ht="12.75">
      <c r="C8" s="542" t="s">
        <v>423</v>
      </c>
      <c r="D8" s="543">
        <f>SUM('2013'!L77:L82)</f>
        <v>4108757.665</v>
      </c>
      <c r="E8" s="541">
        <f t="shared" si="0"/>
        <v>8</v>
      </c>
    </row>
    <row r="9" spans="2:5" ht="12.75">
      <c r="C9" s="542" t="s">
        <v>414</v>
      </c>
      <c r="D9" s="543">
        <f>'2013'!L199</f>
        <v>60.115000000000002</v>
      </c>
      <c r="E9" s="541">
        <f t="shared" si="0"/>
        <v>98</v>
      </c>
    </row>
    <row r="10" spans="2:5" ht="12.75">
      <c r="C10" s="542" t="s">
        <v>426</v>
      </c>
      <c r="D10" s="543">
        <f>SUM('2013'!L108:L112)</f>
        <v>1660312.939</v>
      </c>
      <c r="E10" s="541">
        <f t="shared" si="0"/>
        <v>16</v>
      </c>
    </row>
    <row r="11" spans="2:5" ht="12.75">
      <c r="C11" s="542" t="s">
        <v>425</v>
      </c>
      <c r="D11" s="543">
        <f>SUM('2013'!L101:L104)</f>
        <v>1316148.328</v>
      </c>
      <c r="E11" s="541">
        <f t="shared" si="0"/>
        <v>18</v>
      </c>
    </row>
    <row r="12" spans="2:5" ht="12.75">
      <c r="C12" s="542" t="s">
        <v>416</v>
      </c>
      <c r="D12" s="543" t="str">
        <f>'2013'!L201</f>
        <v>-</v>
      </c>
      <c r="E12" s="541" t="str">
        <f t="shared" si="0"/>
        <v>-</v>
      </c>
    </row>
    <row r="13" spans="2:5" ht="12.75">
      <c r="C13" s="542" t="s">
        <v>415</v>
      </c>
      <c r="D13" s="543">
        <f>'2013'!L200</f>
        <v>-1858.3789999999999</v>
      </c>
      <c r="E13" s="541">
        <f t="shared" si="0"/>
        <v>99</v>
      </c>
    </row>
    <row r="14" spans="2:5" ht="12.75">
      <c r="C14" s="542" t="s">
        <v>165</v>
      </c>
      <c r="D14" s="543">
        <f>'2013'!L195</f>
        <v>104339.035</v>
      </c>
      <c r="E14" s="541">
        <f t="shared" si="0"/>
        <v>75</v>
      </c>
    </row>
    <row r="15" spans="2:5" ht="12.75">
      <c r="C15" s="542" t="s">
        <v>270</v>
      </c>
      <c r="D15" s="543">
        <f>SUM('2013'!L116:L117)</f>
        <v>6393189.5989999995</v>
      </c>
      <c r="E15" s="541">
        <f t="shared" si="0"/>
        <v>7</v>
      </c>
    </row>
    <row r="16" spans="2:5" ht="12.75">
      <c r="C16" s="542" t="s">
        <v>411</v>
      </c>
      <c r="D16" s="543">
        <f>'2013'!L192</f>
        <v>8307.4359999999997</v>
      </c>
      <c r="E16" s="541">
        <f t="shared" si="0"/>
        <v>94</v>
      </c>
    </row>
    <row r="17" spans="3:5" ht="12.75">
      <c r="C17" s="542" t="s">
        <v>203</v>
      </c>
      <c r="D17" s="543">
        <f>'2013'!L97</f>
        <v>1302162.976</v>
      </c>
      <c r="E17" s="541">
        <f t="shared" si="0"/>
        <v>19</v>
      </c>
    </row>
    <row r="18" spans="3:5" ht="12.75">
      <c r="C18" s="542" t="s">
        <v>232</v>
      </c>
      <c r="D18" s="543">
        <f>'2013'!L98</f>
        <v>231486.74100000001</v>
      </c>
      <c r="E18" s="541">
        <f t="shared" si="0"/>
        <v>55</v>
      </c>
    </row>
    <row r="19" spans="3:5" ht="12.75">
      <c r="C19" s="542" t="s">
        <v>329</v>
      </c>
      <c r="D19" s="543">
        <f>'2013'!L99</f>
        <v>225336.97</v>
      </c>
      <c r="E19" s="541">
        <f t="shared" si="0"/>
        <v>56</v>
      </c>
    </row>
    <row r="20" spans="3:5" ht="12.75">
      <c r="C20" s="542" t="s">
        <v>326</v>
      </c>
      <c r="D20" s="543">
        <f>'2013'!L100</f>
        <v>247485.83100000001</v>
      </c>
      <c r="E20" s="541">
        <f t="shared" si="0"/>
        <v>53</v>
      </c>
    </row>
    <row r="21" spans="3:5" ht="12.75">
      <c r="C21" s="542" t="s">
        <v>330</v>
      </c>
      <c r="D21" s="543">
        <f>'2013'!L105</f>
        <v>305880.72100000002</v>
      </c>
      <c r="E21" s="541">
        <f t="shared" si="0"/>
        <v>49</v>
      </c>
    </row>
    <row r="22" spans="3:5" ht="12.75">
      <c r="C22" s="542" t="s">
        <v>142</v>
      </c>
      <c r="D22" s="543">
        <f>'2013'!L106</f>
        <v>347330.75699999998</v>
      </c>
      <c r="E22" s="541">
        <f t="shared" si="0"/>
        <v>44</v>
      </c>
    </row>
    <row r="23" spans="3:5" ht="12.75">
      <c r="C23" s="542" t="s">
        <v>244</v>
      </c>
      <c r="D23" s="543">
        <f>'2013'!L107</f>
        <v>360632.89899999998</v>
      </c>
      <c r="E23" s="541">
        <f t="shared" si="0"/>
        <v>42</v>
      </c>
    </row>
    <row r="24" spans="3:5" ht="12.75">
      <c r="C24" s="542" t="s">
        <v>162</v>
      </c>
      <c r="D24" s="543">
        <f>'2013'!L113</f>
        <v>206967.05</v>
      </c>
      <c r="E24" s="541">
        <f t="shared" si="0"/>
        <v>58</v>
      </c>
    </row>
    <row r="25" spans="3:5" ht="12.75">
      <c r="C25" s="542" t="s">
        <v>331</v>
      </c>
      <c r="D25" s="543">
        <f>'2013'!L114</f>
        <v>224839.826</v>
      </c>
      <c r="E25" s="541">
        <f t="shared" si="0"/>
        <v>57</v>
      </c>
    </row>
    <row r="26" spans="3:5" ht="12.75">
      <c r="C26" s="542" t="s">
        <v>386</v>
      </c>
      <c r="D26" s="543">
        <f>'2013'!L115</f>
        <v>244500.59400000001</v>
      </c>
      <c r="E26" s="541">
        <f t="shared" si="0"/>
        <v>54</v>
      </c>
    </row>
    <row r="27" spans="3:5" ht="12.75">
      <c r="C27" s="542" t="s">
        <v>147</v>
      </c>
      <c r="D27" s="543">
        <f>'2013'!L118</f>
        <v>1356118.9350000001</v>
      </c>
      <c r="E27" s="541">
        <f t="shared" si="0"/>
        <v>17</v>
      </c>
    </row>
    <row r="28" spans="3:5" ht="12.75">
      <c r="C28" s="542" t="s">
        <v>261</v>
      </c>
      <c r="D28" s="543">
        <f>'2013'!L119</f>
        <v>162900.37599999999</v>
      </c>
      <c r="E28" s="541">
        <f t="shared" si="0"/>
        <v>64</v>
      </c>
    </row>
    <row r="29" spans="3:5" ht="12.75">
      <c r="C29" s="542" t="s">
        <v>387</v>
      </c>
      <c r="D29" s="543">
        <f>'2013'!L120</f>
        <v>704251.48899999994</v>
      </c>
      <c r="E29" s="541">
        <f t="shared" si="0"/>
        <v>26</v>
      </c>
    </row>
    <row r="30" spans="3:5" ht="12.75">
      <c r="C30" s="542" t="s">
        <v>163</v>
      </c>
      <c r="D30" s="543">
        <f>'2013'!L121</f>
        <v>783691.00699999998</v>
      </c>
      <c r="E30" s="541">
        <f t="shared" si="0"/>
        <v>25</v>
      </c>
    </row>
    <row r="31" spans="3:5" ht="12.75">
      <c r="C31" s="542" t="s">
        <v>146</v>
      </c>
      <c r="D31" s="543">
        <f>'2013'!L122</f>
        <v>126921.817</v>
      </c>
      <c r="E31" s="541">
        <f t="shared" si="0"/>
        <v>68</v>
      </c>
    </row>
    <row r="32" spans="3:5" ht="12.75">
      <c r="C32" s="542" t="s">
        <v>156</v>
      </c>
      <c r="D32" s="543">
        <f>'2013'!L123</f>
        <v>587469.99800000002</v>
      </c>
      <c r="E32" s="541">
        <f t="shared" si="0"/>
        <v>31</v>
      </c>
    </row>
    <row r="33" spans="3:5" ht="12.75">
      <c r="C33" s="542" t="s">
        <v>221</v>
      </c>
      <c r="D33" s="543">
        <f>'2013'!L124</f>
        <v>199562.06200000001</v>
      </c>
      <c r="E33" s="541">
        <f t="shared" si="0"/>
        <v>60</v>
      </c>
    </row>
    <row r="34" spans="3:5" ht="12.75">
      <c r="C34" s="542" t="s">
        <v>230</v>
      </c>
      <c r="D34" s="543">
        <f>'2013'!L125</f>
        <v>2463180.9130000002</v>
      </c>
      <c r="E34" s="541">
        <f t="shared" ref="E34:E65" si="1">IFERROR(_xlfn.RANK.EQ(D34,$D$2:$D$103,0),"-")</f>
        <v>12</v>
      </c>
    </row>
    <row r="35" spans="3:5" ht="12.75">
      <c r="C35" s="542" t="s">
        <v>388</v>
      </c>
      <c r="D35" s="543">
        <f>'2013'!L126</f>
        <v>1076697.321</v>
      </c>
      <c r="E35" s="541">
        <f t="shared" si="1"/>
        <v>23</v>
      </c>
    </row>
    <row r="36" spans="3:5" ht="12.75">
      <c r="C36" s="542" t="s">
        <v>152</v>
      </c>
      <c r="D36" s="543">
        <f>'2013'!L127</f>
        <v>265304.88099999999</v>
      </c>
      <c r="E36" s="541">
        <f t="shared" si="1"/>
        <v>52</v>
      </c>
    </row>
    <row r="37" spans="3:5" ht="12.75">
      <c r="C37" s="542" t="s">
        <v>389</v>
      </c>
      <c r="D37" s="543">
        <f>'2013'!L128</f>
        <v>423383.15</v>
      </c>
      <c r="E37" s="541">
        <f t="shared" si="1"/>
        <v>39</v>
      </c>
    </row>
    <row r="38" spans="3:5" ht="12.75">
      <c r="C38" s="542" t="s">
        <v>390</v>
      </c>
      <c r="D38" s="543">
        <f>'2013'!L129</f>
        <v>163732.514</v>
      </c>
      <c r="E38" s="541">
        <f t="shared" si="1"/>
        <v>63</v>
      </c>
    </row>
    <row r="39" spans="3:5" ht="12.75">
      <c r="C39" s="542" t="s">
        <v>318</v>
      </c>
      <c r="D39" s="543">
        <f>'2013'!L130</f>
        <v>203658.84700000001</v>
      </c>
      <c r="E39" s="541">
        <f t="shared" si="1"/>
        <v>59</v>
      </c>
    </row>
    <row r="40" spans="3:5" ht="12.75">
      <c r="C40" s="542" t="s">
        <v>227</v>
      </c>
      <c r="D40" s="543">
        <f>'2013'!L131</f>
        <v>315385.489</v>
      </c>
      <c r="E40" s="541">
        <f t="shared" si="1"/>
        <v>46</v>
      </c>
    </row>
    <row r="41" spans="3:5" ht="12.75">
      <c r="C41" s="542" t="s">
        <v>327</v>
      </c>
      <c r="D41" s="543">
        <f>'2013'!L132</f>
        <v>123207.095</v>
      </c>
      <c r="E41" s="541">
        <f t="shared" si="1"/>
        <v>69</v>
      </c>
    </row>
    <row r="42" spans="3:5" ht="12.75">
      <c r="C42" s="542" t="s">
        <v>243</v>
      </c>
      <c r="D42" s="543">
        <f>'2013'!L133</f>
        <v>519408.55300000001</v>
      </c>
      <c r="E42" s="541">
        <f t="shared" si="1"/>
        <v>35</v>
      </c>
    </row>
    <row r="43" spans="3:5" ht="12.75">
      <c r="C43" s="542" t="s">
        <v>151</v>
      </c>
      <c r="D43" s="543">
        <f>'2013'!L134</f>
        <v>442824.24599999998</v>
      </c>
      <c r="E43" s="541">
        <f t="shared" si="1"/>
        <v>38</v>
      </c>
    </row>
    <row r="44" spans="3:5" ht="12.75">
      <c r="C44" s="542" t="s">
        <v>184</v>
      </c>
      <c r="D44" s="543">
        <f>'2013'!L135</f>
        <v>170854.802</v>
      </c>
      <c r="E44" s="541">
        <f t="shared" si="1"/>
        <v>62</v>
      </c>
    </row>
    <row r="45" spans="3:5" ht="12.75">
      <c r="C45" s="542" t="s">
        <v>218</v>
      </c>
      <c r="D45" s="543">
        <f>'2013'!L136</f>
        <v>417970.36499999999</v>
      </c>
      <c r="E45" s="541">
        <f t="shared" si="1"/>
        <v>40</v>
      </c>
    </row>
    <row r="46" spans="3:5" ht="12.75">
      <c r="C46" s="542" t="s">
        <v>391</v>
      </c>
      <c r="D46" s="543">
        <f>'2013'!L137</f>
        <v>651028.13399999996</v>
      </c>
      <c r="E46" s="541">
        <f t="shared" si="1"/>
        <v>28</v>
      </c>
    </row>
    <row r="47" spans="3:5" ht="12.75">
      <c r="C47" s="542" t="s">
        <v>392</v>
      </c>
      <c r="D47" s="543">
        <f>'2013'!L138</f>
        <v>116801.16800000001</v>
      </c>
      <c r="E47" s="541">
        <f t="shared" si="1"/>
        <v>71</v>
      </c>
    </row>
    <row r="48" spans="3:5" ht="12.75">
      <c r="C48" s="542" t="s">
        <v>155</v>
      </c>
      <c r="D48" s="543">
        <f>'2013'!L139</f>
        <v>589555.022</v>
      </c>
      <c r="E48" s="541">
        <f t="shared" si="1"/>
        <v>30</v>
      </c>
    </row>
    <row r="49" spans="3:5" ht="12.75">
      <c r="C49" s="542" t="s">
        <v>393</v>
      </c>
      <c r="D49" s="543">
        <f>'2013'!L140</f>
        <v>523087.83</v>
      </c>
      <c r="E49" s="541">
        <f t="shared" si="1"/>
        <v>34</v>
      </c>
    </row>
    <row r="50" spans="3:5" ht="12.75">
      <c r="C50" s="542" t="s">
        <v>164</v>
      </c>
      <c r="D50" s="543">
        <f>'2013'!L141</f>
        <v>1678557.6129999999</v>
      </c>
      <c r="E50" s="541">
        <f t="shared" si="1"/>
        <v>15</v>
      </c>
    </row>
    <row r="51" spans="3:5" ht="12.75">
      <c r="C51" s="542" t="s">
        <v>202</v>
      </c>
      <c r="D51" s="543">
        <f>'2013'!L142</f>
        <v>107149.6</v>
      </c>
      <c r="E51" s="541">
        <f t="shared" si="1"/>
        <v>74</v>
      </c>
    </row>
    <row r="52" spans="3:5" ht="12.75">
      <c r="C52" s="542" t="s">
        <v>394</v>
      </c>
      <c r="D52" s="543">
        <f>'2013'!L143</f>
        <v>133925.603</v>
      </c>
      <c r="E52" s="541">
        <f t="shared" si="1"/>
        <v>67</v>
      </c>
    </row>
    <row r="53" spans="3:5" ht="12.75">
      <c r="C53" s="542" t="s">
        <v>149</v>
      </c>
      <c r="D53" s="543">
        <f>'2013'!L144</f>
        <v>363521.93</v>
      </c>
      <c r="E53" s="541">
        <f t="shared" si="1"/>
        <v>41</v>
      </c>
    </row>
    <row r="54" spans="3:5" ht="12.75">
      <c r="C54" s="542" t="s">
        <v>395</v>
      </c>
      <c r="D54" s="543">
        <f>'2013'!L145</f>
        <v>80042.339000000007</v>
      </c>
      <c r="E54" s="541">
        <f t="shared" si="1"/>
        <v>78</v>
      </c>
    </row>
    <row r="55" spans="3:5" ht="12.75">
      <c r="C55" s="542" t="s">
        <v>236</v>
      </c>
      <c r="D55" s="543">
        <f>'2013'!L146</f>
        <v>117527.147</v>
      </c>
      <c r="E55" s="541">
        <f t="shared" si="1"/>
        <v>70</v>
      </c>
    </row>
    <row r="56" spans="3:5" ht="12.75">
      <c r="C56" s="542" t="s">
        <v>396</v>
      </c>
      <c r="D56" s="543">
        <f>'2013'!L147</f>
        <v>56956.201999999997</v>
      </c>
      <c r="E56" s="541">
        <f t="shared" si="1"/>
        <v>81</v>
      </c>
    </row>
    <row r="57" spans="3:5" ht="12.75">
      <c r="C57" s="542" t="s">
        <v>332</v>
      </c>
      <c r="D57" s="543">
        <f>'2013'!L148</f>
        <v>268041.96600000001</v>
      </c>
      <c r="E57" s="541">
        <f t="shared" si="1"/>
        <v>51</v>
      </c>
    </row>
    <row r="58" spans="3:5" ht="12.75">
      <c r="C58" s="542" t="s">
        <v>269</v>
      </c>
      <c r="D58" s="543">
        <f>'2013'!L149</f>
        <v>2124314.6370000001</v>
      </c>
      <c r="E58" s="541">
        <f t="shared" si="1"/>
        <v>14</v>
      </c>
    </row>
    <row r="59" spans="3:5" ht="12.75">
      <c r="C59" s="542" t="s">
        <v>397</v>
      </c>
      <c r="D59" s="543">
        <f>'2013'!L150</f>
        <v>57042.917000000001</v>
      </c>
      <c r="E59" s="541">
        <f t="shared" si="1"/>
        <v>80</v>
      </c>
    </row>
    <row r="60" spans="3:5" ht="12.75">
      <c r="C60" s="542" t="s">
        <v>398</v>
      </c>
      <c r="D60" s="543">
        <f>'2013'!L151</f>
        <v>56654.233999999997</v>
      </c>
      <c r="E60" s="541">
        <f t="shared" si="1"/>
        <v>82</v>
      </c>
    </row>
    <row r="61" spans="3:5" ht="12.75">
      <c r="C61" s="542" t="s">
        <v>205</v>
      </c>
      <c r="D61" s="543">
        <f>'2013'!L152</f>
        <v>1158960.5449999999</v>
      </c>
      <c r="E61" s="541">
        <f t="shared" si="1"/>
        <v>21</v>
      </c>
    </row>
    <row r="62" spans="3:5" ht="12.75">
      <c r="C62" s="542" t="s">
        <v>148</v>
      </c>
      <c r="D62" s="543">
        <f>'2013'!L153</f>
        <v>492906.09399999998</v>
      </c>
      <c r="E62" s="541">
        <f t="shared" si="1"/>
        <v>36</v>
      </c>
    </row>
    <row r="63" spans="3:5" ht="12.75">
      <c r="C63" s="542" t="s">
        <v>144</v>
      </c>
      <c r="D63" s="543">
        <f>'2013'!L154</f>
        <v>457096.212</v>
      </c>
      <c r="E63" s="541">
        <f t="shared" si="1"/>
        <v>37</v>
      </c>
    </row>
    <row r="64" spans="3:5" ht="12.75">
      <c r="C64" s="542" t="s">
        <v>427</v>
      </c>
      <c r="D64" s="543">
        <f>SUM('2013'!L173:L175)</f>
        <v>849955.44799999997</v>
      </c>
      <c r="E64" s="541">
        <f t="shared" si="1"/>
        <v>24</v>
      </c>
    </row>
    <row r="65" spans="3:5" ht="12.75">
      <c r="C65" s="542" t="s">
        <v>141</v>
      </c>
      <c r="D65" s="543">
        <f>'2013'!L155</f>
        <v>309416.19099999999</v>
      </c>
      <c r="E65" s="541">
        <f t="shared" si="1"/>
        <v>47</v>
      </c>
    </row>
    <row r="66" spans="3:5" ht="12.75">
      <c r="C66" s="542" t="s">
        <v>158</v>
      </c>
      <c r="D66" s="543">
        <f>'2013'!L156</f>
        <v>22686727.885000002</v>
      </c>
      <c r="E66" s="541">
        <f t="shared" ref="E66:E97" si="2">IFERROR(_xlfn.RANK.EQ(D66,$D$2:$D$103,0),"-")</f>
        <v>3</v>
      </c>
    </row>
    <row r="67" spans="3:5" ht="12.75">
      <c r="C67" s="542" t="s">
        <v>399</v>
      </c>
      <c r="D67" s="543">
        <f>'2013'!L157</f>
        <v>308198.783</v>
      </c>
      <c r="E67" s="541">
        <f t="shared" si="2"/>
        <v>48</v>
      </c>
    </row>
    <row r="68" spans="3:5" ht="12.75">
      <c r="C68" s="542" t="s">
        <v>400</v>
      </c>
      <c r="D68" s="543">
        <f>'2013'!L158</f>
        <v>3694249.3670000001</v>
      </c>
      <c r="E68" s="541">
        <f t="shared" si="2"/>
        <v>9</v>
      </c>
    </row>
    <row r="69" spans="3:5" ht="12.75">
      <c r="C69" s="542" t="s">
        <v>401</v>
      </c>
      <c r="D69" s="543">
        <f>'2013'!L159</f>
        <v>54326.661999999997</v>
      </c>
      <c r="E69" s="541">
        <f t="shared" si="2"/>
        <v>83</v>
      </c>
    </row>
    <row r="70" spans="3:5" ht="12.75">
      <c r="C70" s="542" t="s">
        <v>177</v>
      </c>
      <c r="D70" s="543">
        <f>'2013'!L160</f>
        <v>283939.94900000002</v>
      </c>
      <c r="E70" s="541">
        <f t="shared" si="2"/>
        <v>50</v>
      </c>
    </row>
    <row r="71" spans="3:5" ht="12.75">
      <c r="C71" s="542" t="s">
        <v>214</v>
      </c>
      <c r="D71" s="543">
        <f>'2013'!L161</f>
        <v>40947.559000000001</v>
      </c>
      <c r="E71" s="541">
        <f t="shared" si="2"/>
        <v>88</v>
      </c>
    </row>
    <row r="72" spans="3:5" ht="12.75">
      <c r="C72" s="542" t="s">
        <v>265</v>
      </c>
      <c r="D72" s="543">
        <f>'2013'!L162</f>
        <v>108458.424</v>
      </c>
      <c r="E72" s="541">
        <f t="shared" si="2"/>
        <v>73</v>
      </c>
    </row>
    <row r="73" spans="3:5" ht="12.75">
      <c r="C73" s="542" t="s">
        <v>150</v>
      </c>
      <c r="D73" s="543">
        <f>'2013'!L163</f>
        <v>109037.673</v>
      </c>
      <c r="E73" s="541">
        <f t="shared" si="2"/>
        <v>72</v>
      </c>
    </row>
    <row r="74" spans="3:5" ht="12.75">
      <c r="C74" s="542" t="s">
        <v>262</v>
      </c>
      <c r="D74" s="543">
        <f>'2013'!L164</f>
        <v>1195381.4850000001</v>
      </c>
      <c r="E74" s="541">
        <f t="shared" si="2"/>
        <v>20</v>
      </c>
    </row>
    <row r="75" spans="3:5" ht="12.75">
      <c r="C75" s="542" t="s">
        <v>402</v>
      </c>
      <c r="D75" s="543" t="str">
        <f>'2013'!L165</f>
        <v>NA</v>
      </c>
      <c r="E75" s="541" t="str">
        <f t="shared" si="2"/>
        <v>-</v>
      </c>
    </row>
    <row r="76" spans="3:5" ht="12.75">
      <c r="C76" s="542" t="s">
        <v>223</v>
      </c>
      <c r="D76" s="543">
        <f>'2013'!L166</f>
        <v>51243.063999999998</v>
      </c>
      <c r="E76" s="541">
        <f t="shared" si="2"/>
        <v>86</v>
      </c>
    </row>
    <row r="77" spans="3:5" ht="12.75">
      <c r="C77" s="542" t="s">
        <v>174</v>
      </c>
      <c r="D77" s="543">
        <f>'2013'!L167</f>
        <v>546640.71799999999</v>
      </c>
      <c r="E77" s="541">
        <f t="shared" si="2"/>
        <v>33</v>
      </c>
    </row>
    <row r="78" spans="3:5" ht="12.75">
      <c r="C78" s="542" t="s">
        <v>225</v>
      </c>
      <c r="D78" s="543">
        <f>'2013'!L168</f>
        <v>50503.059000000001</v>
      </c>
      <c r="E78" s="541">
        <f t="shared" si="2"/>
        <v>87</v>
      </c>
    </row>
    <row r="79" spans="3:5" ht="12.75">
      <c r="C79" s="542" t="s">
        <v>403</v>
      </c>
      <c r="D79" s="543">
        <f>'2013'!L169</f>
        <v>637030.576</v>
      </c>
      <c r="E79" s="541">
        <f t="shared" si="2"/>
        <v>29</v>
      </c>
    </row>
    <row r="80" spans="3:5" ht="12.75">
      <c r="C80" s="542" t="s">
        <v>259</v>
      </c>
      <c r="D80" s="543">
        <f>'2013'!L170</f>
        <v>53985.178</v>
      </c>
      <c r="E80" s="541">
        <f t="shared" si="2"/>
        <v>84</v>
      </c>
    </row>
    <row r="81" spans="3:5" ht="12.75">
      <c r="C81" s="542" t="s">
        <v>167</v>
      </c>
      <c r="D81" s="543">
        <f>'2013'!L171</f>
        <v>76196.698999999993</v>
      </c>
      <c r="E81" s="541">
        <f t="shared" si="2"/>
        <v>79</v>
      </c>
    </row>
    <row r="82" spans="3:5" ht="12.75">
      <c r="C82" s="542" t="s">
        <v>161</v>
      </c>
      <c r="D82" s="543">
        <f>'2013'!L172</f>
        <v>189061.45300000001</v>
      </c>
      <c r="E82" s="541">
        <f t="shared" si="2"/>
        <v>61</v>
      </c>
    </row>
    <row r="83" spans="3:5" ht="12.75">
      <c r="C83" s="542" t="s">
        <v>166</v>
      </c>
      <c r="D83" s="543">
        <f>'2013'!L176</f>
        <v>151270.666</v>
      </c>
      <c r="E83" s="541">
        <f t="shared" si="2"/>
        <v>66</v>
      </c>
    </row>
    <row r="84" spans="3:5" ht="12.75">
      <c r="C84" s="542" t="s">
        <v>404</v>
      </c>
      <c r="D84" s="543">
        <f>'2013'!L177</f>
        <v>352431.033</v>
      </c>
      <c r="E84" s="541">
        <f t="shared" si="2"/>
        <v>43</v>
      </c>
    </row>
    <row r="85" spans="3:5" ht="12.75">
      <c r="C85" s="542" t="s">
        <v>322</v>
      </c>
      <c r="D85" s="543">
        <f>'2013'!L178</f>
        <v>35919.177000000003</v>
      </c>
      <c r="E85" s="541">
        <f t="shared" si="2"/>
        <v>89</v>
      </c>
    </row>
    <row r="86" spans="3:5" ht="12.75">
      <c r="C86" s="542" t="s">
        <v>405</v>
      </c>
      <c r="D86" s="543">
        <f>'2013'!L179</f>
        <v>154464.981</v>
      </c>
      <c r="E86" s="541">
        <f t="shared" si="2"/>
        <v>65</v>
      </c>
    </row>
    <row r="87" spans="3:5" ht="12.75">
      <c r="C87" s="542" t="s">
        <v>143</v>
      </c>
      <c r="D87" s="543">
        <f>'2013'!L180</f>
        <v>566540.31000000006</v>
      </c>
      <c r="E87" s="541">
        <f t="shared" si="2"/>
        <v>32</v>
      </c>
    </row>
    <row r="88" spans="3:5" ht="12.75">
      <c r="C88" s="542" t="s">
        <v>153</v>
      </c>
      <c r="D88" s="543">
        <f>'2013'!L181</f>
        <v>316942.212</v>
      </c>
      <c r="E88" s="541">
        <f t="shared" si="2"/>
        <v>45</v>
      </c>
    </row>
    <row r="89" spans="3:5" ht="12.75">
      <c r="C89" s="542" t="s">
        <v>309</v>
      </c>
      <c r="D89" s="543">
        <f>'2013'!L182</f>
        <v>10432.208000000001</v>
      </c>
      <c r="E89" s="541">
        <f t="shared" si="2"/>
        <v>91</v>
      </c>
    </row>
    <row r="90" spans="3:5" ht="12.75">
      <c r="C90" s="542" t="s">
        <v>406</v>
      </c>
      <c r="D90" s="543">
        <f>'2013'!L183</f>
        <v>10303.040000000001</v>
      </c>
      <c r="E90" s="541">
        <f t="shared" si="2"/>
        <v>92</v>
      </c>
    </row>
    <row r="91" spans="3:5" ht="12.75">
      <c r="C91" s="542" t="s">
        <v>407</v>
      </c>
      <c r="D91" s="543">
        <f>'2013'!L184</f>
        <v>8910.616</v>
      </c>
      <c r="E91" s="541">
        <f t="shared" si="2"/>
        <v>93</v>
      </c>
    </row>
    <row r="92" spans="3:5" ht="12.75">
      <c r="C92" s="542" t="s">
        <v>183</v>
      </c>
      <c r="D92" s="543">
        <f>'2013'!L185</f>
        <v>8247.6</v>
      </c>
      <c r="E92" s="541">
        <f t="shared" si="2"/>
        <v>95</v>
      </c>
    </row>
    <row r="93" spans="3:5" ht="12.75">
      <c r="C93" s="542" t="s">
        <v>169</v>
      </c>
      <c r="D93" s="543">
        <f>'2013'!L186</f>
        <v>6221.2569999999996</v>
      </c>
      <c r="E93" s="541">
        <f t="shared" si="2"/>
        <v>96</v>
      </c>
    </row>
    <row r="94" spans="3:5" ht="12.75">
      <c r="C94" s="542" t="s">
        <v>175</v>
      </c>
      <c r="D94" s="543">
        <f>'2013'!L187</f>
        <v>24566.504000000001</v>
      </c>
      <c r="E94" s="541">
        <f t="shared" si="2"/>
        <v>90</v>
      </c>
    </row>
    <row r="95" spans="3:5" ht="12.75">
      <c r="C95" s="542" t="s">
        <v>220</v>
      </c>
      <c r="D95" s="543">
        <f>'2013'!L188</f>
        <v>94811.732999999993</v>
      </c>
      <c r="E95" s="541">
        <f t="shared" si="2"/>
        <v>76</v>
      </c>
    </row>
    <row r="96" spans="3:5" ht="12.75">
      <c r="C96" s="542" t="s">
        <v>410</v>
      </c>
      <c r="D96" s="543">
        <f>'2013'!L191</f>
        <v>92743.754000000001</v>
      </c>
      <c r="E96" s="541">
        <f t="shared" si="2"/>
        <v>77</v>
      </c>
    </row>
    <row r="97" spans="3:5" ht="12.75">
      <c r="C97" s="542" t="s">
        <v>408</v>
      </c>
      <c r="D97" s="543">
        <f>'2013'!L189</f>
        <v>3007953.4330000002</v>
      </c>
      <c r="E97" s="541">
        <f t="shared" si="2"/>
        <v>10</v>
      </c>
    </row>
    <row r="98" spans="3:5" ht="12.75">
      <c r="C98" s="542" t="s">
        <v>409</v>
      </c>
      <c r="D98" s="543">
        <f>'2013'!L190</f>
        <v>1119025.1769999999</v>
      </c>
      <c r="E98" s="541">
        <f>IFERROR(_xlfn.RANK.EQ(D98,$D$2:$D$103,0),"-")</f>
        <v>22</v>
      </c>
    </row>
    <row r="99" spans="3:5" ht="12.75">
      <c r="C99" s="542" t="s">
        <v>154</v>
      </c>
      <c r="D99" s="543">
        <f>'2013'!L197</f>
        <v>2509375.3319999999</v>
      </c>
      <c r="E99" s="541">
        <f>IFERROR(_xlfn.RANK.EQ(D99,$D$2:$D$103,0),"-")</f>
        <v>11</v>
      </c>
    </row>
    <row r="100" spans="3:5" ht="12.75">
      <c r="C100" s="542" t="s">
        <v>157</v>
      </c>
      <c r="D100" s="543">
        <f>'2013'!L193</f>
        <v>51766.182000000001</v>
      </c>
      <c r="E100" s="541">
        <f>IFERROR(_xlfn.RANK.EQ(D100,$D$2:$D$103,0),"-")</f>
        <v>85</v>
      </c>
    </row>
    <row r="101" spans="3:5" ht="12.75">
      <c r="C101" s="542" t="s">
        <v>412</v>
      </c>
      <c r="D101" s="543">
        <f>'2013'!L196</f>
        <v>3295.335</v>
      </c>
      <c r="E101" s="541">
        <f>IFERROR(_xlfn.RANK.EQ(D101,$D$2:$D$103,0),"-")</f>
        <v>97</v>
      </c>
    </row>
    <row r="102" spans="3:5" ht="13.5" thickBot="1">
      <c r="C102" s="544" t="s">
        <v>413</v>
      </c>
      <c r="D102" s="545">
        <f>'2013'!L198</f>
        <v>699679.58700000006</v>
      </c>
      <c r="E102" s="546">
        <f>IFERROR(_xlfn.RANK.EQ(D102,$D$2:$D$103,0),"-")</f>
        <v>27</v>
      </c>
    </row>
  </sheetData>
  <autoFilter ref="C1:E1">
    <sortState ref="C2:E102">
      <sortCondition ref="E1"/>
    </sortState>
  </autoFilter>
  <conditionalFormatting sqref="C2">
    <cfRule type="expression" dxfId="72" priority="73" stopIfTrue="1">
      <formula>#REF!="Yes"</formula>
    </cfRule>
  </conditionalFormatting>
  <conditionalFormatting sqref="C3">
    <cfRule type="expression" dxfId="71" priority="72" stopIfTrue="1">
      <formula>#REF!="Yes"</formula>
    </cfRule>
  </conditionalFormatting>
  <conditionalFormatting sqref="C4">
    <cfRule type="expression" dxfId="70" priority="71" stopIfTrue="1">
      <formula>#REF!="Yes"</formula>
    </cfRule>
  </conditionalFormatting>
  <conditionalFormatting sqref="C53">
    <cfRule type="expression" dxfId="69" priority="41" stopIfTrue="1">
      <formula>#REF!="Yes"</formula>
    </cfRule>
  </conditionalFormatting>
  <conditionalFormatting sqref="C6:C11">
    <cfRule type="expression" dxfId="68" priority="70" stopIfTrue="1">
      <formula>#REF!="Yes"</formula>
    </cfRule>
  </conditionalFormatting>
  <conditionalFormatting sqref="C6:C11">
    <cfRule type="expression" dxfId="67" priority="69" stopIfTrue="1">
      <formula>#REF!="Yes"</formula>
    </cfRule>
  </conditionalFormatting>
  <conditionalFormatting sqref="C12:C16">
    <cfRule type="expression" dxfId="66" priority="67" stopIfTrue="1">
      <formula>#REF!="Yes"</formula>
    </cfRule>
  </conditionalFormatting>
  <conditionalFormatting sqref="C12:C16">
    <cfRule type="expression" dxfId="65" priority="68" stopIfTrue="1">
      <formula>#REF!="Yes"</formula>
    </cfRule>
  </conditionalFormatting>
  <conditionalFormatting sqref="C17:C18">
    <cfRule type="expression" dxfId="64" priority="66" stopIfTrue="1">
      <formula>#REF!="Yes"</formula>
    </cfRule>
  </conditionalFormatting>
  <conditionalFormatting sqref="C19">
    <cfRule type="expression" dxfId="63" priority="65" stopIfTrue="1">
      <formula>#REF!="Yes"</formula>
    </cfRule>
  </conditionalFormatting>
  <conditionalFormatting sqref="C20">
    <cfRule type="expression" dxfId="62" priority="64" stopIfTrue="1">
      <formula>#REF!="Yes"</formula>
    </cfRule>
  </conditionalFormatting>
  <conditionalFormatting sqref="C72 C68 C60:C62 C48 C41 C27:C29 C21:C25">
    <cfRule type="expression" dxfId="61" priority="63" stopIfTrue="1">
      <formula>#REF!="Yes"</formula>
    </cfRule>
  </conditionalFormatting>
  <conditionalFormatting sqref="C26">
    <cfRule type="expression" dxfId="60" priority="62" stopIfTrue="1">
      <formula>#REF!="Yes"</formula>
    </cfRule>
  </conditionalFormatting>
  <conditionalFormatting sqref="C30">
    <cfRule type="expression" dxfId="59" priority="61" stopIfTrue="1">
      <formula>#REF!="Yes"</formula>
    </cfRule>
  </conditionalFormatting>
  <conditionalFormatting sqref="C31">
    <cfRule type="expression" dxfId="58" priority="60" stopIfTrue="1">
      <formula>#REF!="Yes"</formula>
    </cfRule>
  </conditionalFormatting>
  <conditionalFormatting sqref="C32">
    <cfRule type="expression" dxfId="57" priority="59" stopIfTrue="1">
      <formula>#REF!="Yes"</formula>
    </cfRule>
  </conditionalFormatting>
  <conditionalFormatting sqref="C33:C34">
    <cfRule type="expression" dxfId="56" priority="58" stopIfTrue="1">
      <formula>#REF!="Yes"</formula>
    </cfRule>
  </conditionalFormatting>
  <conditionalFormatting sqref="C35">
    <cfRule type="expression" dxfId="55" priority="57" stopIfTrue="1">
      <formula>#REF!="Yes"</formula>
    </cfRule>
  </conditionalFormatting>
  <conditionalFormatting sqref="C36">
    <cfRule type="expression" dxfId="54" priority="56" stopIfTrue="1">
      <formula>#REF!="Yes"</formula>
    </cfRule>
  </conditionalFormatting>
  <conditionalFormatting sqref="C37">
    <cfRule type="expression" dxfId="53" priority="55" stopIfTrue="1">
      <formula>#REF!="Yes"</formula>
    </cfRule>
  </conditionalFormatting>
  <conditionalFormatting sqref="C38">
    <cfRule type="expression" dxfId="52" priority="54" stopIfTrue="1">
      <formula>#REF!="Yes"</formula>
    </cfRule>
  </conditionalFormatting>
  <conditionalFormatting sqref="C39">
    <cfRule type="expression" dxfId="51" priority="53" stopIfTrue="1">
      <formula>#REF!="Yes"</formula>
    </cfRule>
  </conditionalFormatting>
  <conditionalFormatting sqref="C40">
    <cfRule type="expression" dxfId="50" priority="52" stopIfTrue="1">
      <formula>#REF!="Yes"</formula>
    </cfRule>
  </conditionalFormatting>
  <conditionalFormatting sqref="C42">
    <cfRule type="expression" dxfId="49" priority="51" stopIfTrue="1">
      <formula>#REF!="Yes"</formula>
    </cfRule>
  </conditionalFormatting>
  <conditionalFormatting sqref="C43">
    <cfRule type="expression" dxfId="48" priority="50" stopIfTrue="1">
      <formula>#REF!="Yes"</formula>
    </cfRule>
  </conditionalFormatting>
  <conditionalFormatting sqref="C44">
    <cfRule type="expression" dxfId="47" priority="49" stopIfTrue="1">
      <formula>#REF!="Yes"</formula>
    </cfRule>
  </conditionalFormatting>
  <conditionalFormatting sqref="C45">
    <cfRule type="expression" dxfId="46" priority="48" stopIfTrue="1">
      <formula>#REF!="Yes"</formula>
    </cfRule>
  </conditionalFormatting>
  <conditionalFormatting sqref="C46">
    <cfRule type="expression" dxfId="45" priority="47" stopIfTrue="1">
      <formula>#REF!="Yes"</formula>
    </cfRule>
  </conditionalFormatting>
  <conditionalFormatting sqref="C47">
    <cfRule type="expression" dxfId="44" priority="46" stopIfTrue="1">
      <formula>#REF!="Yes"</formula>
    </cfRule>
  </conditionalFormatting>
  <conditionalFormatting sqref="C49">
    <cfRule type="expression" dxfId="43" priority="45" stopIfTrue="1">
      <formula>#REF!="Yes"</formula>
    </cfRule>
  </conditionalFormatting>
  <conditionalFormatting sqref="C50">
    <cfRule type="expression" dxfId="42" priority="44" stopIfTrue="1">
      <formula>#REF!="Yes"</formula>
    </cfRule>
  </conditionalFormatting>
  <conditionalFormatting sqref="C51">
    <cfRule type="expression" dxfId="41" priority="43" stopIfTrue="1">
      <formula>#REF!="Yes"</formula>
    </cfRule>
  </conditionalFormatting>
  <conditionalFormatting sqref="C52">
    <cfRule type="expression" dxfId="40" priority="42" stopIfTrue="1">
      <formula>#REF!="Yes"</formula>
    </cfRule>
  </conditionalFormatting>
  <conditionalFormatting sqref="C79">
    <cfRule type="expression" dxfId="39" priority="20" stopIfTrue="1">
      <formula>#REF!="Yes"</formula>
    </cfRule>
  </conditionalFormatting>
  <conditionalFormatting sqref="C54">
    <cfRule type="expression" dxfId="38" priority="40" stopIfTrue="1">
      <formula>#REF!="Yes"</formula>
    </cfRule>
  </conditionalFormatting>
  <conditionalFormatting sqref="C55">
    <cfRule type="expression" dxfId="37" priority="39" stopIfTrue="1">
      <formula>#REF!="Yes"</formula>
    </cfRule>
  </conditionalFormatting>
  <conditionalFormatting sqref="C56">
    <cfRule type="expression" dxfId="36" priority="38" stopIfTrue="1">
      <formula>#REF!="Yes"</formula>
    </cfRule>
  </conditionalFormatting>
  <conditionalFormatting sqref="C57">
    <cfRule type="expression" dxfId="35" priority="37" stopIfTrue="1">
      <formula>#REF!="Yes"</formula>
    </cfRule>
  </conditionalFormatting>
  <conditionalFormatting sqref="C58">
    <cfRule type="expression" dxfId="34" priority="36" stopIfTrue="1">
      <formula>#REF!="Yes"</formula>
    </cfRule>
  </conditionalFormatting>
  <conditionalFormatting sqref="C59">
    <cfRule type="expression" dxfId="33" priority="35" stopIfTrue="1">
      <formula>#REF!="Yes"</formula>
    </cfRule>
  </conditionalFormatting>
  <conditionalFormatting sqref="C63">
    <cfRule type="expression" dxfId="32" priority="34" stopIfTrue="1">
      <formula>#REF!="Yes"</formula>
    </cfRule>
  </conditionalFormatting>
  <conditionalFormatting sqref="C64">
    <cfRule type="expression" dxfId="31" priority="33" stopIfTrue="1">
      <formula>#REF!="Yes"</formula>
    </cfRule>
  </conditionalFormatting>
  <conditionalFormatting sqref="C65">
    <cfRule type="expression" dxfId="30" priority="32" stopIfTrue="1">
      <formula>#REF!="Yes"</formula>
    </cfRule>
  </conditionalFormatting>
  <conditionalFormatting sqref="C66">
    <cfRule type="expression" dxfId="29" priority="31" stopIfTrue="1">
      <formula>#REF!="Yes"</formula>
    </cfRule>
  </conditionalFormatting>
  <conditionalFormatting sqref="C67">
    <cfRule type="expression" dxfId="28" priority="30" stopIfTrue="1">
      <formula>#REF!="Yes"</formula>
    </cfRule>
  </conditionalFormatting>
  <conditionalFormatting sqref="C69">
    <cfRule type="expression" dxfId="27" priority="29" stopIfTrue="1">
      <formula>#REF!="Yes"</formula>
    </cfRule>
  </conditionalFormatting>
  <conditionalFormatting sqref="C70">
    <cfRule type="expression" dxfId="26" priority="28" stopIfTrue="1">
      <formula>#REF!="Yes"</formula>
    </cfRule>
  </conditionalFormatting>
  <conditionalFormatting sqref="C71">
    <cfRule type="expression" dxfId="25" priority="27" stopIfTrue="1">
      <formula>#REF!="Yes"</formula>
    </cfRule>
  </conditionalFormatting>
  <conditionalFormatting sqref="C73">
    <cfRule type="expression" dxfId="24" priority="26" stopIfTrue="1">
      <formula>#REF!="Yes"</formula>
    </cfRule>
  </conditionalFormatting>
  <conditionalFormatting sqref="C74">
    <cfRule type="expression" dxfId="23" priority="25" stopIfTrue="1">
      <formula>#REF!="Yes"</formula>
    </cfRule>
  </conditionalFormatting>
  <conditionalFormatting sqref="C75">
    <cfRule type="expression" dxfId="22" priority="24" stopIfTrue="1">
      <formula>#REF!="Yes"</formula>
    </cfRule>
  </conditionalFormatting>
  <conditionalFormatting sqref="C99:C100 C97 C2:C93">
    <cfRule type="expression" dxfId="21" priority="23" stopIfTrue="1">
      <formula>#REF!="Yes"</formula>
    </cfRule>
  </conditionalFormatting>
  <conditionalFormatting sqref="C77">
    <cfRule type="expression" dxfId="20" priority="22" stopIfTrue="1">
      <formula>#REF!="Yes"</formula>
    </cfRule>
  </conditionalFormatting>
  <conditionalFormatting sqref="C78">
    <cfRule type="expression" dxfId="19" priority="21" stopIfTrue="1">
      <formula>#REF!="Yes"</formula>
    </cfRule>
  </conditionalFormatting>
  <conditionalFormatting sqref="C81">
    <cfRule type="expression" dxfId="18" priority="18" stopIfTrue="1">
      <formula>#REF!="Yes"</formula>
    </cfRule>
  </conditionalFormatting>
  <conditionalFormatting sqref="C80">
    <cfRule type="expression" dxfId="17" priority="19" stopIfTrue="1">
      <formula>#REF!="Yes"</formula>
    </cfRule>
  </conditionalFormatting>
  <conditionalFormatting sqref="C82">
    <cfRule type="expression" dxfId="16" priority="17" stopIfTrue="1">
      <formula>#REF!="Yes"</formula>
    </cfRule>
  </conditionalFormatting>
  <conditionalFormatting sqref="C83">
    <cfRule type="expression" dxfId="15" priority="16" stopIfTrue="1">
      <formula>#REF!="Yes"</formula>
    </cfRule>
  </conditionalFormatting>
  <conditionalFormatting sqref="C86">
    <cfRule type="expression" dxfId="14" priority="15" stopIfTrue="1">
      <formula>#REF!="Yes"</formula>
    </cfRule>
  </conditionalFormatting>
  <conditionalFormatting sqref="C87">
    <cfRule type="expression" dxfId="13" priority="14" stopIfTrue="1">
      <formula>#REF!="Yes"</formula>
    </cfRule>
  </conditionalFormatting>
  <conditionalFormatting sqref="C88">
    <cfRule type="expression" dxfId="12" priority="13" stopIfTrue="1">
      <formula>#REF!="Yes"</formula>
    </cfRule>
  </conditionalFormatting>
  <conditionalFormatting sqref="C89">
    <cfRule type="expression" dxfId="11" priority="12" stopIfTrue="1">
      <formula>#REF!="Yes"</formula>
    </cfRule>
  </conditionalFormatting>
  <conditionalFormatting sqref="C90">
    <cfRule type="expression" dxfId="10" priority="11" stopIfTrue="1">
      <formula>#REF!="Yes"</formula>
    </cfRule>
  </conditionalFormatting>
  <conditionalFormatting sqref="C91">
    <cfRule type="expression" dxfId="9" priority="10" stopIfTrue="1">
      <formula>#REF!="Yes"</formula>
    </cfRule>
  </conditionalFormatting>
  <conditionalFormatting sqref="C94">
    <cfRule type="expression" dxfId="8" priority="9" stopIfTrue="1">
      <formula>#REF!="Yes"</formula>
    </cfRule>
  </conditionalFormatting>
  <conditionalFormatting sqref="C95">
    <cfRule type="expression" dxfId="7" priority="8" stopIfTrue="1">
      <formula>#REF!="Yes"</formula>
    </cfRule>
  </conditionalFormatting>
  <conditionalFormatting sqref="C96">
    <cfRule type="expression" dxfId="6" priority="7" stopIfTrue="1">
      <formula>#REF!="Yes"</formula>
    </cfRule>
  </conditionalFormatting>
  <conditionalFormatting sqref="C98">
    <cfRule type="expression" dxfId="5" priority="6" stopIfTrue="1">
      <formula>#REF!="Yes"</formula>
    </cfRule>
  </conditionalFormatting>
  <conditionalFormatting sqref="C101">
    <cfRule type="expression" dxfId="4" priority="5" stopIfTrue="1">
      <formula>#REF!="Yes"</formula>
    </cfRule>
  </conditionalFormatting>
  <conditionalFormatting sqref="C102">
    <cfRule type="expression" dxfId="3" priority="4" stopIfTrue="1">
      <formula>#REF!="Yes"</formula>
    </cfRule>
  </conditionalFormatting>
  <conditionalFormatting sqref="C76">
    <cfRule type="expression" dxfId="2" priority="3" stopIfTrue="1">
      <formula>#REF!="Yes"</formula>
    </cfRule>
  </conditionalFormatting>
  <conditionalFormatting sqref="C2:C77">
    <cfRule type="expression" dxfId="1" priority="2" stopIfTrue="1">
      <formula>#REF!="Yes"</formula>
    </cfRule>
  </conditionalFormatting>
  <conditionalFormatting sqref="C2:C77">
    <cfRule type="expression" dxfId="0" priority="1" stopIfTrue="1">
      <formula>#REF!="Yes"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31b108f-8453-4ae8-91a3-a7160ca494da">YCT2CMYV3PMM-933-331</_dlc_DocId>
    <_dlc_DocIdUrl xmlns="a31b108f-8453-4ae8-91a3-a7160ca494da">
      <Url>https://portal.valencehealth.com/sites/consulting/engage/engagements/society_actuaries/_layouts/DocIdRedir.aspx?ID=YCT2CMYV3PMM-933-331</Url>
      <Description>YCT2CMYV3PMM-933-331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ED190FCE5E4C4A837AFB96A6A863D4" ma:contentTypeVersion="0" ma:contentTypeDescription="Create a new document." ma:contentTypeScope="" ma:versionID="9175bee3bf33563621c9bdfda7ac44e7">
  <xsd:schema xmlns:xsd="http://www.w3.org/2001/XMLSchema" xmlns:xs="http://www.w3.org/2001/XMLSchema" xmlns:p="http://schemas.microsoft.com/office/2006/metadata/properties" xmlns:ns2="a31b108f-8453-4ae8-91a3-a7160ca494da" targetNamespace="http://schemas.microsoft.com/office/2006/metadata/properties" ma:root="true" ma:fieldsID="9277bb6192eb03eb20bd8c13526506e1" ns2:_="">
    <xsd:import namespace="a31b108f-8453-4ae8-91a3-a7160ca494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b108f-8453-4ae8-91a3-a7160ca494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D1545-D861-4D52-A870-CCA9F586D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14031-E16C-46A1-AC65-19F09B5751CE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31b108f-8453-4ae8-91a3-a7160ca494d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CBE581-5BB5-49EA-AF0C-AFA6789E90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1CAE75E-88E3-4031-A3A7-1B79D384E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b108f-8453-4ae8-91a3-a7160ca49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69</vt:i4>
      </vt:variant>
    </vt:vector>
  </HeadingPairs>
  <TitlesOfParts>
    <vt:vector size="78" baseType="lpstr">
      <vt:lpstr>Ratebook summary</vt:lpstr>
      <vt:lpstr>Margin breakdown graphs</vt:lpstr>
      <vt:lpstr>2015</vt:lpstr>
      <vt:lpstr>2014</vt:lpstr>
      <vt:lpstr>2013</vt:lpstr>
      <vt:lpstr>2015 Revenue Ranking by Corp</vt:lpstr>
      <vt:lpstr>2015 MM Ranking by Corp</vt:lpstr>
      <vt:lpstr>2014 Revenue Ranking by Corp</vt:lpstr>
      <vt:lpstr>2013 Revenue Ranking by Corp</vt:lpstr>
      <vt:lpstr>Clear_Growth_Table</vt:lpstr>
      <vt:lpstr>Clear_Roll1_Ind</vt:lpstr>
      <vt:lpstr>Clear_Roll2_Ind</vt:lpstr>
      <vt:lpstr>Clear_Table_CoVsInd</vt:lpstr>
      <vt:lpstr>Copy_Growth_1</vt:lpstr>
      <vt:lpstr>Copy_Growth_2</vt:lpstr>
      <vt:lpstr>Copy_Growth_3</vt:lpstr>
      <vt:lpstr>Copy_Growth_Format</vt:lpstr>
      <vt:lpstr>Copy_Roll_Dummy_Ind</vt:lpstr>
      <vt:lpstr>Copy_Roll_LR</vt:lpstr>
      <vt:lpstr>Copy_Roll_MS</vt:lpstr>
      <vt:lpstr>Copy_Roll_Rank</vt:lpstr>
      <vt:lpstr>Copy_Roll_Sum</vt:lpstr>
      <vt:lpstr>KF_Roll</vt:lpstr>
      <vt:lpstr>KF_Roll1</vt:lpstr>
      <vt:lpstr>KF_Roll2</vt:lpstr>
      <vt:lpstr>KF_Roll3</vt:lpstr>
      <vt:lpstr>KF_Roll4</vt:lpstr>
      <vt:lpstr>Paste_Roll_6</vt:lpstr>
      <vt:lpstr>Paste_Roll_DIV1</vt:lpstr>
      <vt:lpstr>Paste_Roll_DIV2</vt:lpstr>
      <vt:lpstr>Paste_Roll_DIV3</vt:lpstr>
      <vt:lpstr>Paste_Roll_DIV4</vt:lpstr>
      <vt:lpstr>Paste_Roll_DIV5</vt:lpstr>
      <vt:lpstr>Paste_Roll_DLI1</vt:lpstr>
      <vt:lpstr>Paste_Roll_DLI2</vt:lpstr>
      <vt:lpstr>Paste_Roll_DLI3</vt:lpstr>
      <vt:lpstr>Paste_Roll_DLI4</vt:lpstr>
      <vt:lpstr>Paste_Roll_DLI5</vt:lpstr>
      <vt:lpstr>Paste_Roll_DPE1</vt:lpstr>
      <vt:lpstr>Paste_Roll_DPE2</vt:lpstr>
      <vt:lpstr>Paste_Roll_DPE3</vt:lpstr>
      <vt:lpstr>Paste_Roll_DPE4</vt:lpstr>
      <vt:lpstr>Paste_Roll_DPE5</vt:lpstr>
      <vt:lpstr>Paste_Roll_DPW1</vt:lpstr>
      <vt:lpstr>Paste_Roll_DPW2</vt:lpstr>
      <vt:lpstr>Paste_Roll_DPW3</vt:lpstr>
      <vt:lpstr>Paste_Roll_DPW4</vt:lpstr>
      <vt:lpstr>Paste_Roll_DPW5</vt:lpstr>
      <vt:lpstr>Paste_Roll_DPW6</vt:lpstr>
      <vt:lpstr>Paste_Roll_List</vt:lpstr>
      <vt:lpstr>Paste_State_63</vt:lpstr>
      <vt:lpstr>Paste_Totals_63</vt:lpstr>
      <vt:lpstr>Period_Roll</vt:lpstr>
      <vt:lpstr>Period_Roll1</vt:lpstr>
      <vt:lpstr>Period_Roll2</vt:lpstr>
      <vt:lpstr>Period_Roll3</vt:lpstr>
      <vt:lpstr>Period_Roll4</vt:lpstr>
      <vt:lpstr>Period_Roll5</vt:lpstr>
      <vt:lpstr>Period_Roll6</vt:lpstr>
      <vt:lpstr>Co_vs_Ind!Print_Area</vt:lpstr>
      <vt:lpstr>Growth!Print_Area</vt:lpstr>
      <vt:lpstr>Growth!Print_Titles</vt:lpstr>
      <vt:lpstr>Rollup!Print_Titles</vt:lpstr>
      <vt:lpstr>Query_CoVsInd</vt:lpstr>
      <vt:lpstr>Query_CoVsInd_KF</vt:lpstr>
      <vt:lpstr>Query_Growth</vt:lpstr>
      <vt:lpstr>Query_Growth_KF</vt:lpstr>
      <vt:lpstr>Roll_Code</vt:lpstr>
      <vt:lpstr>Table_CoVsInd</vt:lpstr>
      <vt:lpstr>Table_CoVsInd_Codes</vt:lpstr>
      <vt:lpstr>Table_CoVsInd_KF</vt:lpstr>
      <vt:lpstr>Table_CoVsInd_Per</vt:lpstr>
      <vt:lpstr>Table_Growth</vt:lpstr>
      <vt:lpstr>Table_Growth_Codes</vt:lpstr>
      <vt:lpstr>Table_Growth_KF</vt:lpstr>
      <vt:lpstr>Table_Roll</vt:lpstr>
      <vt:lpstr>Table_Roll_KF1</vt:lpstr>
      <vt:lpstr>Table_Roll_KF2</vt:lpstr>
    </vt:vector>
  </TitlesOfParts>
  <Company>SNL Financial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markv</dc:creator>
  <cp:lastModifiedBy>Administrator</cp:lastModifiedBy>
  <cp:lastPrinted>2012-11-28T14:51:26Z</cp:lastPrinted>
  <dcterms:created xsi:type="dcterms:W3CDTF">2011-09-26T14:46:18Z</dcterms:created>
  <dcterms:modified xsi:type="dcterms:W3CDTF">2017-02-09T16:33:01Z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nltemplateid">
    <vt:i4>24912802</vt:i4>
  </property>
  <property fmtid="{D5CDD505-2E9C-101B-9397-08002B2CF9AE}" pid="3" name="KeyFile">
    <vt:i4>24912802</vt:i4>
  </property>
  <property fmtid="{D5CDD505-2E9C-101B-9397-08002B2CF9AE}" pid="4" name="_dlc_DocIdItemGuid">
    <vt:lpwstr>a1b5f664-bbdb-498e-b4d0-60ecd8a3eb17</vt:lpwstr>
  </property>
  <property fmtid="{D5CDD505-2E9C-101B-9397-08002B2CF9AE}" pid="5" name="ContentTypeId">
    <vt:lpwstr>0x01010017ED190FCE5E4C4A837AFB96A6A863D4</vt:lpwstr>
  </property>
  <property fmtid="{D5CDD505-2E9C-101B-9397-08002B2CF9AE}" pid="6" name="{A44787D4-0540-4523-9961-78E4036D8C6D}">
    <vt:lpwstr>{94FF2E0B-38D0-4841-B9AE-2E4CBA209998}</vt:lpwstr>
  </property>
</Properties>
</file>