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C3711DD4-EF57-4401-98F5-F3F60AAB3E6B}" xr6:coauthVersionLast="45" xr6:coauthVersionMax="45" xr10:uidLastSave="{00000000-0000-0000-0000-000000000000}"/>
  <bookViews>
    <workbookView xWindow="780" yWindow="780" windowWidth="21600" windowHeight="11325" xr2:uid="{00000000-000D-0000-FFFF-FFFF00000000}"/>
  </bookViews>
  <sheets>
    <sheet name="2(b)" sheetId="11" r:id="rId1"/>
    <sheet name="2(c)" sheetId="12" r:id="rId2"/>
    <sheet name="3(b)(i)" sheetId="13" r:id="rId3"/>
    <sheet name="4(b)(i)(ii)" sheetId="14" r:id="rId4"/>
    <sheet name="7" sheetId="10" r:id="rId5"/>
  </sheets>
  <externalReferences>
    <externalReference r:id="rId6"/>
    <externalReference r:id="rId7"/>
  </externalReferences>
  <definedNames>
    <definedName name="Beta_PensionLiab">#REF!</definedName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4" l="1"/>
  <c r="C27" i="14"/>
  <c r="C28" i="14"/>
  <c r="C29" i="14"/>
  <c r="F21" i="14" s="1"/>
  <c r="C33" i="14"/>
  <c r="C34" i="14"/>
  <c r="C35" i="14" s="1"/>
  <c r="F22" i="14" s="1"/>
  <c r="D9" i="13"/>
  <c r="E9" i="13"/>
  <c r="F9" i="13" s="1"/>
  <c r="D10" i="13"/>
  <c r="E10" i="13"/>
  <c r="F10" i="13" s="1"/>
  <c r="D11" i="13"/>
  <c r="E11" i="13" s="1"/>
  <c r="F11" i="13" s="1"/>
  <c r="D12" i="13"/>
  <c r="E12" i="13" s="1"/>
  <c r="F12" i="13" s="1"/>
  <c r="D13" i="13"/>
  <c r="E13" i="13" s="1"/>
  <c r="F13" i="13" s="1"/>
  <c r="B35" i="12"/>
  <c r="B39" i="12" s="1"/>
  <c r="B25" i="12" s="1"/>
  <c r="B34" i="11"/>
  <c r="C34" i="11"/>
  <c r="D34" i="11"/>
  <c r="E34" i="11" s="1"/>
  <c r="B22" i="11" s="1"/>
  <c r="G34" i="11"/>
  <c r="B40" i="11"/>
  <c r="D40" i="11"/>
  <c r="E40" i="11" s="1"/>
  <c r="G40" i="11"/>
  <c r="H40" i="11"/>
  <c r="B41" i="11"/>
  <c r="D41" i="11"/>
  <c r="E41" i="11"/>
  <c r="F41" i="11"/>
  <c r="G41" i="11"/>
  <c r="H41" i="11"/>
  <c r="B42" i="11"/>
  <c r="D42" i="11" s="1"/>
  <c r="C42" i="11"/>
  <c r="G42" i="11"/>
  <c r="H42" i="11"/>
  <c r="B48" i="11"/>
  <c r="F14" i="13" l="1"/>
  <c r="C19" i="13" s="1"/>
  <c r="E42" i="11"/>
  <c r="C22" i="11" s="1"/>
  <c r="F42" i="11"/>
  <c r="F40" i="11"/>
  <c r="C23" i="11" s="1"/>
  <c r="B40" i="12"/>
  <c r="B24" i="12" s="1"/>
  <c r="F34" i="11"/>
  <c r="B23" i="11" s="1"/>
  <c r="D23" i="11" s="1"/>
  <c r="C160" i="10"/>
  <c r="C143" i="10"/>
  <c r="C142" i="10"/>
  <c r="C138" i="10"/>
  <c r="D113" i="10"/>
  <c r="D111" i="10"/>
  <c r="D98" i="10"/>
  <c r="D97" i="10"/>
  <c r="D95" i="10"/>
  <c r="D93" i="10"/>
  <c r="D91" i="10"/>
  <c r="D87" i="10"/>
  <c r="D90" i="10"/>
  <c r="D89" i="10"/>
  <c r="D88" i="10"/>
  <c r="C72" i="10"/>
  <c r="C70" i="10"/>
  <c r="C68" i="10"/>
  <c r="H50" i="10"/>
  <c r="H51" i="10"/>
  <c r="H49" i="10"/>
  <c r="C66" i="10"/>
  <c r="G50" i="10"/>
  <c r="B50" i="11" l="1"/>
  <c r="D22" i="11"/>
  <c r="B49" i="11"/>
  <c r="B52" i="11" s="1"/>
  <c r="B53" i="11" s="1"/>
  <c r="D25" i="11" s="1"/>
  <c r="G51" i="10"/>
  <c r="E62" i="10" s="1"/>
  <c r="E42" i="10"/>
  <c r="E40" i="10"/>
  <c r="E39" i="10"/>
  <c r="E38" i="10"/>
  <c r="E36" i="10"/>
  <c r="E35" i="10"/>
  <c r="E33" i="10"/>
  <c r="E32" i="10"/>
  <c r="E31" i="10"/>
</calcChain>
</file>

<file path=xl/sharedStrings.xml><?xml version="1.0" encoding="utf-8"?>
<sst xmlns="http://schemas.openxmlformats.org/spreadsheetml/2006/main" count="237" uniqueCount="190">
  <si>
    <t>ERM Exam Fall 2020</t>
  </si>
  <si>
    <t>ANSWER:</t>
  </si>
  <si>
    <t>Question 7</t>
  </si>
  <si>
    <t xml:space="preserve">Please refer to Case Study section 0.11.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</si>
  <si>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modified duration of the pension liabilities is 15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</si>
  <si>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asset portfolio beta = 1.2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</si>
  <si>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Annual volatility of the S&amp;P 500 index:  12%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</si>
  <si>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1-year US Treasury rate is 2%.</t>
    </r>
  </si>
  <si>
    <t>You assume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</si>
  <si>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Net cash flows for 2020 are zero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</si>
  <si>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yield curve is expected to experience a 1% level increase for 2020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</si>
  <si>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Expected return of the S&amp;P 500 index:  9%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</si>
  <si>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only change in the liability value is due to interest rates.</t>
    </r>
  </si>
  <si>
    <t xml:space="preserve">The company’s objective is to earn a high rate of return while minimizing the risk of being required to make a contribution. </t>
  </si>
  <si>
    <r>
      <t>(a)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Calculate the expected surplus return for 2020, as a percentage of the initial asset value.  Show your work.    </t>
    </r>
  </si>
  <si>
    <t>Stock 1</t>
  </si>
  <si>
    <t>Stock 2</t>
  </si>
  <si>
    <t>Stock 3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</si>
  <si>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</si>
  <si>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Calculate the volatility of the asset portfolio.  Show your work.</t>
    </r>
  </si>
  <si>
    <t>Caerus wants to optimize the surplus volatility of the pension plan.  Assume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</si>
  <si>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Volatility of changes in yields is σ</t>
    </r>
    <r>
      <rPr>
        <vertAlign val="subscript"/>
        <sz val="12"/>
        <color theme="1"/>
        <rFont val="Times New Roman"/>
        <family val="1"/>
      </rPr>
      <t>y</t>
    </r>
    <r>
      <rPr>
        <sz val="12"/>
        <color theme="1"/>
        <rFont val="Times New Roman"/>
        <family val="1"/>
      </rPr>
      <t xml:space="preserve"> =  1% annually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</si>
  <si>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Normal distribution of stock returns.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</si>
  <si>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5.5 points</t>
    </r>
    <r>
      <rPr>
        <sz val="12"/>
        <color theme="1"/>
        <rFont val="Times New Roman"/>
        <family val="1"/>
      </rPr>
      <t xml:space="preserve">) </t>
    </r>
  </si>
  <si>
    <r>
      <t>(i)</t>
    </r>
    <r>
      <rPr>
        <sz val="7"/>
        <color rgb="FF000000"/>
        <rFont val="Times New Roman"/>
        <family val="1"/>
      </rPr>
      <t xml:space="preserve">                 </t>
    </r>
    <r>
      <rPr>
        <sz val="12"/>
        <color rgb="FF000000"/>
        <rFont val="Times New Roman"/>
        <family val="1"/>
      </rPr>
      <t xml:space="preserve">Calculate the 95th percentile of the expected surplus position at 12/31/2020.  Show your work. </t>
    </r>
  </si>
  <si>
    <r>
      <t>(iii)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Assume the correlation between asset and liability is now 0.95.  All other variables remain unchanged.</t>
    </r>
  </si>
  <si>
    <t xml:space="preserve">Calculate the optimal funding ratio (A/L) to minimize surplus volatility.  Show your work.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</si>
  <si>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information ratio for manager A is 0.8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</si>
  <si>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The information ratio for manager B is 0.5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</si>
  <si>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The TEV for each manager is 5%. 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</si>
  <si>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 xml:space="preserve">) 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</si>
  <si>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Calculate the portfolio weight for each manager.  Show your work.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</si>
  <si>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Calculate the overall portfolio information ratio.  Show your work. </t>
    </r>
  </si>
  <si>
    <t>Volatility (ε)</t>
  </si>
  <si>
    <r>
      <t>Beta (</t>
    </r>
    <r>
      <rPr>
        <sz val="12"/>
        <color theme="1"/>
        <rFont val="Calibri"/>
        <family val="2"/>
      </rPr>
      <t>β)</t>
    </r>
  </si>
  <si>
    <t xml:space="preserve">Caerus considers a portfolio allocation approximated by investing the assets in the following 3 stocks.  </t>
  </si>
  <si>
    <t>Stock 1 and Stock 2 have equal allocations in the portfolio, with the remaining allocation in Stock 3.  Caerus wants to maintain the same target portfolio beta of 1.2.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</si>
  <si>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Correlation between asset and liability = </t>
    </r>
    <r>
      <rPr>
        <sz val="12"/>
        <color theme="1"/>
        <rFont val="Symbol"/>
        <family val="1"/>
        <charset val="2"/>
      </rPr>
      <t xml:space="preserve"> -0.1</t>
    </r>
  </si>
  <si>
    <t xml:space="preserve">Energetix wants to move forward with investing its pension assets in common stock.  </t>
  </si>
  <si>
    <t xml:space="preserve">The Chief Investment Officer would like to allocate the $50 million held in US stocks to its two active managers by maximizing its overall information ratio, </t>
  </si>
  <si>
    <t>subject to a portfolio tracking error volatility (TEV) of 3.5%.  You are given:</t>
  </si>
  <si>
    <t xml:space="preserve">Caerus wants to study the impact of investing the pension assets fully in a US stock portfolio.  </t>
  </si>
  <si>
    <t xml:space="preserve">Caerus Consulting has been engaged by Energetix to evaluate the investment strategy of the pension plan.  </t>
  </si>
  <si>
    <t>Reponses for parts (b)(ii) and (c)(ii) are to be provided in the Word document.  Answers to (a), (b)(i), (c)(i), (c)(iii), (d)(i) and (d)(ii) are to be provided below.</t>
  </si>
  <si>
    <t>Asset portfolio expected return:</t>
  </si>
  <si>
    <t>Asset value</t>
  </si>
  <si>
    <t>Liability Value</t>
  </si>
  <si>
    <t>Expected change in assets</t>
  </si>
  <si>
    <t>Expected change in liabilities</t>
  </si>
  <si>
    <t>Initial Surplus</t>
  </si>
  <si>
    <t>New Surplus</t>
  </si>
  <si>
    <t>Surplus Change</t>
  </si>
  <si>
    <t>Surplus Return as % of Assets</t>
  </si>
  <si>
    <t>Portfolio Beta</t>
  </si>
  <si>
    <t>Weight</t>
  </si>
  <si>
    <t>=</t>
  </si>
  <si>
    <t>Used goal seek to set this cell to 1.2 by changing cell G49</t>
  </si>
  <si>
    <t>Must first calculate the weight of each stock (Stock 1 = x) - see cell G49</t>
  </si>
  <si>
    <t>We can calculate the value of the volatility using the diagonal model</t>
  </si>
  <si>
    <t>Total Variance</t>
  </si>
  <si>
    <t>Portfolio variance</t>
  </si>
  <si>
    <t>Market variance</t>
  </si>
  <si>
    <t>Volatility</t>
  </si>
  <si>
    <t>Variance</t>
  </si>
  <si>
    <t>Liability volatility</t>
  </si>
  <si>
    <t>Asset Volatility</t>
  </si>
  <si>
    <t>from a)</t>
  </si>
  <si>
    <t>from b)</t>
  </si>
  <si>
    <t>Asset Value</t>
  </si>
  <si>
    <t>Correlation</t>
  </si>
  <si>
    <t>Surplus Variance</t>
  </si>
  <si>
    <t>Surplus volatility</t>
  </si>
  <si>
    <t>Expected Surplus</t>
  </si>
  <si>
    <t>95th percentile surplus</t>
  </si>
  <si>
    <t>Can take derivative of formula above and set to 0 to solve for L/A ratio</t>
  </si>
  <si>
    <t>L/A</t>
  </si>
  <si>
    <t>Funding Ratio</t>
  </si>
  <si>
    <t>Formula</t>
  </si>
  <si>
    <t>x_i * w_i = IR_i * (w_p/IR_p)</t>
  </si>
  <si>
    <t>x_A / x_B</t>
  </si>
  <si>
    <t>w_P</t>
  </si>
  <si>
    <t>sqrt(Sum (x_i*w_i)^2)</t>
  </si>
  <si>
    <t>x_B</t>
  </si>
  <si>
    <t>X_A</t>
  </si>
  <si>
    <t>IR_P</t>
  </si>
  <si>
    <t>portfolio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</si>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</sst>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%"/>
    <numFmt numFmtId="167" formatCode="_(* #,##0_);_(* \(#,##0\);_(* &quot;-&quot;?_);_(@_)"/>
    <numFmt numFmtId="168" formatCode="_(* #,##0.000000_);_(* \(#,##0.000000\);_(* &quot;-&quot;??_);_(@_)"/>
    <numFmt numFmtId="169" formatCode="#,##0.0000"/>
    <numFmt numFmtId="170" formatCode="0.0000_);\(0.0000\)"/>
    <numFmt numFmtId="171" formatCode="_(* #,##0.0000_);_(* \(#,##0.0000\);_(* &quot;-&quot;??_);_(@_)"/>
    <numFmt numFmtId="172" formatCode="_(* #,##0.0_);_(* \(#,##0.0\);_(* &quot;-&quot;??_);_(@_)"/>
    <numFmt numFmtId="173" formatCode="0.000"/>
    <numFmt numFmtId="174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FF"/>
      <name val="Times New Roman"/>
      <family val="1"/>
    </font>
    <font>
      <sz val="10"/>
      <name val="Arial"/>
      <family val="2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5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0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13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quotePrefix="1" applyFill="1"/>
    <xf numFmtId="10" fontId="0" fillId="0" borderId="0" xfId="2" applyNumberFormat="1" applyFont="1" applyFill="1"/>
    <xf numFmtId="166" fontId="0" fillId="0" borderId="0" xfId="0" applyNumberFormat="1"/>
    <xf numFmtId="10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67" fontId="0" fillId="0" borderId="0" xfId="0" applyNumberFormat="1"/>
    <xf numFmtId="165" fontId="0" fillId="0" borderId="0" xfId="0" applyNumberFormat="1"/>
    <xf numFmtId="9" fontId="0" fillId="0" borderId="0" xfId="2" applyFont="1"/>
    <xf numFmtId="166" fontId="0" fillId="0" borderId="0" xfId="2" applyNumberFormat="1" applyFont="1"/>
    <xf numFmtId="0" fontId="15" fillId="0" borderId="0" xfId="0" applyFont="1"/>
    <xf numFmtId="0" fontId="0" fillId="2" borderId="0" xfId="0" applyFill="1"/>
    <xf numFmtId="166" fontId="0" fillId="3" borderId="1" xfId="2" applyNumberFormat="1" applyFont="1" applyFill="1" applyBorder="1"/>
    <xf numFmtId="165" fontId="0" fillId="3" borderId="1" xfId="0" applyNumberFormat="1" applyFill="1" applyBorder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0" fontId="3" fillId="0" borderId="0" xfId="4" applyFont="1"/>
    <xf numFmtId="0" fontId="1" fillId="0" borderId="0" xfId="5"/>
    <xf numFmtId="0" fontId="16" fillId="0" borderId="0" xfId="5" applyFont="1"/>
    <xf numFmtId="43" fontId="16" fillId="0" borderId="0" xfId="5" applyNumberFormat="1" applyFont="1"/>
    <xf numFmtId="168" fontId="16" fillId="0" borderId="0" xfId="6" applyNumberFormat="1" applyFont="1"/>
    <xf numFmtId="3" fontId="18" fillId="4" borderId="4" xfId="5" applyNumberFormat="1" applyFont="1" applyFill="1" applyBorder="1"/>
    <xf numFmtId="0" fontId="18" fillId="5" borderId="4" xfId="5" applyFont="1" applyFill="1" applyBorder="1"/>
    <xf numFmtId="169" fontId="18" fillId="4" borderId="4" xfId="5" applyNumberFormat="1" applyFont="1" applyFill="1" applyBorder="1"/>
    <xf numFmtId="170" fontId="16" fillId="0" borderId="4" xfId="5" applyNumberFormat="1" applyFont="1" applyBorder="1"/>
    <xf numFmtId="0" fontId="16" fillId="0" borderId="4" xfId="5" applyFont="1" applyBorder="1"/>
    <xf numFmtId="3" fontId="16" fillId="0" borderId="4" xfId="5" applyNumberFormat="1" applyFont="1" applyBorder="1"/>
    <xf numFmtId="171" fontId="1" fillId="0" borderId="0" xfId="5" applyNumberFormat="1"/>
    <xf numFmtId="43" fontId="1" fillId="0" borderId="0" xfId="6" applyFont="1"/>
    <xf numFmtId="164" fontId="16" fillId="0" borderId="4" xfId="5" applyNumberFormat="1" applyFont="1" applyBorder="1" applyAlignment="1">
      <alignment horizontal="center"/>
    </xf>
    <xf numFmtId="0" fontId="16" fillId="0" borderId="4" xfId="5" applyFont="1" applyBorder="1" applyAlignment="1">
      <alignment horizontal="center"/>
    </xf>
    <xf numFmtId="43" fontId="1" fillId="0" borderId="0" xfId="5" applyNumberFormat="1"/>
    <xf numFmtId="172" fontId="1" fillId="0" borderId="0" xfId="5" applyNumberFormat="1"/>
    <xf numFmtId="0" fontId="18" fillId="5" borderId="4" xfId="5" applyFont="1" applyFill="1" applyBorder="1" applyAlignment="1">
      <alignment horizontal="center" wrapText="1"/>
    </xf>
    <xf numFmtId="0" fontId="18" fillId="5" borderId="4" xfId="5" applyFont="1" applyFill="1" applyBorder="1" applyAlignment="1">
      <alignment horizontal="center"/>
    </xf>
    <xf numFmtId="0" fontId="19" fillId="0" borderId="0" xfId="5" applyFont="1"/>
    <xf numFmtId="0" fontId="16" fillId="0" borderId="0" xfId="5" applyFont="1" applyAlignment="1">
      <alignment horizontal="center"/>
    </xf>
    <xf numFmtId="0" fontId="16" fillId="0" borderId="0" xfId="4" applyFont="1"/>
    <xf numFmtId="0" fontId="3" fillId="6" borderId="0" xfId="4" applyFont="1" applyFill="1"/>
    <xf numFmtId="1" fontId="3" fillId="3" borderId="1" xfId="4" applyNumberFormat="1" applyFont="1" applyFill="1" applyBorder="1"/>
    <xf numFmtId="0" fontId="3" fillId="0" borderId="0" xfId="5" applyFont="1"/>
    <xf numFmtId="0" fontId="6" fillId="0" borderId="0" xfId="5" applyFont="1"/>
    <xf numFmtId="164" fontId="3" fillId="3" borderId="5" xfId="4" applyNumberFormat="1" applyFont="1" applyFill="1" applyBorder="1"/>
    <xf numFmtId="173" fontId="3" fillId="3" borderId="6" xfId="4" applyNumberFormat="1" applyFont="1" applyFill="1" applyBorder="1"/>
    <xf numFmtId="164" fontId="3" fillId="3" borderId="7" xfId="5" applyNumberFormat="1" applyFont="1" applyFill="1" applyBorder="1"/>
    <xf numFmtId="164" fontId="3" fillId="3" borderId="8" xfId="4" applyNumberFormat="1" applyFont="1" applyFill="1" applyBorder="1"/>
    <xf numFmtId="164" fontId="3" fillId="3" borderId="9" xfId="4" applyNumberFormat="1" applyFont="1" applyFill="1" applyBorder="1"/>
    <xf numFmtId="164" fontId="3" fillId="3" borderId="10" xfId="5" applyNumberFormat="1" applyFont="1" applyFill="1" applyBorder="1"/>
    <xf numFmtId="0" fontId="4" fillId="0" borderId="11" xfId="5" applyFont="1" applyBorder="1" applyAlignment="1">
      <alignment horizontal="center"/>
    </xf>
    <xf numFmtId="0" fontId="3" fillId="0" borderId="5" xfId="5" applyFont="1" applyBorder="1" applyAlignment="1">
      <alignment vertical="center"/>
    </xf>
    <xf numFmtId="0" fontId="3" fillId="0" borderId="6" xfId="4" applyFont="1" applyBorder="1" applyAlignment="1">
      <alignment vertical="center" wrapText="1"/>
    </xf>
    <xf numFmtId="0" fontId="1" fillId="0" borderId="7" xfId="4" applyBorder="1"/>
    <xf numFmtId="3" fontId="3" fillId="0" borderId="12" xfId="5" applyNumberFormat="1" applyFont="1" applyBorder="1" applyAlignment="1">
      <alignment horizontal="right" vertical="center"/>
    </xf>
    <xf numFmtId="0" fontId="3" fillId="0" borderId="13" xfId="4" applyFont="1" applyBorder="1" applyAlignment="1">
      <alignment vertical="center" wrapText="1"/>
    </xf>
    <xf numFmtId="0" fontId="1" fillId="0" borderId="14" xfId="4" applyBorder="1"/>
    <xf numFmtId="0" fontId="5" fillId="0" borderId="15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/>
    <xf numFmtId="10" fontId="3" fillId="0" borderId="18" xfId="5" applyNumberFormat="1" applyFont="1" applyBorder="1" applyAlignment="1">
      <alignment horizontal="center"/>
    </xf>
    <xf numFmtId="10" fontId="3" fillId="0" borderId="4" xfId="5" applyNumberFormat="1" applyFont="1" applyBorder="1" applyAlignment="1">
      <alignment horizontal="center"/>
    </xf>
    <xf numFmtId="0" fontId="3" fillId="0" borderId="19" xfId="5" applyFont="1" applyBorder="1"/>
    <xf numFmtId="1" fontId="3" fillId="0" borderId="18" xfId="5" applyNumberFormat="1" applyFont="1" applyBorder="1" applyAlignment="1">
      <alignment horizontal="center"/>
    </xf>
    <xf numFmtId="1" fontId="3" fillId="0" borderId="4" xfId="5" applyNumberFormat="1" applyFont="1" applyBorder="1" applyAlignment="1">
      <alignment horizontal="center"/>
    </xf>
    <xf numFmtId="0" fontId="3" fillId="0" borderId="18" xfId="5" applyFont="1" applyBorder="1" applyAlignment="1">
      <alignment horizontal="center"/>
    </xf>
    <xf numFmtId="0" fontId="3" fillId="0" borderId="4" xfId="5" applyFont="1" applyBorder="1" applyAlignment="1">
      <alignment horizontal="center"/>
    </xf>
    <xf numFmtId="9" fontId="3" fillId="0" borderId="12" xfId="5" applyNumberFormat="1" applyFont="1" applyBorder="1" applyAlignment="1">
      <alignment horizontal="center"/>
    </xf>
    <xf numFmtId="9" fontId="3" fillId="0" borderId="13" xfId="5" applyNumberFormat="1" applyFont="1" applyBorder="1" applyAlignment="1">
      <alignment horizontal="center"/>
    </xf>
    <xf numFmtId="0" fontId="3" fillId="0" borderId="14" xfId="5" applyFont="1" applyBorder="1"/>
    <xf numFmtId="0" fontId="4" fillId="0" borderId="1" xfId="5" applyFont="1" applyBorder="1" applyAlignment="1">
      <alignment horizontal="center"/>
    </xf>
    <xf numFmtId="0" fontId="4" fillId="0" borderId="1" xfId="5" applyFont="1" applyBorder="1"/>
    <xf numFmtId="0" fontId="4" fillId="0" borderId="0" xfId="4" applyFont="1"/>
    <xf numFmtId="0" fontId="5" fillId="0" borderId="0" xfId="4" applyFont="1"/>
    <xf numFmtId="165" fontId="3" fillId="0" borderId="0" xfId="6" applyNumberFormat="1" applyFont="1"/>
    <xf numFmtId="0" fontId="20" fillId="0" borderId="0" xfId="5" applyFont="1"/>
    <xf numFmtId="164" fontId="16" fillId="0" borderId="4" xfId="5" applyNumberFormat="1" applyFont="1" applyBorder="1"/>
    <xf numFmtId="0" fontId="18" fillId="0" borderId="0" xfId="5" applyFont="1"/>
    <xf numFmtId="0" fontId="21" fillId="0" borderId="0" xfId="7"/>
    <xf numFmtId="0" fontId="16" fillId="0" borderId="4" xfId="7" applyFont="1" applyBorder="1"/>
    <xf numFmtId="0" fontId="3" fillId="6" borderId="0" xfId="5" applyFont="1" applyFill="1"/>
    <xf numFmtId="174" fontId="3" fillId="3" borderId="4" xfId="5" applyNumberFormat="1" applyFont="1" applyFill="1" applyBorder="1"/>
    <xf numFmtId="0" fontId="3" fillId="0" borderId="4" xfId="5" applyFont="1" applyBorder="1"/>
    <xf numFmtId="0" fontId="4" fillId="0" borderId="4" xfId="5" applyFont="1" applyBorder="1" applyAlignment="1">
      <alignment horizontal="center"/>
    </xf>
    <xf numFmtId="0" fontId="3" fillId="0" borderId="0" xfId="5" applyFont="1" applyAlignment="1">
      <alignment wrapText="1"/>
    </xf>
    <xf numFmtId="43" fontId="3" fillId="0" borderId="0" xfId="8" applyFont="1"/>
    <xf numFmtId="165" fontId="3" fillId="0" borderId="0" xfId="8" applyNumberFormat="1" applyFont="1"/>
    <xf numFmtId="0" fontId="4" fillId="0" borderId="0" xfId="5" applyFont="1"/>
    <xf numFmtId="0" fontId="5" fillId="0" borderId="0" xfId="5" applyFont="1"/>
    <xf numFmtId="0" fontId="3" fillId="0" borderId="0" xfId="3" applyFont="1"/>
    <xf numFmtId="3" fontId="3" fillId="3" borderId="1" xfId="3" applyNumberFormat="1" applyFont="1" applyFill="1" applyBorder="1"/>
    <xf numFmtId="0" fontId="6" fillId="0" borderId="0" xfId="3" applyFont="1"/>
    <xf numFmtId="3" fontId="3" fillId="0" borderId="0" xfId="3" applyNumberFormat="1" applyFont="1"/>
    <xf numFmtId="0" fontId="3" fillId="0" borderId="0" xfId="3" applyFont="1" applyAlignment="1">
      <alignment wrapText="1"/>
    </xf>
    <xf numFmtId="166" fontId="3" fillId="0" borderId="0" xfId="9" applyNumberFormat="1" applyFont="1"/>
    <xf numFmtId="3" fontId="18" fillId="0" borderId="0" xfId="3" applyNumberFormat="1" applyFont="1"/>
    <xf numFmtId="3" fontId="16" fillId="0" borderId="0" xfId="3" applyNumberFormat="1" applyFont="1"/>
    <xf numFmtId="0" fontId="16" fillId="0" borderId="0" xfId="3" applyFont="1"/>
    <xf numFmtId="3" fontId="3" fillId="0" borderId="5" xfId="3" applyNumberFormat="1" applyFont="1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0" fontId="3" fillId="0" borderId="7" xfId="3" applyFont="1" applyBorder="1" applyAlignment="1">
      <alignment horizontal="center" wrapText="1"/>
    </xf>
    <xf numFmtId="3" fontId="3" fillId="0" borderId="18" xfId="3" applyNumberFormat="1" applyFont="1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0" fontId="3" fillId="0" borderId="19" xfId="3" applyFont="1" applyBorder="1" applyAlignment="1">
      <alignment horizontal="center" wrapText="1"/>
    </xf>
    <xf numFmtId="0" fontId="18" fillId="0" borderId="0" xfId="3" applyFont="1" applyAlignment="1">
      <alignment horizontal="center" wrapText="1"/>
    </xf>
    <xf numFmtId="0" fontId="4" fillId="0" borderId="8" xfId="3" applyFont="1" applyBorder="1" applyAlignment="1">
      <alignment horizontal="center" wrapText="1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0" xfId="3" applyFont="1"/>
    <xf numFmtId="0" fontId="5" fillId="0" borderId="0" xfId="3" applyFont="1"/>
    <xf numFmtId="0" fontId="3" fillId="3" borderId="1" xfId="3" applyFont="1" applyFill="1" applyBorder="1"/>
    <xf numFmtId="9" fontId="2" fillId="0" borderId="5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9" fontId="2" fillId="0" borderId="18" xfId="3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0" borderId="0" xfId="5" applyFont="1" applyAlignment="1">
      <alignment wrapText="1"/>
    </xf>
    <xf numFmtId="0" fontId="2" fillId="0" borderId="10" xfId="3" applyFont="1" applyBorder="1" applyAlignment="1">
      <alignment vertical="center" wrapText="1"/>
    </xf>
    <xf numFmtId="0" fontId="2" fillId="0" borderId="9" xfId="3" applyFont="1" applyBorder="1" applyAlignment="1">
      <alignment vertical="center" wrapText="1"/>
    </xf>
    <xf numFmtId="0" fontId="2" fillId="0" borderId="19" xfId="3" applyFont="1" applyBorder="1" applyAlignment="1">
      <alignment vertical="center" wrapText="1"/>
    </xf>
    <xf numFmtId="0" fontId="2" fillId="0" borderId="4" xfId="3" applyFont="1" applyBorder="1" applyAlignment="1">
      <alignment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9" xfId="3" applyFont="1" applyBorder="1" applyAlignment="1">
      <alignment vertical="center" wrapText="1"/>
    </xf>
    <xf numFmtId="0" fontId="5" fillId="0" borderId="7" xfId="3" applyFont="1" applyBorder="1" applyAlignment="1">
      <alignment vertical="center" wrapText="1"/>
    </xf>
  </cellXfs>
  <cellStyles count="10">
    <cellStyle name="Comma" xfId="1" builtinId="3"/>
    <cellStyle name="Comma 2" xfId="6" xr:uid="{BCD49BB4-1944-47E9-BB3E-175533C36795}"/>
    <cellStyle name="Comma 8" xfId="8" xr:uid="{5BA3557D-319B-4642-93B4-400E4E2CD5C2}"/>
    <cellStyle name="Normal" xfId="0" builtinId="0"/>
    <cellStyle name="Normal 2" xfId="7" xr:uid="{366F7212-AA6B-472C-9ABD-583093897351}"/>
    <cellStyle name="Normal 5" xfId="3" xr:uid="{00000000-0005-0000-0000-000002000000}"/>
    <cellStyle name="Normal 5 2" xfId="5" xr:uid="{5C15F7DC-281D-4527-98DA-D8DCE31EAE21}"/>
    <cellStyle name="Normal 6" xfId="4" xr:uid="{439324D2-2918-4941-9C4F-81A6EA04292D}"/>
    <cellStyle name="Percent" xfId="2" builtinId="5"/>
    <cellStyle name="Percent 8" xfId="9" xr:uid="{0C5E2A27-A640-457A-8F92-F4C383377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6CB780-D915-4D5B-B0AB-7C2DD62100AA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41514C-CD70-481E-A932-FC4F61B6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846E15-3471-4713-9BC2-F8111C9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ED399F-F1B8-49E0-8734-E5BFE63BCF6F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E44FFC-46A6-4F5C-8B53-E05D5F1E77A5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E44FFC-46A6-4F5C-8B53-E05D5F1E77A5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C047F4-A6CE-4400-84CD-21C04AA7C4EF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C047F4-A6CE-4400-84CD-21C04AA7C4EF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249F5F-16F8-4888-BDDE-95148CDEB12F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96C0C536-BCFF-4234-BB7D-CFC464FAB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D1C03A-00E3-41AF-BC48-D042A3457030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5FF7-85AD-4182-954F-EE5D4FDDE7CD}">
  <dimension ref="A1:O53"/>
  <sheetViews>
    <sheetView tabSelected="1" zoomScaleNormal="100" workbookViewId="0"/>
  </sheetViews>
  <sheetFormatPr defaultColWidth="9.140625" defaultRowHeight="15" x14ac:dyDescent="0.25"/>
  <cols>
    <col min="1" max="1" width="32.7109375" style="36" customWidth="1"/>
    <col min="2" max="2" width="23.28515625" style="36" customWidth="1"/>
    <col min="3" max="3" width="17.7109375" style="36" customWidth="1"/>
    <col min="4" max="4" width="18" style="36" customWidth="1"/>
    <col min="5" max="6" width="18.5703125" style="36" customWidth="1"/>
    <col min="7" max="7" width="15.85546875" style="36" customWidth="1"/>
    <col min="8" max="8" width="15.7109375" style="36" customWidth="1"/>
    <col min="9" max="16384" width="9.140625" style="36"/>
  </cols>
  <sheetData>
    <row r="1" spans="1:3" ht="15.6" x14ac:dyDescent="0.3">
      <c r="A1" s="94" t="s">
        <v>0</v>
      </c>
    </row>
    <row r="3" spans="1:3" ht="13.9" x14ac:dyDescent="0.25">
      <c r="A3" s="93" t="s">
        <v>128</v>
      </c>
    </row>
    <row r="4" spans="1:3" ht="13.9" x14ac:dyDescent="0.25">
      <c r="A4" s="93"/>
    </row>
    <row r="5" spans="1:3" ht="13.9" x14ac:dyDescent="0.25">
      <c r="A5" s="93" t="s">
        <v>107</v>
      </c>
      <c r="B5" s="36" t="s">
        <v>127</v>
      </c>
    </row>
    <row r="6" spans="1:3" ht="13.9" x14ac:dyDescent="0.25">
      <c r="A6" s="93" t="s">
        <v>105</v>
      </c>
      <c r="B6" s="36" t="s">
        <v>126</v>
      </c>
    </row>
    <row r="7" spans="1:3" ht="14.45" thickBot="1" x14ac:dyDescent="0.3"/>
    <row r="8" spans="1:3" ht="14.45" thickBot="1" x14ac:dyDescent="0.3">
      <c r="A8" s="92"/>
      <c r="B8" s="91" t="s">
        <v>112</v>
      </c>
      <c r="C8" s="91" t="s">
        <v>111</v>
      </c>
    </row>
    <row r="9" spans="1:3" ht="13.9" x14ac:dyDescent="0.25">
      <c r="A9" s="90" t="s">
        <v>125</v>
      </c>
      <c r="B9" s="89">
        <v>0.5</v>
      </c>
      <c r="C9" s="88">
        <v>0.5</v>
      </c>
    </row>
    <row r="10" spans="1:3" ht="13.9" x14ac:dyDescent="0.25">
      <c r="A10" s="83" t="s">
        <v>124</v>
      </c>
      <c r="B10" s="87">
        <v>1</v>
      </c>
      <c r="C10" s="86">
        <v>3</v>
      </c>
    </row>
    <row r="11" spans="1:3" ht="13.9" x14ac:dyDescent="0.25">
      <c r="A11" s="83" t="s">
        <v>123</v>
      </c>
      <c r="B11" s="82">
        <v>0.02</v>
      </c>
      <c r="C11" s="81">
        <v>0.03</v>
      </c>
    </row>
    <row r="12" spans="1:3" ht="13.9" x14ac:dyDescent="0.25">
      <c r="A12" s="83" t="s">
        <v>122</v>
      </c>
      <c r="B12" s="85">
        <v>1005</v>
      </c>
      <c r="C12" s="84">
        <v>986</v>
      </c>
    </row>
    <row r="13" spans="1:3" ht="13.9" x14ac:dyDescent="0.25">
      <c r="A13" s="83" t="s">
        <v>121</v>
      </c>
      <c r="B13" s="82">
        <v>1.4999999999999999E-2</v>
      </c>
      <c r="C13" s="81">
        <v>3.5000000000000003E-2</v>
      </c>
    </row>
    <row r="14" spans="1:3" ht="14.45" thickBot="1" x14ac:dyDescent="0.3">
      <c r="A14" s="80" t="s">
        <v>120</v>
      </c>
      <c r="B14" s="79">
        <v>1000</v>
      </c>
      <c r="C14" s="78">
        <v>1000</v>
      </c>
    </row>
    <row r="15" spans="1:3" ht="14.45" thickBot="1" x14ac:dyDescent="0.3"/>
    <row r="16" spans="1:3" ht="16.149999999999999" thickBot="1" x14ac:dyDescent="0.3">
      <c r="A16" s="77" t="s">
        <v>119</v>
      </c>
      <c r="B16" s="76" t="s">
        <v>118</v>
      </c>
      <c r="C16" s="75" t="s">
        <v>117</v>
      </c>
    </row>
    <row r="17" spans="1:8" ht="81.75" customHeight="1" x14ac:dyDescent="0.3">
      <c r="A17" s="74"/>
      <c r="B17" s="73" t="s">
        <v>116</v>
      </c>
      <c r="C17" s="72" t="s">
        <v>115</v>
      </c>
    </row>
    <row r="18" spans="1:8" ht="81.75" customHeight="1" thickBot="1" x14ac:dyDescent="0.35">
      <c r="A18" s="71"/>
      <c r="B18" s="70" t="s">
        <v>114</v>
      </c>
      <c r="C18" s="69">
        <v>94.108000000000004</v>
      </c>
    </row>
    <row r="20" spans="1:8" ht="15.75" thickBot="1" x14ac:dyDescent="0.3">
      <c r="A20" s="61" t="s">
        <v>113</v>
      </c>
      <c r="B20" s="60"/>
    </row>
    <row r="21" spans="1:8" ht="15.75" thickBot="1" x14ac:dyDescent="0.3">
      <c r="A21" s="61"/>
      <c r="B21" s="68" t="s">
        <v>112</v>
      </c>
      <c r="C21" s="68" t="s">
        <v>111</v>
      </c>
      <c r="D21" s="68" t="s">
        <v>110</v>
      </c>
    </row>
    <row r="22" spans="1:8" x14ac:dyDescent="0.25">
      <c r="A22" s="60" t="s">
        <v>109</v>
      </c>
      <c r="B22" s="67">
        <f>E34*G34/($B$12*(1+$B$13))</f>
        <v>0.9851492374329186</v>
      </c>
      <c r="C22" s="66">
        <f>SUMPRODUCT(E40:E42,G40:G42)/($C$12*(1+C13))</f>
        <v>2.8142782626162903</v>
      </c>
      <c r="D22" s="65">
        <f>AVERAGE(B22:C22)</f>
        <v>1.8997137500246044</v>
      </c>
      <c r="E22" s="36" t="s">
        <v>107</v>
      </c>
    </row>
    <row r="23" spans="1:8" ht="15.75" thickBot="1" x14ac:dyDescent="0.3">
      <c r="A23" s="60" t="s">
        <v>108</v>
      </c>
      <c r="B23" s="64">
        <f>(F34/(1+$B$13)^(3))/$B$12</f>
        <v>1.9411807634146181</v>
      </c>
      <c r="C23" s="63">
        <f>SUMPRODUCT(F40:F42,H40:H42)/$C$12</f>
        <v>10.768523839449475</v>
      </c>
      <c r="D23" s="62">
        <f>AVERAGE(B23:C23)</f>
        <v>6.3548523014320466</v>
      </c>
      <c r="E23" s="36" t="s">
        <v>107</v>
      </c>
    </row>
    <row r="24" spans="1:8" ht="15.75" thickBot="1" x14ac:dyDescent="0.3">
      <c r="A24" s="61"/>
      <c r="B24" s="60"/>
    </row>
    <row r="25" spans="1:8" ht="15.75" thickBot="1" x14ac:dyDescent="0.3">
      <c r="A25" s="36" t="s">
        <v>106</v>
      </c>
      <c r="D25" s="59">
        <f>ABS(B53/C18)</f>
        <v>200.0002612955912</v>
      </c>
      <c r="E25" s="36" t="s">
        <v>105</v>
      </c>
    </row>
    <row r="27" spans="1:8" s="58" customFormat="1" x14ac:dyDescent="0.25"/>
    <row r="28" spans="1:8" x14ac:dyDescent="0.25">
      <c r="A28" s="57"/>
      <c r="B28" s="57"/>
      <c r="C28" s="57"/>
      <c r="D28" s="57"/>
      <c r="E28" s="57"/>
      <c r="F28" s="57"/>
      <c r="G28" s="57"/>
      <c r="H28" s="57"/>
    </row>
    <row r="29" spans="1:8" s="37" customFormat="1" x14ac:dyDescent="0.25">
      <c r="A29" s="38" t="s">
        <v>104</v>
      </c>
      <c r="B29" s="38"/>
      <c r="C29" s="38"/>
      <c r="D29" s="38"/>
      <c r="E29" s="38"/>
      <c r="F29" s="38"/>
      <c r="G29" s="38"/>
      <c r="H29" s="38"/>
    </row>
    <row r="30" spans="1:8" s="37" customFormat="1" x14ac:dyDescent="0.25">
      <c r="A30" s="38"/>
      <c r="B30" s="38"/>
      <c r="C30" s="38"/>
      <c r="D30" s="38"/>
      <c r="E30" s="38"/>
      <c r="F30" s="38"/>
      <c r="G30" s="38"/>
      <c r="H30" s="38"/>
    </row>
    <row r="31" spans="1:8" s="37" customFormat="1" x14ac:dyDescent="0.25">
      <c r="A31" s="55" t="s">
        <v>103</v>
      </c>
      <c r="B31" s="38"/>
      <c r="C31" s="38"/>
      <c r="D31" s="38"/>
      <c r="E31" s="38"/>
      <c r="F31" s="38"/>
      <c r="G31" s="38"/>
      <c r="H31" s="38"/>
    </row>
    <row r="32" spans="1:8" s="37" customFormat="1" x14ac:dyDescent="0.25">
      <c r="A32" s="38"/>
      <c r="B32" s="38"/>
      <c r="C32" s="38"/>
      <c r="D32" s="38"/>
      <c r="E32" s="38"/>
      <c r="F32" s="38"/>
      <c r="G32" s="38"/>
      <c r="H32" s="38"/>
    </row>
    <row r="33" spans="1:15" s="37" customFormat="1" ht="43.5" x14ac:dyDescent="0.25">
      <c r="A33" s="54" t="s">
        <v>100</v>
      </c>
      <c r="B33" s="54" t="s">
        <v>99</v>
      </c>
      <c r="C33" s="54" t="s">
        <v>98</v>
      </c>
      <c r="D33" s="54" t="s">
        <v>97</v>
      </c>
      <c r="E33" s="53" t="s">
        <v>96</v>
      </c>
      <c r="F33" s="53" t="s">
        <v>95</v>
      </c>
      <c r="G33" s="53" t="s">
        <v>102</v>
      </c>
      <c r="H33" s="38"/>
    </row>
    <row r="34" spans="1:15" s="37" customFormat="1" x14ac:dyDescent="0.25">
      <c r="A34" s="50">
        <v>1</v>
      </c>
      <c r="B34" s="50">
        <f>B11*B14</f>
        <v>20</v>
      </c>
      <c r="C34" s="50">
        <f>B14</f>
        <v>1000</v>
      </c>
      <c r="D34" s="50">
        <f>B34+C34</f>
        <v>1020</v>
      </c>
      <c r="E34" s="50">
        <f>D34*A34</f>
        <v>1020</v>
      </c>
      <c r="F34" s="50">
        <f>($A34^2 + $A34)*D34</f>
        <v>2040</v>
      </c>
      <c r="G34" s="49">
        <f>1/(1+$B$13)^($A34)</f>
        <v>0.98522167487684742</v>
      </c>
      <c r="H34" s="38"/>
      <c r="I34" s="48"/>
      <c r="K34" s="47"/>
    </row>
    <row r="35" spans="1:15" s="37" customFormat="1" x14ac:dyDescent="0.25">
      <c r="A35" s="56"/>
      <c r="B35" s="38"/>
      <c r="C35" s="38"/>
      <c r="D35" s="38"/>
      <c r="E35" s="38"/>
      <c r="F35" s="38"/>
      <c r="G35" s="38"/>
      <c r="H35" s="38"/>
    </row>
    <row r="36" spans="1:15" s="37" customFormat="1" x14ac:dyDescent="0.25">
      <c r="A36" s="56"/>
      <c r="B36" s="38"/>
      <c r="C36" s="38"/>
      <c r="D36" s="38"/>
      <c r="E36" s="38"/>
      <c r="F36" s="38"/>
      <c r="G36" s="38"/>
      <c r="H36" s="38"/>
    </row>
    <row r="37" spans="1:15" s="37" customFormat="1" x14ac:dyDescent="0.25">
      <c r="A37" s="55" t="s">
        <v>101</v>
      </c>
      <c r="B37" s="38"/>
      <c r="C37" s="38"/>
      <c r="D37" s="38"/>
      <c r="E37" s="38"/>
      <c r="F37" s="38"/>
      <c r="G37" s="38"/>
      <c r="H37" s="38"/>
    </row>
    <row r="38" spans="1:15" s="37" customFormat="1" x14ac:dyDescent="0.25">
      <c r="A38" s="38"/>
      <c r="B38" s="38"/>
      <c r="C38" s="38"/>
      <c r="D38" s="38"/>
      <c r="E38" s="38"/>
      <c r="F38" s="38"/>
      <c r="G38" s="38"/>
      <c r="H38" s="38"/>
    </row>
    <row r="39" spans="1:15" s="37" customFormat="1" ht="43.5" x14ac:dyDescent="0.25">
      <c r="A39" s="54" t="s">
        <v>100</v>
      </c>
      <c r="B39" s="54" t="s">
        <v>99</v>
      </c>
      <c r="C39" s="54" t="s">
        <v>98</v>
      </c>
      <c r="D39" s="54" t="s">
        <v>97</v>
      </c>
      <c r="E39" s="53" t="s">
        <v>96</v>
      </c>
      <c r="F39" s="53" t="s">
        <v>95</v>
      </c>
      <c r="G39" s="53" t="s">
        <v>94</v>
      </c>
      <c r="H39" s="53" t="s">
        <v>93</v>
      </c>
    </row>
    <row r="40" spans="1:15" s="37" customFormat="1" x14ac:dyDescent="0.25">
      <c r="A40" s="50">
        <v>1</v>
      </c>
      <c r="B40" s="50">
        <f>$C$11*$C$14</f>
        <v>30</v>
      </c>
      <c r="C40" s="50"/>
      <c r="D40" s="50">
        <f>B40+C40</f>
        <v>30</v>
      </c>
      <c r="E40" s="50">
        <f>D40*$A40</f>
        <v>30</v>
      </c>
      <c r="F40" s="50">
        <f>($A40^2 + $A40)*D40</f>
        <v>60</v>
      </c>
      <c r="G40" s="49">
        <f>1/(1+$C$13)^($A40)</f>
        <v>0.96618357487922713</v>
      </c>
      <c r="H40" s="49">
        <f>(1+$C$13)^(-$A40-2)</f>
        <v>0.90194270566802237</v>
      </c>
      <c r="J40" s="48"/>
      <c r="L40" s="47"/>
      <c r="N40" s="52"/>
      <c r="O40" s="51"/>
    </row>
    <row r="41" spans="1:15" s="37" customFormat="1" x14ac:dyDescent="0.25">
      <c r="A41" s="50">
        <v>2</v>
      </c>
      <c r="B41" s="50">
        <f>$C$11*$C$14</f>
        <v>30</v>
      </c>
      <c r="C41" s="50"/>
      <c r="D41" s="50">
        <f>B41+C41</f>
        <v>30</v>
      </c>
      <c r="E41" s="50">
        <f>D41*$A41</f>
        <v>60</v>
      </c>
      <c r="F41" s="50">
        <f>($A41^2 + $A41)*D41</f>
        <v>180</v>
      </c>
      <c r="G41" s="49">
        <f>1/(1+$C$13)^($A41)</f>
        <v>0.93351070036640305</v>
      </c>
      <c r="H41" s="49">
        <f>(1+$C$13)^(-$A41-2)</f>
        <v>0.87144222769857238</v>
      </c>
      <c r="J41" s="48"/>
      <c r="L41" s="47"/>
      <c r="O41" s="51"/>
    </row>
    <row r="42" spans="1:15" s="37" customFormat="1" x14ac:dyDescent="0.25">
      <c r="A42" s="50">
        <v>3</v>
      </c>
      <c r="B42" s="50">
        <f>$C$11*$C$14</f>
        <v>30</v>
      </c>
      <c r="C42" s="50">
        <f>C14</f>
        <v>1000</v>
      </c>
      <c r="D42" s="50">
        <f>B42+C42</f>
        <v>1030</v>
      </c>
      <c r="E42" s="50">
        <f>D42*$A42</f>
        <v>3090</v>
      </c>
      <c r="F42" s="50">
        <f>($A42^2 + $A42)*D42</f>
        <v>12360</v>
      </c>
      <c r="G42" s="49">
        <f>1/(1+$C$13)^($A42)</f>
        <v>0.90194270566802237</v>
      </c>
      <c r="H42" s="49">
        <f>(1+$C$13)^(-$A42-2)</f>
        <v>0.84197316685852419</v>
      </c>
      <c r="J42" s="48"/>
      <c r="L42" s="47"/>
    </row>
    <row r="43" spans="1:15" s="37" customFormat="1" x14ac:dyDescent="0.25">
      <c r="A43" s="38"/>
      <c r="B43" s="38"/>
      <c r="C43" s="38"/>
      <c r="D43" s="38"/>
      <c r="E43" s="38"/>
      <c r="F43" s="38"/>
      <c r="G43" s="38"/>
      <c r="H43" s="38"/>
    </row>
    <row r="44" spans="1:15" s="37" customFormat="1" x14ac:dyDescent="0.25">
      <c r="A44" s="38"/>
      <c r="B44" s="38"/>
      <c r="C44" s="38"/>
      <c r="D44" s="38"/>
      <c r="E44" s="38"/>
      <c r="F44" s="38"/>
      <c r="G44" s="38"/>
      <c r="H44" s="38"/>
    </row>
    <row r="45" spans="1:15" s="37" customFormat="1" x14ac:dyDescent="0.25">
      <c r="A45" s="38" t="s">
        <v>92</v>
      </c>
      <c r="B45" s="38"/>
      <c r="C45" s="38"/>
      <c r="D45" s="38"/>
      <c r="E45" s="38"/>
      <c r="F45" s="38"/>
      <c r="G45" s="38"/>
      <c r="H45" s="38"/>
    </row>
    <row r="46" spans="1:15" s="37" customFormat="1" x14ac:dyDescent="0.25">
      <c r="A46" s="42" t="s">
        <v>91</v>
      </c>
      <c r="B46" s="46">
        <v>100000000</v>
      </c>
      <c r="C46" s="38"/>
      <c r="D46" s="38"/>
      <c r="E46" s="38"/>
      <c r="F46" s="38"/>
      <c r="G46" s="38"/>
      <c r="H46" s="38"/>
    </row>
    <row r="47" spans="1:15" s="37" customFormat="1" x14ac:dyDescent="0.25">
      <c r="A47" s="38"/>
      <c r="B47" s="38"/>
      <c r="C47" s="38"/>
      <c r="D47" s="38"/>
      <c r="E47" s="38"/>
      <c r="F47" s="38"/>
      <c r="G47" s="38"/>
      <c r="H47" s="38"/>
    </row>
    <row r="48" spans="1:15" s="37" customFormat="1" ht="23.25" customHeight="1" x14ac:dyDescent="0.25">
      <c r="A48" s="42" t="s">
        <v>90</v>
      </c>
      <c r="B48" s="45">
        <f>1/10000</f>
        <v>1E-4</v>
      </c>
      <c r="C48" s="38"/>
      <c r="D48" s="38"/>
      <c r="E48" s="38"/>
      <c r="F48" s="38"/>
      <c r="G48" s="38"/>
      <c r="H48" s="38"/>
    </row>
    <row r="49" spans="1:8" s="37" customFormat="1" ht="23.25" customHeight="1" x14ac:dyDescent="0.25">
      <c r="A49" s="42" t="s">
        <v>89</v>
      </c>
      <c r="B49" s="44">
        <f>-B12*(B22*B48-0.5*B23*B48^2)</f>
        <v>-9.8997743928672166E-2</v>
      </c>
      <c r="C49" s="38"/>
      <c r="D49" s="38"/>
      <c r="E49" s="38"/>
      <c r="F49" s="38"/>
      <c r="G49" s="38"/>
      <c r="H49" s="38"/>
    </row>
    <row r="50" spans="1:8" s="37" customFormat="1" ht="24" customHeight="1" x14ac:dyDescent="0.25">
      <c r="A50" s="42" t="s">
        <v>88</v>
      </c>
      <c r="B50" s="44">
        <f>-C12*(C22*B48-0.5*C23*B48^2)</f>
        <v>-0.27743474787143774</v>
      </c>
      <c r="C50" s="38"/>
      <c r="D50" s="38"/>
      <c r="E50" s="38"/>
      <c r="F50" s="38"/>
      <c r="G50" s="38"/>
      <c r="H50" s="38"/>
    </row>
    <row r="51" spans="1:8" s="37" customFormat="1" x14ac:dyDescent="0.25">
      <c r="A51" s="38"/>
      <c r="B51" s="38"/>
      <c r="C51" s="38"/>
      <c r="D51" s="38"/>
      <c r="E51" s="38"/>
      <c r="F51" s="38"/>
      <c r="G51" s="38"/>
      <c r="H51" s="38"/>
    </row>
    <row r="52" spans="1:8" s="37" customFormat="1" x14ac:dyDescent="0.25">
      <c r="A52" s="42" t="s">
        <v>87</v>
      </c>
      <c r="B52" s="43">
        <f>0.5*(B49+B50)</f>
        <v>-0.18821624590005495</v>
      </c>
      <c r="C52" s="38"/>
      <c r="D52" s="38"/>
      <c r="E52" s="38"/>
      <c r="F52" s="38"/>
      <c r="G52" s="38"/>
      <c r="H52" s="38"/>
    </row>
    <row r="53" spans="1:8" s="37" customFormat="1" x14ac:dyDescent="0.25">
      <c r="A53" s="42" t="s">
        <v>86</v>
      </c>
      <c r="B53" s="41">
        <f>B46/1000*B52</f>
        <v>-18821.624590005496</v>
      </c>
      <c r="C53" s="40"/>
      <c r="D53" s="39"/>
      <c r="E53" s="38"/>
      <c r="F53" s="38"/>
      <c r="G53" s="38"/>
      <c r="H53" s="3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B0DB-8011-42B3-9601-267D4C0B6FAD}">
  <dimension ref="A1:G46"/>
  <sheetViews>
    <sheetView zoomScaleNormal="100" workbookViewId="0"/>
  </sheetViews>
  <sheetFormatPr defaultColWidth="9.140625" defaultRowHeight="15" x14ac:dyDescent="0.25"/>
  <cols>
    <col min="1" max="1" width="32" style="60" customWidth="1"/>
    <col min="2" max="2" width="21" style="60" customWidth="1"/>
    <col min="3" max="3" width="21.140625" style="60" customWidth="1"/>
    <col min="4" max="5" width="9.140625" style="60"/>
    <col min="6" max="6" width="10.42578125" style="60" bestFit="1" customWidth="1"/>
    <col min="7" max="16384" width="9.140625" style="60"/>
  </cols>
  <sheetData>
    <row r="1" spans="1:3" ht="15.6" x14ac:dyDescent="0.3">
      <c r="A1" s="109" t="s">
        <v>0</v>
      </c>
    </row>
    <row r="3" spans="1:3" ht="13.9" x14ac:dyDescent="0.25">
      <c r="A3" s="108" t="s">
        <v>128</v>
      </c>
    </row>
    <row r="4" spans="1:3" ht="13.9" x14ac:dyDescent="0.25">
      <c r="A4" s="108"/>
    </row>
    <row r="5" spans="1:3" ht="13.9" x14ac:dyDescent="0.25">
      <c r="A5" s="108" t="s">
        <v>154</v>
      </c>
      <c r="B5" s="60" t="s">
        <v>153</v>
      </c>
    </row>
    <row r="7" spans="1:3" ht="13.9" x14ac:dyDescent="0.25">
      <c r="A7" s="61" t="s">
        <v>152</v>
      </c>
    </row>
    <row r="8" spans="1:3" ht="13.9" x14ac:dyDescent="0.25">
      <c r="A8" s="60" t="s">
        <v>151</v>
      </c>
      <c r="B8" s="107">
        <v>100000000</v>
      </c>
      <c r="C8" s="60" t="s">
        <v>150</v>
      </c>
    </row>
    <row r="9" spans="1:3" ht="13.9" x14ac:dyDescent="0.25">
      <c r="A9" s="105" t="s">
        <v>149</v>
      </c>
      <c r="B9" s="106">
        <v>1.5</v>
      </c>
      <c r="C9" s="60" t="s">
        <v>146</v>
      </c>
    </row>
    <row r="10" spans="1:3" ht="13.9" x14ac:dyDescent="0.25">
      <c r="A10" s="105" t="s">
        <v>148</v>
      </c>
      <c r="B10" s="106">
        <v>1.49</v>
      </c>
      <c r="C10" s="60" t="s">
        <v>146</v>
      </c>
    </row>
    <row r="11" spans="1:3" ht="13.9" x14ac:dyDescent="0.25">
      <c r="A11" s="105" t="s">
        <v>147</v>
      </c>
      <c r="B11" s="106">
        <v>1.51</v>
      </c>
      <c r="C11" s="60" t="s">
        <v>146</v>
      </c>
    </row>
    <row r="12" spans="1:3" ht="13.9" x14ac:dyDescent="0.25">
      <c r="A12" s="105"/>
    </row>
    <row r="13" spans="1:3" ht="13.9" x14ac:dyDescent="0.25">
      <c r="A13" s="61" t="s">
        <v>145</v>
      </c>
    </row>
    <row r="14" spans="1:3" ht="13.9" x14ac:dyDescent="0.25">
      <c r="A14" s="60" t="s">
        <v>144</v>
      </c>
      <c r="B14" s="60">
        <v>100</v>
      </c>
    </row>
    <row r="15" spans="1:3" ht="13.9" x14ac:dyDescent="0.25">
      <c r="B15" s="60">
        <v>0.05</v>
      </c>
    </row>
    <row r="16" spans="1:3" ht="13.9" x14ac:dyDescent="0.25">
      <c r="B16" s="60">
        <v>0.3</v>
      </c>
    </row>
    <row r="17" spans="1:7" ht="13.9" x14ac:dyDescent="0.25">
      <c r="A17" s="60" t="s">
        <v>143</v>
      </c>
      <c r="B17" s="60">
        <v>0.05</v>
      </c>
      <c r="C17" s="60" t="s">
        <v>142</v>
      </c>
    </row>
    <row r="18" spans="1:7" ht="27.6" x14ac:dyDescent="0.25">
      <c r="A18" s="105" t="s">
        <v>141</v>
      </c>
      <c r="B18" s="60">
        <v>6.5000000000000002E-2</v>
      </c>
    </row>
    <row r="19" spans="1:7" ht="18.75" customHeight="1" x14ac:dyDescent="0.25">
      <c r="A19" s="145" t="s">
        <v>140</v>
      </c>
      <c r="B19" s="60">
        <v>8.0600000000000005E-2</v>
      </c>
      <c r="C19" s="60" t="s">
        <v>139</v>
      </c>
    </row>
    <row r="20" spans="1:7" x14ac:dyDescent="0.25">
      <c r="A20" s="145"/>
      <c r="B20" s="60">
        <v>7.5600000000000001E-2</v>
      </c>
      <c r="C20" s="60" t="s">
        <v>138</v>
      </c>
    </row>
    <row r="21" spans="1:7" ht="13.9" x14ac:dyDescent="0.25">
      <c r="A21" s="105"/>
    </row>
    <row r="22" spans="1:7" ht="13.9" x14ac:dyDescent="0.25">
      <c r="A22" s="61" t="s">
        <v>137</v>
      </c>
    </row>
    <row r="23" spans="1:7" ht="13.9" x14ac:dyDescent="0.25">
      <c r="B23" s="104" t="s">
        <v>131</v>
      </c>
    </row>
    <row r="24" spans="1:7" ht="13.9" x14ac:dyDescent="0.25">
      <c r="A24" s="103" t="s">
        <v>136</v>
      </c>
      <c r="B24" s="102">
        <f>(B19*99+B40)/100</f>
        <v>7.9794000000000004E-2</v>
      </c>
    </row>
    <row r="25" spans="1:7" ht="13.9" x14ac:dyDescent="0.25">
      <c r="A25" s="103" t="s">
        <v>135</v>
      </c>
      <c r="B25" s="102">
        <f>(B20*99+B39)/100</f>
        <v>7.4990329466102054E-2</v>
      </c>
    </row>
    <row r="27" spans="1:7" s="101" customFormat="1" x14ac:dyDescent="0.25"/>
    <row r="29" spans="1:7" x14ac:dyDescent="0.25">
      <c r="A29" s="98" t="s">
        <v>134</v>
      </c>
      <c r="B29" s="38"/>
      <c r="D29" s="96"/>
      <c r="E29" s="99"/>
      <c r="F29" s="99"/>
      <c r="G29" s="99"/>
    </row>
    <row r="30" spans="1:7" x14ac:dyDescent="0.25">
      <c r="A30" s="38"/>
      <c r="B30" s="38"/>
      <c r="D30" s="96"/>
      <c r="E30" s="99"/>
      <c r="F30" s="99"/>
      <c r="G30" s="99"/>
    </row>
    <row r="31" spans="1:7" x14ac:dyDescent="0.25">
      <c r="A31" s="100" t="s">
        <v>100</v>
      </c>
      <c r="B31" s="100">
        <v>0.5</v>
      </c>
      <c r="D31" s="96"/>
      <c r="E31" s="99"/>
      <c r="F31" s="99"/>
      <c r="G31" s="99"/>
    </row>
    <row r="32" spans="1:7" x14ac:dyDescent="0.25">
      <c r="A32" s="38"/>
      <c r="B32" s="38"/>
      <c r="D32" s="96"/>
      <c r="E32" s="96"/>
      <c r="F32" s="96"/>
    </row>
    <row r="33" spans="1:6" x14ac:dyDescent="0.25">
      <c r="A33" s="38"/>
      <c r="B33" s="38"/>
      <c r="D33" s="96"/>
      <c r="E33" s="96"/>
      <c r="F33" s="96"/>
    </row>
    <row r="34" spans="1:6" x14ac:dyDescent="0.25">
      <c r="A34" s="38"/>
      <c r="B34" s="38"/>
      <c r="D34" s="96"/>
      <c r="E34" s="96"/>
      <c r="F34" s="96"/>
    </row>
    <row r="35" spans="1:6" x14ac:dyDescent="0.25">
      <c r="A35" s="45" t="s">
        <v>133</v>
      </c>
      <c r="B35" s="97">
        <f>B9*EXP((B15-B16^2/2)*B31+B16*SQRT(B31)*B18)</f>
        <v>1.5246329466102058</v>
      </c>
      <c r="D35" s="96"/>
      <c r="E35" s="96"/>
      <c r="F35" s="96"/>
    </row>
    <row r="36" spans="1:6" x14ac:dyDescent="0.25">
      <c r="A36" s="38"/>
      <c r="B36" s="38"/>
      <c r="D36" s="96"/>
      <c r="E36" s="96"/>
      <c r="F36" s="96"/>
    </row>
    <row r="37" spans="1:6" x14ac:dyDescent="0.25">
      <c r="A37" s="38"/>
      <c r="B37" s="38"/>
      <c r="D37" s="96"/>
      <c r="E37" s="96"/>
      <c r="F37" s="96"/>
    </row>
    <row r="38" spans="1:6" x14ac:dyDescent="0.25">
      <c r="A38" s="98" t="s">
        <v>132</v>
      </c>
      <c r="B38" s="54" t="s">
        <v>131</v>
      </c>
      <c r="D38" s="96"/>
      <c r="E38" s="96"/>
      <c r="F38" s="96"/>
    </row>
    <row r="39" spans="1:6" x14ac:dyDescent="0.25">
      <c r="A39" s="45" t="s">
        <v>130</v>
      </c>
      <c r="B39" s="97">
        <f>MAX(B35-B11,0)</f>
        <v>1.4632946610205755E-2</v>
      </c>
      <c r="D39" s="96"/>
      <c r="E39" s="96"/>
      <c r="F39" s="96"/>
    </row>
    <row r="40" spans="1:6" x14ac:dyDescent="0.25">
      <c r="A40" s="45" t="s">
        <v>129</v>
      </c>
      <c r="B40" s="97">
        <f>MAX(B10-B35,0)</f>
        <v>0</v>
      </c>
      <c r="D40" s="96"/>
      <c r="E40" s="96"/>
      <c r="F40" s="96"/>
    </row>
    <row r="45" spans="1:6" x14ac:dyDescent="0.25">
      <c r="A45" s="95"/>
    </row>
    <row r="46" spans="1:6" x14ac:dyDescent="0.25">
      <c r="A46" s="95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0E31-E834-437D-A171-A0F9CCCA0E2F}">
  <dimension ref="A1:F24"/>
  <sheetViews>
    <sheetView zoomScale="120" zoomScaleNormal="120" workbookViewId="0"/>
  </sheetViews>
  <sheetFormatPr defaultColWidth="9.140625" defaultRowHeight="15" x14ac:dyDescent="0.25"/>
  <cols>
    <col min="1" max="1" width="22" style="110" customWidth="1"/>
    <col min="2" max="2" width="28.28515625" style="110" customWidth="1"/>
    <col min="3" max="3" width="26.7109375" style="110" customWidth="1"/>
    <col min="4" max="5" width="9.140625" style="110"/>
    <col min="6" max="6" width="10.42578125" style="110" bestFit="1" customWidth="1"/>
    <col min="7" max="16384" width="9.140625" style="110"/>
  </cols>
  <sheetData>
    <row r="1" spans="1:6" ht="15.6" x14ac:dyDescent="0.3">
      <c r="A1" s="130" t="s">
        <v>0</v>
      </c>
      <c r="C1" s="110" t="s">
        <v>169</v>
      </c>
    </row>
    <row r="3" spans="1:6" ht="13.9" x14ac:dyDescent="0.25">
      <c r="A3" s="129" t="s">
        <v>168</v>
      </c>
    </row>
    <row r="4" spans="1:6" ht="13.9" x14ac:dyDescent="0.25">
      <c r="A4" s="129"/>
    </row>
    <row r="5" spans="1:6" ht="13.9" x14ac:dyDescent="0.25">
      <c r="A5" s="129" t="s">
        <v>107</v>
      </c>
      <c r="B5" s="110" t="s">
        <v>167</v>
      </c>
    </row>
    <row r="6" spans="1:6" ht="13.9" x14ac:dyDescent="0.25">
      <c r="B6" s="110" t="s">
        <v>166</v>
      </c>
    </row>
    <row r="7" spans="1:6" ht="14.45" thickBot="1" x14ac:dyDescent="0.3"/>
    <row r="8" spans="1:6" ht="44.25" customHeight="1" x14ac:dyDescent="0.25">
      <c r="A8" s="128" t="s">
        <v>165</v>
      </c>
      <c r="B8" s="127" t="s">
        <v>164</v>
      </c>
      <c r="C8" s="126" t="s">
        <v>163</v>
      </c>
      <c r="D8" s="125" t="s">
        <v>162</v>
      </c>
      <c r="E8" s="125" t="s">
        <v>161</v>
      </c>
      <c r="F8" s="125" t="s">
        <v>160</v>
      </c>
    </row>
    <row r="9" spans="1:6" ht="13.9" x14ac:dyDescent="0.25">
      <c r="A9" s="124">
        <v>1</v>
      </c>
      <c r="B9" s="123">
        <v>23150</v>
      </c>
      <c r="C9" s="122">
        <v>32410</v>
      </c>
      <c r="D9" s="117">
        <f>C9-B9</f>
        <v>9260</v>
      </c>
      <c r="E9" s="117">
        <f>$B$15*D9</f>
        <v>555.6</v>
      </c>
      <c r="F9" s="117">
        <f>E9*(1+$B$16)^-A9</f>
        <v>545.77603143418469</v>
      </c>
    </row>
    <row r="10" spans="1:6" ht="13.9" x14ac:dyDescent="0.25">
      <c r="A10" s="124">
        <v>2</v>
      </c>
      <c r="B10" s="123">
        <v>17560</v>
      </c>
      <c r="C10" s="122">
        <v>23710</v>
      </c>
      <c r="D10" s="117">
        <f>C10-B10</f>
        <v>6150</v>
      </c>
      <c r="E10" s="117">
        <f>$B$15*D10</f>
        <v>369</v>
      </c>
      <c r="F10" s="117">
        <f>E10*(1+$B$16)^-A10</f>
        <v>356.06624955129865</v>
      </c>
    </row>
    <row r="11" spans="1:6" ht="13.9" x14ac:dyDescent="0.25">
      <c r="A11" s="124">
        <v>3</v>
      </c>
      <c r="B11" s="123">
        <v>12510</v>
      </c>
      <c r="C11" s="122">
        <v>16260</v>
      </c>
      <c r="D11" s="117">
        <f>C11-B11</f>
        <v>3750</v>
      </c>
      <c r="E11" s="117">
        <f>$B$15*D11</f>
        <v>225</v>
      </c>
      <c r="F11" s="117">
        <f>E11*(1+$B$16)^-A11</f>
        <v>213.27462357521838</v>
      </c>
    </row>
    <row r="12" spans="1:6" ht="13.9" x14ac:dyDescent="0.25">
      <c r="A12" s="124">
        <v>4</v>
      </c>
      <c r="B12" s="123">
        <v>8070</v>
      </c>
      <c r="C12" s="122">
        <v>10120</v>
      </c>
      <c r="D12" s="117">
        <f>C12-B12</f>
        <v>2050</v>
      </c>
      <c r="E12" s="117">
        <f>$B$15*D12</f>
        <v>123</v>
      </c>
      <c r="F12" s="117">
        <f>E12*(1+$B$16)^-A12</f>
        <v>114.52861252893194</v>
      </c>
    </row>
    <row r="13" spans="1:6" ht="14.45" thickBot="1" x14ac:dyDescent="0.3">
      <c r="A13" s="121">
        <v>5</v>
      </c>
      <c r="B13" s="120">
        <v>4250</v>
      </c>
      <c r="C13" s="119">
        <v>5100</v>
      </c>
      <c r="D13" s="117">
        <f>C13-B13</f>
        <v>850</v>
      </c>
      <c r="E13" s="117">
        <f>$B$15*D13</f>
        <v>51</v>
      </c>
      <c r="F13" s="117">
        <f>E13*(1+$B$16)^-A13</f>
        <v>46.647812856194427</v>
      </c>
    </row>
    <row r="14" spans="1:6" ht="13.9" x14ac:dyDescent="0.25">
      <c r="A14" s="114"/>
      <c r="B14" s="113"/>
      <c r="C14" s="113"/>
      <c r="D14" s="118"/>
      <c r="E14" s="117"/>
      <c r="F14" s="116">
        <f>SUM(F9:F13)</f>
        <v>1276.293329945828</v>
      </c>
    </row>
    <row r="15" spans="1:6" ht="13.9" x14ac:dyDescent="0.25">
      <c r="A15" s="114" t="s">
        <v>159</v>
      </c>
      <c r="B15" s="115">
        <v>0.06</v>
      </c>
      <c r="C15" s="113"/>
    </row>
    <row r="16" spans="1:6" ht="13.9" x14ac:dyDescent="0.25">
      <c r="A16" s="114" t="s">
        <v>158</v>
      </c>
      <c r="B16" s="115">
        <v>1.7999999999999999E-2</v>
      </c>
      <c r="C16" s="113"/>
    </row>
    <row r="17" spans="1:3" ht="13.9" x14ac:dyDescent="0.25">
      <c r="A17" s="114"/>
      <c r="B17" s="113"/>
      <c r="C17" s="113"/>
    </row>
    <row r="18" spans="1:3" ht="14.45" thickBot="1" x14ac:dyDescent="0.3">
      <c r="A18" s="112" t="s">
        <v>157</v>
      </c>
    </row>
    <row r="19" spans="1:3" ht="15.75" thickBot="1" x14ac:dyDescent="0.3">
      <c r="A19" s="110" t="s">
        <v>156</v>
      </c>
      <c r="C19" s="111">
        <f>F14</f>
        <v>1276.293329945828</v>
      </c>
    </row>
    <row r="24" spans="1:3" x14ac:dyDescent="0.25">
      <c r="C24" s="110" t="s">
        <v>155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234D-015C-45D6-AD46-1707D0587B58}">
  <dimension ref="A1:G35"/>
  <sheetViews>
    <sheetView zoomScale="120" zoomScaleNormal="120" workbookViewId="0"/>
  </sheetViews>
  <sheetFormatPr defaultColWidth="9.140625" defaultRowHeight="15" x14ac:dyDescent="0.25"/>
  <cols>
    <col min="1" max="1" width="12.85546875" style="110" customWidth="1"/>
    <col min="2" max="2" width="18.28515625" style="110" customWidth="1"/>
    <col min="3" max="3" width="10.28515625" style="110" customWidth="1"/>
    <col min="4" max="5" width="9.140625" style="110"/>
    <col min="6" max="6" width="10.42578125" style="110" bestFit="1" customWidth="1"/>
    <col min="7" max="7" width="10.7109375" style="110" customWidth="1"/>
    <col min="8" max="16384" width="9.140625" style="110"/>
  </cols>
  <sheetData>
    <row r="1" spans="1:7" ht="15.6" x14ac:dyDescent="0.3">
      <c r="A1" s="130" t="s">
        <v>0</v>
      </c>
    </row>
    <row r="3" spans="1:7" ht="13.9" x14ac:dyDescent="0.25">
      <c r="A3" s="129" t="s">
        <v>189</v>
      </c>
    </row>
    <row r="4" spans="1:7" ht="13.9" x14ac:dyDescent="0.25">
      <c r="A4" s="129"/>
    </row>
    <row r="5" spans="1:7" ht="13.9" x14ac:dyDescent="0.25">
      <c r="A5" s="129" t="s">
        <v>107</v>
      </c>
      <c r="B5" s="110" t="s">
        <v>188</v>
      </c>
    </row>
    <row r="6" spans="1:7" ht="13.9" x14ac:dyDescent="0.25">
      <c r="A6" s="129" t="s">
        <v>105</v>
      </c>
      <c r="B6" s="110" t="s">
        <v>187</v>
      </c>
    </row>
    <row r="7" spans="1:7" ht="14.45" thickBot="1" x14ac:dyDescent="0.3"/>
    <row r="8" spans="1:7" ht="44.25" customHeight="1" x14ac:dyDescent="0.25">
      <c r="A8" s="144" t="s">
        <v>186</v>
      </c>
      <c r="B8" s="143" t="s">
        <v>185</v>
      </c>
    </row>
    <row r="9" spans="1:7" ht="13.9" x14ac:dyDescent="0.25">
      <c r="A9" s="142" t="s">
        <v>172</v>
      </c>
      <c r="B9" s="141">
        <v>27</v>
      </c>
    </row>
    <row r="10" spans="1:7" ht="13.9" x14ac:dyDescent="0.25">
      <c r="A10" s="142" t="s">
        <v>171</v>
      </c>
      <c r="B10" s="141">
        <v>15</v>
      </c>
    </row>
    <row r="11" spans="1:7" ht="13.9" x14ac:dyDescent="0.25">
      <c r="A11" s="142" t="s">
        <v>175</v>
      </c>
      <c r="B11" s="141">
        <v>0</v>
      </c>
    </row>
    <row r="12" spans="1:7" ht="14.45" thickBot="1" x14ac:dyDescent="0.3">
      <c r="A12" s="140" t="s">
        <v>184</v>
      </c>
      <c r="B12" s="139">
        <v>42</v>
      </c>
    </row>
    <row r="13" spans="1:7" ht="14.45" thickBot="1" x14ac:dyDescent="0.3">
      <c r="A13" s="114"/>
      <c r="B13" s="113"/>
    </row>
    <row r="14" spans="1:7" ht="15.75" x14ac:dyDescent="0.25">
      <c r="A14" s="146" t="s">
        <v>183</v>
      </c>
      <c r="B14" s="147"/>
      <c r="C14" s="150" t="s">
        <v>182</v>
      </c>
      <c r="D14" s="150"/>
      <c r="E14" s="150"/>
      <c r="F14" s="150"/>
      <c r="G14" s="151"/>
    </row>
    <row r="15" spans="1:7" ht="31.5" x14ac:dyDescent="0.25">
      <c r="A15" s="148"/>
      <c r="B15" s="149"/>
      <c r="C15" s="137" t="s">
        <v>172</v>
      </c>
      <c r="D15" s="137" t="s">
        <v>171</v>
      </c>
      <c r="E15" s="137" t="s">
        <v>175</v>
      </c>
      <c r="F15" s="137" t="s">
        <v>181</v>
      </c>
      <c r="G15" s="138" t="s">
        <v>180</v>
      </c>
    </row>
    <row r="16" spans="1:7" ht="15.75" x14ac:dyDescent="0.25">
      <c r="A16" s="152" t="s">
        <v>179</v>
      </c>
      <c r="B16" s="137" t="s">
        <v>172</v>
      </c>
      <c r="C16" s="136">
        <v>85</v>
      </c>
      <c r="D16" s="136">
        <v>13</v>
      </c>
      <c r="E16" s="136">
        <v>2</v>
      </c>
      <c r="F16" s="136">
        <v>0</v>
      </c>
      <c r="G16" s="135">
        <v>0.4</v>
      </c>
    </row>
    <row r="17" spans="1:7" ht="15.75" x14ac:dyDescent="0.25">
      <c r="A17" s="152"/>
      <c r="B17" s="137" t="s">
        <v>171</v>
      </c>
      <c r="C17" s="136">
        <v>12</v>
      </c>
      <c r="D17" s="136">
        <v>82</v>
      </c>
      <c r="E17" s="136">
        <v>4</v>
      </c>
      <c r="F17" s="136">
        <v>2</v>
      </c>
      <c r="G17" s="135">
        <v>0.25</v>
      </c>
    </row>
    <row r="18" spans="1:7" ht="16.5" thickBot="1" x14ac:dyDescent="0.3">
      <c r="A18" s="153"/>
      <c r="B18" s="134" t="s">
        <v>175</v>
      </c>
      <c r="C18" s="133">
        <v>5</v>
      </c>
      <c r="D18" s="133">
        <v>10</v>
      </c>
      <c r="E18" s="133">
        <v>76</v>
      </c>
      <c r="F18" s="133">
        <v>9</v>
      </c>
      <c r="G18" s="132">
        <v>0.2</v>
      </c>
    </row>
    <row r="19" spans="1:7" x14ac:dyDescent="0.25">
      <c r="A19" s="114"/>
      <c r="B19" s="113"/>
      <c r="C19" s="113"/>
    </row>
    <row r="20" spans="1:7" ht="15.75" thickBot="1" x14ac:dyDescent="0.3">
      <c r="A20" s="112" t="s">
        <v>137</v>
      </c>
    </row>
    <row r="21" spans="1:7" ht="15.75" thickBot="1" x14ac:dyDescent="0.3">
      <c r="A21" s="110" t="s">
        <v>178</v>
      </c>
      <c r="F21" s="131">
        <f>C29</f>
        <v>0.22499999999999998</v>
      </c>
      <c r="G21" s="110" t="s">
        <v>107</v>
      </c>
    </row>
    <row r="22" spans="1:7" ht="15.75" thickBot="1" x14ac:dyDescent="0.3">
      <c r="A22" s="110" t="s">
        <v>177</v>
      </c>
      <c r="F22" s="131">
        <f>C35</f>
        <v>1.1400000000000001</v>
      </c>
      <c r="G22" s="110" t="s">
        <v>105</v>
      </c>
    </row>
    <row r="25" spans="1:7" x14ac:dyDescent="0.25">
      <c r="A25" s="110" t="s">
        <v>107</v>
      </c>
      <c r="B25" s="110" t="s">
        <v>176</v>
      </c>
    </row>
    <row r="26" spans="1:7" x14ac:dyDescent="0.25">
      <c r="B26" s="110" t="s">
        <v>172</v>
      </c>
      <c r="C26" s="110">
        <f>B9*F16/100*(1-G16)</f>
        <v>0</v>
      </c>
    </row>
    <row r="27" spans="1:7" x14ac:dyDescent="0.25">
      <c r="B27" s="110" t="s">
        <v>171</v>
      </c>
      <c r="C27" s="110">
        <f>B10*F17/100*(1-G17)</f>
        <v>0.22499999999999998</v>
      </c>
    </row>
    <row r="28" spans="1:7" x14ac:dyDescent="0.25">
      <c r="B28" s="110" t="s">
        <v>175</v>
      </c>
      <c r="C28" s="110">
        <f>B11*F18/100*(1-G18)</f>
        <v>0</v>
      </c>
    </row>
    <row r="29" spans="1:7" x14ac:dyDescent="0.25">
      <c r="B29" s="110" t="s">
        <v>170</v>
      </c>
      <c r="C29" s="110">
        <f>SUM(C26:C28)</f>
        <v>0.22499999999999998</v>
      </c>
    </row>
    <row r="31" spans="1:7" x14ac:dyDescent="0.25">
      <c r="A31" s="110" t="s">
        <v>105</v>
      </c>
      <c r="B31" s="110" t="s">
        <v>174</v>
      </c>
    </row>
    <row r="32" spans="1:7" x14ac:dyDescent="0.25">
      <c r="B32" s="110" t="s">
        <v>173</v>
      </c>
    </row>
    <row r="33" spans="2:3" x14ac:dyDescent="0.25">
      <c r="B33" s="110" t="s">
        <v>172</v>
      </c>
      <c r="C33" s="110">
        <f>B9*E16/100</f>
        <v>0.54</v>
      </c>
    </row>
    <row r="34" spans="2:3" x14ac:dyDescent="0.25">
      <c r="B34" s="110" t="s">
        <v>171</v>
      </c>
      <c r="C34" s="110">
        <f>B10*E17/100</f>
        <v>0.6</v>
      </c>
    </row>
    <row r="35" spans="2:3" x14ac:dyDescent="0.25">
      <c r="B35" s="110" t="s">
        <v>170</v>
      </c>
      <c r="C35" s="110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4"/>
  <sheetViews>
    <sheetView workbookViewId="0">
      <selection activeCell="E27" sqref="E27"/>
    </sheetView>
  </sheetViews>
  <sheetFormatPr defaultRowHeight="15" x14ac:dyDescent="0.25"/>
  <cols>
    <col min="3" max="3" width="14" customWidth="1"/>
    <col min="4" max="4" width="15" bestFit="1" customWidth="1"/>
    <col min="5" max="5" width="24.42578125" bestFit="1" customWidth="1"/>
    <col min="6" max="6" width="16.7109375" customWidth="1"/>
  </cols>
  <sheetData>
    <row r="1" spans="1:6" ht="15.75" x14ac:dyDescent="0.25">
      <c r="A1" s="3" t="s">
        <v>0</v>
      </c>
    </row>
    <row r="2" spans="1:6" x14ac:dyDescent="0.25">
      <c r="A2" s="1"/>
    </row>
    <row r="3" spans="1:6" x14ac:dyDescent="0.25">
      <c r="A3" s="2" t="s">
        <v>2</v>
      </c>
    </row>
    <row r="5" spans="1:6" ht="15.75" x14ac:dyDescent="0.25">
      <c r="A5" s="5" t="s">
        <v>3</v>
      </c>
    </row>
    <row r="6" spans="1:6" ht="15.75" x14ac:dyDescent="0.25">
      <c r="A6" s="5"/>
    </row>
    <row r="7" spans="1:6" ht="15.75" x14ac:dyDescent="0.25">
      <c r="A7" s="5" t="s">
        <v>42</v>
      </c>
    </row>
    <row r="8" spans="1:6" ht="15.75" x14ac:dyDescent="0.25">
      <c r="A8" s="5" t="s">
        <v>13</v>
      </c>
    </row>
    <row r="9" spans="1:6" ht="15.75" x14ac:dyDescent="0.25">
      <c r="A9" s="5"/>
    </row>
    <row r="10" spans="1:6" ht="15.75" x14ac:dyDescent="0.25">
      <c r="A10" s="5" t="s">
        <v>41</v>
      </c>
    </row>
    <row r="11" spans="1:6" ht="15.75" x14ac:dyDescent="0.25">
      <c r="A11" s="5"/>
    </row>
    <row r="12" spans="1:6" ht="15.75" x14ac:dyDescent="0.25">
      <c r="A12" s="6" t="s">
        <v>4</v>
      </c>
      <c r="F12">
        <v>15</v>
      </c>
    </row>
    <row r="13" spans="1:6" ht="15.75" x14ac:dyDescent="0.25">
      <c r="A13" s="6" t="s">
        <v>5</v>
      </c>
      <c r="E13">
        <v>1.2</v>
      </c>
    </row>
    <row r="14" spans="1:6" ht="15.75" x14ac:dyDescent="0.25">
      <c r="A14" s="6" t="s">
        <v>6</v>
      </c>
      <c r="F14" s="24">
        <v>0.12</v>
      </c>
    </row>
    <row r="15" spans="1:6" ht="15.75" x14ac:dyDescent="0.25">
      <c r="A15" s="6" t="s">
        <v>7</v>
      </c>
      <c r="F15" s="24">
        <v>0.02</v>
      </c>
    </row>
    <row r="16" spans="1:6" ht="15.75" x14ac:dyDescent="0.25">
      <c r="A16" s="5"/>
    </row>
    <row r="17" spans="1:7" ht="15.75" x14ac:dyDescent="0.25">
      <c r="A17" s="5" t="s">
        <v>8</v>
      </c>
    </row>
    <row r="18" spans="1:7" ht="15.75" x14ac:dyDescent="0.25">
      <c r="A18" s="5"/>
    </row>
    <row r="19" spans="1:7" ht="15.75" x14ac:dyDescent="0.25">
      <c r="A19" s="6" t="s">
        <v>9</v>
      </c>
    </row>
    <row r="20" spans="1:7" ht="15.75" x14ac:dyDescent="0.25">
      <c r="A20" s="6" t="s">
        <v>10</v>
      </c>
      <c r="G20" s="24">
        <v>0.01</v>
      </c>
    </row>
    <row r="21" spans="1:7" ht="15.75" x14ac:dyDescent="0.25">
      <c r="A21" s="6" t="s">
        <v>11</v>
      </c>
      <c r="G21" s="24">
        <v>0.09</v>
      </c>
    </row>
    <row r="22" spans="1:7" ht="15.75" x14ac:dyDescent="0.25">
      <c r="A22" s="6" t="s">
        <v>12</v>
      </c>
    </row>
    <row r="24" spans="1:7" x14ac:dyDescent="0.25">
      <c r="A24" s="4" t="s">
        <v>43</v>
      </c>
    </row>
    <row r="27" spans="1:7" ht="15.75" x14ac:dyDescent="0.25">
      <c r="A27" s="7" t="s">
        <v>14</v>
      </c>
    </row>
    <row r="28" spans="1:7" ht="15.75" x14ac:dyDescent="0.25">
      <c r="A28" s="7"/>
    </row>
    <row r="29" spans="1:7" ht="15.75" x14ac:dyDescent="0.25">
      <c r="A29" s="5" t="s">
        <v>1</v>
      </c>
    </row>
    <row r="30" spans="1:7" ht="15.75" x14ac:dyDescent="0.25">
      <c r="A30" s="5"/>
    </row>
    <row r="31" spans="1:7" ht="15.75" x14ac:dyDescent="0.25">
      <c r="A31" s="5"/>
      <c r="B31" t="s">
        <v>44</v>
      </c>
      <c r="E31" s="22">
        <f>E13*(G21-F15)+F15</f>
        <v>0.104</v>
      </c>
    </row>
    <row r="32" spans="1:7" ht="15.75" x14ac:dyDescent="0.25">
      <c r="A32" s="5"/>
      <c r="B32" t="s">
        <v>45</v>
      </c>
      <c r="E32" s="25">
        <f>50*10^6</f>
        <v>50000000</v>
      </c>
      <c r="F32" s="27"/>
    </row>
    <row r="33" spans="1:8" ht="15.75" x14ac:dyDescent="0.25">
      <c r="A33" s="5"/>
      <c r="B33" t="s">
        <v>46</v>
      </c>
      <c r="E33" s="25">
        <f>80*10^6</f>
        <v>80000000</v>
      </c>
      <c r="F33" s="27"/>
    </row>
    <row r="34" spans="1:8" ht="15.75" x14ac:dyDescent="0.25">
      <c r="A34" s="5"/>
    </row>
    <row r="35" spans="1:8" ht="15.75" x14ac:dyDescent="0.25">
      <c r="A35" s="5"/>
      <c r="B35" t="s">
        <v>47</v>
      </c>
      <c r="E35" s="26">
        <f>E32*E31</f>
        <v>5200000</v>
      </c>
    </row>
    <row r="36" spans="1:8" ht="15.75" x14ac:dyDescent="0.25">
      <c r="A36" s="5"/>
      <c r="B36" t="s">
        <v>48</v>
      </c>
      <c r="E36" s="27">
        <f>-F12*G20*E33</f>
        <v>-12000000</v>
      </c>
    </row>
    <row r="37" spans="1:8" ht="15.75" x14ac:dyDescent="0.25">
      <c r="A37" s="5"/>
    </row>
    <row r="38" spans="1:8" ht="15.75" x14ac:dyDescent="0.25">
      <c r="A38" s="5"/>
      <c r="B38" t="s">
        <v>49</v>
      </c>
      <c r="E38" s="27">
        <f>E32-E33</f>
        <v>-30000000</v>
      </c>
    </row>
    <row r="39" spans="1:8" ht="15.75" x14ac:dyDescent="0.25">
      <c r="A39" s="5"/>
      <c r="B39" t="s">
        <v>50</v>
      </c>
      <c r="E39" s="27">
        <f>E38+E35-E36</f>
        <v>-12800000</v>
      </c>
    </row>
    <row r="40" spans="1:8" ht="15.75" x14ac:dyDescent="0.25">
      <c r="A40" s="7"/>
      <c r="B40" t="s">
        <v>51</v>
      </c>
      <c r="E40" s="27">
        <f>E39-E38</f>
        <v>17200000</v>
      </c>
    </row>
    <row r="41" spans="1:8" ht="16.5" thickBot="1" x14ac:dyDescent="0.3">
      <c r="A41" s="7"/>
    </row>
    <row r="42" spans="1:8" ht="16.5" thickBot="1" x14ac:dyDescent="0.3">
      <c r="A42" s="7"/>
      <c r="B42" t="s">
        <v>52</v>
      </c>
      <c r="E42" s="32">
        <f>E40/E32</f>
        <v>0.34399999999999997</v>
      </c>
    </row>
    <row r="43" spans="1:8" ht="15.75" x14ac:dyDescent="0.25">
      <c r="A43" s="5"/>
    </row>
    <row r="44" spans="1:8" ht="15.75" x14ac:dyDescent="0.25">
      <c r="A44" s="5" t="s">
        <v>35</v>
      </c>
    </row>
    <row r="45" spans="1:8" ht="15.75" x14ac:dyDescent="0.25">
      <c r="A45" s="5" t="s">
        <v>36</v>
      </c>
    </row>
    <row r="46" spans="1:8" ht="15.75" x14ac:dyDescent="0.25">
      <c r="A46" s="5"/>
    </row>
    <row r="47" spans="1:8" ht="16.5" thickBot="1" x14ac:dyDescent="0.3">
      <c r="A47" s="5"/>
    </row>
    <row r="48" spans="1:8" ht="16.5" thickBot="1" x14ac:dyDescent="0.3">
      <c r="D48" s="17"/>
      <c r="E48" s="18" t="s">
        <v>34</v>
      </c>
      <c r="F48" s="18" t="s">
        <v>33</v>
      </c>
      <c r="G48" t="s">
        <v>54</v>
      </c>
      <c r="H48" t="s">
        <v>63</v>
      </c>
    </row>
    <row r="49" spans="1:8" ht="16.5" thickBot="1" x14ac:dyDescent="0.3">
      <c r="D49" s="8" t="s">
        <v>15</v>
      </c>
      <c r="E49" s="9">
        <v>0.7</v>
      </c>
      <c r="F49" s="10">
        <v>0.02</v>
      </c>
      <c r="G49" s="31">
        <v>0.19999999999999979</v>
      </c>
      <c r="H49">
        <f>(G49*F49)^2</f>
        <v>1.5999999999999965E-5</v>
      </c>
    </row>
    <row r="50" spans="1:8" ht="16.5" thickBot="1" x14ac:dyDescent="0.3">
      <c r="D50" s="8" t="s">
        <v>16</v>
      </c>
      <c r="E50" s="9">
        <v>2</v>
      </c>
      <c r="F50" s="10">
        <v>0.04</v>
      </c>
      <c r="G50">
        <f>G49</f>
        <v>0.19999999999999979</v>
      </c>
      <c r="H50">
        <f t="shared" ref="H50:H51" si="0">(G50*F50)^2</f>
        <v>6.3999999999999862E-5</v>
      </c>
    </row>
    <row r="51" spans="1:8" ht="16.5" thickBot="1" x14ac:dyDescent="0.3">
      <c r="D51" s="8" t="s">
        <v>17</v>
      </c>
      <c r="E51" s="9">
        <v>1.1000000000000001</v>
      </c>
      <c r="F51" s="10">
        <v>7.0000000000000007E-2</v>
      </c>
      <c r="G51">
        <f>1-G50-G49</f>
        <v>0.60000000000000053</v>
      </c>
      <c r="H51">
        <f t="shared" si="0"/>
        <v>1.7640000000000036E-3</v>
      </c>
    </row>
    <row r="53" spans="1:8" ht="15.75" x14ac:dyDescent="0.25">
      <c r="A53" s="5"/>
    </row>
    <row r="54" spans="1:8" ht="15.75" x14ac:dyDescent="0.25">
      <c r="A54" s="7" t="s">
        <v>18</v>
      </c>
    </row>
    <row r="55" spans="1:8" ht="15.75" x14ac:dyDescent="0.25">
      <c r="A55" s="5"/>
    </row>
    <row r="56" spans="1:8" ht="15.75" x14ac:dyDescent="0.25">
      <c r="A56" s="11" t="s">
        <v>19</v>
      </c>
    </row>
    <row r="57" spans="1:8" ht="15.75" x14ac:dyDescent="0.25">
      <c r="A57" s="11"/>
    </row>
    <row r="58" spans="1:8" ht="15.75" x14ac:dyDescent="0.25">
      <c r="A58" s="16" t="s">
        <v>1</v>
      </c>
      <c r="B58" s="15"/>
    </row>
    <row r="59" spans="1:8" ht="15.75" x14ac:dyDescent="0.25">
      <c r="A59" s="16"/>
      <c r="B59" s="15"/>
    </row>
    <row r="60" spans="1:8" ht="15.75" x14ac:dyDescent="0.25">
      <c r="A60" s="16" t="s">
        <v>57</v>
      </c>
      <c r="B60" s="15"/>
    </row>
    <row r="61" spans="1:8" ht="15.75" x14ac:dyDescent="0.25">
      <c r="A61" s="16"/>
      <c r="B61" s="15"/>
    </row>
    <row r="62" spans="1:8" ht="15.75" x14ac:dyDescent="0.25">
      <c r="A62" s="16" t="s">
        <v>53</v>
      </c>
      <c r="B62" s="15"/>
      <c r="C62">
        <v>1.2</v>
      </c>
      <c r="D62" t="s">
        <v>55</v>
      </c>
      <c r="E62" s="31">
        <f>SUMPRODUCT(E49:E51,G49:G51)</f>
        <v>1.2</v>
      </c>
      <c r="F62" s="30" t="s">
        <v>56</v>
      </c>
    </row>
    <row r="63" spans="1:8" ht="15.75" x14ac:dyDescent="0.25">
      <c r="A63" s="16"/>
      <c r="B63" s="15"/>
    </row>
    <row r="64" spans="1:8" ht="15.75" x14ac:dyDescent="0.25">
      <c r="A64" s="16" t="s">
        <v>58</v>
      </c>
      <c r="B64" s="16"/>
    </row>
    <row r="65" spans="1:6" ht="15.75" x14ac:dyDescent="0.25">
      <c r="A65" s="16"/>
      <c r="B65" s="16"/>
    </row>
    <row r="66" spans="1:6" ht="15.75" x14ac:dyDescent="0.25">
      <c r="A66" s="16" t="s">
        <v>61</v>
      </c>
      <c r="B66" s="16"/>
      <c r="C66">
        <f>(C62*F14)^2</f>
        <v>2.0735999999999997E-2</v>
      </c>
    </row>
    <row r="67" spans="1:6" ht="15.75" x14ac:dyDescent="0.25">
      <c r="A67" s="16"/>
      <c r="B67" s="16"/>
    </row>
    <row r="68" spans="1:6" ht="15.75" x14ac:dyDescent="0.25">
      <c r="A68" s="16" t="s">
        <v>60</v>
      </c>
      <c r="B68" s="16"/>
      <c r="C68">
        <f>SUM(H49:H51)</f>
        <v>1.8440000000000034E-3</v>
      </c>
    </row>
    <row r="69" spans="1:6" ht="15.75" x14ac:dyDescent="0.25">
      <c r="A69" s="16"/>
      <c r="B69" s="16"/>
    </row>
    <row r="70" spans="1:6" ht="15.75" x14ac:dyDescent="0.25">
      <c r="A70" s="16" t="s">
        <v>59</v>
      </c>
      <c r="B70" s="16"/>
      <c r="C70">
        <f>C68+C66</f>
        <v>2.2579999999999999E-2</v>
      </c>
    </row>
    <row r="71" spans="1:6" ht="16.5" thickBot="1" x14ac:dyDescent="0.3">
      <c r="A71" s="16"/>
      <c r="B71" s="16"/>
    </row>
    <row r="72" spans="1:6" ht="16.5" thickBot="1" x14ac:dyDescent="0.3">
      <c r="A72" s="16" t="s">
        <v>62</v>
      </c>
      <c r="B72" s="16"/>
      <c r="C72" s="32">
        <f>SQRT(C70)</f>
        <v>0.15026643005009468</v>
      </c>
    </row>
    <row r="73" spans="1:6" ht="15.75" x14ac:dyDescent="0.25">
      <c r="A73" s="16"/>
      <c r="B73" s="16"/>
    </row>
    <row r="74" spans="1:6" ht="15.75" x14ac:dyDescent="0.25">
      <c r="A74" s="5" t="s">
        <v>20</v>
      </c>
    </row>
    <row r="75" spans="1:6" ht="15.75" x14ac:dyDescent="0.25">
      <c r="A75" s="5"/>
    </row>
    <row r="76" spans="1:6" ht="18.75" x14ac:dyDescent="0.25">
      <c r="A76" s="6" t="s">
        <v>21</v>
      </c>
      <c r="F76" s="24">
        <v>0.01</v>
      </c>
    </row>
    <row r="77" spans="1:6" ht="15.75" x14ac:dyDescent="0.25">
      <c r="A77" s="6" t="s">
        <v>37</v>
      </c>
      <c r="F77">
        <v>-0.1</v>
      </c>
    </row>
    <row r="78" spans="1:6" ht="15.75" x14ac:dyDescent="0.25">
      <c r="A78" s="6" t="s">
        <v>22</v>
      </c>
    </row>
    <row r="79" spans="1:6" ht="15.75" x14ac:dyDescent="0.25">
      <c r="A79" s="5"/>
    </row>
    <row r="80" spans="1:6" ht="15.75" x14ac:dyDescent="0.25">
      <c r="A80" s="7" t="s">
        <v>23</v>
      </c>
    </row>
    <row r="81" spans="1:5" ht="15.75" x14ac:dyDescent="0.25">
      <c r="A81" s="13"/>
    </row>
    <row r="82" spans="1:5" ht="15.75" x14ac:dyDescent="0.25">
      <c r="A82" s="14" t="s">
        <v>24</v>
      </c>
    </row>
    <row r="83" spans="1:5" ht="15.75" x14ac:dyDescent="0.25">
      <c r="A83" s="14"/>
    </row>
    <row r="84" spans="1:5" ht="15.75" x14ac:dyDescent="0.25">
      <c r="A84" s="5" t="s">
        <v>1</v>
      </c>
    </row>
    <row r="85" spans="1:5" ht="15.75" x14ac:dyDescent="0.25">
      <c r="A85" s="5"/>
    </row>
    <row r="86" spans="1:5" ht="15.75" x14ac:dyDescent="0.25">
      <c r="A86" s="5"/>
    </row>
    <row r="87" spans="1:5" ht="15.75" x14ac:dyDescent="0.25">
      <c r="A87" s="5"/>
      <c r="B87" t="s">
        <v>64</v>
      </c>
      <c r="D87" s="28">
        <f>F12*F76</f>
        <v>0.15</v>
      </c>
      <c r="E87" t="s">
        <v>66</v>
      </c>
    </row>
    <row r="88" spans="1:5" ht="15.75" x14ac:dyDescent="0.25">
      <c r="A88" s="5"/>
      <c r="B88" t="s">
        <v>65</v>
      </c>
      <c r="D88" s="22">
        <f>C72</f>
        <v>0.15026643005009468</v>
      </c>
      <c r="E88" t="s">
        <v>67</v>
      </c>
    </row>
    <row r="89" spans="1:5" ht="15.75" x14ac:dyDescent="0.25">
      <c r="A89" s="5"/>
      <c r="B89" t="s">
        <v>68</v>
      </c>
      <c r="D89" s="27">
        <f>E32</f>
        <v>50000000</v>
      </c>
    </row>
    <row r="90" spans="1:5" ht="15.75" x14ac:dyDescent="0.25">
      <c r="A90" s="5"/>
      <c r="B90" t="s">
        <v>46</v>
      </c>
      <c r="D90" s="27">
        <f>E33</f>
        <v>80000000</v>
      </c>
    </row>
    <row r="91" spans="1:5" ht="15.75" x14ac:dyDescent="0.25">
      <c r="A91" s="5"/>
      <c r="B91" t="s">
        <v>69</v>
      </c>
      <c r="D91">
        <f>F77</f>
        <v>-0.1</v>
      </c>
    </row>
    <row r="92" spans="1:5" ht="15.75" x14ac:dyDescent="0.25">
      <c r="A92" s="5"/>
    </row>
    <row r="93" spans="1:5" ht="15.75" x14ac:dyDescent="0.25">
      <c r="A93" s="5"/>
      <c r="B93" t="s">
        <v>70</v>
      </c>
      <c r="D93">
        <f>D88^2+(D87*D90/D89)^2-2*D88*D87*(D90/D89)*D91</f>
        <v>8.7392788642404545E-2</v>
      </c>
    </row>
    <row r="94" spans="1:5" ht="15.75" x14ac:dyDescent="0.25">
      <c r="A94" s="5"/>
    </row>
    <row r="95" spans="1:5" ht="15.75" x14ac:dyDescent="0.25">
      <c r="A95" s="5"/>
      <c r="B95" t="s">
        <v>71</v>
      </c>
      <c r="D95" s="29">
        <f>SQRT(D93)</f>
        <v>0.29562271333983209</v>
      </c>
    </row>
    <row r="96" spans="1:5" ht="15.75" x14ac:dyDescent="0.25">
      <c r="A96" s="5"/>
    </row>
    <row r="97" spans="1:4" ht="16.5" thickBot="1" x14ac:dyDescent="0.3">
      <c r="A97" s="5"/>
      <c r="B97" t="s">
        <v>72</v>
      </c>
      <c r="D97" s="27">
        <f>$E$39</f>
        <v>-12800000</v>
      </c>
    </row>
    <row r="98" spans="1:4" ht="16.5" thickBot="1" x14ac:dyDescent="0.3">
      <c r="A98" s="5"/>
      <c r="B98" t="s">
        <v>73</v>
      </c>
      <c r="D98" s="33">
        <f>D97-1.645*D95*D89</f>
        <v>-37114968.172201186</v>
      </c>
    </row>
    <row r="99" spans="1:4" ht="15.75" x14ac:dyDescent="0.25">
      <c r="A99" s="5"/>
    </row>
    <row r="100" spans="1:4" ht="15.75" x14ac:dyDescent="0.25">
      <c r="A100" s="5"/>
    </row>
    <row r="101" spans="1:4" ht="15.75" x14ac:dyDescent="0.25">
      <c r="A101" s="5"/>
    </row>
    <row r="102" spans="1:4" ht="15.75" x14ac:dyDescent="0.25">
      <c r="A102" s="5"/>
    </row>
    <row r="103" spans="1:4" ht="15.75" x14ac:dyDescent="0.25">
      <c r="A103" s="11" t="s">
        <v>25</v>
      </c>
    </row>
    <row r="104" spans="1:4" ht="15.75" x14ac:dyDescent="0.25">
      <c r="A104" s="11"/>
    </row>
    <row r="105" spans="1:4" ht="15.75" x14ac:dyDescent="0.25">
      <c r="A105" s="11" t="s">
        <v>26</v>
      </c>
    </row>
    <row r="106" spans="1:4" ht="15.75" x14ac:dyDescent="0.25">
      <c r="A106" s="11"/>
    </row>
    <row r="107" spans="1:4" ht="15.75" x14ac:dyDescent="0.25">
      <c r="A107" s="5" t="s">
        <v>1</v>
      </c>
    </row>
    <row r="108" spans="1:4" ht="15.75" x14ac:dyDescent="0.25">
      <c r="A108" s="5"/>
    </row>
    <row r="109" spans="1:4" ht="15.75" x14ac:dyDescent="0.25">
      <c r="A109" s="5"/>
      <c r="B109" t="s">
        <v>74</v>
      </c>
    </row>
    <row r="110" spans="1:4" ht="15.75" x14ac:dyDescent="0.25">
      <c r="A110" s="5"/>
    </row>
    <row r="111" spans="1:4" ht="15.75" x14ac:dyDescent="0.25">
      <c r="A111" s="5"/>
      <c r="B111" t="s">
        <v>75</v>
      </c>
      <c r="C111" t="s">
        <v>55</v>
      </c>
      <c r="D111">
        <f>D88*0.95/D87</f>
        <v>0.95168739031726624</v>
      </c>
    </row>
    <row r="112" spans="1:4" ht="16.5" thickBot="1" x14ac:dyDescent="0.3">
      <c r="A112" s="5"/>
    </row>
    <row r="113" spans="1:6" ht="16.5" thickBot="1" x14ac:dyDescent="0.3">
      <c r="A113" s="5"/>
      <c r="B113" t="s">
        <v>76</v>
      </c>
      <c r="D113" s="34">
        <f>1/D111</f>
        <v>1.0507652094314581</v>
      </c>
    </row>
    <row r="114" spans="1:6" ht="15.75" x14ac:dyDescent="0.25">
      <c r="A114" s="5"/>
    </row>
    <row r="115" spans="1:6" ht="15.75" x14ac:dyDescent="0.25">
      <c r="A115" s="11"/>
    </row>
    <row r="116" spans="1:6" ht="15.75" x14ac:dyDescent="0.25">
      <c r="A116" s="11"/>
    </row>
    <row r="117" spans="1:6" ht="15.75" x14ac:dyDescent="0.25">
      <c r="A117" s="11"/>
    </row>
    <row r="118" spans="1:6" ht="15.75" x14ac:dyDescent="0.25">
      <c r="A118" s="11"/>
    </row>
    <row r="119" spans="1:6" ht="15.75" x14ac:dyDescent="0.25">
      <c r="A119" s="11"/>
    </row>
    <row r="120" spans="1:6" ht="15.75" x14ac:dyDescent="0.25">
      <c r="A120" s="11"/>
    </row>
    <row r="121" spans="1:6" ht="15.75" x14ac:dyDescent="0.25">
      <c r="A121" s="7"/>
    </row>
    <row r="122" spans="1:6" ht="15.75" x14ac:dyDescent="0.25">
      <c r="A122" s="5" t="s">
        <v>38</v>
      </c>
    </row>
    <row r="123" spans="1:6" ht="15.75" x14ac:dyDescent="0.25">
      <c r="A123" s="5" t="s">
        <v>39</v>
      </c>
    </row>
    <row r="124" spans="1:6" ht="15.75" x14ac:dyDescent="0.25">
      <c r="A124" s="5" t="s">
        <v>40</v>
      </c>
    </row>
    <row r="125" spans="1:6" ht="15.75" x14ac:dyDescent="0.25">
      <c r="A125" s="5"/>
    </row>
    <row r="126" spans="1:6" ht="15.75" x14ac:dyDescent="0.25">
      <c r="A126" s="6" t="s">
        <v>27</v>
      </c>
      <c r="F126">
        <v>0.8</v>
      </c>
    </row>
    <row r="127" spans="1:6" ht="15.75" x14ac:dyDescent="0.25">
      <c r="A127" s="6" t="s">
        <v>28</v>
      </c>
      <c r="F127">
        <v>0.5</v>
      </c>
    </row>
    <row r="128" spans="1:6" ht="15.75" x14ac:dyDescent="0.25">
      <c r="A128" s="6" t="s">
        <v>29</v>
      </c>
      <c r="F128" s="24">
        <v>0.05</v>
      </c>
    </row>
    <row r="129" spans="1:6" ht="15.75" x14ac:dyDescent="0.25">
      <c r="A129" s="12"/>
    </row>
    <row r="130" spans="1:6" ht="15.75" x14ac:dyDescent="0.25">
      <c r="A130" s="7" t="s">
        <v>30</v>
      </c>
    </row>
    <row r="131" spans="1:6" ht="15.75" x14ac:dyDescent="0.25">
      <c r="A131" s="7"/>
    </row>
    <row r="132" spans="1:6" ht="15.75" x14ac:dyDescent="0.25">
      <c r="A132" s="11" t="s">
        <v>31</v>
      </c>
    </row>
    <row r="133" spans="1:6" ht="15.75" x14ac:dyDescent="0.25">
      <c r="A133" s="11"/>
    </row>
    <row r="134" spans="1:6" ht="15.75" x14ac:dyDescent="0.25">
      <c r="A134" s="16" t="s">
        <v>1</v>
      </c>
    </row>
    <row r="135" spans="1:6" ht="15.75" x14ac:dyDescent="0.25">
      <c r="A135" s="16"/>
    </row>
    <row r="136" spans="1:6" ht="15.75" x14ac:dyDescent="0.25">
      <c r="A136" s="16"/>
      <c r="B136" s="19" t="s">
        <v>77</v>
      </c>
      <c r="C136" s="19" t="s">
        <v>78</v>
      </c>
      <c r="D136" s="19"/>
      <c r="E136" s="19"/>
    </row>
    <row r="137" spans="1:6" ht="15.75" x14ac:dyDescent="0.25">
      <c r="A137" s="16"/>
      <c r="B137" s="19"/>
      <c r="C137" s="19"/>
      <c r="D137" s="19"/>
      <c r="E137" s="19"/>
    </row>
    <row r="138" spans="1:6" ht="15.75" x14ac:dyDescent="0.25">
      <c r="A138" s="16"/>
      <c r="B138" s="19" t="s">
        <v>79</v>
      </c>
      <c r="C138" s="19">
        <f>F126/F127</f>
        <v>1.6</v>
      </c>
      <c r="D138" s="19"/>
      <c r="E138" s="19"/>
    </row>
    <row r="139" spans="1:6" ht="15.75" x14ac:dyDescent="0.25">
      <c r="A139" s="16"/>
      <c r="B139" s="20"/>
      <c r="C139" s="19"/>
      <c r="D139" s="19"/>
      <c r="E139" s="19"/>
    </row>
    <row r="140" spans="1:6" ht="15.75" x14ac:dyDescent="0.25">
      <c r="A140" s="16"/>
      <c r="B140" s="19" t="s">
        <v>80</v>
      </c>
      <c r="C140" s="19" t="s">
        <v>81</v>
      </c>
      <c r="D140" s="19"/>
      <c r="E140" s="19" t="s">
        <v>85</v>
      </c>
      <c r="F140" s="23">
        <v>3.5000000000000003E-2</v>
      </c>
    </row>
    <row r="141" spans="1:6" ht="16.5" thickBot="1" x14ac:dyDescent="0.3">
      <c r="A141" s="16"/>
      <c r="B141" s="19"/>
      <c r="C141" s="19"/>
      <c r="D141" s="19"/>
      <c r="E141" s="19"/>
    </row>
    <row r="142" spans="1:6" ht="16.5" thickBot="1" x14ac:dyDescent="0.3">
      <c r="A142" s="16"/>
      <c r="B142" s="20" t="s">
        <v>82</v>
      </c>
      <c r="C142" s="32">
        <f>0.035/SQRT(1.6^2*0.05^2+0.05^2)</f>
        <v>0.37099925800222594</v>
      </c>
      <c r="D142" s="19"/>
      <c r="E142" s="19"/>
    </row>
    <row r="143" spans="1:6" ht="16.5" thickBot="1" x14ac:dyDescent="0.3">
      <c r="A143" s="16"/>
      <c r="B143" s="19" t="s">
        <v>83</v>
      </c>
      <c r="C143" s="32">
        <f>1.6*C142</f>
        <v>0.59359881280356153</v>
      </c>
      <c r="D143" s="19"/>
      <c r="E143" s="19"/>
    </row>
    <row r="144" spans="1:6" ht="15.75" x14ac:dyDescent="0.25">
      <c r="A144" s="16"/>
      <c r="B144" s="19"/>
      <c r="C144" s="19"/>
      <c r="D144" s="19"/>
      <c r="E144" s="19"/>
    </row>
    <row r="145" spans="1:12" ht="15.75" x14ac:dyDescent="0.25">
      <c r="A145" s="11"/>
      <c r="B145" s="19"/>
      <c r="C145" s="19"/>
      <c r="D145" s="19"/>
      <c r="E145" s="19"/>
    </row>
    <row r="146" spans="1:12" ht="15.75" x14ac:dyDescent="0.25">
      <c r="A146" s="11"/>
      <c r="B146" s="19"/>
      <c r="C146" s="19"/>
      <c r="D146" s="19"/>
      <c r="E146" s="19"/>
    </row>
    <row r="147" spans="1:12" ht="15.75" x14ac:dyDescent="0.25">
      <c r="A147" s="11"/>
      <c r="B147" s="19"/>
      <c r="C147" s="19"/>
      <c r="D147" s="19"/>
      <c r="E147" s="19"/>
    </row>
    <row r="148" spans="1:12" ht="15.75" x14ac:dyDescent="0.25">
      <c r="A148" s="11"/>
      <c r="B148" s="19"/>
      <c r="C148" s="19"/>
      <c r="D148" s="19"/>
      <c r="E148" s="19"/>
    </row>
    <row r="149" spans="1:12" ht="15.75" x14ac:dyDescent="0.25">
      <c r="A149" s="11"/>
    </row>
    <row r="150" spans="1:12" ht="15.75" x14ac:dyDescent="0.25">
      <c r="A150" s="11"/>
    </row>
    <row r="151" spans="1:12" ht="15.75" x14ac:dyDescent="0.25">
      <c r="A151" s="11"/>
    </row>
    <row r="152" spans="1:12" ht="15.75" x14ac:dyDescent="0.25">
      <c r="A152" s="11"/>
    </row>
    <row r="153" spans="1:12" ht="15.75" x14ac:dyDescent="0.25">
      <c r="A153" s="11"/>
    </row>
    <row r="154" spans="1:12" ht="15.75" x14ac:dyDescent="0.25">
      <c r="A154" s="11"/>
    </row>
    <row r="155" spans="1:12" ht="15.75" x14ac:dyDescent="0.25">
      <c r="A155" s="11" t="s">
        <v>32</v>
      </c>
    </row>
    <row r="157" spans="1:12" ht="15.75" x14ac:dyDescent="0.25">
      <c r="A157" s="16" t="s">
        <v>1</v>
      </c>
    </row>
    <row r="159" spans="1:12" ht="15.75" thickBot="1" x14ac:dyDescent="0.3"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5.75" thickBot="1" x14ac:dyDescent="0.3">
      <c r="B160" t="s">
        <v>84</v>
      </c>
      <c r="C160" s="35">
        <f>F127*F140/C142/F128</f>
        <v>0.94339811320566047</v>
      </c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3:12" x14ac:dyDescent="0.25">
      <c r="C161" s="19"/>
      <c r="D161" s="19"/>
      <c r="E161" s="19"/>
      <c r="F161" s="21"/>
      <c r="G161" s="19"/>
      <c r="H161" s="19"/>
      <c r="I161" s="19"/>
      <c r="J161" s="19"/>
      <c r="K161" s="19"/>
      <c r="L161" s="19"/>
    </row>
    <row r="162" spans="3:12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3:12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3:12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3:12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3:12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3:12" x14ac:dyDescent="0.25">
      <c r="C167" s="20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3:12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3:12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3:12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3:12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3:12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3:12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3:12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</sheetData>
  <pageMargins left="0.7" right="0.7" top="0.75" bottom="0.75" header="0.3" footer="0.3"/>
  <pageSetup scale="3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2(b)</vt:lpstr>
      <vt:lpstr>2(c)</vt:lpstr>
      <vt:lpstr>3(b)(i)</vt:lpstr>
      <vt:lpstr>4(b)(i)(ii)</vt:lpstr>
      <vt:lpstr>7</vt:lpstr>
    </vt:vector>
  </TitlesOfParts>
  <Company>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cp:lastPrinted>2020-08-06T05:38:45Z</cp:lastPrinted>
  <dcterms:created xsi:type="dcterms:W3CDTF">2020-07-26T17:46:21Z</dcterms:created>
  <dcterms:modified xsi:type="dcterms:W3CDTF">2021-01-19T16:40:41Z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f6feb-bc60-48e1-9a65-8f26ae8b4956_Enabled">
    <vt:lpwstr>True</vt:lpwstr>
  </property>
  <property fmtid="{D5CDD505-2E9C-101B-9397-08002B2CF9AE}" pid="3" name="MSIP_Label_3b4f6feb-bc60-48e1-9a65-8f26ae8b4956_SiteId">
    <vt:lpwstr>3bea478c-1684-4a8c-8e85-045ec54ba430</vt:lpwstr>
  </property>
  <property fmtid="{D5CDD505-2E9C-101B-9397-08002B2CF9AE}" pid="4" name="MSIP_Label_3b4f6feb-bc60-48e1-9a65-8f26ae8b4956_Owner">
    <vt:lpwstr>Gifford.Nick@principal.com</vt:lpwstr>
  </property>
  <property fmtid="{D5CDD505-2E9C-101B-9397-08002B2CF9AE}" pid="5" name="MSIP_Label_3b4f6feb-bc60-48e1-9a65-8f26ae8b4956_SetDate">
    <vt:lpwstr>2020-12-23T18:14:34.4967003Z</vt:lpwstr>
  </property>
  <property fmtid="{D5CDD505-2E9C-101B-9397-08002B2CF9AE}" pid="6" name="MSIP_Label_3b4f6feb-bc60-48e1-9a65-8f26ae8b4956_Name">
    <vt:lpwstr>Public</vt:lpwstr>
  </property>
  <property fmtid="{D5CDD505-2E9C-101B-9397-08002B2CF9AE}" pid="7" name="MSIP_Label_3b4f6feb-bc60-48e1-9a65-8f26ae8b4956_Application">
    <vt:lpwstr>Microsoft Azure Information Protection</vt:lpwstr>
  </property>
  <property fmtid="{D5CDD505-2E9C-101B-9397-08002B2CF9AE}" pid="8" name="MSIP_Label_3b4f6feb-bc60-48e1-9a65-8f26ae8b4956_ActionId">
    <vt:lpwstr>be8a1758-9d31-4856-a771-37e584a12be0</vt:lpwstr>
  </property>
  <property fmtid="{D5CDD505-2E9C-101B-9397-08002B2CF9AE}" pid="9" name="MSIP_Label_3b4f6feb-bc60-48e1-9a65-8f26ae8b4956_Extended_MSFT_Method">
    <vt:lpwstr>Manual</vt:lpwstr>
  </property>
  <property fmtid="{D5CDD505-2E9C-101B-9397-08002B2CF9AE}" pid="10" name="MSIP_Label_af49516a-7525-4936-8880-b1dc1e580865_Enabled">
    <vt:lpwstr>True</vt:lpwstr>
  </property>
  <property fmtid="{D5CDD505-2E9C-101B-9397-08002B2CF9AE}" pid="11" name="MSIP_Label_af49516a-7525-4936-8880-b1dc1e580865_SiteId">
    <vt:lpwstr>3bea478c-1684-4a8c-8e85-045ec54ba430</vt:lpwstr>
  </property>
  <property fmtid="{D5CDD505-2E9C-101B-9397-08002B2CF9AE}" pid="12" name="MSIP_Label_af49516a-7525-4936-8880-b1dc1e580865_Owner">
    <vt:lpwstr>Gifford.Nick@principal.com</vt:lpwstr>
  </property>
  <property fmtid="{D5CDD505-2E9C-101B-9397-08002B2CF9AE}" pid="13" name="MSIP_Label_af49516a-7525-4936-8880-b1dc1e580865_SetDate">
    <vt:lpwstr>2020-12-23T18:14:34.4967003Z</vt:lpwstr>
  </property>
  <property fmtid="{D5CDD505-2E9C-101B-9397-08002B2CF9AE}" pid="14" name="MSIP_Label_af49516a-7525-4936-8880-b1dc1e580865_Name">
    <vt:lpwstr>Non-visible label</vt:lpwstr>
  </property>
  <property fmtid="{D5CDD505-2E9C-101B-9397-08002B2CF9AE}" pid="15" name="MSIP_Label_af49516a-7525-4936-8880-b1dc1e580865_Application">
    <vt:lpwstr>Microsoft Azure Information Protection</vt:lpwstr>
  </property>
  <property fmtid="{D5CDD505-2E9C-101B-9397-08002B2CF9AE}" pid="16" name="MSIP_Label_af49516a-7525-4936-8880-b1dc1e580865_ActionId">
    <vt:lpwstr>be8a1758-9d31-4856-a771-37e584a12be0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