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3A4422EF-9831-40C6-9D98-435C04862539}" xr6:coauthVersionLast="45" xr6:coauthVersionMax="45" xr10:uidLastSave="{00000000-0000-0000-0000-000000000000}"/>
  <bookViews>
    <workbookView xWindow="780" yWindow="780" windowWidth="21600" windowHeight="11325" xr2:uid="{00000000-000D-0000-FFFF-FFFF00000000}"/>
  </bookViews>
  <sheets>
    <sheet name="2(b)" sheetId="12" r:id="rId1"/>
    <sheet name="2(c)" sheetId="13" r:id="rId2"/>
    <sheet name="3(b)(i)" sheetId="14" r:id="rId3"/>
    <sheet name="4(b)(i)(ii)" sheetId="15" r:id="rId4"/>
    <sheet name="8" sheetId="11" r:id="rId5"/>
  </sheets>
  <externalReferences>
    <externalReference r:id="rId6"/>
    <externalReference r:id="rId7"/>
  </externalReferences>
  <definedNames>
    <definedName name="_Hlk29645690" localSheetId="4">'8'!$B$14</definedName>
    <definedName name="_Hlk29645752" localSheetId="4">'8'!$A$25</definedName>
    <definedName name="Beta_PensionLiab">'8'!$D$8</definedName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5" l="1"/>
  <c r="C27" i="15"/>
  <c r="C28" i="15"/>
  <c r="C29" i="15"/>
  <c r="F21" i="15" s="1"/>
  <c r="C33" i="15"/>
  <c r="C34" i="15"/>
  <c r="C35" i="15" s="1"/>
  <c r="F22" i="15" s="1"/>
  <c r="D9" i="14"/>
  <c r="E9" i="14" s="1"/>
  <c r="F9" i="14" s="1"/>
  <c r="F14" i="14" s="1"/>
  <c r="C19" i="14" s="1"/>
  <c r="D10" i="14"/>
  <c r="E10" i="14"/>
  <c r="F10" i="14" s="1"/>
  <c r="D11" i="14"/>
  <c r="E11" i="14" s="1"/>
  <c r="F11" i="14" s="1"/>
  <c r="D12" i="14"/>
  <c r="E12" i="14" s="1"/>
  <c r="F12" i="14" s="1"/>
  <c r="D13" i="14"/>
  <c r="E13" i="14" s="1"/>
  <c r="F13" i="14" s="1"/>
  <c r="B35" i="13"/>
  <c r="B40" i="13" s="1"/>
  <c r="B24" i="13" s="1"/>
  <c r="B39" i="13"/>
  <c r="B25" i="13" s="1"/>
  <c r="B34" i="12"/>
  <c r="C34" i="12"/>
  <c r="D34" i="12"/>
  <c r="E34" i="12" s="1"/>
  <c r="B22" i="12" s="1"/>
  <c r="G34" i="12"/>
  <c r="B40" i="12"/>
  <c r="D40" i="12"/>
  <c r="E40" i="12" s="1"/>
  <c r="G40" i="12"/>
  <c r="H40" i="12"/>
  <c r="B41" i="12"/>
  <c r="D41" i="12"/>
  <c r="E41" i="12" s="1"/>
  <c r="F41" i="12"/>
  <c r="G41" i="12"/>
  <c r="H41" i="12"/>
  <c r="B42" i="12"/>
  <c r="D42" i="12" s="1"/>
  <c r="C42" i="12"/>
  <c r="G42" i="12"/>
  <c r="H42" i="12"/>
  <c r="B48" i="12"/>
  <c r="E42" i="12" l="1"/>
  <c r="C22" i="12" s="1"/>
  <c r="F42" i="12"/>
  <c r="F40" i="12"/>
  <c r="C23" i="12" s="1"/>
  <c r="F34" i="12"/>
  <c r="B23" i="12" s="1"/>
  <c r="B49" i="12" s="1"/>
  <c r="G126" i="11"/>
  <c r="H126" i="11"/>
  <c r="I126" i="11"/>
  <c r="G127" i="11"/>
  <c r="H127" i="11"/>
  <c r="I127" i="11"/>
  <c r="H125" i="11"/>
  <c r="I125" i="11"/>
  <c r="G125" i="11"/>
  <c r="F127" i="11"/>
  <c r="F126" i="11"/>
  <c r="E127" i="11"/>
  <c r="E126" i="11"/>
  <c r="E125" i="11"/>
  <c r="F125" i="11"/>
  <c r="D126" i="11"/>
  <c r="D127" i="11"/>
  <c r="D125" i="11"/>
  <c r="C126" i="11"/>
  <c r="C127" i="11"/>
  <c r="C125" i="11"/>
  <c r="E77" i="11"/>
  <c r="E76" i="11"/>
  <c r="E63" i="11"/>
  <c r="E62" i="11"/>
  <c r="E61" i="11"/>
  <c r="E60" i="11"/>
  <c r="B50" i="12" l="1"/>
  <c r="D22" i="12"/>
  <c r="B52" i="12"/>
  <c r="B53" i="12" s="1"/>
  <c r="D25" i="12" s="1"/>
  <c r="D23" i="12"/>
</calcChain>
</file>

<file path=xl/sharedStrings.xml><?xml version="1.0" encoding="utf-8"?>
<sst xmlns="http://schemas.openxmlformats.org/spreadsheetml/2006/main" count="235" uniqueCount="188">
  <si>
    <t>ERM Exam Fall 2020</t>
  </si>
  <si>
    <t>Question 8</t>
  </si>
  <si>
    <t>(a)</t>
  </si>
  <si>
    <t>ANSWER: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</si>
  <si>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Evaluation of an investment in a capital project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</si>
  <si>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Evaluation of de-risking options for the pension plan due to concerns about volatility of the funded position. </t>
    </r>
  </si>
  <si>
    <t>Refer to Case Study Section 0.9 for GAM financial information.</t>
  </si>
  <si>
    <t>You are a consultant with Caerus who has been hired by GAM.  The GAM Board wants assistance with two projects:</t>
  </si>
  <si>
    <t>Assume the following:</t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</si>
  <si>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Recommend whether SLIC should proceed with the project.  Justify your response.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</si>
  <si>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Describe how this recommendation would change if the plan invested 100% in liability hedging investments. </t>
    </r>
  </si>
  <si>
    <t>They have asked you to evaluate the project using the Weighted Average Cost of Capital (WACC) based on the most recent financial information and reflecting the holistic balance sheet.</t>
  </si>
  <si>
    <t>Expected Return of Project</t>
  </si>
  <si>
    <t>Market Risk Premium</t>
  </si>
  <si>
    <t>Expected Market Return</t>
  </si>
  <si>
    <t>Corporate Equity Beta</t>
  </si>
  <si>
    <t>Corporate Debt Beta</t>
  </si>
  <si>
    <t>Pension Liability Beta</t>
  </si>
  <si>
    <t>Equity Beta</t>
  </si>
  <si>
    <t>Real Estate Beta</t>
  </si>
  <si>
    <t>Fixed Income Beta</t>
  </si>
  <si>
    <t>Equity Allocation</t>
  </si>
  <si>
    <t>Fixed Income Allocation</t>
  </si>
  <si>
    <t>Real Estate Allocation</t>
  </si>
  <si>
    <t>Tax Rate</t>
  </si>
  <si>
    <t>1/1/20 Balance Sheet</t>
  </si>
  <si>
    <t>(in billions)</t>
  </si>
  <si>
    <t>Company Assets</t>
  </si>
  <si>
    <t>Pension Assets</t>
  </si>
  <si>
    <t>Total Assets</t>
  </si>
  <si>
    <t>Company Liabilities</t>
  </si>
  <si>
    <t>Pension Liabilities</t>
  </si>
  <si>
    <t>Total Debt</t>
  </si>
  <si>
    <t>Equity</t>
  </si>
  <si>
    <t>2019 Cash Flows</t>
  </si>
  <si>
    <t>(in 000s)</t>
  </si>
  <si>
    <t>Operating Cash Flow</t>
  </si>
  <si>
    <t>Financing Cash Flow</t>
  </si>
  <si>
    <t>Other 2019 Financial Information</t>
  </si>
  <si>
    <t>Pretax Income</t>
  </si>
  <si>
    <t>Components of Pension Expense</t>
  </si>
  <si>
    <t>Service Cost</t>
  </si>
  <si>
    <t>Interest Cost</t>
  </si>
  <si>
    <t>Expected Return on Assets</t>
  </si>
  <si>
    <t xml:space="preserve">    (Gain)/Loss Amortization</t>
  </si>
  <si>
    <t xml:space="preserve">    Prior Service Cost Amortization</t>
  </si>
  <si>
    <t>Pension Contribution</t>
  </si>
  <si>
    <t>Actual Pension Return</t>
  </si>
  <si>
    <t>2020 Assumptions</t>
  </si>
  <si>
    <t>Pension Liability Discount Rate</t>
  </si>
  <si>
    <t>PBGC Variable Rate Premium</t>
  </si>
  <si>
    <t>GAM Pension Plan (Extracted from Case Study Section 0.9)</t>
  </si>
  <si>
    <t>(as a % of unfunded liabilities)</t>
  </si>
  <si>
    <t xml:space="preserve">The Board has asked you to provide a numerical example of the concepts shown in the graph above.  </t>
  </si>
  <si>
    <t>Assume the plan has $100 million in liabilities.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</si>
  <si>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80%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</si>
  <si>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100%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</si>
  <si>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120%</t>
    </r>
  </si>
  <si>
    <t>ANSWERS:</t>
  </si>
  <si>
    <t xml:space="preserve">You have presented the Board with the following graph which shows three different strategies (A, B, and C) which change the asset allocation </t>
  </si>
  <si>
    <t>between liability-hedging assets and growth-oriented assets as the funded status improves.</t>
  </si>
  <si>
    <r>
      <t>b (ii)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Calculate the dollar amounts invested into liability-hedging assets and growth-oriented assets for each of the three strategies at the following funded status levels:</t>
    </r>
  </si>
  <si>
    <r>
      <t>(4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The Board provides you with information related to the capital project.  </t>
    </r>
  </si>
  <si>
    <t>β_PA=1*0.50 (equities)+1*0.10 (real estate)+0.3*0.4 (fixed income) = 0.72</t>
  </si>
  <si>
    <t>r_f=6.00% (expected market return)-5.50% (market risk premium)=0.5%</t>
  </si>
  <si>
    <t>WACC= 0.5% + 0.18*5.5% = 1.49%</t>
  </si>
  <si>
    <t xml:space="preserve">Markets already account for the holistic corporate balance sheet.  Therefore, if the pension plan is not taken into account then the WACC is overestimated.  </t>
  </si>
  <si>
    <t>First, calculate the beta for pension assets:</t>
  </si>
  <si>
    <t>Then calculate the beta for all operating assets:</t>
  </si>
  <si>
    <t>Calculate the risk free rate:</t>
  </si>
  <si>
    <t>WACC is the risk free rate plus the β_OA * Equity Risk Premium:</t>
  </si>
  <si>
    <t xml:space="preserve">As the expected return of the project exceeds the WACC incorporating the holistic corporate balance sheet, the recommendation is to proceed with the project. </t>
  </si>
  <si>
    <t xml:space="preserve">A fully hedged portfolio means the beta of the pension liabilities and pension assets will be the same. However the plan is underfunded, and so deficit needs to be included. </t>
  </si>
  <si>
    <t xml:space="preserve">As the expected return of the project is lower than the WACC the recommendation is not to proceed with the project.  </t>
  </si>
  <si>
    <t>Calculate the new operating assets beta, replacing the Pension assets beta with the beta for pension liability:</t>
  </si>
  <si>
    <t>Calculate the new WACC:</t>
  </si>
  <si>
    <t>β_OA=((β_D*Debt+ β_E*Equity+ β_PL*Pension Liability- β_PA*Pension Asets ))/OA</t>
  </si>
  <si>
    <t>The following table illustrates the amount in growth and liability driven investments at each funding level of 80%, 100% and 120% for each strategy:</t>
  </si>
  <si>
    <t>Funded Status</t>
  </si>
  <si>
    <t>A</t>
  </si>
  <si>
    <t>B</t>
  </si>
  <si>
    <t>C</t>
  </si>
  <si>
    <t>Liability Driven Investments:</t>
  </si>
  <si>
    <t>Growth Assets</t>
  </si>
  <si>
    <t>Responses for parts (b)(i), b(iii) and b(iv) are to be provided in the Word document.  Answers to (a)(i), (a)(ii) and (b)(ii) are to be provided below.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</si>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</sst>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00000_);_(* \(#,##0.000000\);_(* &quot;-&quot;??_);_(@_)"/>
    <numFmt numFmtId="165" formatCode="#,##0.0000"/>
    <numFmt numFmtId="166" formatCode="0.0000_);\(0.0000\)"/>
    <numFmt numFmtId="167" formatCode="_(* #,##0.0000_);_(* \(#,##0.0000\);_(* &quot;-&quot;??_);_(@_)"/>
    <numFmt numFmtId="168" formatCode="0.0000"/>
    <numFmt numFmtId="169" formatCode="_(* #,##0.0_);_(* \(#,##0.0\);_(* &quot;-&quot;??_);_(@_)"/>
    <numFmt numFmtId="170" formatCode="0.000"/>
    <numFmt numFmtId="171" formatCode="_(* #,##0_);_(* \(#,##0\);_(* &quot;-&quot;??_);_(@_)"/>
    <numFmt numFmtId="172" formatCode="0.000000"/>
    <numFmt numFmtId="173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rgb="FF0000FF"/>
      <name val="Times New Roman"/>
      <family val="1"/>
    </font>
    <font>
      <sz val="10"/>
      <name val="Arial"/>
      <family val="2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3"/>
    </xf>
    <xf numFmtId="0" fontId="2" fillId="0" borderId="0" xfId="0" applyFont="1" applyAlignment="1">
      <alignment horizontal="left" vertical="center" indent="13"/>
    </xf>
    <xf numFmtId="0" fontId="2" fillId="0" borderId="3" xfId="0" applyFont="1" applyBorder="1"/>
    <xf numFmtId="10" fontId="2" fillId="0" borderId="1" xfId="0" applyNumberFormat="1" applyFont="1" applyBorder="1"/>
    <xf numFmtId="0" fontId="2" fillId="0" borderId="4" xfId="0" applyFont="1" applyBorder="1"/>
    <xf numFmtId="10" fontId="2" fillId="0" borderId="5" xfId="0" applyNumberFormat="1" applyFont="1" applyBorder="1"/>
    <xf numFmtId="9" fontId="2" fillId="0" borderId="5" xfId="0" applyNumberFormat="1" applyFont="1" applyBorder="1"/>
    <xf numFmtId="43" fontId="2" fillId="0" borderId="5" xfId="1" applyFont="1" applyBorder="1"/>
    <xf numFmtId="0" fontId="2" fillId="0" borderId="6" xfId="0" applyFont="1" applyBorder="1"/>
    <xf numFmtId="9" fontId="2" fillId="0" borderId="2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/>
    <xf numFmtId="9" fontId="2" fillId="0" borderId="0" xfId="0" applyNumberFormat="1" applyFont="1" applyBorder="1"/>
    <xf numFmtId="0" fontId="2" fillId="0" borderId="2" xfId="0" applyFont="1" applyBorder="1" applyAlignment="1">
      <alignment vertical="center" wrapText="1"/>
    </xf>
    <xf numFmtId="10" fontId="2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5"/>
    </xf>
    <xf numFmtId="0" fontId="3" fillId="0" borderId="0" xfId="0" applyFont="1" applyAlignment="1">
      <alignment wrapText="1"/>
    </xf>
    <xf numFmtId="43" fontId="3" fillId="0" borderId="0" xfId="0" applyNumberFormat="1" applyFont="1"/>
    <xf numFmtId="10" fontId="3" fillId="0" borderId="0" xfId="0" applyNumberFormat="1" applyFont="1"/>
    <xf numFmtId="10" fontId="3" fillId="0" borderId="0" xfId="3" applyNumberFormat="1" applyFont="1"/>
    <xf numFmtId="9" fontId="3" fillId="0" borderId="0" xfId="0" applyNumberFormat="1" applyFont="1"/>
    <xf numFmtId="0" fontId="3" fillId="0" borderId="0" xfId="4" applyFont="1"/>
    <xf numFmtId="0" fontId="1" fillId="0" borderId="0" xfId="5"/>
    <xf numFmtId="0" fontId="11" fillId="0" borderId="0" xfId="5" applyFont="1"/>
    <xf numFmtId="43" fontId="11" fillId="0" borderId="0" xfId="5" applyNumberFormat="1" applyFont="1"/>
    <xf numFmtId="164" fontId="11" fillId="0" borderId="0" xfId="6" applyNumberFormat="1" applyFont="1"/>
    <xf numFmtId="3" fontId="13" fillId="2" borderId="8" xfId="5" applyNumberFormat="1" applyFont="1" applyFill="1" applyBorder="1"/>
    <xf numFmtId="0" fontId="13" fillId="3" borderId="8" xfId="5" applyFont="1" applyFill="1" applyBorder="1"/>
    <xf numFmtId="165" fontId="13" fillId="2" borderId="8" xfId="5" applyNumberFormat="1" applyFont="1" applyFill="1" applyBorder="1"/>
    <xf numFmtId="166" fontId="11" fillId="0" borderId="8" xfId="5" applyNumberFormat="1" applyFont="1" applyBorder="1"/>
    <xf numFmtId="0" fontId="11" fillId="0" borderId="8" xfId="5" applyFont="1" applyBorder="1"/>
    <xf numFmtId="3" fontId="11" fillId="0" borderId="8" xfId="5" applyNumberFormat="1" applyFont="1" applyBorder="1"/>
    <xf numFmtId="167" fontId="1" fillId="0" borderId="0" xfId="5" applyNumberFormat="1"/>
    <xf numFmtId="43" fontId="1" fillId="0" borderId="0" xfId="6" applyFont="1"/>
    <xf numFmtId="168" fontId="11" fillId="0" borderId="8" xfId="5" applyNumberFormat="1" applyFont="1" applyBorder="1" applyAlignment="1">
      <alignment horizontal="center"/>
    </xf>
    <xf numFmtId="0" fontId="11" fillId="0" borderId="8" xfId="5" applyFont="1" applyBorder="1" applyAlignment="1">
      <alignment horizontal="center"/>
    </xf>
    <xf numFmtId="43" fontId="1" fillId="0" borderId="0" xfId="5" applyNumberFormat="1"/>
    <xf numFmtId="169" fontId="1" fillId="0" borderId="0" xfId="5" applyNumberFormat="1"/>
    <xf numFmtId="0" fontId="13" fillId="3" borderId="8" xfId="5" applyFont="1" applyFill="1" applyBorder="1" applyAlignment="1">
      <alignment horizontal="center" wrapText="1"/>
    </xf>
    <xf numFmtId="0" fontId="13" fillId="3" borderId="8" xfId="5" applyFont="1" applyFill="1" applyBorder="1" applyAlignment="1">
      <alignment horizontal="center"/>
    </xf>
    <xf numFmtId="0" fontId="14" fillId="0" borderId="0" xfId="5" applyFont="1"/>
    <xf numFmtId="0" fontId="11" fillId="0" borderId="0" xfId="5" applyFont="1" applyAlignment="1">
      <alignment horizontal="center"/>
    </xf>
    <xf numFmtId="0" fontId="11" fillId="0" borderId="0" xfId="4" applyFont="1"/>
    <xf numFmtId="0" fontId="3" fillId="4" borderId="0" xfId="4" applyFont="1" applyFill="1"/>
    <xf numFmtId="1" fontId="3" fillId="5" borderId="9" xfId="4" applyNumberFormat="1" applyFont="1" applyFill="1" applyBorder="1"/>
    <xf numFmtId="0" fontId="3" fillId="0" borderId="0" xfId="5" applyFont="1"/>
    <xf numFmtId="0" fontId="6" fillId="0" borderId="0" xfId="5" applyFont="1"/>
    <xf numFmtId="168" fontId="3" fillId="5" borderId="10" xfId="4" applyNumberFormat="1" applyFont="1" applyFill="1" applyBorder="1"/>
    <xf numFmtId="170" fontId="3" fillId="5" borderId="11" xfId="4" applyNumberFormat="1" applyFont="1" applyFill="1" applyBorder="1"/>
    <xf numFmtId="168" fontId="3" fillId="5" borderId="12" xfId="5" applyNumberFormat="1" applyFont="1" applyFill="1" applyBorder="1"/>
    <xf numFmtId="168" fontId="3" fillId="5" borderId="13" xfId="4" applyNumberFormat="1" applyFont="1" applyFill="1" applyBorder="1"/>
    <xf numFmtId="168" fontId="3" fillId="5" borderId="14" xfId="4" applyNumberFormat="1" applyFont="1" applyFill="1" applyBorder="1"/>
    <xf numFmtId="168" fontId="3" fillId="5" borderId="15" xfId="5" applyNumberFormat="1" applyFont="1" applyFill="1" applyBorder="1"/>
    <xf numFmtId="0" fontId="4" fillId="0" borderId="16" xfId="5" applyFont="1" applyBorder="1" applyAlignment="1">
      <alignment horizontal="center"/>
    </xf>
    <xf numFmtId="0" fontId="3" fillId="0" borderId="10" xfId="5" applyFont="1" applyBorder="1" applyAlignment="1">
      <alignment vertical="center"/>
    </xf>
    <xf numFmtId="0" fontId="3" fillId="0" borderId="11" xfId="4" applyFont="1" applyBorder="1" applyAlignment="1">
      <alignment vertical="center" wrapText="1"/>
    </xf>
    <xf numFmtId="0" fontId="1" fillId="0" borderId="12" xfId="4" applyBorder="1"/>
    <xf numFmtId="3" fontId="3" fillId="0" borderId="17" xfId="5" applyNumberFormat="1" applyFont="1" applyBorder="1" applyAlignment="1">
      <alignment horizontal="right" vertical="center"/>
    </xf>
    <xf numFmtId="0" fontId="3" fillId="0" borderId="18" xfId="4" applyFont="1" applyBorder="1" applyAlignment="1">
      <alignment vertical="center" wrapText="1"/>
    </xf>
    <xf numFmtId="0" fontId="1" fillId="0" borderId="19" xfId="4" applyBorder="1"/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12" xfId="5" applyFont="1" applyBorder="1"/>
    <xf numFmtId="10" fontId="3" fillId="0" borderId="23" xfId="5" applyNumberFormat="1" applyFont="1" applyBorder="1" applyAlignment="1">
      <alignment horizontal="center"/>
    </xf>
    <xf numFmtId="10" fontId="3" fillId="0" borderId="8" xfId="5" applyNumberFormat="1" applyFont="1" applyBorder="1" applyAlignment="1">
      <alignment horizontal="center"/>
    </xf>
    <xf numFmtId="0" fontId="3" fillId="0" borderId="24" xfId="5" applyFont="1" applyBorder="1"/>
    <xf numFmtId="1" fontId="3" fillId="0" borderId="23" xfId="5" applyNumberFormat="1" applyFont="1" applyBorder="1" applyAlignment="1">
      <alignment horizontal="center"/>
    </xf>
    <xf numFmtId="1" fontId="3" fillId="0" borderId="8" xfId="5" applyNumberFormat="1" applyFont="1" applyBorder="1" applyAlignment="1">
      <alignment horizontal="center"/>
    </xf>
    <xf numFmtId="0" fontId="3" fillId="0" borderId="23" xfId="5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9" fontId="3" fillId="0" borderId="17" xfId="5" applyNumberFormat="1" applyFont="1" applyBorder="1" applyAlignment="1">
      <alignment horizontal="center"/>
    </xf>
    <xf numFmtId="9" fontId="3" fillId="0" borderId="18" xfId="5" applyNumberFormat="1" applyFont="1" applyBorder="1" applyAlignment="1">
      <alignment horizontal="center"/>
    </xf>
    <xf numFmtId="0" fontId="3" fillId="0" borderId="19" xfId="5" applyFont="1" applyBorder="1"/>
    <xf numFmtId="0" fontId="4" fillId="0" borderId="9" xfId="5" applyFont="1" applyBorder="1" applyAlignment="1">
      <alignment horizontal="center"/>
    </xf>
    <xf numFmtId="0" fontId="4" fillId="0" borderId="9" xfId="5" applyFont="1" applyBorder="1"/>
    <xf numFmtId="0" fontId="4" fillId="0" borderId="0" xfId="4" applyFont="1"/>
    <xf numFmtId="0" fontId="5" fillId="0" borderId="0" xfId="4" applyFont="1"/>
    <xf numFmtId="171" fontId="3" fillId="0" borderId="0" xfId="6" applyNumberFormat="1" applyFont="1"/>
    <xf numFmtId="0" fontId="15" fillId="0" borderId="0" xfId="5" applyFont="1"/>
    <xf numFmtId="168" fontId="11" fillId="0" borderId="8" xfId="5" applyNumberFormat="1" applyFont="1" applyBorder="1"/>
    <xf numFmtId="0" fontId="13" fillId="0" borderId="0" xfId="5" applyFont="1"/>
    <xf numFmtId="0" fontId="16" fillId="0" borderId="0" xfId="7"/>
    <xf numFmtId="0" fontId="11" fillId="0" borderId="8" xfId="7" applyFont="1" applyBorder="1"/>
    <xf numFmtId="0" fontId="3" fillId="4" borderId="0" xfId="5" applyFont="1" applyFill="1"/>
    <xf numFmtId="172" fontId="3" fillId="5" borderId="8" xfId="5" applyNumberFormat="1" applyFont="1" applyFill="1" applyBorder="1"/>
    <xf numFmtId="0" fontId="3" fillId="0" borderId="8" xfId="5" applyFont="1" applyBorder="1"/>
    <xf numFmtId="0" fontId="4" fillId="0" borderId="8" xfId="5" applyFont="1" applyBorder="1" applyAlignment="1">
      <alignment horizontal="center"/>
    </xf>
    <xf numFmtId="0" fontId="3" fillId="0" borderId="0" xfId="5" applyFont="1" applyAlignment="1">
      <alignment wrapText="1"/>
    </xf>
    <xf numFmtId="43" fontId="3" fillId="0" borderId="0" xfId="8" applyFont="1"/>
    <xf numFmtId="171" fontId="3" fillId="0" borderId="0" xfId="8" applyNumberFormat="1" applyFont="1"/>
    <xf numFmtId="0" fontId="4" fillId="0" borderId="0" xfId="5" applyFont="1"/>
    <xf numFmtId="0" fontId="5" fillId="0" borderId="0" xfId="5" applyFont="1"/>
    <xf numFmtId="0" fontId="3" fillId="0" borderId="0" xfId="2" applyFont="1"/>
    <xf numFmtId="3" fontId="3" fillId="5" borderId="9" xfId="2" applyNumberFormat="1" applyFont="1" applyFill="1" applyBorder="1"/>
    <xf numFmtId="0" fontId="6" fillId="0" borderId="0" xfId="2" applyFont="1"/>
    <xf numFmtId="3" fontId="3" fillId="0" borderId="0" xfId="2" applyNumberFormat="1" applyFont="1"/>
    <xf numFmtId="0" fontId="3" fillId="0" borderId="0" xfId="2" applyFont="1" applyAlignment="1">
      <alignment wrapText="1"/>
    </xf>
    <xf numFmtId="173" fontId="3" fillId="0" borderId="0" xfId="9" applyNumberFormat="1" applyFont="1"/>
    <xf numFmtId="3" fontId="13" fillId="0" borderId="0" xfId="2" applyNumberFormat="1" applyFont="1"/>
    <xf numFmtId="3" fontId="11" fillId="0" borderId="0" xfId="2" applyNumberFormat="1" applyFont="1"/>
    <xf numFmtId="0" fontId="11" fillId="0" borderId="0" xfId="2" applyFont="1"/>
    <xf numFmtId="3" fontId="3" fillId="0" borderId="10" xfId="2" applyNumberFormat="1" applyFont="1" applyBorder="1" applyAlignment="1">
      <alignment horizontal="center"/>
    </xf>
    <xf numFmtId="3" fontId="3" fillId="0" borderId="11" xfId="2" applyNumberFormat="1" applyFont="1" applyBorder="1" applyAlignment="1">
      <alignment horizontal="center"/>
    </xf>
    <xf numFmtId="0" fontId="3" fillId="0" borderId="12" xfId="2" applyFont="1" applyBorder="1" applyAlignment="1">
      <alignment horizontal="center" wrapText="1"/>
    </xf>
    <xf numFmtId="3" fontId="3" fillId="0" borderId="23" xfId="2" applyNumberFormat="1" applyFont="1" applyBorder="1" applyAlignment="1">
      <alignment horizontal="center"/>
    </xf>
    <xf numFmtId="3" fontId="3" fillId="0" borderId="8" xfId="2" applyNumberFormat="1" applyFont="1" applyBorder="1" applyAlignment="1">
      <alignment horizontal="center"/>
    </xf>
    <xf numFmtId="0" fontId="3" fillId="0" borderId="24" xfId="2" applyFont="1" applyBorder="1" applyAlignment="1">
      <alignment horizontal="center" wrapText="1"/>
    </xf>
    <xf numFmtId="0" fontId="13" fillId="0" borderId="0" xfId="2" applyFont="1" applyAlignment="1">
      <alignment horizontal="center" wrapText="1"/>
    </xf>
    <xf numFmtId="0" fontId="4" fillId="0" borderId="13" xfId="2" applyFont="1" applyBorder="1" applyAlignment="1">
      <alignment horizontal="center" wrapText="1"/>
    </xf>
    <xf numFmtId="0" fontId="4" fillId="0" borderId="14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4" fillId="0" borderId="0" xfId="2" applyFont="1"/>
    <xf numFmtId="0" fontId="5" fillId="0" borderId="0" xfId="2" applyFont="1"/>
    <xf numFmtId="0" fontId="3" fillId="5" borderId="9" xfId="2" applyFont="1" applyFill="1" applyBorder="1"/>
    <xf numFmtId="9" fontId="2" fillId="0" borderId="10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9" fontId="2" fillId="0" borderId="23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3" fillId="0" borderId="0" xfId="5" applyFont="1" applyAlignment="1">
      <alignment wrapText="1"/>
    </xf>
    <xf numFmtId="0" fontId="2" fillId="0" borderId="15" xfId="2" applyFont="1" applyBorder="1" applyAlignment="1">
      <alignment vertical="center" wrapText="1"/>
    </xf>
    <xf numFmtId="0" fontId="2" fillId="0" borderId="14" xfId="2" applyFont="1" applyBorder="1" applyAlignment="1">
      <alignment vertical="center" wrapText="1"/>
    </xf>
    <xf numFmtId="0" fontId="2" fillId="0" borderId="24" xfId="2" applyFont="1" applyBorder="1" applyAlignment="1">
      <alignment vertical="center" wrapText="1"/>
    </xf>
    <xf numFmtId="0" fontId="2" fillId="0" borderId="8" xfId="2" applyFont="1" applyBorder="1" applyAlignment="1">
      <alignment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24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</cellXfs>
  <cellStyles count="10">
    <cellStyle name="Comma" xfId="1" builtinId="3"/>
    <cellStyle name="Comma 2" xfId="6" xr:uid="{91089458-D734-4A09-ABF8-5C9D93C96946}"/>
    <cellStyle name="Comma 8" xfId="8" xr:uid="{3012D56F-07BF-4D23-8BD8-3053629C6B74}"/>
    <cellStyle name="Normal" xfId="0" builtinId="0"/>
    <cellStyle name="Normal 2" xfId="7" xr:uid="{B667A6C9-C2B9-432A-9073-8DF069EF3594}"/>
    <cellStyle name="Normal 5" xfId="2" xr:uid="{00000000-0005-0000-0000-000002000000}"/>
    <cellStyle name="Normal 5 2" xfId="5" xr:uid="{A22FD984-F1DA-4741-B188-7DFB7111EAF3}"/>
    <cellStyle name="Normal 6" xfId="4" xr:uid="{3EB5FB93-ED04-432C-9696-F2D7A5E4BD6C}"/>
    <cellStyle name="Percent" xfId="3" builtinId="5"/>
    <cellStyle name="Percent 8" xfId="9" xr:uid="{2A60385B-DF56-465D-9C67-23FCF6A32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9D541F-6F1B-42A9-81B6-01DE65F4DE1A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23E1E-66AC-4539-95E0-6C65F576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47BBB-31C9-4777-B008-7608F4BF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0553BB-CCDC-41AA-BDE8-F304E0947849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1B17627-C0FB-48AA-9702-55C980381A66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1B17627-C0FB-48AA-9702-55C980381A66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8B0683-84AC-46D2-B148-483F12746207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8B0683-84AC-46D2-B148-483F12746207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B6FFD5-2D1D-40A1-933A-A6BCB010C20A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DD23E840-38F6-447C-A7C9-9AD9C6E73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359073-BC0C-435A-A6C0-9B4296F0CBC8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92</xdr:row>
      <xdr:rowOff>114300</xdr:rowOff>
    </xdr:from>
    <xdr:to>
      <xdr:col>5</xdr:col>
      <xdr:colOff>2247900</xdr:colOff>
      <xdr:row>109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E8CF55-63A7-41AF-82B9-493748559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8345150"/>
          <a:ext cx="5867400" cy="33223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0A23-6112-413A-A8A0-3D39AD4E59A5}">
  <dimension ref="A1:O53"/>
  <sheetViews>
    <sheetView tabSelected="1" zoomScaleNormal="100" workbookViewId="0"/>
  </sheetViews>
  <sheetFormatPr defaultColWidth="9.140625" defaultRowHeight="15" x14ac:dyDescent="0.25"/>
  <cols>
    <col min="1" max="1" width="32.7109375" style="51" customWidth="1"/>
    <col min="2" max="2" width="23.28515625" style="51" customWidth="1"/>
    <col min="3" max="3" width="17.7109375" style="51" customWidth="1"/>
    <col min="4" max="4" width="18" style="51" customWidth="1"/>
    <col min="5" max="6" width="18.5703125" style="51" customWidth="1"/>
    <col min="7" max="7" width="15.85546875" style="51" customWidth="1"/>
    <col min="8" max="8" width="15.7109375" style="51" customWidth="1"/>
    <col min="9" max="16384" width="9.140625" style="51"/>
  </cols>
  <sheetData>
    <row r="1" spans="1:3" ht="15.6" x14ac:dyDescent="0.3">
      <c r="A1" s="109" t="s">
        <v>0</v>
      </c>
    </row>
    <row r="3" spans="1:3" ht="13.9" x14ac:dyDescent="0.25">
      <c r="A3" s="108" t="s">
        <v>127</v>
      </c>
    </row>
    <row r="4" spans="1:3" ht="13.9" x14ac:dyDescent="0.25">
      <c r="A4" s="108"/>
    </row>
    <row r="5" spans="1:3" ht="13.9" x14ac:dyDescent="0.25">
      <c r="A5" s="108" t="s">
        <v>106</v>
      </c>
      <c r="B5" s="51" t="s">
        <v>126</v>
      </c>
    </row>
    <row r="6" spans="1:3" ht="13.9" x14ac:dyDescent="0.25">
      <c r="A6" s="108" t="s">
        <v>104</v>
      </c>
      <c r="B6" s="51" t="s">
        <v>125</v>
      </c>
    </row>
    <row r="7" spans="1:3" ht="14.45" thickBot="1" x14ac:dyDescent="0.3"/>
    <row r="8" spans="1:3" ht="14.45" thickBot="1" x14ac:dyDescent="0.3">
      <c r="A8" s="107"/>
      <c r="B8" s="106" t="s">
        <v>111</v>
      </c>
      <c r="C8" s="106" t="s">
        <v>110</v>
      </c>
    </row>
    <row r="9" spans="1:3" ht="13.9" x14ac:dyDescent="0.25">
      <c r="A9" s="105" t="s">
        <v>124</v>
      </c>
      <c r="B9" s="104">
        <v>0.5</v>
      </c>
      <c r="C9" s="103">
        <v>0.5</v>
      </c>
    </row>
    <row r="10" spans="1:3" ht="13.9" x14ac:dyDescent="0.25">
      <c r="A10" s="98" t="s">
        <v>123</v>
      </c>
      <c r="B10" s="102">
        <v>1</v>
      </c>
      <c r="C10" s="101">
        <v>3</v>
      </c>
    </row>
    <row r="11" spans="1:3" ht="13.9" x14ac:dyDescent="0.25">
      <c r="A11" s="98" t="s">
        <v>122</v>
      </c>
      <c r="B11" s="97">
        <v>0.02</v>
      </c>
      <c r="C11" s="96">
        <v>0.03</v>
      </c>
    </row>
    <row r="12" spans="1:3" ht="13.9" x14ac:dyDescent="0.25">
      <c r="A12" s="98" t="s">
        <v>121</v>
      </c>
      <c r="B12" s="100">
        <v>1005</v>
      </c>
      <c r="C12" s="99">
        <v>986</v>
      </c>
    </row>
    <row r="13" spans="1:3" ht="13.9" x14ac:dyDescent="0.25">
      <c r="A13" s="98" t="s">
        <v>120</v>
      </c>
      <c r="B13" s="97">
        <v>1.4999999999999999E-2</v>
      </c>
      <c r="C13" s="96">
        <v>3.5000000000000003E-2</v>
      </c>
    </row>
    <row r="14" spans="1:3" ht="14.45" thickBot="1" x14ac:dyDescent="0.3">
      <c r="A14" s="95" t="s">
        <v>119</v>
      </c>
      <c r="B14" s="94">
        <v>1000</v>
      </c>
      <c r="C14" s="93">
        <v>1000</v>
      </c>
    </row>
    <row r="15" spans="1:3" ht="14.45" thickBot="1" x14ac:dyDescent="0.3"/>
    <row r="16" spans="1:3" ht="16.149999999999999" thickBot="1" x14ac:dyDescent="0.3">
      <c r="A16" s="92" t="s">
        <v>118</v>
      </c>
      <c r="B16" s="91" t="s">
        <v>117</v>
      </c>
      <c r="C16" s="90" t="s">
        <v>116</v>
      </c>
    </row>
    <row r="17" spans="1:8" ht="81.75" customHeight="1" x14ac:dyDescent="0.3">
      <c r="A17" s="89"/>
      <c r="B17" s="88" t="s">
        <v>115</v>
      </c>
      <c r="C17" s="87" t="s">
        <v>114</v>
      </c>
    </row>
    <row r="18" spans="1:8" ht="81.75" customHeight="1" thickBot="1" x14ac:dyDescent="0.35">
      <c r="A18" s="86"/>
      <c r="B18" s="85" t="s">
        <v>113</v>
      </c>
      <c r="C18" s="84">
        <v>94.108000000000004</v>
      </c>
    </row>
    <row r="20" spans="1:8" ht="15.75" thickBot="1" x14ac:dyDescent="0.3">
      <c r="A20" s="76" t="s">
        <v>112</v>
      </c>
      <c r="B20" s="75"/>
    </row>
    <row r="21" spans="1:8" ht="15.75" thickBot="1" x14ac:dyDescent="0.3">
      <c r="A21" s="76"/>
      <c r="B21" s="83" t="s">
        <v>111</v>
      </c>
      <c r="C21" s="83" t="s">
        <v>110</v>
      </c>
      <c r="D21" s="83" t="s">
        <v>109</v>
      </c>
    </row>
    <row r="22" spans="1:8" x14ac:dyDescent="0.25">
      <c r="A22" s="75" t="s">
        <v>108</v>
      </c>
      <c r="B22" s="82">
        <f>E34*G34/($B$12*(1+$B$13))</f>
        <v>0.9851492374329186</v>
      </c>
      <c r="C22" s="81">
        <f>SUMPRODUCT(E40:E42,G40:G42)/($C$12*(1+C13))</f>
        <v>2.8142782626162903</v>
      </c>
      <c r="D22" s="80">
        <f>AVERAGE(B22:C22)</f>
        <v>1.8997137500246044</v>
      </c>
      <c r="E22" s="51" t="s">
        <v>106</v>
      </c>
    </row>
    <row r="23" spans="1:8" ht="15.75" thickBot="1" x14ac:dyDescent="0.3">
      <c r="A23" s="75" t="s">
        <v>107</v>
      </c>
      <c r="B23" s="79">
        <f>(F34/(1+$B$13)^(3))/$B$12</f>
        <v>1.9411807634146181</v>
      </c>
      <c r="C23" s="78">
        <f>SUMPRODUCT(F40:F42,H40:H42)/$C$12</f>
        <v>10.768523839449475</v>
      </c>
      <c r="D23" s="77">
        <f>AVERAGE(B23:C23)</f>
        <v>6.3548523014320466</v>
      </c>
      <c r="E23" s="51" t="s">
        <v>106</v>
      </c>
    </row>
    <row r="24" spans="1:8" ht="15.75" thickBot="1" x14ac:dyDescent="0.3">
      <c r="A24" s="76"/>
      <c r="B24" s="75"/>
    </row>
    <row r="25" spans="1:8" ht="15.75" thickBot="1" x14ac:dyDescent="0.3">
      <c r="A25" s="51" t="s">
        <v>105</v>
      </c>
      <c r="D25" s="74">
        <f>ABS(B53/C18)</f>
        <v>200.0002612955912</v>
      </c>
      <c r="E25" s="51" t="s">
        <v>104</v>
      </c>
    </row>
    <row r="27" spans="1:8" s="73" customFormat="1" x14ac:dyDescent="0.25"/>
    <row r="28" spans="1:8" x14ac:dyDescent="0.25">
      <c r="A28" s="72"/>
      <c r="B28" s="72"/>
      <c r="C28" s="72"/>
      <c r="D28" s="72"/>
      <c r="E28" s="72"/>
      <c r="F28" s="72"/>
      <c r="G28" s="72"/>
      <c r="H28" s="72"/>
    </row>
    <row r="29" spans="1:8" s="52" customFormat="1" x14ac:dyDescent="0.25">
      <c r="A29" s="53" t="s">
        <v>103</v>
      </c>
      <c r="B29" s="53"/>
      <c r="C29" s="53"/>
      <c r="D29" s="53"/>
      <c r="E29" s="53"/>
      <c r="F29" s="53"/>
      <c r="G29" s="53"/>
      <c r="H29" s="53"/>
    </row>
    <row r="30" spans="1:8" s="52" customFormat="1" x14ac:dyDescent="0.25">
      <c r="A30" s="53"/>
      <c r="B30" s="53"/>
      <c r="C30" s="53"/>
      <c r="D30" s="53"/>
      <c r="E30" s="53"/>
      <c r="F30" s="53"/>
      <c r="G30" s="53"/>
      <c r="H30" s="53"/>
    </row>
    <row r="31" spans="1:8" s="52" customFormat="1" x14ac:dyDescent="0.25">
      <c r="A31" s="70" t="s">
        <v>102</v>
      </c>
      <c r="B31" s="53"/>
      <c r="C31" s="53"/>
      <c r="D31" s="53"/>
      <c r="E31" s="53"/>
      <c r="F31" s="53"/>
      <c r="G31" s="53"/>
      <c r="H31" s="53"/>
    </row>
    <row r="32" spans="1:8" s="52" customFormat="1" x14ac:dyDescent="0.25">
      <c r="A32" s="53"/>
      <c r="B32" s="53"/>
      <c r="C32" s="53"/>
      <c r="D32" s="53"/>
      <c r="E32" s="53"/>
      <c r="F32" s="53"/>
      <c r="G32" s="53"/>
      <c r="H32" s="53"/>
    </row>
    <row r="33" spans="1:15" s="52" customFormat="1" ht="43.5" x14ac:dyDescent="0.25">
      <c r="A33" s="69" t="s">
        <v>99</v>
      </c>
      <c r="B33" s="69" t="s">
        <v>98</v>
      </c>
      <c r="C33" s="69" t="s">
        <v>97</v>
      </c>
      <c r="D33" s="69" t="s">
        <v>96</v>
      </c>
      <c r="E33" s="68" t="s">
        <v>95</v>
      </c>
      <c r="F33" s="68" t="s">
        <v>94</v>
      </c>
      <c r="G33" s="68" t="s">
        <v>101</v>
      </c>
      <c r="H33" s="53"/>
    </row>
    <row r="34" spans="1:15" s="52" customFormat="1" x14ac:dyDescent="0.25">
      <c r="A34" s="65">
        <v>1</v>
      </c>
      <c r="B34" s="65">
        <f>B11*B14</f>
        <v>20</v>
      </c>
      <c r="C34" s="65">
        <f>B14</f>
        <v>1000</v>
      </c>
      <c r="D34" s="65">
        <f>B34+C34</f>
        <v>1020</v>
      </c>
      <c r="E34" s="65">
        <f>D34*A34</f>
        <v>1020</v>
      </c>
      <c r="F34" s="65">
        <f>($A34^2 + $A34)*D34</f>
        <v>2040</v>
      </c>
      <c r="G34" s="64">
        <f>1/(1+$B$13)^($A34)</f>
        <v>0.98522167487684742</v>
      </c>
      <c r="H34" s="53"/>
      <c r="I34" s="63"/>
      <c r="K34" s="62"/>
    </row>
    <row r="35" spans="1:15" s="52" customFormat="1" x14ac:dyDescent="0.25">
      <c r="A35" s="71"/>
      <c r="B35" s="53"/>
      <c r="C35" s="53"/>
      <c r="D35" s="53"/>
      <c r="E35" s="53"/>
      <c r="F35" s="53"/>
      <c r="G35" s="53"/>
      <c r="H35" s="53"/>
    </row>
    <row r="36" spans="1:15" s="52" customFormat="1" x14ac:dyDescent="0.25">
      <c r="A36" s="71"/>
      <c r="B36" s="53"/>
      <c r="C36" s="53"/>
      <c r="D36" s="53"/>
      <c r="E36" s="53"/>
      <c r="F36" s="53"/>
      <c r="G36" s="53"/>
      <c r="H36" s="53"/>
    </row>
    <row r="37" spans="1:15" s="52" customFormat="1" x14ac:dyDescent="0.25">
      <c r="A37" s="70" t="s">
        <v>100</v>
      </c>
      <c r="B37" s="53"/>
      <c r="C37" s="53"/>
      <c r="D37" s="53"/>
      <c r="E37" s="53"/>
      <c r="F37" s="53"/>
      <c r="G37" s="53"/>
      <c r="H37" s="53"/>
    </row>
    <row r="38" spans="1:15" s="52" customFormat="1" x14ac:dyDescent="0.25">
      <c r="A38" s="53"/>
      <c r="B38" s="53"/>
      <c r="C38" s="53"/>
      <c r="D38" s="53"/>
      <c r="E38" s="53"/>
      <c r="F38" s="53"/>
      <c r="G38" s="53"/>
      <c r="H38" s="53"/>
    </row>
    <row r="39" spans="1:15" s="52" customFormat="1" ht="43.5" x14ac:dyDescent="0.25">
      <c r="A39" s="69" t="s">
        <v>99</v>
      </c>
      <c r="B39" s="69" t="s">
        <v>98</v>
      </c>
      <c r="C39" s="69" t="s">
        <v>97</v>
      </c>
      <c r="D39" s="69" t="s">
        <v>96</v>
      </c>
      <c r="E39" s="68" t="s">
        <v>95</v>
      </c>
      <c r="F39" s="68" t="s">
        <v>94</v>
      </c>
      <c r="G39" s="68" t="s">
        <v>93</v>
      </c>
      <c r="H39" s="68" t="s">
        <v>92</v>
      </c>
    </row>
    <row r="40" spans="1:15" s="52" customFormat="1" x14ac:dyDescent="0.25">
      <c r="A40" s="65">
        <v>1</v>
      </c>
      <c r="B40" s="65">
        <f>$C$11*$C$14</f>
        <v>30</v>
      </c>
      <c r="C40" s="65"/>
      <c r="D40" s="65">
        <f>B40+C40</f>
        <v>30</v>
      </c>
      <c r="E40" s="65">
        <f>D40*$A40</f>
        <v>30</v>
      </c>
      <c r="F40" s="65">
        <f>($A40^2 + $A40)*D40</f>
        <v>60</v>
      </c>
      <c r="G40" s="64">
        <f>1/(1+$C$13)^($A40)</f>
        <v>0.96618357487922713</v>
      </c>
      <c r="H40" s="64">
        <f>(1+$C$13)^(-$A40-2)</f>
        <v>0.90194270566802237</v>
      </c>
      <c r="J40" s="63"/>
      <c r="L40" s="62"/>
      <c r="N40" s="67"/>
      <c r="O40" s="66"/>
    </row>
    <row r="41" spans="1:15" s="52" customFormat="1" x14ac:dyDescent="0.25">
      <c r="A41" s="65">
        <v>2</v>
      </c>
      <c r="B41" s="65">
        <f>$C$11*$C$14</f>
        <v>30</v>
      </c>
      <c r="C41" s="65"/>
      <c r="D41" s="65">
        <f>B41+C41</f>
        <v>30</v>
      </c>
      <c r="E41" s="65">
        <f>D41*$A41</f>
        <v>60</v>
      </c>
      <c r="F41" s="65">
        <f>($A41^2 + $A41)*D41</f>
        <v>180</v>
      </c>
      <c r="G41" s="64">
        <f>1/(1+$C$13)^($A41)</f>
        <v>0.93351070036640305</v>
      </c>
      <c r="H41" s="64">
        <f>(1+$C$13)^(-$A41-2)</f>
        <v>0.87144222769857238</v>
      </c>
      <c r="J41" s="63"/>
      <c r="L41" s="62"/>
      <c r="O41" s="66"/>
    </row>
    <row r="42" spans="1:15" s="52" customFormat="1" x14ac:dyDescent="0.25">
      <c r="A42" s="65">
        <v>3</v>
      </c>
      <c r="B42" s="65">
        <f>$C$11*$C$14</f>
        <v>30</v>
      </c>
      <c r="C42" s="65">
        <f>C14</f>
        <v>1000</v>
      </c>
      <c r="D42" s="65">
        <f>B42+C42</f>
        <v>1030</v>
      </c>
      <c r="E42" s="65">
        <f>D42*$A42</f>
        <v>3090</v>
      </c>
      <c r="F42" s="65">
        <f>($A42^2 + $A42)*D42</f>
        <v>12360</v>
      </c>
      <c r="G42" s="64">
        <f>1/(1+$C$13)^($A42)</f>
        <v>0.90194270566802237</v>
      </c>
      <c r="H42" s="64">
        <f>(1+$C$13)^(-$A42-2)</f>
        <v>0.84197316685852419</v>
      </c>
      <c r="J42" s="63"/>
      <c r="L42" s="62"/>
    </row>
    <row r="43" spans="1:15" s="52" customFormat="1" x14ac:dyDescent="0.25">
      <c r="A43" s="53"/>
      <c r="B43" s="53"/>
      <c r="C43" s="53"/>
      <c r="D43" s="53"/>
      <c r="E43" s="53"/>
      <c r="F43" s="53"/>
      <c r="G43" s="53"/>
      <c r="H43" s="53"/>
    </row>
    <row r="44" spans="1:15" s="52" customFormat="1" x14ac:dyDescent="0.25">
      <c r="A44" s="53"/>
      <c r="B44" s="53"/>
      <c r="C44" s="53"/>
      <c r="D44" s="53"/>
      <c r="E44" s="53"/>
      <c r="F44" s="53"/>
      <c r="G44" s="53"/>
      <c r="H44" s="53"/>
    </row>
    <row r="45" spans="1:15" s="52" customFormat="1" x14ac:dyDescent="0.25">
      <c r="A45" s="53" t="s">
        <v>91</v>
      </c>
      <c r="B45" s="53"/>
      <c r="C45" s="53"/>
      <c r="D45" s="53"/>
      <c r="E45" s="53"/>
      <c r="F45" s="53"/>
      <c r="G45" s="53"/>
      <c r="H45" s="53"/>
    </row>
    <row r="46" spans="1:15" s="52" customFormat="1" x14ac:dyDescent="0.25">
      <c r="A46" s="57" t="s">
        <v>90</v>
      </c>
      <c r="B46" s="61">
        <v>100000000</v>
      </c>
      <c r="C46" s="53"/>
      <c r="D46" s="53"/>
      <c r="E46" s="53"/>
      <c r="F46" s="53"/>
      <c r="G46" s="53"/>
      <c r="H46" s="53"/>
    </row>
    <row r="47" spans="1:15" s="52" customFormat="1" x14ac:dyDescent="0.25">
      <c r="A47" s="53"/>
      <c r="B47" s="53"/>
      <c r="C47" s="53"/>
      <c r="D47" s="53"/>
      <c r="E47" s="53"/>
      <c r="F47" s="53"/>
      <c r="G47" s="53"/>
      <c r="H47" s="53"/>
    </row>
    <row r="48" spans="1:15" s="52" customFormat="1" ht="23.25" customHeight="1" x14ac:dyDescent="0.25">
      <c r="A48" s="57" t="s">
        <v>89</v>
      </c>
      <c r="B48" s="60">
        <f>1/10000</f>
        <v>1E-4</v>
      </c>
      <c r="C48" s="53"/>
      <c r="D48" s="53"/>
      <c r="E48" s="53"/>
      <c r="F48" s="53"/>
      <c r="G48" s="53"/>
      <c r="H48" s="53"/>
    </row>
    <row r="49" spans="1:8" s="52" customFormat="1" ht="23.25" customHeight="1" x14ac:dyDescent="0.25">
      <c r="A49" s="57" t="s">
        <v>88</v>
      </c>
      <c r="B49" s="59">
        <f>-B12*(B22*B48-0.5*B23*B48^2)</f>
        <v>-9.8997743928672166E-2</v>
      </c>
      <c r="C49" s="53"/>
      <c r="D49" s="53"/>
      <c r="E49" s="53"/>
      <c r="F49" s="53"/>
      <c r="G49" s="53"/>
      <c r="H49" s="53"/>
    </row>
    <row r="50" spans="1:8" s="52" customFormat="1" ht="24" customHeight="1" x14ac:dyDescent="0.25">
      <c r="A50" s="57" t="s">
        <v>87</v>
      </c>
      <c r="B50" s="59">
        <f>-C12*(C22*B48-0.5*C23*B48^2)</f>
        <v>-0.27743474787143774</v>
      </c>
      <c r="C50" s="53"/>
      <c r="D50" s="53"/>
      <c r="E50" s="53"/>
      <c r="F50" s="53"/>
      <c r="G50" s="53"/>
      <c r="H50" s="53"/>
    </row>
    <row r="51" spans="1:8" s="52" customFormat="1" x14ac:dyDescent="0.25">
      <c r="A51" s="53"/>
      <c r="B51" s="53"/>
      <c r="C51" s="53"/>
      <c r="D51" s="53"/>
      <c r="E51" s="53"/>
      <c r="F51" s="53"/>
      <c r="G51" s="53"/>
      <c r="H51" s="53"/>
    </row>
    <row r="52" spans="1:8" s="52" customFormat="1" x14ac:dyDescent="0.25">
      <c r="A52" s="57" t="s">
        <v>86</v>
      </c>
      <c r="B52" s="58">
        <f>0.5*(B49+B50)</f>
        <v>-0.18821624590005495</v>
      </c>
      <c r="C52" s="53"/>
      <c r="D52" s="53"/>
      <c r="E52" s="53"/>
      <c r="F52" s="53"/>
      <c r="G52" s="53"/>
      <c r="H52" s="53"/>
    </row>
    <row r="53" spans="1:8" s="52" customFormat="1" x14ac:dyDescent="0.25">
      <c r="A53" s="57" t="s">
        <v>85</v>
      </c>
      <c r="B53" s="56">
        <f>B46/1000*B52</f>
        <v>-18821.624590005496</v>
      </c>
      <c r="C53" s="55"/>
      <c r="D53" s="54"/>
      <c r="E53" s="53"/>
      <c r="F53" s="53"/>
      <c r="G53" s="53"/>
      <c r="H53" s="5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AD9A-0A0F-4422-962E-A0D53BB0038C}">
  <dimension ref="A1:G46"/>
  <sheetViews>
    <sheetView zoomScaleNormal="100" workbookViewId="0"/>
  </sheetViews>
  <sheetFormatPr defaultColWidth="9.140625" defaultRowHeight="15" x14ac:dyDescent="0.25"/>
  <cols>
    <col min="1" max="1" width="32" style="75" customWidth="1"/>
    <col min="2" max="2" width="21" style="75" customWidth="1"/>
    <col min="3" max="3" width="21.140625" style="75" customWidth="1"/>
    <col min="4" max="5" width="9.140625" style="75"/>
    <col min="6" max="6" width="10.42578125" style="75" bestFit="1" customWidth="1"/>
    <col min="7" max="16384" width="9.140625" style="75"/>
  </cols>
  <sheetData>
    <row r="1" spans="1:3" ht="15.6" x14ac:dyDescent="0.3">
      <c r="A1" s="124" t="s">
        <v>0</v>
      </c>
    </row>
    <row r="3" spans="1:3" ht="13.9" x14ac:dyDescent="0.25">
      <c r="A3" s="123" t="s">
        <v>127</v>
      </c>
    </row>
    <row r="4" spans="1:3" ht="13.9" x14ac:dyDescent="0.25">
      <c r="A4" s="123"/>
    </row>
    <row r="5" spans="1:3" ht="13.9" x14ac:dyDescent="0.25">
      <c r="A5" s="123" t="s">
        <v>153</v>
      </c>
      <c r="B5" s="75" t="s">
        <v>152</v>
      </c>
    </row>
    <row r="7" spans="1:3" ht="13.9" x14ac:dyDescent="0.25">
      <c r="A7" s="76" t="s">
        <v>151</v>
      </c>
    </row>
    <row r="8" spans="1:3" ht="13.9" x14ac:dyDescent="0.25">
      <c r="A8" s="75" t="s">
        <v>150</v>
      </c>
      <c r="B8" s="122">
        <v>100000000</v>
      </c>
      <c r="C8" s="75" t="s">
        <v>149</v>
      </c>
    </row>
    <row r="9" spans="1:3" ht="13.9" x14ac:dyDescent="0.25">
      <c r="A9" s="120" t="s">
        <v>148</v>
      </c>
      <c r="B9" s="121">
        <v>1.5</v>
      </c>
      <c r="C9" s="75" t="s">
        <v>145</v>
      </c>
    </row>
    <row r="10" spans="1:3" ht="13.9" x14ac:dyDescent="0.25">
      <c r="A10" s="120" t="s">
        <v>147</v>
      </c>
      <c r="B10" s="121">
        <v>1.49</v>
      </c>
      <c r="C10" s="75" t="s">
        <v>145</v>
      </c>
    </row>
    <row r="11" spans="1:3" ht="13.9" x14ac:dyDescent="0.25">
      <c r="A11" s="120" t="s">
        <v>146</v>
      </c>
      <c r="B11" s="121">
        <v>1.51</v>
      </c>
      <c r="C11" s="75" t="s">
        <v>145</v>
      </c>
    </row>
    <row r="12" spans="1:3" ht="13.9" x14ac:dyDescent="0.25">
      <c r="A12" s="120"/>
    </row>
    <row r="13" spans="1:3" ht="13.9" x14ac:dyDescent="0.25">
      <c r="A13" s="76" t="s">
        <v>144</v>
      </c>
    </row>
    <row r="14" spans="1:3" ht="13.9" x14ac:dyDescent="0.25">
      <c r="A14" s="75" t="s">
        <v>143</v>
      </c>
      <c r="B14" s="75">
        <v>100</v>
      </c>
    </row>
    <row r="15" spans="1:3" ht="13.9" x14ac:dyDescent="0.25">
      <c r="B15" s="75">
        <v>0.05</v>
      </c>
    </row>
    <row r="16" spans="1:3" ht="13.9" x14ac:dyDescent="0.25">
      <c r="B16" s="75">
        <v>0.3</v>
      </c>
    </row>
    <row r="17" spans="1:7" ht="13.9" x14ac:dyDescent="0.25">
      <c r="A17" s="75" t="s">
        <v>142</v>
      </c>
      <c r="B17" s="75">
        <v>0.05</v>
      </c>
      <c r="C17" s="75" t="s">
        <v>141</v>
      </c>
    </row>
    <row r="18" spans="1:7" ht="27.6" x14ac:dyDescent="0.25">
      <c r="A18" s="120" t="s">
        <v>140</v>
      </c>
      <c r="B18" s="75">
        <v>6.5000000000000002E-2</v>
      </c>
    </row>
    <row r="19" spans="1:7" ht="18.75" customHeight="1" x14ac:dyDescent="0.25">
      <c r="A19" s="160" t="s">
        <v>139</v>
      </c>
      <c r="B19" s="75">
        <v>8.0600000000000005E-2</v>
      </c>
      <c r="C19" s="75" t="s">
        <v>138</v>
      </c>
    </row>
    <row r="20" spans="1:7" x14ac:dyDescent="0.25">
      <c r="A20" s="160"/>
      <c r="B20" s="75">
        <v>7.5600000000000001E-2</v>
      </c>
      <c r="C20" s="75" t="s">
        <v>137</v>
      </c>
    </row>
    <row r="21" spans="1:7" ht="13.9" x14ac:dyDescent="0.25">
      <c r="A21" s="120"/>
    </row>
    <row r="22" spans="1:7" ht="13.9" x14ac:dyDescent="0.25">
      <c r="A22" s="76" t="s">
        <v>136</v>
      </c>
    </row>
    <row r="23" spans="1:7" ht="13.9" x14ac:dyDescent="0.25">
      <c r="B23" s="119" t="s">
        <v>130</v>
      </c>
    </row>
    <row r="24" spans="1:7" ht="13.9" x14ac:dyDescent="0.25">
      <c r="A24" s="118" t="s">
        <v>135</v>
      </c>
      <c r="B24" s="117">
        <f>(B19*99+B40)/100</f>
        <v>7.9794000000000004E-2</v>
      </c>
    </row>
    <row r="25" spans="1:7" ht="13.9" x14ac:dyDescent="0.25">
      <c r="A25" s="118" t="s">
        <v>134</v>
      </c>
      <c r="B25" s="117">
        <f>(B20*99+B39)/100</f>
        <v>7.4990329466102054E-2</v>
      </c>
    </row>
    <row r="27" spans="1:7" s="116" customFormat="1" x14ac:dyDescent="0.25"/>
    <row r="29" spans="1:7" x14ac:dyDescent="0.25">
      <c r="A29" s="113" t="s">
        <v>133</v>
      </c>
      <c r="B29" s="53"/>
      <c r="D29" s="111"/>
      <c r="E29" s="114"/>
      <c r="F29" s="114"/>
      <c r="G29" s="114"/>
    </row>
    <row r="30" spans="1:7" x14ac:dyDescent="0.25">
      <c r="A30" s="53"/>
      <c r="B30" s="53"/>
      <c r="D30" s="111"/>
      <c r="E30" s="114"/>
      <c r="F30" s="114"/>
      <c r="G30" s="114"/>
    </row>
    <row r="31" spans="1:7" x14ac:dyDescent="0.25">
      <c r="A31" s="115" t="s">
        <v>99</v>
      </c>
      <c r="B31" s="115">
        <v>0.5</v>
      </c>
      <c r="D31" s="111"/>
      <c r="E31" s="114"/>
      <c r="F31" s="114"/>
      <c r="G31" s="114"/>
    </row>
    <row r="32" spans="1:7" x14ac:dyDescent="0.25">
      <c r="A32" s="53"/>
      <c r="B32" s="53"/>
      <c r="D32" s="111"/>
      <c r="E32" s="111"/>
      <c r="F32" s="111"/>
    </row>
    <row r="33" spans="1:6" x14ac:dyDescent="0.25">
      <c r="A33" s="53"/>
      <c r="B33" s="53"/>
      <c r="D33" s="111"/>
      <c r="E33" s="111"/>
      <c r="F33" s="111"/>
    </row>
    <row r="34" spans="1:6" x14ac:dyDescent="0.25">
      <c r="A34" s="53"/>
      <c r="B34" s="53"/>
      <c r="D34" s="111"/>
      <c r="E34" s="111"/>
      <c r="F34" s="111"/>
    </row>
    <row r="35" spans="1:6" x14ac:dyDescent="0.25">
      <c r="A35" s="60" t="s">
        <v>132</v>
      </c>
      <c r="B35" s="112">
        <f>B9*EXP((B15-B16^2/2)*B31+B16*SQRT(B31)*B18)</f>
        <v>1.5246329466102058</v>
      </c>
      <c r="D35" s="111"/>
      <c r="E35" s="111"/>
      <c r="F35" s="111"/>
    </row>
    <row r="36" spans="1:6" x14ac:dyDescent="0.25">
      <c r="A36" s="53"/>
      <c r="B36" s="53"/>
      <c r="D36" s="111"/>
      <c r="E36" s="111"/>
      <c r="F36" s="111"/>
    </row>
    <row r="37" spans="1:6" x14ac:dyDescent="0.25">
      <c r="A37" s="53"/>
      <c r="B37" s="53"/>
      <c r="D37" s="111"/>
      <c r="E37" s="111"/>
      <c r="F37" s="111"/>
    </row>
    <row r="38" spans="1:6" x14ac:dyDescent="0.25">
      <c r="A38" s="113" t="s">
        <v>131</v>
      </c>
      <c r="B38" s="69" t="s">
        <v>130</v>
      </c>
      <c r="D38" s="111"/>
      <c r="E38" s="111"/>
      <c r="F38" s="111"/>
    </row>
    <row r="39" spans="1:6" x14ac:dyDescent="0.25">
      <c r="A39" s="60" t="s">
        <v>129</v>
      </c>
      <c r="B39" s="112">
        <f>MAX(B35-B11,0)</f>
        <v>1.4632946610205755E-2</v>
      </c>
      <c r="D39" s="111"/>
      <c r="E39" s="111"/>
      <c r="F39" s="111"/>
    </row>
    <row r="40" spans="1:6" x14ac:dyDescent="0.25">
      <c r="A40" s="60" t="s">
        <v>128</v>
      </c>
      <c r="B40" s="112">
        <f>MAX(B10-B35,0)</f>
        <v>0</v>
      </c>
      <c r="D40" s="111"/>
      <c r="E40" s="111"/>
      <c r="F40" s="111"/>
    </row>
    <row r="45" spans="1:6" x14ac:dyDescent="0.25">
      <c r="A45" s="110"/>
    </row>
    <row r="46" spans="1:6" x14ac:dyDescent="0.25">
      <c r="A46" s="110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B54B-C5F7-40F3-94E4-7CDF3F286F53}">
  <dimension ref="A1:F24"/>
  <sheetViews>
    <sheetView zoomScale="120" zoomScaleNormal="120" workbookViewId="0"/>
  </sheetViews>
  <sheetFormatPr defaultColWidth="9.140625" defaultRowHeight="15" x14ac:dyDescent="0.25"/>
  <cols>
    <col min="1" max="1" width="22" style="125" customWidth="1"/>
    <col min="2" max="2" width="28.28515625" style="125" customWidth="1"/>
    <col min="3" max="3" width="26.7109375" style="125" customWidth="1"/>
    <col min="4" max="5" width="9.140625" style="125"/>
    <col min="6" max="6" width="10.42578125" style="125" bestFit="1" customWidth="1"/>
    <col min="7" max="16384" width="9.140625" style="125"/>
  </cols>
  <sheetData>
    <row r="1" spans="1:6" ht="15.6" x14ac:dyDescent="0.3">
      <c r="A1" s="145" t="s">
        <v>0</v>
      </c>
      <c r="C1" s="125" t="s">
        <v>168</v>
      </c>
    </row>
    <row r="3" spans="1:6" ht="13.9" x14ac:dyDescent="0.25">
      <c r="A3" s="144" t="s">
        <v>167</v>
      </c>
    </row>
    <row r="4" spans="1:6" ht="13.9" x14ac:dyDescent="0.25">
      <c r="A4" s="144"/>
    </row>
    <row r="5" spans="1:6" ht="13.9" x14ac:dyDescent="0.25">
      <c r="A5" s="144" t="s">
        <v>106</v>
      </c>
      <c r="B5" s="125" t="s">
        <v>166</v>
      </c>
    </row>
    <row r="6" spans="1:6" ht="13.9" x14ac:dyDescent="0.25">
      <c r="B6" s="125" t="s">
        <v>165</v>
      </c>
    </row>
    <row r="7" spans="1:6" ht="14.45" thickBot="1" x14ac:dyDescent="0.3"/>
    <row r="8" spans="1:6" ht="44.25" customHeight="1" x14ac:dyDescent="0.25">
      <c r="A8" s="143" t="s">
        <v>164</v>
      </c>
      <c r="B8" s="142" t="s">
        <v>163</v>
      </c>
      <c r="C8" s="141" t="s">
        <v>162</v>
      </c>
      <c r="D8" s="140" t="s">
        <v>161</v>
      </c>
      <c r="E8" s="140" t="s">
        <v>160</v>
      </c>
      <c r="F8" s="140" t="s">
        <v>159</v>
      </c>
    </row>
    <row r="9" spans="1:6" ht="13.9" x14ac:dyDescent="0.25">
      <c r="A9" s="139">
        <v>1</v>
      </c>
      <c r="B9" s="138">
        <v>23150</v>
      </c>
      <c r="C9" s="137">
        <v>32410</v>
      </c>
      <c r="D9" s="132">
        <f>C9-B9</f>
        <v>9260</v>
      </c>
      <c r="E9" s="132">
        <f>$B$15*D9</f>
        <v>555.6</v>
      </c>
      <c r="F9" s="132">
        <f>E9*(1+$B$16)^-A9</f>
        <v>545.77603143418469</v>
      </c>
    </row>
    <row r="10" spans="1:6" ht="13.9" x14ac:dyDescent="0.25">
      <c r="A10" s="139">
        <v>2</v>
      </c>
      <c r="B10" s="138">
        <v>17560</v>
      </c>
      <c r="C10" s="137">
        <v>23710</v>
      </c>
      <c r="D10" s="132">
        <f>C10-B10</f>
        <v>6150</v>
      </c>
      <c r="E10" s="132">
        <f>$B$15*D10</f>
        <v>369</v>
      </c>
      <c r="F10" s="132">
        <f>E10*(1+$B$16)^-A10</f>
        <v>356.06624955129865</v>
      </c>
    </row>
    <row r="11" spans="1:6" ht="13.9" x14ac:dyDescent="0.25">
      <c r="A11" s="139">
        <v>3</v>
      </c>
      <c r="B11" s="138">
        <v>12510</v>
      </c>
      <c r="C11" s="137">
        <v>16260</v>
      </c>
      <c r="D11" s="132">
        <f>C11-B11</f>
        <v>3750</v>
      </c>
      <c r="E11" s="132">
        <f>$B$15*D11</f>
        <v>225</v>
      </c>
      <c r="F11" s="132">
        <f>E11*(1+$B$16)^-A11</f>
        <v>213.27462357521838</v>
      </c>
    </row>
    <row r="12" spans="1:6" ht="13.9" x14ac:dyDescent="0.25">
      <c r="A12" s="139">
        <v>4</v>
      </c>
      <c r="B12" s="138">
        <v>8070</v>
      </c>
      <c r="C12" s="137">
        <v>10120</v>
      </c>
      <c r="D12" s="132">
        <f>C12-B12</f>
        <v>2050</v>
      </c>
      <c r="E12" s="132">
        <f>$B$15*D12</f>
        <v>123</v>
      </c>
      <c r="F12" s="132">
        <f>E12*(1+$B$16)^-A12</f>
        <v>114.52861252893194</v>
      </c>
    </row>
    <row r="13" spans="1:6" ht="14.45" thickBot="1" x14ac:dyDescent="0.3">
      <c r="A13" s="136">
        <v>5</v>
      </c>
      <c r="B13" s="135">
        <v>4250</v>
      </c>
      <c r="C13" s="134">
        <v>5100</v>
      </c>
      <c r="D13" s="132">
        <f>C13-B13</f>
        <v>850</v>
      </c>
      <c r="E13" s="132">
        <f>$B$15*D13</f>
        <v>51</v>
      </c>
      <c r="F13" s="132">
        <f>E13*(1+$B$16)^-A13</f>
        <v>46.647812856194427</v>
      </c>
    </row>
    <row r="14" spans="1:6" ht="13.9" x14ac:dyDescent="0.25">
      <c r="A14" s="129"/>
      <c r="B14" s="128"/>
      <c r="C14" s="128"/>
      <c r="D14" s="133"/>
      <c r="E14" s="132"/>
      <c r="F14" s="131">
        <f>SUM(F9:F13)</f>
        <v>1276.293329945828</v>
      </c>
    </row>
    <row r="15" spans="1:6" ht="13.9" x14ac:dyDescent="0.25">
      <c r="A15" s="129" t="s">
        <v>158</v>
      </c>
      <c r="B15" s="130">
        <v>0.06</v>
      </c>
      <c r="C15" s="128"/>
    </row>
    <row r="16" spans="1:6" ht="13.9" x14ac:dyDescent="0.25">
      <c r="A16" s="129" t="s">
        <v>157</v>
      </c>
      <c r="B16" s="130">
        <v>1.7999999999999999E-2</v>
      </c>
      <c r="C16" s="128"/>
    </row>
    <row r="17" spans="1:3" ht="13.9" x14ac:dyDescent="0.25">
      <c r="A17" s="129"/>
      <c r="B17" s="128"/>
      <c r="C17" s="128"/>
    </row>
    <row r="18" spans="1:3" ht="14.45" thickBot="1" x14ac:dyDescent="0.3">
      <c r="A18" s="127" t="s">
        <v>156</v>
      </c>
    </row>
    <row r="19" spans="1:3" ht="15.75" thickBot="1" x14ac:dyDescent="0.3">
      <c r="A19" s="125" t="s">
        <v>155</v>
      </c>
      <c r="C19" s="126">
        <f>F14</f>
        <v>1276.293329945828</v>
      </c>
    </row>
    <row r="24" spans="1:3" x14ac:dyDescent="0.25">
      <c r="C24" s="125" t="s">
        <v>154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9817-4225-4DA3-9C69-6937981042B8}">
  <dimension ref="A1:G35"/>
  <sheetViews>
    <sheetView zoomScale="120" zoomScaleNormal="120" workbookViewId="0"/>
  </sheetViews>
  <sheetFormatPr defaultColWidth="9.140625" defaultRowHeight="15" x14ac:dyDescent="0.25"/>
  <cols>
    <col min="1" max="1" width="12.85546875" style="125" customWidth="1"/>
    <col min="2" max="2" width="18.28515625" style="125" customWidth="1"/>
    <col min="3" max="3" width="10.28515625" style="125" customWidth="1"/>
    <col min="4" max="5" width="9.140625" style="125"/>
    <col min="6" max="6" width="10.42578125" style="125" bestFit="1" customWidth="1"/>
    <col min="7" max="7" width="10.7109375" style="125" customWidth="1"/>
    <col min="8" max="16384" width="9.140625" style="125"/>
  </cols>
  <sheetData>
    <row r="1" spans="1:7" ht="15.6" x14ac:dyDescent="0.3">
      <c r="A1" s="145" t="s">
        <v>0</v>
      </c>
    </row>
    <row r="3" spans="1:7" ht="13.9" x14ac:dyDescent="0.25">
      <c r="A3" s="144" t="s">
        <v>187</v>
      </c>
    </row>
    <row r="4" spans="1:7" ht="13.9" x14ac:dyDescent="0.25">
      <c r="A4" s="144"/>
    </row>
    <row r="5" spans="1:7" ht="13.9" x14ac:dyDescent="0.25">
      <c r="A5" s="144" t="s">
        <v>106</v>
      </c>
      <c r="B5" s="125" t="s">
        <v>186</v>
      </c>
    </row>
    <row r="6" spans="1:7" ht="13.9" x14ac:dyDescent="0.25">
      <c r="A6" s="144" t="s">
        <v>104</v>
      </c>
      <c r="B6" s="125" t="s">
        <v>185</v>
      </c>
    </row>
    <row r="7" spans="1:7" ht="14.45" thickBot="1" x14ac:dyDescent="0.3"/>
    <row r="8" spans="1:7" ht="44.25" customHeight="1" x14ac:dyDescent="0.25">
      <c r="A8" s="159" t="s">
        <v>184</v>
      </c>
      <c r="B8" s="158" t="s">
        <v>183</v>
      </c>
    </row>
    <row r="9" spans="1:7" ht="13.9" x14ac:dyDescent="0.25">
      <c r="A9" s="157" t="s">
        <v>170</v>
      </c>
      <c r="B9" s="156">
        <v>27</v>
      </c>
    </row>
    <row r="10" spans="1:7" ht="13.9" x14ac:dyDescent="0.25">
      <c r="A10" s="157" t="s">
        <v>79</v>
      </c>
      <c r="B10" s="156">
        <v>15</v>
      </c>
    </row>
    <row r="11" spans="1:7" ht="13.9" x14ac:dyDescent="0.25">
      <c r="A11" s="157" t="s">
        <v>173</v>
      </c>
      <c r="B11" s="156">
        <v>0</v>
      </c>
    </row>
    <row r="12" spans="1:7" ht="14.45" thickBot="1" x14ac:dyDescent="0.3">
      <c r="A12" s="155" t="s">
        <v>182</v>
      </c>
      <c r="B12" s="154">
        <v>42</v>
      </c>
    </row>
    <row r="13" spans="1:7" ht="14.45" thickBot="1" x14ac:dyDescent="0.3">
      <c r="A13" s="129"/>
      <c r="B13" s="128"/>
    </row>
    <row r="14" spans="1:7" ht="15.75" x14ac:dyDescent="0.25">
      <c r="A14" s="161" t="s">
        <v>181</v>
      </c>
      <c r="B14" s="162"/>
      <c r="C14" s="165" t="s">
        <v>180</v>
      </c>
      <c r="D14" s="165"/>
      <c r="E14" s="165"/>
      <c r="F14" s="165"/>
      <c r="G14" s="166"/>
    </row>
    <row r="15" spans="1:7" ht="31.5" x14ac:dyDescent="0.25">
      <c r="A15" s="163"/>
      <c r="B15" s="164"/>
      <c r="C15" s="152" t="s">
        <v>170</v>
      </c>
      <c r="D15" s="152" t="s">
        <v>79</v>
      </c>
      <c r="E15" s="152" t="s">
        <v>173</v>
      </c>
      <c r="F15" s="152" t="s">
        <v>179</v>
      </c>
      <c r="G15" s="153" t="s">
        <v>178</v>
      </c>
    </row>
    <row r="16" spans="1:7" ht="15.75" x14ac:dyDescent="0.25">
      <c r="A16" s="167" t="s">
        <v>177</v>
      </c>
      <c r="B16" s="152" t="s">
        <v>170</v>
      </c>
      <c r="C16" s="151">
        <v>85</v>
      </c>
      <c r="D16" s="151">
        <v>13</v>
      </c>
      <c r="E16" s="151">
        <v>2</v>
      </c>
      <c r="F16" s="151">
        <v>0</v>
      </c>
      <c r="G16" s="150">
        <v>0.4</v>
      </c>
    </row>
    <row r="17" spans="1:7" ht="15.75" x14ac:dyDescent="0.25">
      <c r="A17" s="167"/>
      <c r="B17" s="152" t="s">
        <v>79</v>
      </c>
      <c r="C17" s="151">
        <v>12</v>
      </c>
      <c r="D17" s="151">
        <v>82</v>
      </c>
      <c r="E17" s="151">
        <v>4</v>
      </c>
      <c r="F17" s="151">
        <v>2</v>
      </c>
      <c r="G17" s="150">
        <v>0.25</v>
      </c>
    </row>
    <row r="18" spans="1:7" ht="16.5" thickBot="1" x14ac:dyDescent="0.3">
      <c r="A18" s="168"/>
      <c r="B18" s="149" t="s">
        <v>173</v>
      </c>
      <c r="C18" s="148">
        <v>5</v>
      </c>
      <c r="D18" s="148">
        <v>10</v>
      </c>
      <c r="E18" s="148">
        <v>76</v>
      </c>
      <c r="F18" s="148">
        <v>9</v>
      </c>
      <c r="G18" s="147">
        <v>0.2</v>
      </c>
    </row>
    <row r="19" spans="1:7" x14ac:dyDescent="0.25">
      <c r="A19" s="129"/>
      <c r="B19" s="128"/>
      <c r="C19" s="128"/>
    </row>
    <row r="20" spans="1:7" ht="15.75" thickBot="1" x14ac:dyDescent="0.3">
      <c r="A20" s="127" t="s">
        <v>136</v>
      </c>
    </row>
    <row r="21" spans="1:7" ht="15.75" thickBot="1" x14ac:dyDescent="0.3">
      <c r="A21" s="125" t="s">
        <v>176</v>
      </c>
      <c r="F21" s="146">
        <f>C29</f>
        <v>0.22499999999999998</v>
      </c>
      <c r="G21" s="125" t="s">
        <v>106</v>
      </c>
    </row>
    <row r="22" spans="1:7" ht="15.75" thickBot="1" x14ac:dyDescent="0.3">
      <c r="A22" s="125" t="s">
        <v>175</v>
      </c>
      <c r="F22" s="146">
        <f>C35</f>
        <v>1.1400000000000001</v>
      </c>
      <c r="G22" s="125" t="s">
        <v>104</v>
      </c>
    </row>
    <row r="25" spans="1:7" x14ac:dyDescent="0.25">
      <c r="A25" s="125" t="s">
        <v>106</v>
      </c>
      <c r="B25" s="125" t="s">
        <v>174</v>
      </c>
    </row>
    <row r="26" spans="1:7" x14ac:dyDescent="0.25">
      <c r="B26" s="125" t="s">
        <v>170</v>
      </c>
      <c r="C26" s="125">
        <f>B9*F16/100*(1-G16)</f>
        <v>0</v>
      </c>
    </row>
    <row r="27" spans="1:7" x14ac:dyDescent="0.25">
      <c r="B27" s="125" t="s">
        <v>79</v>
      </c>
      <c r="C27" s="125">
        <f>B10*F17/100*(1-G17)</f>
        <v>0.22499999999999998</v>
      </c>
    </row>
    <row r="28" spans="1:7" x14ac:dyDescent="0.25">
      <c r="B28" s="125" t="s">
        <v>173</v>
      </c>
      <c r="C28" s="125">
        <f>B11*F18/100*(1-G18)</f>
        <v>0</v>
      </c>
    </row>
    <row r="29" spans="1:7" x14ac:dyDescent="0.25">
      <c r="B29" s="125" t="s">
        <v>169</v>
      </c>
      <c r="C29" s="125">
        <f>SUM(C26:C28)</f>
        <v>0.22499999999999998</v>
      </c>
    </row>
    <row r="31" spans="1:7" x14ac:dyDescent="0.25">
      <c r="A31" s="125" t="s">
        <v>104</v>
      </c>
      <c r="B31" s="125" t="s">
        <v>172</v>
      </c>
    </row>
    <row r="32" spans="1:7" x14ac:dyDescent="0.25">
      <c r="B32" s="125" t="s">
        <v>171</v>
      </c>
    </row>
    <row r="33" spans="2:3" x14ac:dyDescent="0.25">
      <c r="B33" s="125" t="s">
        <v>170</v>
      </c>
      <c r="C33" s="125">
        <f>B9*E16/100</f>
        <v>0.54</v>
      </c>
    </row>
    <row r="34" spans="2:3" x14ac:dyDescent="0.25">
      <c r="B34" s="125" t="s">
        <v>79</v>
      </c>
      <c r="C34" s="125">
        <f>B10*E17/100</f>
        <v>0.6</v>
      </c>
    </row>
    <row r="35" spans="2:3" x14ac:dyDescent="0.25">
      <c r="B35" s="125" t="s">
        <v>169</v>
      </c>
      <c r="C35" s="125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690-3939-4458-822B-8ADDA61206E6}">
  <sheetPr>
    <pageSetUpPr fitToPage="1"/>
  </sheetPr>
  <dimension ref="A1:I127"/>
  <sheetViews>
    <sheetView workbookViewId="0"/>
  </sheetViews>
  <sheetFormatPr defaultRowHeight="15" x14ac:dyDescent="0.25"/>
  <cols>
    <col min="1" max="1" width="10.140625" customWidth="1"/>
    <col min="3" max="3" width="26.85546875" customWidth="1"/>
    <col min="4" max="4" width="10.5703125" customWidth="1"/>
    <col min="6" max="6" width="36.42578125" customWidth="1"/>
    <col min="7" max="7" width="26" customWidth="1"/>
  </cols>
  <sheetData>
    <row r="1" spans="1:2" ht="15.75" x14ac:dyDescent="0.25">
      <c r="A1" s="3" t="s">
        <v>0</v>
      </c>
    </row>
    <row r="2" spans="1:2" x14ac:dyDescent="0.25">
      <c r="A2" s="1"/>
    </row>
    <row r="3" spans="1:2" x14ac:dyDescent="0.25">
      <c r="A3" s="2" t="s">
        <v>1</v>
      </c>
    </row>
    <row r="5" spans="1:2" ht="15.75" x14ac:dyDescent="0.25">
      <c r="A5" s="6" t="s">
        <v>6</v>
      </c>
    </row>
    <row r="6" spans="1:2" ht="15.75" x14ac:dyDescent="0.25">
      <c r="A6" s="5"/>
    </row>
    <row r="7" spans="1:2" ht="15.75" x14ac:dyDescent="0.25">
      <c r="A7" s="6" t="s">
        <v>7</v>
      </c>
    </row>
    <row r="9" spans="1:2" ht="15.75" x14ac:dyDescent="0.25">
      <c r="A9" s="7" t="s">
        <v>4</v>
      </c>
    </row>
    <row r="10" spans="1:2" ht="15.75" x14ac:dyDescent="0.25">
      <c r="A10" s="7" t="s">
        <v>5</v>
      </c>
    </row>
    <row r="12" spans="1:2" x14ac:dyDescent="0.25">
      <c r="A12" s="4" t="s">
        <v>84</v>
      </c>
    </row>
    <row r="14" spans="1:2" ht="15.75" x14ac:dyDescent="0.25">
      <c r="A14" s="8" t="s">
        <v>2</v>
      </c>
      <c r="B14" s="8" t="s">
        <v>62</v>
      </c>
    </row>
    <row r="15" spans="1:2" ht="15.75" x14ac:dyDescent="0.25">
      <c r="B15" s="6" t="s">
        <v>11</v>
      </c>
    </row>
    <row r="16" spans="1:2" ht="15.75" x14ac:dyDescent="0.25">
      <c r="A16" s="6"/>
    </row>
    <row r="17" spans="1:4" ht="15.75" x14ac:dyDescent="0.25">
      <c r="A17" s="10" t="s">
        <v>8</v>
      </c>
    </row>
    <row r="18" spans="1:4" ht="15.75" thickBot="1" x14ac:dyDescent="0.3"/>
    <row r="19" spans="1:4" ht="15.75" x14ac:dyDescent="0.25">
      <c r="A19" s="11"/>
      <c r="C19" s="13" t="s">
        <v>12</v>
      </c>
      <c r="D19" s="14">
        <v>1.4999999999999999E-2</v>
      </c>
    </row>
    <row r="20" spans="1:4" ht="15.75" x14ac:dyDescent="0.25">
      <c r="A20" s="11"/>
      <c r="C20" s="15" t="s">
        <v>13</v>
      </c>
      <c r="D20" s="16">
        <v>5.5E-2</v>
      </c>
    </row>
    <row r="21" spans="1:4" ht="15.75" x14ac:dyDescent="0.25">
      <c r="A21" s="11"/>
      <c r="C21" s="15" t="s">
        <v>14</v>
      </c>
      <c r="D21" s="17">
        <v>0.06</v>
      </c>
    </row>
    <row r="22" spans="1:4" ht="15.75" x14ac:dyDescent="0.25">
      <c r="A22" s="11"/>
      <c r="C22" s="15" t="s">
        <v>15</v>
      </c>
      <c r="D22" s="18">
        <v>2</v>
      </c>
    </row>
    <row r="23" spans="1:4" ht="15.75" x14ac:dyDescent="0.25">
      <c r="A23" s="11"/>
      <c r="C23" s="15" t="s">
        <v>16</v>
      </c>
      <c r="D23" s="18">
        <v>0.35</v>
      </c>
    </row>
    <row r="24" spans="1:4" ht="15.75" x14ac:dyDescent="0.25">
      <c r="A24" s="11"/>
      <c r="C24" s="15" t="s">
        <v>17</v>
      </c>
      <c r="D24" s="18">
        <v>0.3</v>
      </c>
    </row>
    <row r="25" spans="1:4" ht="15.75" x14ac:dyDescent="0.25">
      <c r="A25" s="11"/>
      <c r="C25" s="15" t="s">
        <v>18</v>
      </c>
      <c r="D25" s="18">
        <v>1</v>
      </c>
    </row>
    <row r="26" spans="1:4" ht="15.75" x14ac:dyDescent="0.25">
      <c r="A26" s="11"/>
      <c r="C26" s="15" t="s">
        <v>19</v>
      </c>
      <c r="D26" s="18">
        <v>1</v>
      </c>
    </row>
    <row r="27" spans="1:4" ht="15.75" x14ac:dyDescent="0.25">
      <c r="A27" s="12"/>
      <c r="C27" s="15" t="s">
        <v>20</v>
      </c>
      <c r="D27" s="18">
        <v>0.3</v>
      </c>
    </row>
    <row r="28" spans="1:4" ht="15.75" x14ac:dyDescent="0.25">
      <c r="C28" s="15" t="s">
        <v>21</v>
      </c>
      <c r="D28" s="17">
        <v>0.5</v>
      </c>
    </row>
    <row r="29" spans="1:4" ht="15.75" x14ac:dyDescent="0.25">
      <c r="C29" s="15" t="s">
        <v>22</v>
      </c>
      <c r="D29" s="17">
        <v>0.4</v>
      </c>
    </row>
    <row r="30" spans="1:4" ht="15.75" x14ac:dyDescent="0.25">
      <c r="A30" s="10"/>
      <c r="C30" s="15" t="s">
        <v>23</v>
      </c>
      <c r="D30" s="17">
        <v>0.1</v>
      </c>
    </row>
    <row r="31" spans="1:4" ht="16.5" thickBot="1" x14ac:dyDescent="0.3">
      <c r="A31" s="10"/>
      <c r="C31" s="19" t="s">
        <v>24</v>
      </c>
      <c r="D31" s="20">
        <v>0</v>
      </c>
    </row>
    <row r="32" spans="1:4" ht="15.75" x14ac:dyDescent="0.25">
      <c r="A32" s="10"/>
      <c r="C32" s="35"/>
      <c r="D32" s="36"/>
    </row>
    <row r="33" spans="1:7" ht="15.75" x14ac:dyDescent="0.25">
      <c r="A33" s="39" t="s">
        <v>51</v>
      </c>
      <c r="C33" s="35"/>
      <c r="D33" s="36"/>
    </row>
    <row r="34" spans="1:7" ht="16.5" thickBot="1" x14ac:dyDescent="0.3">
      <c r="A34" s="10"/>
      <c r="C34" s="35"/>
      <c r="D34" s="36"/>
    </row>
    <row r="35" spans="1:7" ht="15.75" x14ac:dyDescent="0.25">
      <c r="A35" s="10"/>
      <c r="C35" s="21" t="s">
        <v>25</v>
      </c>
      <c r="D35" s="22" t="s">
        <v>26</v>
      </c>
      <c r="F35" s="21" t="s">
        <v>38</v>
      </c>
      <c r="G35" s="22" t="s">
        <v>26</v>
      </c>
    </row>
    <row r="36" spans="1:7" ht="15.75" x14ac:dyDescent="0.25">
      <c r="A36" s="10"/>
      <c r="C36" s="23" t="s">
        <v>27</v>
      </c>
      <c r="D36" s="25">
        <v>144600</v>
      </c>
      <c r="F36" s="23" t="s">
        <v>39</v>
      </c>
      <c r="G36" s="25">
        <v>6000</v>
      </c>
    </row>
    <row r="37" spans="1:7" ht="15.75" x14ac:dyDescent="0.25">
      <c r="A37" s="10"/>
      <c r="C37" s="26" t="s">
        <v>28</v>
      </c>
      <c r="D37" s="27">
        <v>108800</v>
      </c>
      <c r="F37" s="23" t="s">
        <v>40</v>
      </c>
      <c r="G37" s="28"/>
    </row>
    <row r="38" spans="1:7" ht="15.75" x14ac:dyDescent="0.25">
      <c r="A38" s="10"/>
      <c r="C38" s="23" t="s">
        <v>29</v>
      </c>
      <c r="D38" s="25">
        <v>253400</v>
      </c>
      <c r="F38" s="40" t="s">
        <v>41</v>
      </c>
      <c r="G38" s="28">
        <v>900</v>
      </c>
    </row>
    <row r="39" spans="1:7" ht="15.75" x14ac:dyDescent="0.25">
      <c r="A39" s="10"/>
      <c r="C39" s="23"/>
      <c r="D39" s="28"/>
      <c r="F39" s="40" t="s">
        <v>42</v>
      </c>
      <c r="G39" s="25">
        <v>6100</v>
      </c>
    </row>
    <row r="40" spans="1:7" ht="15.75" x14ac:dyDescent="0.25">
      <c r="A40" s="10"/>
      <c r="C40" s="23"/>
      <c r="D40" s="28"/>
      <c r="F40" s="40" t="s">
        <v>43</v>
      </c>
      <c r="G40" s="25">
        <v>-7500</v>
      </c>
    </row>
    <row r="41" spans="1:7" ht="15.75" x14ac:dyDescent="0.25">
      <c r="A41" s="10"/>
      <c r="C41" s="23" t="s">
        <v>30</v>
      </c>
      <c r="D41" s="25">
        <v>105600</v>
      </c>
      <c r="F41" s="23" t="s">
        <v>44</v>
      </c>
      <c r="G41" s="28">
        <v>180</v>
      </c>
    </row>
    <row r="42" spans="1:7" ht="15.75" x14ac:dyDescent="0.25">
      <c r="A42" s="10"/>
      <c r="C42" s="26" t="s">
        <v>31</v>
      </c>
      <c r="D42" s="27">
        <v>134200</v>
      </c>
      <c r="F42" s="23" t="s">
        <v>45</v>
      </c>
      <c r="G42" s="28">
        <v>10</v>
      </c>
    </row>
    <row r="43" spans="1:7" ht="15.75" x14ac:dyDescent="0.25">
      <c r="A43" s="10"/>
      <c r="C43" s="23" t="s">
        <v>32</v>
      </c>
      <c r="D43" s="25">
        <v>239800</v>
      </c>
      <c r="F43" s="23" t="s">
        <v>46</v>
      </c>
      <c r="G43" s="25">
        <v>2000</v>
      </c>
    </row>
    <row r="44" spans="1:7" ht="15.75" x14ac:dyDescent="0.25">
      <c r="A44" s="10"/>
      <c r="C44" s="23"/>
      <c r="D44" s="28"/>
      <c r="F44" s="23" t="s">
        <v>47</v>
      </c>
      <c r="G44" s="25">
        <v>10100</v>
      </c>
    </row>
    <row r="45" spans="1:7" ht="16.5" thickBot="1" x14ac:dyDescent="0.3">
      <c r="A45" s="10"/>
      <c r="C45" s="29" t="s">
        <v>33</v>
      </c>
      <c r="D45" s="30">
        <v>13600</v>
      </c>
      <c r="F45" s="29"/>
      <c r="G45" s="37"/>
    </row>
    <row r="46" spans="1:7" ht="16.5" thickBot="1" x14ac:dyDescent="0.3">
      <c r="A46" s="10"/>
      <c r="C46" s="31"/>
      <c r="D46" s="31"/>
      <c r="F46" s="31"/>
      <c r="G46" s="31"/>
    </row>
    <row r="47" spans="1:7" ht="15.75" x14ac:dyDescent="0.25">
      <c r="A47" s="10"/>
      <c r="C47" s="32" t="s">
        <v>34</v>
      </c>
      <c r="D47" s="33" t="s">
        <v>35</v>
      </c>
      <c r="F47" s="41" t="s">
        <v>48</v>
      </c>
      <c r="G47" s="42"/>
    </row>
    <row r="48" spans="1:7" ht="15.75" x14ac:dyDescent="0.25">
      <c r="A48" s="10"/>
      <c r="C48" s="23"/>
      <c r="D48" s="24"/>
      <c r="F48" s="23" t="s">
        <v>49</v>
      </c>
      <c r="G48" s="38">
        <v>4.7500000000000001E-2</v>
      </c>
    </row>
    <row r="49" spans="1:7" ht="15.75" x14ac:dyDescent="0.25">
      <c r="A49" s="10"/>
      <c r="C49" s="23" t="s">
        <v>36</v>
      </c>
      <c r="D49" s="25">
        <v>7500</v>
      </c>
      <c r="F49" s="23" t="s">
        <v>50</v>
      </c>
      <c r="G49" s="38">
        <v>0.03</v>
      </c>
    </row>
    <row r="50" spans="1:7" ht="16.5" thickBot="1" x14ac:dyDescent="0.3">
      <c r="A50" s="10"/>
      <c r="C50" s="29" t="s">
        <v>37</v>
      </c>
      <c r="D50" s="34">
        <v>750</v>
      </c>
      <c r="F50" s="19" t="s">
        <v>52</v>
      </c>
      <c r="G50" s="43"/>
    </row>
    <row r="51" spans="1:7" ht="15.75" x14ac:dyDescent="0.25">
      <c r="A51" s="10"/>
      <c r="C51" s="35"/>
      <c r="D51" s="36"/>
    </row>
    <row r="52" spans="1:7" ht="15.75" x14ac:dyDescent="0.25">
      <c r="A52" s="10"/>
      <c r="C52" s="35"/>
      <c r="D52" s="36"/>
    </row>
    <row r="53" spans="1:7" ht="15.75" x14ac:dyDescent="0.25">
      <c r="A53" s="10"/>
    </row>
    <row r="54" spans="1:7" ht="15.75" x14ac:dyDescent="0.25">
      <c r="A54" s="9" t="s">
        <v>9</v>
      </c>
    </row>
    <row r="55" spans="1:7" ht="15.75" x14ac:dyDescent="0.25">
      <c r="A55" s="10" t="s">
        <v>3</v>
      </c>
    </row>
    <row r="56" spans="1:7" ht="15.75" x14ac:dyDescent="0.25">
      <c r="A56" s="10"/>
      <c r="C56" s="1" t="s">
        <v>66</v>
      </c>
      <c r="D56" s="1"/>
      <c r="E56" s="1"/>
      <c r="F56" s="1"/>
    </row>
    <row r="57" spans="1:7" ht="15.75" x14ac:dyDescent="0.25">
      <c r="A57" s="10"/>
      <c r="C57" s="1"/>
      <c r="D57" s="1"/>
      <c r="E57" s="1"/>
      <c r="F57" s="1"/>
    </row>
    <row r="58" spans="1:7" ht="15.75" x14ac:dyDescent="0.25">
      <c r="A58" s="10"/>
      <c r="C58" s="46"/>
      <c r="D58" s="1"/>
      <c r="E58" s="1"/>
      <c r="F58" s="1"/>
    </row>
    <row r="59" spans="1:7" ht="15.75" x14ac:dyDescent="0.25">
      <c r="A59" s="10"/>
      <c r="C59" s="1"/>
      <c r="D59" s="1"/>
      <c r="E59" s="1"/>
      <c r="F59" s="1"/>
    </row>
    <row r="60" spans="1:7" ht="15.75" x14ac:dyDescent="0.25">
      <c r="A60" s="10"/>
      <c r="C60" s="1" t="s">
        <v>67</v>
      </c>
      <c r="D60" s="1"/>
      <c r="E60" s="47">
        <f>D25*D28+D26*D30+D27*D29</f>
        <v>0.72</v>
      </c>
      <c r="F60" s="1" t="s">
        <v>63</v>
      </c>
    </row>
    <row r="61" spans="1:7" ht="15.75" x14ac:dyDescent="0.25">
      <c r="A61" s="10"/>
      <c r="C61" s="1" t="s">
        <v>68</v>
      </c>
      <c r="D61" s="1"/>
      <c r="E61" s="47">
        <f>(D23*D41+D22*D45-E60*D37+D24*D42)/D36</f>
        <v>0.18038727524204703</v>
      </c>
      <c r="F61" s="1" t="s">
        <v>76</v>
      </c>
    </row>
    <row r="62" spans="1:7" ht="15.75" x14ac:dyDescent="0.25">
      <c r="A62" s="10"/>
      <c r="C62" s="1" t="s">
        <v>69</v>
      </c>
      <c r="D62" s="1"/>
      <c r="E62" s="48">
        <f>D21-D20</f>
        <v>4.9999999999999975E-3</v>
      </c>
      <c r="F62" s="1" t="s">
        <v>64</v>
      </c>
    </row>
    <row r="63" spans="1:7" ht="15.75" x14ac:dyDescent="0.25">
      <c r="A63" s="10"/>
      <c r="C63" s="1" t="s">
        <v>70</v>
      </c>
      <c r="D63" s="1"/>
      <c r="E63" s="49">
        <f>E62+E61*D20</f>
        <v>1.4921300138312584E-2</v>
      </c>
      <c r="F63" s="1" t="s">
        <v>65</v>
      </c>
    </row>
    <row r="64" spans="1:7" ht="15.75" x14ac:dyDescent="0.25">
      <c r="A64" s="10"/>
      <c r="C64" s="1"/>
      <c r="D64" s="1"/>
      <c r="E64" s="1"/>
      <c r="F64" s="1"/>
    </row>
    <row r="65" spans="1:7" ht="15.75" x14ac:dyDescent="0.25">
      <c r="A65" s="10"/>
      <c r="C65" s="1" t="s">
        <v>71</v>
      </c>
      <c r="D65" s="1"/>
      <c r="E65" s="1"/>
      <c r="F65" s="1"/>
    </row>
    <row r="66" spans="1:7" ht="15.75" x14ac:dyDescent="0.25">
      <c r="A66" s="10"/>
    </row>
    <row r="67" spans="1:7" ht="15.75" x14ac:dyDescent="0.25">
      <c r="A67" s="10"/>
    </row>
    <row r="68" spans="1:7" ht="15.75" x14ac:dyDescent="0.25">
      <c r="A68" s="10"/>
    </row>
    <row r="69" spans="1:7" ht="15.75" x14ac:dyDescent="0.25">
      <c r="A69" s="10"/>
    </row>
    <row r="70" spans="1:7" ht="15.75" x14ac:dyDescent="0.25">
      <c r="A70" s="10"/>
    </row>
    <row r="71" spans="1:7" ht="15.75" x14ac:dyDescent="0.25">
      <c r="A71" s="10"/>
    </row>
    <row r="72" spans="1:7" ht="15.75" x14ac:dyDescent="0.25">
      <c r="A72" s="9" t="s">
        <v>10</v>
      </c>
    </row>
    <row r="73" spans="1:7" ht="15.75" x14ac:dyDescent="0.25">
      <c r="A73" s="10" t="s">
        <v>3</v>
      </c>
    </row>
    <row r="74" spans="1:7" x14ac:dyDescent="0.25">
      <c r="C74" s="1" t="s">
        <v>72</v>
      </c>
      <c r="D74" s="1"/>
      <c r="E74" s="1"/>
      <c r="F74" s="1"/>
      <c r="G74" s="1"/>
    </row>
    <row r="75" spans="1:7" x14ac:dyDescent="0.25">
      <c r="C75" s="1" t="s">
        <v>74</v>
      </c>
      <c r="D75" s="1"/>
      <c r="E75" s="1"/>
      <c r="G75" s="1"/>
    </row>
    <row r="76" spans="1:7" x14ac:dyDescent="0.25">
      <c r="D76" s="1"/>
      <c r="E76" s="47">
        <f>(D23*D41+D22*D45-D24*D37+D24*D42)/D36</f>
        <v>0.49640387275242048</v>
      </c>
      <c r="F76" s="1"/>
      <c r="G76" s="1"/>
    </row>
    <row r="77" spans="1:7" x14ac:dyDescent="0.25">
      <c r="C77" s="1" t="s">
        <v>75</v>
      </c>
      <c r="D77" s="1"/>
      <c r="E77" s="49">
        <f>E62+E76*D20</f>
        <v>3.2302213001383126E-2</v>
      </c>
      <c r="F77" s="1"/>
      <c r="G77" s="1"/>
    </row>
    <row r="78" spans="1:7" x14ac:dyDescent="0.25">
      <c r="C78" s="1" t="s">
        <v>73</v>
      </c>
      <c r="D78" s="1"/>
      <c r="E78" s="1"/>
      <c r="F78" s="1"/>
      <c r="G78" s="1"/>
    </row>
    <row r="91" spans="1:1" ht="15.75" x14ac:dyDescent="0.25">
      <c r="A91" s="5" t="s">
        <v>59</v>
      </c>
    </row>
    <row r="92" spans="1:1" ht="15.75" x14ac:dyDescent="0.25">
      <c r="A92" s="5" t="s">
        <v>60</v>
      </c>
    </row>
    <row r="93" spans="1:1" ht="15.75" x14ac:dyDescent="0.25">
      <c r="A93" s="5"/>
    </row>
    <row r="94" spans="1:1" ht="15.75" x14ac:dyDescent="0.25">
      <c r="A94" s="5"/>
    </row>
    <row r="95" spans="1:1" ht="15.75" x14ac:dyDescent="0.25">
      <c r="A95" s="5"/>
    </row>
    <row r="96" spans="1:1" ht="15.75" x14ac:dyDescent="0.25">
      <c r="A96" s="5"/>
    </row>
    <row r="97" spans="1:1" ht="15.75" x14ac:dyDescent="0.25">
      <c r="A97" s="5"/>
    </row>
    <row r="98" spans="1:1" ht="15.75" x14ac:dyDescent="0.25">
      <c r="A98" s="5"/>
    </row>
    <row r="99" spans="1:1" ht="15.75" x14ac:dyDescent="0.25">
      <c r="A99" s="5"/>
    </row>
    <row r="100" spans="1:1" ht="15.75" x14ac:dyDescent="0.25">
      <c r="A100" s="5"/>
    </row>
    <row r="101" spans="1:1" ht="15.75" x14ac:dyDescent="0.25">
      <c r="A101" s="5"/>
    </row>
    <row r="102" spans="1:1" ht="15.75" x14ac:dyDescent="0.25">
      <c r="A102" s="5"/>
    </row>
    <row r="103" spans="1:1" ht="15.75" x14ac:dyDescent="0.25">
      <c r="A103" s="5"/>
    </row>
    <row r="104" spans="1:1" ht="15.75" x14ac:dyDescent="0.25">
      <c r="A104" s="5"/>
    </row>
    <row r="105" spans="1:1" ht="15.75" x14ac:dyDescent="0.25">
      <c r="A105" s="5"/>
    </row>
    <row r="107" spans="1:1" ht="15.75" x14ac:dyDescent="0.25">
      <c r="A107" s="44"/>
    </row>
    <row r="108" spans="1:1" ht="15.75" x14ac:dyDescent="0.25">
      <c r="A108" s="44"/>
    </row>
    <row r="109" spans="1:1" ht="15.75" x14ac:dyDescent="0.25">
      <c r="A109" s="44"/>
    </row>
    <row r="110" spans="1:1" ht="15.75" x14ac:dyDescent="0.25">
      <c r="A110" s="44"/>
    </row>
    <row r="111" spans="1:1" ht="15.75" x14ac:dyDescent="0.25">
      <c r="A111" s="44"/>
    </row>
    <row r="112" spans="1:1" ht="15.75" x14ac:dyDescent="0.25">
      <c r="A112" s="5" t="s">
        <v>53</v>
      </c>
    </row>
    <row r="113" spans="1:9" ht="15.75" x14ac:dyDescent="0.25">
      <c r="A113" s="8"/>
    </row>
    <row r="114" spans="1:9" ht="15.75" x14ac:dyDescent="0.25">
      <c r="A114" s="5" t="s">
        <v>54</v>
      </c>
    </row>
    <row r="116" spans="1:9" ht="15.75" x14ac:dyDescent="0.25">
      <c r="A116" s="9" t="s">
        <v>61</v>
      </c>
    </row>
    <row r="118" spans="1:9" ht="15.75" x14ac:dyDescent="0.25">
      <c r="A118" s="45" t="s">
        <v>55</v>
      </c>
    </row>
    <row r="119" spans="1:9" ht="15.75" x14ac:dyDescent="0.25">
      <c r="A119" s="45" t="s">
        <v>56</v>
      </c>
    </row>
    <row r="120" spans="1:9" ht="15.75" x14ac:dyDescent="0.25">
      <c r="A120" s="45" t="s">
        <v>57</v>
      </c>
    </row>
    <row r="122" spans="1:9" ht="15.75" x14ac:dyDescent="0.25">
      <c r="A122" s="10" t="s">
        <v>58</v>
      </c>
      <c r="C122" t="s">
        <v>77</v>
      </c>
    </row>
    <row r="123" spans="1:9" x14ac:dyDescent="0.25">
      <c r="B123" s="1"/>
      <c r="C123" s="1"/>
      <c r="D123" s="1" t="s">
        <v>82</v>
      </c>
      <c r="E123" s="1"/>
      <c r="F123" s="1"/>
      <c r="G123" s="1" t="s">
        <v>83</v>
      </c>
      <c r="H123" s="1"/>
      <c r="I123" s="1"/>
    </row>
    <row r="124" spans="1:9" x14ac:dyDescent="0.25">
      <c r="B124" s="1" t="s">
        <v>78</v>
      </c>
      <c r="C124" s="1" t="s">
        <v>29</v>
      </c>
      <c r="D124" s="1" t="s">
        <v>79</v>
      </c>
      <c r="E124" s="1" t="s">
        <v>80</v>
      </c>
      <c r="F124" s="1" t="s">
        <v>81</v>
      </c>
      <c r="G124" s="1" t="s">
        <v>79</v>
      </c>
      <c r="H124" s="1" t="s">
        <v>80</v>
      </c>
      <c r="I124" s="1" t="s">
        <v>81</v>
      </c>
    </row>
    <row r="125" spans="1:9" x14ac:dyDescent="0.25">
      <c r="B125" s="50">
        <v>0.8</v>
      </c>
      <c r="C125" s="1">
        <f>B125*100</f>
        <v>80</v>
      </c>
      <c r="D125" s="1">
        <f>$C125*0.4</f>
        <v>32</v>
      </c>
      <c r="E125" s="1">
        <f t="shared" ref="E125:F125" si="0">$C125*0.4</f>
        <v>32</v>
      </c>
      <c r="F125" s="1">
        <f t="shared" si="0"/>
        <v>32</v>
      </c>
      <c r="G125" s="1">
        <f>$C125-D125</f>
        <v>48</v>
      </c>
      <c r="H125" s="1">
        <f t="shared" ref="H125:I125" si="1">$C125-E125</f>
        <v>48</v>
      </c>
      <c r="I125" s="1">
        <f t="shared" si="1"/>
        <v>48</v>
      </c>
    </row>
    <row r="126" spans="1:9" x14ac:dyDescent="0.25">
      <c r="B126" s="50">
        <v>1</v>
      </c>
      <c r="C126" s="1">
        <f t="shared" ref="C126:C127" si="2">B126*100</f>
        <v>100</v>
      </c>
      <c r="D126" s="1">
        <f t="shared" ref="D126:D127" si="3">$C126*0.4</f>
        <v>40</v>
      </c>
      <c r="E126" s="1">
        <f>$C126*0.5</f>
        <v>50</v>
      </c>
      <c r="F126" s="1">
        <f>$C126*0.55</f>
        <v>55.000000000000007</v>
      </c>
      <c r="G126" s="1">
        <f t="shared" ref="G126:G127" si="4">$C126-D126</f>
        <v>60</v>
      </c>
      <c r="H126" s="1">
        <f t="shared" ref="H126:H127" si="5">$C126-E126</f>
        <v>50</v>
      </c>
      <c r="I126" s="1">
        <f t="shared" ref="I126:I127" si="6">$C126-F126</f>
        <v>44.999999999999993</v>
      </c>
    </row>
    <row r="127" spans="1:9" x14ac:dyDescent="0.25">
      <c r="B127" s="50">
        <v>1.2</v>
      </c>
      <c r="C127" s="1">
        <f t="shared" si="2"/>
        <v>120</v>
      </c>
      <c r="D127" s="1">
        <f t="shared" si="3"/>
        <v>48</v>
      </c>
      <c r="E127" s="1">
        <f>$C127*0.6</f>
        <v>72</v>
      </c>
      <c r="F127" s="1">
        <f>$C127*0.9</f>
        <v>108</v>
      </c>
      <c r="G127" s="1">
        <f t="shared" si="4"/>
        <v>72</v>
      </c>
      <c r="H127" s="1">
        <f t="shared" si="5"/>
        <v>48</v>
      </c>
      <c r="I127" s="1">
        <f t="shared" si="6"/>
        <v>12</v>
      </c>
    </row>
  </sheetData>
  <pageMargins left="0.7" right="0.7" top="0.75" bottom="0.75" header="0.3" footer="0.3"/>
  <pageSetup scale="3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2(b)</vt:lpstr>
      <vt:lpstr>2(c)</vt:lpstr>
      <vt:lpstr>3(b)(i)</vt:lpstr>
      <vt:lpstr>4(b)(i)(ii)</vt:lpstr>
      <vt:lpstr>8</vt:lpstr>
      <vt:lpstr>'8'!_Hlk29645690</vt:lpstr>
      <vt:lpstr>'8'!_Hlk29645752</vt:lpstr>
      <vt:lpstr>Beta_PensionLiab</vt:lpstr>
    </vt:vector>
  </TitlesOfParts>
  <Company>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cp:lastPrinted>2020-08-06T05:38:45Z</cp:lastPrinted>
  <dcterms:created xsi:type="dcterms:W3CDTF">2020-07-26T17:46:21Z</dcterms:created>
  <dcterms:modified xsi:type="dcterms:W3CDTF">2021-01-19T16:47:42Z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f6feb-bc60-48e1-9a65-8f26ae8b4956_Enabled">
    <vt:lpwstr>True</vt:lpwstr>
  </property>
  <property fmtid="{D5CDD505-2E9C-101B-9397-08002B2CF9AE}" pid="3" name="MSIP_Label_3b4f6feb-bc60-48e1-9a65-8f26ae8b4956_SiteId">
    <vt:lpwstr>3bea478c-1684-4a8c-8e85-045ec54ba430</vt:lpwstr>
  </property>
  <property fmtid="{D5CDD505-2E9C-101B-9397-08002B2CF9AE}" pid="4" name="MSIP_Label_3b4f6feb-bc60-48e1-9a65-8f26ae8b4956_Owner">
    <vt:lpwstr>Gifford.Nick@principal.com</vt:lpwstr>
  </property>
  <property fmtid="{D5CDD505-2E9C-101B-9397-08002B2CF9AE}" pid="5" name="MSIP_Label_3b4f6feb-bc60-48e1-9a65-8f26ae8b4956_SetDate">
    <vt:lpwstr>2020-10-19T15:12:21.0494739Z</vt:lpwstr>
  </property>
  <property fmtid="{D5CDD505-2E9C-101B-9397-08002B2CF9AE}" pid="6" name="MSIP_Label_3b4f6feb-bc60-48e1-9a65-8f26ae8b4956_Name">
    <vt:lpwstr>Public</vt:lpwstr>
  </property>
  <property fmtid="{D5CDD505-2E9C-101B-9397-08002B2CF9AE}" pid="7" name="MSIP_Label_3b4f6feb-bc60-48e1-9a65-8f26ae8b4956_Application">
    <vt:lpwstr>Microsoft Azure Information Protection</vt:lpwstr>
  </property>
  <property fmtid="{D5CDD505-2E9C-101B-9397-08002B2CF9AE}" pid="8" name="MSIP_Label_3b4f6feb-bc60-48e1-9a65-8f26ae8b4956_ActionId">
    <vt:lpwstr>04888b32-1758-49a5-92ed-c0a90ef19674</vt:lpwstr>
  </property>
  <property fmtid="{D5CDD505-2E9C-101B-9397-08002B2CF9AE}" pid="9" name="MSIP_Label_3b4f6feb-bc60-48e1-9a65-8f26ae8b4956_Extended_MSFT_Method">
    <vt:lpwstr>Manual</vt:lpwstr>
  </property>
  <property fmtid="{D5CDD505-2E9C-101B-9397-08002B2CF9AE}" pid="10" name="MSIP_Label_af49516a-7525-4936-8880-b1dc1e580865_Enabled">
    <vt:lpwstr>True</vt:lpwstr>
  </property>
  <property fmtid="{D5CDD505-2E9C-101B-9397-08002B2CF9AE}" pid="11" name="MSIP_Label_af49516a-7525-4936-8880-b1dc1e580865_SiteId">
    <vt:lpwstr>3bea478c-1684-4a8c-8e85-045ec54ba430</vt:lpwstr>
  </property>
  <property fmtid="{D5CDD505-2E9C-101B-9397-08002B2CF9AE}" pid="12" name="MSIP_Label_af49516a-7525-4936-8880-b1dc1e580865_Owner">
    <vt:lpwstr>Gifford.Nick@principal.com</vt:lpwstr>
  </property>
  <property fmtid="{D5CDD505-2E9C-101B-9397-08002B2CF9AE}" pid="13" name="MSIP_Label_af49516a-7525-4936-8880-b1dc1e580865_SetDate">
    <vt:lpwstr>2020-10-19T15:12:21.0494739Z</vt:lpwstr>
  </property>
  <property fmtid="{D5CDD505-2E9C-101B-9397-08002B2CF9AE}" pid="14" name="MSIP_Label_af49516a-7525-4936-8880-b1dc1e580865_Name">
    <vt:lpwstr>Non-visible label</vt:lpwstr>
  </property>
  <property fmtid="{D5CDD505-2E9C-101B-9397-08002B2CF9AE}" pid="15" name="MSIP_Label_af49516a-7525-4936-8880-b1dc1e580865_Application">
    <vt:lpwstr>Microsoft Azure Information Protection</vt:lpwstr>
  </property>
  <property fmtid="{D5CDD505-2E9C-101B-9397-08002B2CF9AE}" pid="16" name="MSIP_Label_af49516a-7525-4936-8880-b1dc1e580865_ActionId">
    <vt:lpwstr>04888b32-1758-49a5-92ed-c0a90ef19674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