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Q:\Aleshia\Fall 2020 solutions\"/>
    </mc:Choice>
  </mc:AlternateContent>
  <xr:revisionPtr revIDLastSave="0" documentId="8_{1543C1DE-F92F-4A7A-8A54-85494A189207}" xr6:coauthVersionLast="45" xr6:coauthVersionMax="45" xr10:uidLastSave="{00000000-0000-0000-0000-000000000000}"/>
  <bookViews>
    <workbookView xWindow="780" yWindow="780" windowWidth="21600" windowHeight="11325" xr2:uid="{00000000-000D-0000-FFFF-FFFF00000000}"/>
  </bookViews>
  <sheets>
    <sheet name="Question 3" sheetId="1" r:id="rId1"/>
    <sheet name="Question 5" sheetId="6" r:id="rId2"/>
    <sheet name="Question 9" sheetId="8" r:id="rId3"/>
    <sheet name="Question 10"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27" i="6" l="1"/>
  <c r="N31" i="6" s="1"/>
  <c r="N25" i="6"/>
  <c r="N23" i="6"/>
  <c r="N18" i="6"/>
  <c r="N29" i="6" l="1"/>
  <c r="N33" i="6" s="1"/>
  <c r="H19" i="8"/>
  <c r="H21" i="8" s="1"/>
  <c r="H27" i="8"/>
  <c r="I17" i="8" s="1"/>
  <c r="H29" i="8"/>
  <c r="I18" i="8" s="1"/>
  <c r="H31" i="8"/>
  <c r="H33" i="8"/>
  <c r="H37" i="8"/>
  <c r="J17" i="8" s="1"/>
  <c r="H40" i="8"/>
  <c r="J18" i="8" s="1"/>
  <c r="H49" i="8"/>
  <c r="H50" i="8" s="1"/>
  <c r="H65" i="8"/>
  <c r="H72" i="8"/>
  <c r="H80" i="8"/>
  <c r="H39" i="8" l="1"/>
  <c r="H53" i="8"/>
  <c r="K17" i="8" s="1"/>
  <c r="K19" i="8" s="1"/>
  <c r="J19" i="8"/>
  <c r="I19" i="8"/>
  <c r="H70" i="8"/>
  <c r="H75" i="8" s="1"/>
  <c r="H42" i="8"/>
  <c r="H44" i="8" s="1"/>
  <c r="I20" i="8"/>
  <c r="I31" i="1"/>
  <c r="I30" i="1"/>
  <c r="I32" i="1" s="1"/>
  <c r="I29" i="1"/>
  <c r="I15" i="1"/>
  <c r="I14" i="1"/>
  <c r="I16" i="1" s="1"/>
  <c r="I21" i="8" l="1"/>
  <c r="I33" i="1"/>
  <c r="H58" i="8"/>
  <c r="K20" i="8" s="1"/>
  <c r="K21" i="8" s="1"/>
  <c r="J20" i="8"/>
  <c r="J21" i="8" s="1"/>
  <c r="H60" i="8"/>
  <c r="H77" i="8" s="1"/>
  <c r="H79" i="8" s="1"/>
  <c r="H82" i="8" s="1"/>
  <c r="G21" i="4"/>
  <c r="G23" i="4" s="1"/>
  <c r="H25" i="4" l="1"/>
</calcChain>
</file>

<file path=xl/sharedStrings.xml><?xml version="1.0" encoding="utf-8"?>
<sst xmlns="http://schemas.openxmlformats.org/spreadsheetml/2006/main" count="175" uniqueCount="146">
  <si>
    <t>20-year municipal bond rate</t>
  </si>
  <si>
    <t>The January 1, 2020 liabilities and normal cost are as follows:</t>
  </si>
  <si>
    <t>4.00% discount rate</t>
  </si>
  <si>
    <t>6.75% discount rate</t>
  </si>
  <si>
    <t xml:space="preserve">Total Pension Liability </t>
  </si>
  <si>
    <t xml:space="preserve">Normal Cost </t>
  </si>
  <si>
    <t>Fair Market Value of Assets</t>
  </si>
  <si>
    <t xml:space="preserve">Smoothed Asset Value </t>
  </si>
  <si>
    <t>Question 3</t>
  </si>
  <si>
    <t>Exam RETDAU:  Fall 2020</t>
  </si>
  <si>
    <t>Design and Accounting Exam – U.S.</t>
  </si>
  <si>
    <t>Question 5</t>
  </si>
  <si>
    <t>Question 9</t>
  </si>
  <si>
    <t>Question 10</t>
  </si>
  <si>
    <t>Excerpt from question:</t>
  </si>
  <si>
    <t>Accumulated Benefit Obligation Service Cost as of 1/1/20</t>
  </si>
  <si>
    <t>Actual Benefit Payments from 1/1/20 – 6/30/20</t>
  </si>
  <si>
    <t>Actual Contributions from 1/1/20 – 6/30/20</t>
  </si>
  <si>
    <t>Market Value of Assets at 6/30/20</t>
  </si>
  <si>
    <t>Expected Benefit Payments from 7/1/20 – 12/31/20</t>
  </si>
  <si>
    <t>Expected Contributions from 7/1/20 – 12/31/20</t>
  </si>
  <si>
    <t>Assumed Benefit Payment and Contribution date</t>
  </si>
  <si>
    <t>Average Future Working Lifetime as of 7/1/20</t>
  </si>
  <si>
    <t>Total Pension Liability at 5.50%</t>
  </si>
  <si>
    <t>Total expected remaining service</t>
  </si>
  <si>
    <t>4,500 years</t>
  </si>
  <si>
    <t>Number of active employees</t>
  </si>
  <si>
    <t>Number of inactive participants</t>
  </si>
  <si>
    <t>Trust fund’s expected annual investment return</t>
  </si>
  <si>
    <t>Part (c)</t>
  </si>
  <si>
    <t>You are provided the following additional information about ABC Pension Plan:</t>
  </si>
  <si>
    <t>Benefit Obligation at an interest rate of 3.8%</t>
  </si>
  <si>
    <t>Duration of Benefit Obligation</t>
  </si>
  <si>
    <t>Plan Assets</t>
  </si>
  <si>
    <t>Plan Asset Allocation Mix</t>
  </si>
  <si>
    <t>50% Fixed Income</t>
  </si>
  <si>
    <t>50% Equity</t>
  </si>
  <si>
    <t xml:space="preserve">Duration of Plan’s Fixed Income Assets </t>
  </si>
  <si>
    <t>Part (b)</t>
  </si>
  <si>
    <t>Blended discount rate</t>
  </si>
  <si>
    <t>a decrease in interest rates of</t>
  </si>
  <si>
    <t>a 10% increase in the market value of equities</t>
  </si>
  <si>
    <t>Provide answer here for part (a) and part (c).  Show and label all work.</t>
  </si>
  <si>
    <t>Provide answer here for part (b).  Show and label all work.</t>
  </si>
  <si>
    <t>Provide answer here for part (a).  Show and label all work.</t>
  </si>
  <si>
    <t>Provide answer here for part (c).  Show and label all work.</t>
  </si>
  <si>
    <t xml:space="preserve">(a)  </t>
  </si>
  <si>
    <r>
      <t>(</t>
    </r>
    <r>
      <rPr>
        <i/>
        <sz val="12"/>
        <color theme="1"/>
        <rFont val="Times New Roman"/>
        <family val="1"/>
      </rPr>
      <t>1 point</t>
    </r>
    <r>
      <rPr>
        <sz val="12"/>
        <color theme="1"/>
        <rFont val="Times New Roman"/>
        <family val="1"/>
      </rPr>
      <t xml:space="preserve">)  Calculate the Net Pension Liability for this plan under GASB Statement 68, Accounting and Financial Reporting for Pensions by State and Local Governmental Employers.  </t>
    </r>
  </si>
  <si>
    <t>The government has decided to stop funding the ADC, intending to fund on a pay as you go basis starting in 2020.  The plan actuary calculated a blended discount rate based on this funding strategy change.</t>
  </si>
  <si>
    <r>
      <t>(</t>
    </r>
    <r>
      <rPr>
        <i/>
        <sz val="12"/>
        <color theme="1"/>
        <rFont val="Times New Roman"/>
        <family val="1"/>
      </rPr>
      <t>2 points</t>
    </r>
    <r>
      <rPr>
        <sz val="12"/>
        <color theme="1"/>
        <rFont val="Times New Roman"/>
        <family val="1"/>
      </rPr>
      <t>)  Calculate the change in the Amortization of Assumption Changes in the 2020 pension expense under GASB Statement 68 due to the updated funding strategy. 
Show all work.</t>
    </r>
  </si>
  <si>
    <t xml:space="preserve">(c)  </t>
  </si>
  <si>
    <t xml:space="preserve">(b)  </t>
  </si>
  <si>
    <r>
      <t>(</t>
    </r>
    <r>
      <rPr>
        <i/>
        <sz val="12"/>
        <color theme="1"/>
        <rFont val="Times New Roman"/>
        <family val="1"/>
      </rPr>
      <t>3 points</t>
    </r>
    <r>
      <rPr>
        <sz val="12"/>
        <color theme="1"/>
        <rFont val="Times New Roman"/>
        <family val="1"/>
      </rPr>
      <t>)  Calculate ABC Pension Plan’s accounting funded status assuming</t>
    </r>
  </si>
  <si>
    <t>Show all work.</t>
  </si>
  <si>
    <r>
      <t>(</t>
    </r>
    <r>
      <rPr>
        <i/>
        <sz val="12"/>
        <color theme="1"/>
        <rFont val="Times New Roman"/>
        <family val="1"/>
      </rPr>
      <t>10 points</t>
    </r>
    <r>
      <rPr>
        <sz val="12"/>
        <color theme="1"/>
        <rFont val="Times New Roman"/>
        <family val="1"/>
      </rPr>
      <t xml:space="preserve">)  NOC has decided to freeze pay and service accruals in the National Oil Full-Time Pension Plan effective June 30, 2020.  No assumption changes were made since December 31, 2019.  </t>
    </r>
  </si>
  <si>
    <t>The following information has been provided:</t>
  </si>
  <si>
    <r>
      <t>(</t>
    </r>
    <r>
      <rPr>
        <i/>
        <sz val="12"/>
        <color theme="1"/>
        <rFont val="Times New Roman"/>
        <family val="1"/>
      </rPr>
      <t>7 points</t>
    </r>
    <r>
      <rPr>
        <sz val="12"/>
        <color theme="1"/>
        <rFont val="Times New Roman"/>
        <family val="1"/>
      </rPr>
      <t xml:space="preserve">)  Calculate the impact of the plan freeze on the 2020 Net Periodic Pension Cost under U.S. Accounting Standard ASC 715.  </t>
    </r>
  </si>
  <si>
    <t>Question 9 pertains to the Case Study.</t>
  </si>
  <si>
    <t xml:space="preserve">Company XYZ has a deferred compensation agreement with an executive who previously made a qualifying deferral election to receive a distribution one year from now.  The agreement is subject to IRS Code Section 409A. 
The executive is anticipating a large bonus next year that will increase his income tax rate from 18% to 37% next year, and as a result is considering accelerating his deferred compensation distribution.  Assume that an early distribution would not change the executive’s income tax rate this year.
</t>
  </si>
  <si>
    <r>
      <t>(</t>
    </r>
    <r>
      <rPr>
        <i/>
        <sz val="12"/>
        <color theme="1"/>
        <rFont val="Times New Roman"/>
        <family val="1"/>
      </rPr>
      <t>2 points</t>
    </r>
    <r>
      <rPr>
        <sz val="12"/>
        <color theme="1"/>
        <rFont val="Times New Roman"/>
        <family val="1"/>
      </rPr>
      <t xml:space="preserve">)  Calculate the return the executive must earn on his deferred compensation over the next year such that he would be indifferent between taking an early distribution now and taking the distribution at the time he originally elected. </t>
    </r>
  </si>
  <si>
    <r>
      <t>(</t>
    </r>
    <r>
      <rPr>
        <i/>
        <sz val="12"/>
        <color theme="1"/>
        <rFont val="Times New Roman"/>
        <family val="1"/>
      </rPr>
      <t>9 points</t>
    </r>
    <r>
      <rPr>
        <sz val="12"/>
        <color theme="1"/>
        <rFont val="Times New Roman"/>
        <family val="1"/>
      </rPr>
      <t xml:space="preserve">) A municipal government sponsors an ongoing single-employer pension plan and regularly funds an Actuarially Determined Contribution (ADC) to a dedicated plan trust.  </t>
    </r>
  </si>
  <si>
    <t>20% Tax penalty for taking an early distribution</t>
  </si>
  <si>
    <t>Excise tax</t>
  </si>
  <si>
    <t>Income tax year 1</t>
  </si>
  <si>
    <t>Income tax year 2</t>
  </si>
  <si>
    <t>If executive takes early distribution, will receive:</t>
  </si>
  <si>
    <t>If tax distribution at the elected time, will earn one year of return, but the distributions will be taxed at a higher income tax rate</t>
  </si>
  <si>
    <t>=(1 + X% return) * (100% - 37% tax)</t>
  </si>
  <si>
    <t>Solve for x</t>
  </si>
  <si>
    <t xml:space="preserve">x =  </t>
  </si>
  <si>
    <t>Both 20% excise tax &amp; year 1  income tax are applied to gross benefit</t>
  </si>
  <si>
    <t>Pension Liability based on 6.75% (since sponsor regularly funds ADC)</t>
  </si>
  <si>
    <t>Fair market value of assets (GASB requirement)</t>
  </si>
  <si>
    <t>Net Pension Liability</t>
  </si>
  <si>
    <t>change in liability due to funding strategy change</t>
  </si>
  <si>
    <t>total expected remaining service</t>
  </si>
  <si>
    <t>total participants (Sum of active employees and inactives)</t>
  </si>
  <si>
    <t>amortization factor under GASB 68</t>
  </si>
  <si>
    <t>change in amortization of assumption changes in 2020 expense</t>
  </si>
  <si>
    <t>Impact of the plan freeze on the 2020 Net Periodic Pension Cost is a reduction of 35,535,650.</t>
  </si>
  <si>
    <t>Impact of the plan freeze on the 2020 Net Periodic Pension Cost =</t>
  </si>
  <si>
    <t>Original NPPC =</t>
  </si>
  <si>
    <t>2020 NPPC =</t>
  </si>
  <si>
    <t>Curtailment gain =</t>
  </si>
  <si>
    <t>NPPC for 7/1/2020-12/31/2020 =</t>
  </si>
  <si>
    <t>Amort (G)/L = 0 because the Unrecognized (G)/L after plan freeze is 0</t>
  </si>
  <si>
    <t>Amort PSC = 0 because there is no Unrecognized Prior Service Cost</t>
  </si>
  <si>
    <t>EROA =</t>
  </si>
  <si>
    <t>EROA = (FVA @7/1/2020)*(EROA*0.5) + (ExpectedContributions - ExpectedBPs)*(EROA*0.25)</t>
  </si>
  <si>
    <t>IC =</t>
  </si>
  <si>
    <t>IC = (PBO after plan freeze)*(DR*0.5) - ExpectedBPs for 7/1/2020-12/31/2020 * (DR*0.25)</t>
  </si>
  <si>
    <t>SC = 0 because plan is frozen</t>
  </si>
  <si>
    <t>NPPC for 7/1/2020-12/31/2020 = SC + IC - EROA + Amort PSC + Amort (G)/L</t>
  </si>
  <si>
    <t>NPPC for 1/1/2020-6/30/2020 =</t>
  </si>
  <si>
    <t>NPPC for 1/1/2020-6/30/2020 = Original 2020 NPPC * 0.5</t>
  </si>
  <si>
    <t>2020 NPPC = NPPC for 1/1/2020-6/30/2020 + NPPC for 7/1/2020-12/31/2020 + Curtailment gain</t>
  </si>
  <si>
    <t>The remaining PBO gain of 1,511,025 will be recognized in the 2020 NPPC as a curtailment gain.</t>
  </si>
  <si>
    <t>Unrecog (G)/L impact of plan freeze =</t>
  </si>
  <si>
    <t>and the excess, if any, will be immediately recognized in the 2020 Net Periodic Pension Cost.</t>
  </si>
  <si>
    <t xml:space="preserve">Since the PBO impact is a gain and the Unrecognized (G)/L before the freeze is at a loss position, the PBO impact will offset the Unrecognized (G)/L </t>
  </si>
  <si>
    <t>Since all future service accruals are eliminated, curtailment accounting is needed.</t>
  </si>
  <si>
    <t>PBO impact of plan freeze =</t>
  </si>
  <si>
    <t>PBO impact of plan freeze = PBO after plan freeze - PBO before plan freeze</t>
  </si>
  <si>
    <t>PBO after plan freeze =</t>
  </si>
  <si>
    <t>ABO @7/1/2020 =</t>
  </si>
  <si>
    <t>ABO @7/1/2020 = (ABO @1/1/2020 + SC*0.5)*(1+DR*0.5) - ActualBPs*(1+DR*0.25)</t>
  </si>
  <si>
    <t>PBO after plan freeze = ABO @7/1/2020</t>
  </si>
  <si>
    <t>Impact of Plan Freeze</t>
  </si>
  <si>
    <t>Unrecog (G)/L Remeasurement =</t>
  </si>
  <si>
    <t>Unrecog (G)/L Remeasurement = Unrecog (G)/L Rollforward + PBO (G)/L + Asset (G)/L</t>
  </si>
  <si>
    <t>FVA (G)/L =</t>
  </si>
  <si>
    <t>FVA (G)/L = FVA Rollforward - FVA Remeasurement</t>
  </si>
  <si>
    <t>--&gt; given</t>
  </si>
  <si>
    <t>FVA Remeasurement =</t>
  </si>
  <si>
    <t>PBO (G)/L =</t>
  </si>
  <si>
    <t>PBO (G)/L = PBO Remeasurement - PBO Rollforward</t>
  </si>
  <si>
    <t>PBO Remeasurement before plan freeze =</t>
  </si>
  <si>
    <t>PBO Remeasurement before plan freeze = (PBO @1/1/2020 + SC*0.5)*(1+DR*0.5) - ActualBPs*(1+DR*0.25)</t>
  </si>
  <si>
    <t>Remeasurement</t>
  </si>
  <si>
    <t xml:space="preserve">Accrued/(Prepaid) Check Rollforward = </t>
  </si>
  <si>
    <t>Accrued/(Prepaid) Check Rollforward = Accrued/(Prepaid) @1/1/2020 - NPPC*0.5 + ActualContributions</t>
  </si>
  <si>
    <t>Unrecog (G)/L Rollforward =</t>
  </si>
  <si>
    <t>Unrecog (G)/L Rollforward = Unrecog (G)/L @1/1/2020 - Amort(G)/L*0.5</t>
  </si>
  <si>
    <t>FVA Rollforward =</t>
  </si>
  <si>
    <t>FVA Rollforward = FVA @1/1/2020 + EROA*0.5 + ActualContributions - ExpectedBPs*0.5</t>
  </si>
  <si>
    <t>PBO Rollforward =</t>
  </si>
  <si>
    <t>PBO Rollforward = PBO @1/1/2020 + SC*0.5 + IC*0.5 - ExpectedBPs*0.5</t>
  </si>
  <si>
    <t>Rollforward -simple interest illustrated (could also be done with compound interest)</t>
  </si>
  <si>
    <t>Due to the pay and service accruals freeze, a remeasurement is needed on 6/30/2020.</t>
  </si>
  <si>
    <t>Amount Recognized in Retained Earnings (Accrued/(Prepaid))</t>
  </si>
  <si>
    <t>Unrecog (G)/L</t>
  </si>
  <si>
    <t>Funded Status</t>
  </si>
  <si>
    <t>MVA</t>
  </si>
  <si>
    <t>PBO</t>
  </si>
  <si>
    <t>Rollforward</t>
  </si>
  <si>
    <t>Total Assets = Market Value Equity + Market Value Fixed Income</t>
  </si>
  <si>
    <t>Since Plan Asset Allocation Mix is 50% equity and 50% Fixed Income</t>
  </si>
  <si>
    <t>Market Value Equity = Market Value Fixed Income = 50% x Total Assets</t>
  </si>
  <si>
    <t>A 0.65% decrease in interest rates implies both fixed income portion of assets</t>
  </si>
  <si>
    <t>and liabilities will increase in value.</t>
  </si>
  <si>
    <t>Increase in fixed income assets = (1 + Asset Duration) ^ change in interest rate</t>
  </si>
  <si>
    <t>Increase in market value equity</t>
  </si>
  <si>
    <t>Increase in liabilities = (1 + AL Duration) ^ change in interest rate</t>
  </si>
  <si>
    <t>Value of assets</t>
  </si>
  <si>
    <t>Value of liabilities</t>
  </si>
  <si>
    <t>ABC Pension Plan’s accounting position = Value of assets - Value of liabilities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</si>
</sst>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43" formatCode="_(* #,##0.00_);_(* \(#,##0.00\);_(* &quot;-&quot;??_);_(@_)"/>
    <numFmt numFmtId="164" formatCode="0.0%"/>
    <numFmt numFmtId="165" formatCode="_(* #,##0_);_(* \(#,##0\);_(* &quot;-&quot;??_);_(@_)"/>
    <numFmt numFmtId="166" formatCode="_(&quot;$&quot;* #,##0_);_(&quot;$&quot;* \(#,##0\);_(&quot;$&quot;* &quot;-&quot;??_);_(@_)"/>
  </numFmts>
  <fonts count="8" x14ac:knownFonts="1">
    <font>
      <sz val="11"/>
      <color theme="1"/>
      <name val="Calibri"/>
      <family val="2"/>
      <scheme val="minor"/>
    </font>
    <font>
      <sz val="12"/>
      <color theme="1"/>
      <name val="Times New Roman"/>
      <family val="1"/>
    </font>
    <font>
      <sz val="11"/>
      <color theme="1"/>
      <name val="Times New Roman"/>
      <family val="1"/>
    </font>
    <font>
      <b/>
      <sz val="12"/>
      <color theme="1"/>
      <name val="Times New Roman"/>
      <family val="1"/>
    </font>
    <font>
      <i/>
      <sz val="12"/>
      <color theme="1"/>
      <name val="Times New Roman"/>
      <family val="1"/>
    </font>
    <font>
      <b/>
      <i/>
      <sz val="12"/>
      <color theme="1"/>
      <name val="Times New Roman"/>
      <family val="1"/>
    </font>
    <font>
      <sz val="12"/>
      <color theme="1"/>
      <name val="Calibri"/>
      <family val="2"/>
      <scheme val="minor"/>
    </font>
    <font>
      <sz val="11"/>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s>
  <cellStyleXfs count="4">
    <xf numFmtId="0" fontId="0" fillId="0" borderId="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cellStyleXfs>
  <cellXfs count="61">
    <xf numFmtId="0" fontId="0" fillId="0" borderId="0" xfId="0"/>
    <xf numFmtId="0" fontId="1" fillId="3" borderId="0" xfId="0" applyFont="1" applyFill="1"/>
    <xf numFmtId="0" fontId="1" fillId="0" borderId="0" xfId="0" applyFont="1" applyProtection="1">
      <protection locked="0"/>
    </xf>
    <xf numFmtId="0" fontId="3" fillId="3" borderId="0" xfId="0" applyFont="1" applyFill="1" applyProtection="1"/>
    <xf numFmtId="0" fontId="1" fillId="3" borderId="0" xfId="0" applyFont="1" applyFill="1" applyProtection="1"/>
    <xf numFmtId="0" fontId="1" fillId="2" borderId="0" xfId="0" applyFont="1" applyFill="1" applyProtection="1"/>
    <xf numFmtId="0" fontId="5" fillId="3" borderId="0" xfId="0" applyFont="1" applyFill="1" applyProtection="1"/>
    <xf numFmtId="0" fontId="4" fillId="3" borderId="0" xfId="0" applyFont="1" applyFill="1" applyProtection="1"/>
    <xf numFmtId="10" fontId="1" fillId="3" borderId="0" xfId="0" applyNumberFormat="1" applyFont="1" applyFill="1" applyProtection="1"/>
    <xf numFmtId="0" fontId="1" fillId="3" borderId="0" xfId="0" applyFont="1" applyFill="1" applyAlignment="1" applyProtection="1">
      <alignment vertical="center"/>
    </xf>
    <xf numFmtId="0" fontId="0" fillId="3" borderId="0" xfId="0" applyFill="1" applyProtection="1"/>
    <xf numFmtId="0" fontId="1" fillId="3" borderId="1" xfId="0" applyFont="1" applyFill="1" applyBorder="1" applyAlignment="1" applyProtection="1">
      <alignment vertical="center" wrapText="1"/>
    </xf>
    <xf numFmtId="0" fontId="1" fillId="3" borderId="1" xfId="0" applyFont="1" applyFill="1" applyBorder="1" applyAlignment="1" applyProtection="1">
      <alignment horizontal="center" vertical="center" wrapText="1"/>
    </xf>
    <xf numFmtId="6" fontId="1" fillId="3" borderId="1" xfId="0" applyNumberFormat="1" applyFont="1" applyFill="1" applyBorder="1" applyAlignment="1" applyProtection="1">
      <alignment vertical="center" wrapText="1"/>
    </xf>
    <xf numFmtId="0" fontId="1" fillId="3" borderId="0" xfId="0" applyFont="1" applyFill="1" applyAlignment="1" applyProtection="1">
      <alignment vertical="center" wrapText="1"/>
    </xf>
    <xf numFmtId="0" fontId="1" fillId="3" borderId="0" xfId="0" applyFont="1" applyFill="1" applyAlignment="1" applyProtection="1">
      <alignment horizontal="left" vertical="top" wrapText="1"/>
    </xf>
    <xf numFmtId="0" fontId="2" fillId="3" borderId="0" xfId="0" applyFont="1" applyFill="1" applyAlignment="1" applyProtection="1">
      <alignment horizontal="left" vertical="center" indent="8"/>
    </xf>
    <xf numFmtId="0" fontId="1" fillId="3" borderId="1" xfId="0" applyFont="1" applyFill="1" applyBorder="1" applyAlignment="1" applyProtection="1">
      <alignment horizontal="right" vertical="center" wrapText="1"/>
    </xf>
    <xf numFmtId="3" fontId="1" fillId="3" borderId="1" xfId="0" applyNumberFormat="1" applyFont="1" applyFill="1" applyBorder="1" applyAlignment="1" applyProtection="1">
      <alignment vertical="center" wrapText="1"/>
    </xf>
    <xf numFmtId="0" fontId="1" fillId="3" borderId="0" xfId="0" applyFont="1" applyFill="1" applyAlignment="1">
      <alignment horizontal="left" indent="3"/>
    </xf>
    <xf numFmtId="9" fontId="1" fillId="3" borderId="0" xfId="0" applyNumberFormat="1" applyFont="1" applyFill="1"/>
    <xf numFmtId="0" fontId="1" fillId="3" borderId="0" xfId="0" applyFont="1" applyFill="1" applyAlignment="1" applyProtection="1">
      <alignment vertical="top" wrapText="1"/>
    </xf>
    <xf numFmtId="0" fontId="1" fillId="2" borderId="0" xfId="0" applyFont="1" applyFill="1" applyProtection="1">
      <protection locked="0"/>
    </xf>
    <xf numFmtId="0" fontId="1" fillId="3" borderId="0" xfId="0" applyFont="1" applyFill="1" applyAlignment="1" applyProtection="1">
      <alignment horizontal="left" vertical="center"/>
    </xf>
    <xf numFmtId="0" fontId="6" fillId="3" borderId="0" xfId="0" applyFont="1" applyFill="1" applyProtection="1"/>
    <xf numFmtId="0" fontId="1" fillId="3" borderId="0" xfId="0" applyFont="1" applyFill="1" applyAlignment="1" applyProtection="1">
      <alignment horizontal="left" vertical="center" indent="10"/>
    </xf>
    <xf numFmtId="6" fontId="1" fillId="3" borderId="1" xfId="0" applyNumberFormat="1" applyFont="1" applyFill="1" applyBorder="1" applyAlignment="1" applyProtection="1">
      <alignment horizontal="right" vertical="center" wrapText="1"/>
    </xf>
    <xf numFmtId="6" fontId="1" fillId="3" borderId="4" xfId="0" applyNumberFormat="1" applyFont="1" applyFill="1" applyBorder="1" applyAlignment="1" applyProtection="1">
      <alignment horizontal="right" vertical="center" wrapText="1"/>
    </xf>
    <xf numFmtId="0" fontId="1" fillId="3" borderId="4" xfId="0" applyFont="1" applyFill="1" applyBorder="1" applyAlignment="1" applyProtection="1">
      <alignment horizontal="right" vertical="center" wrapText="1"/>
    </xf>
    <xf numFmtId="0" fontId="1" fillId="3" borderId="5" xfId="0" applyFont="1" applyFill="1" applyBorder="1" applyAlignment="1" applyProtection="1">
      <alignment horizontal="right" vertical="center" wrapText="1"/>
    </xf>
    <xf numFmtId="0" fontId="1" fillId="3" borderId="0" xfId="0" applyFont="1" applyFill="1" applyAlignment="1" applyProtection="1">
      <alignment horizontal="left" indent="3"/>
    </xf>
    <xf numFmtId="9" fontId="1" fillId="3" borderId="0" xfId="0" applyNumberFormat="1" applyFont="1" applyFill="1" applyProtection="1"/>
    <xf numFmtId="3" fontId="1" fillId="3" borderId="1" xfId="0" applyNumberFormat="1" applyFont="1" applyFill="1" applyBorder="1" applyAlignment="1" applyProtection="1">
      <alignment horizontal="right" vertical="center" wrapText="1"/>
    </xf>
    <xf numFmtId="14" fontId="1" fillId="3" borderId="1" xfId="0" applyNumberFormat="1" applyFont="1" applyFill="1" applyBorder="1" applyAlignment="1" applyProtection="1">
      <alignment horizontal="right" vertical="center" wrapText="1"/>
    </xf>
    <xf numFmtId="0" fontId="1" fillId="0" borderId="0" xfId="0" quotePrefix="1" applyFont="1" applyProtection="1">
      <protection locked="0"/>
    </xf>
    <xf numFmtId="9" fontId="1" fillId="0" borderId="0" xfId="0" applyNumberFormat="1" applyFont="1" applyProtection="1">
      <protection locked="0"/>
    </xf>
    <xf numFmtId="164" fontId="1" fillId="0" borderId="0" xfId="0" applyNumberFormat="1" applyFont="1" applyProtection="1">
      <protection locked="0"/>
    </xf>
    <xf numFmtId="10" fontId="1" fillId="0" borderId="0" xfId="1" applyNumberFormat="1" applyFont="1" applyProtection="1">
      <protection locked="0"/>
    </xf>
    <xf numFmtId="164" fontId="1" fillId="0" borderId="0" xfId="1" applyNumberFormat="1" applyFont="1" applyProtection="1">
      <protection locked="0"/>
    </xf>
    <xf numFmtId="6" fontId="1" fillId="0" borderId="0" xfId="0" applyNumberFormat="1" applyFont="1" applyProtection="1">
      <protection locked="0"/>
    </xf>
    <xf numFmtId="6" fontId="3" fillId="0" borderId="0" xfId="0" applyNumberFormat="1" applyFont="1" applyProtection="1">
      <protection locked="0"/>
    </xf>
    <xf numFmtId="3" fontId="1" fillId="0" borderId="0" xfId="0" applyNumberFormat="1" applyFont="1" applyProtection="1">
      <protection locked="0"/>
    </xf>
    <xf numFmtId="165" fontId="1" fillId="0" borderId="0" xfId="2" applyNumberFormat="1" applyFont="1" applyProtection="1">
      <protection locked="0"/>
    </xf>
    <xf numFmtId="0" fontId="3" fillId="0" borderId="0" xfId="0" applyFont="1" applyProtection="1">
      <protection locked="0"/>
    </xf>
    <xf numFmtId="165" fontId="3" fillId="0" borderId="0" xfId="2" applyNumberFormat="1" applyFont="1" applyProtection="1">
      <protection locked="0"/>
    </xf>
    <xf numFmtId="165" fontId="1" fillId="0" borderId="0" xfId="2" quotePrefix="1" applyNumberFormat="1" applyFont="1" applyProtection="1">
      <protection locked="0"/>
    </xf>
    <xf numFmtId="166" fontId="1" fillId="0" borderId="0" xfId="3" applyNumberFormat="1" applyFont="1" applyProtection="1">
      <protection locked="0"/>
    </xf>
    <xf numFmtId="0" fontId="1" fillId="0" borderId="0" xfId="0" applyFont="1" applyAlignment="1" applyProtection="1">
      <alignment wrapText="1"/>
      <protection locked="0"/>
    </xf>
    <xf numFmtId="166" fontId="1" fillId="0" borderId="9" xfId="3" applyNumberFormat="1" applyFont="1" applyBorder="1" applyProtection="1">
      <protection locked="0"/>
    </xf>
    <xf numFmtId="14" fontId="1" fillId="0" borderId="0" xfId="0" applyNumberFormat="1" applyFont="1" applyProtection="1">
      <protection locked="0"/>
    </xf>
    <xf numFmtId="6" fontId="3" fillId="0" borderId="1" xfId="0" applyNumberFormat="1" applyFont="1" applyBorder="1" applyAlignment="1" applyProtection="1">
      <alignment horizontal="right"/>
      <protection locked="0"/>
    </xf>
    <xf numFmtId="0" fontId="3" fillId="0" borderId="1" xfId="0" applyFont="1" applyBorder="1" applyProtection="1">
      <protection locked="0"/>
    </xf>
    <xf numFmtId="6" fontId="1" fillId="0" borderId="1" xfId="0" applyNumberFormat="1" applyFont="1" applyBorder="1" applyProtection="1">
      <protection locked="0"/>
    </xf>
    <xf numFmtId="0" fontId="1" fillId="3" borderId="0" xfId="0" applyFont="1" applyFill="1" applyAlignment="1" applyProtection="1">
      <alignment horizontal="left" vertical="top" wrapText="1"/>
    </xf>
    <xf numFmtId="6" fontId="1" fillId="3" borderId="2" xfId="0" applyNumberFormat="1" applyFont="1" applyFill="1" applyBorder="1" applyAlignment="1" applyProtection="1">
      <alignment horizontal="center" vertical="center" wrapText="1"/>
    </xf>
    <xf numFmtId="6" fontId="1" fillId="3" borderId="3" xfId="0" applyNumberFormat="1" applyFont="1" applyFill="1" applyBorder="1" applyAlignment="1" applyProtection="1">
      <alignment horizontal="center" vertical="center" wrapText="1"/>
    </xf>
    <xf numFmtId="0" fontId="1" fillId="3" borderId="1" xfId="0" applyFont="1" applyFill="1" applyBorder="1" applyAlignment="1" applyProtection="1">
      <alignment horizontal="center" vertical="center" wrapText="1"/>
    </xf>
    <xf numFmtId="0" fontId="1" fillId="3" borderId="2" xfId="0" applyFont="1" applyFill="1" applyBorder="1" applyAlignment="1" applyProtection="1">
      <alignment vertical="center" wrapText="1"/>
    </xf>
    <xf numFmtId="0" fontId="5" fillId="3" borderId="6" xfId="0" applyFont="1" applyFill="1" applyBorder="1" applyAlignment="1" applyProtection="1">
      <alignment horizontal="center" vertical="center" wrapText="1"/>
    </xf>
    <xf numFmtId="0" fontId="5" fillId="3" borderId="7" xfId="0" applyFont="1" applyFill="1" applyBorder="1" applyAlignment="1" applyProtection="1">
      <alignment horizontal="center" vertical="center" wrapText="1"/>
    </xf>
    <xf numFmtId="0" fontId="5" fillId="3" borderId="8" xfId="0" applyFont="1" applyFill="1" applyBorder="1" applyAlignment="1" applyProtection="1">
      <alignment horizontal="center" vertical="center" wrapText="1"/>
    </xf>
  </cellXfs>
  <cellStyles count="4">
    <cellStyle name="Comma" xfId="2" builtinId="3"/>
    <cellStyle name="Currency" xfId="3" builtinId="4"/>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3"/>
  <sheetViews>
    <sheetView tabSelected="1" zoomScale="80" zoomScaleNormal="80" workbookViewId="0">
      <selection activeCell="Q36" sqref="Q36"/>
    </sheetView>
  </sheetViews>
  <sheetFormatPr defaultColWidth="9.42578125" defaultRowHeight="15.75" x14ac:dyDescent="0.25"/>
  <cols>
    <col min="1" max="1" width="3.42578125" style="4" customWidth="1"/>
    <col min="2" max="2" width="43.42578125" style="4" customWidth="1"/>
    <col min="3" max="4" width="24.42578125" style="4" customWidth="1"/>
    <col min="5" max="5" width="9.42578125" style="4" customWidth="1"/>
    <col min="6" max="6" width="1" style="5" customWidth="1"/>
    <col min="7" max="7" width="4" style="2" customWidth="1"/>
    <col min="8" max="8" width="9.42578125" style="2"/>
    <col min="9" max="9" width="20.140625" style="2" customWidth="1"/>
    <col min="10" max="18" width="9.42578125" style="2"/>
    <col min="19" max="19" width="1" style="5" customWidth="1"/>
    <col min="20" max="16384" width="9.42578125" style="2"/>
  </cols>
  <sheetData>
    <row r="1" spans="1:18" x14ac:dyDescent="0.25">
      <c r="A1" s="3" t="s">
        <v>9</v>
      </c>
      <c r="G1" s="3" t="s">
        <v>9</v>
      </c>
      <c r="H1" s="4"/>
      <c r="I1" s="4"/>
      <c r="J1" s="4"/>
      <c r="K1" s="4"/>
      <c r="L1" s="4"/>
      <c r="M1" s="4"/>
      <c r="N1" s="4"/>
      <c r="O1" s="4"/>
      <c r="P1" s="4"/>
      <c r="Q1" s="4"/>
      <c r="R1" s="4"/>
    </row>
    <row r="2" spans="1:18" x14ac:dyDescent="0.25">
      <c r="A2" s="3" t="s">
        <v>10</v>
      </c>
      <c r="G2" s="3" t="s">
        <v>10</v>
      </c>
      <c r="H2" s="4"/>
      <c r="I2" s="4"/>
      <c r="J2" s="4"/>
      <c r="K2" s="4"/>
      <c r="L2" s="4"/>
      <c r="M2" s="4"/>
      <c r="N2" s="4"/>
      <c r="O2" s="4"/>
      <c r="P2" s="4"/>
      <c r="Q2" s="4"/>
      <c r="R2" s="4"/>
    </row>
    <row r="3" spans="1:18" x14ac:dyDescent="0.25">
      <c r="A3" s="3" t="s">
        <v>8</v>
      </c>
      <c r="G3" s="3" t="s">
        <v>8</v>
      </c>
      <c r="H3" s="4"/>
      <c r="I3" s="4"/>
      <c r="J3" s="4"/>
      <c r="K3" s="4"/>
      <c r="L3" s="4"/>
      <c r="M3" s="4"/>
      <c r="N3" s="4"/>
      <c r="O3" s="4"/>
      <c r="P3" s="4"/>
      <c r="Q3" s="4"/>
      <c r="R3" s="4"/>
    </row>
    <row r="4" spans="1:18" x14ac:dyDescent="0.25">
      <c r="G4" s="4"/>
      <c r="H4" s="4"/>
      <c r="I4" s="4"/>
      <c r="J4" s="4"/>
      <c r="K4" s="4"/>
      <c r="L4" s="4"/>
      <c r="M4" s="4"/>
      <c r="N4" s="4"/>
      <c r="O4" s="4"/>
      <c r="P4" s="4"/>
      <c r="Q4" s="4"/>
      <c r="R4" s="4"/>
    </row>
    <row r="5" spans="1:18" x14ac:dyDescent="0.25">
      <c r="A5" s="6" t="s">
        <v>14</v>
      </c>
      <c r="G5" s="6" t="s">
        <v>42</v>
      </c>
      <c r="H5" s="4"/>
      <c r="I5" s="4"/>
      <c r="J5" s="4"/>
      <c r="K5" s="4"/>
      <c r="L5" s="4"/>
      <c r="M5" s="4"/>
      <c r="N5" s="4"/>
      <c r="O5" s="4"/>
      <c r="P5" s="4"/>
      <c r="Q5" s="4"/>
      <c r="R5" s="4"/>
    </row>
    <row r="6" spans="1:18" x14ac:dyDescent="0.25">
      <c r="A6" s="7"/>
      <c r="G6" s="4"/>
      <c r="H6" s="4"/>
      <c r="I6" s="4"/>
      <c r="J6" s="4"/>
      <c r="K6" s="4"/>
      <c r="L6" s="4"/>
      <c r="M6" s="4"/>
      <c r="N6" s="4"/>
      <c r="O6" s="4"/>
      <c r="P6" s="4"/>
      <c r="Q6" s="4"/>
      <c r="R6" s="4"/>
    </row>
    <row r="7" spans="1:18" ht="15.75" customHeight="1" x14ac:dyDescent="0.25">
      <c r="B7" s="53" t="s">
        <v>60</v>
      </c>
      <c r="C7" s="53"/>
      <c r="D7" s="53"/>
      <c r="E7" s="53"/>
      <c r="G7" s="4" t="s">
        <v>46</v>
      </c>
      <c r="H7" s="53" t="s">
        <v>47</v>
      </c>
      <c r="I7" s="53"/>
      <c r="J7" s="53"/>
      <c r="K7" s="53"/>
      <c r="L7" s="53"/>
      <c r="M7" s="53"/>
      <c r="N7" s="53"/>
      <c r="O7" s="53"/>
      <c r="P7" s="53"/>
      <c r="Q7" s="53"/>
      <c r="R7" s="53"/>
    </row>
    <row r="8" spans="1:18" x14ac:dyDescent="0.25">
      <c r="B8" s="53"/>
      <c r="C8" s="53"/>
      <c r="D8" s="53"/>
      <c r="E8" s="53"/>
      <c r="G8" s="4"/>
      <c r="H8" s="53"/>
      <c r="I8" s="53"/>
      <c r="J8" s="53"/>
      <c r="K8" s="53"/>
      <c r="L8" s="53"/>
      <c r="M8" s="53"/>
      <c r="N8" s="53"/>
      <c r="O8" s="53"/>
      <c r="P8" s="53"/>
      <c r="Q8" s="53"/>
      <c r="R8" s="53"/>
    </row>
    <row r="9" spans="1:18" x14ac:dyDescent="0.25">
      <c r="G9" s="4"/>
      <c r="H9" s="53"/>
      <c r="I9" s="53"/>
      <c r="J9" s="53"/>
      <c r="K9" s="53"/>
      <c r="L9" s="53"/>
      <c r="M9" s="53"/>
      <c r="N9" s="53"/>
      <c r="O9" s="53"/>
      <c r="P9" s="53"/>
      <c r="Q9" s="53"/>
      <c r="R9" s="53"/>
    </row>
    <row r="10" spans="1:18" x14ac:dyDescent="0.25">
      <c r="B10" s="4" t="s">
        <v>28</v>
      </c>
      <c r="C10" s="8">
        <v>6.7500000000000004E-2</v>
      </c>
      <c r="G10" s="4"/>
      <c r="H10" s="53" t="s">
        <v>53</v>
      </c>
      <c r="I10" s="53"/>
      <c r="J10" s="53"/>
      <c r="K10" s="53"/>
      <c r="L10" s="53"/>
      <c r="M10" s="53"/>
      <c r="N10" s="53"/>
      <c r="O10" s="53"/>
      <c r="P10" s="53"/>
      <c r="Q10" s="53"/>
      <c r="R10" s="53"/>
    </row>
    <row r="11" spans="1:18" x14ac:dyDescent="0.25">
      <c r="B11" s="4" t="s">
        <v>0</v>
      </c>
      <c r="C11" s="8">
        <v>0.04</v>
      </c>
      <c r="G11" s="4"/>
      <c r="H11" s="19"/>
      <c r="I11" s="1"/>
      <c r="J11" s="1"/>
      <c r="K11" s="1"/>
      <c r="L11" s="1"/>
      <c r="M11" s="20"/>
      <c r="N11" s="21"/>
      <c r="O11" s="21"/>
      <c r="P11" s="21"/>
      <c r="Q11" s="21"/>
      <c r="R11" s="21"/>
    </row>
    <row r="12" spans="1:18" x14ac:dyDescent="0.25">
      <c r="C12" s="8"/>
    </row>
    <row r="13" spans="1:18" x14ac:dyDescent="0.25">
      <c r="B13" s="9" t="s">
        <v>1</v>
      </c>
      <c r="C13" s="10"/>
      <c r="D13" s="10"/>
    </row>
    <row r="14" spans="1:18" x14ac:dyDescent="0.25">
      <c r="B14" s="9"/>
      <c r="C14" s="10"/>
      <c r="D14" s="10"/>
      <c r="I14" s="39">
        <f>D16</f>
        <v>100000000</v>
      </c>
      <c r="J14" s="2" t="s">
        <v>71</v>
      </c>
    </row>
    <row r="15" spans="1:18" x14ac:dyDescent="0.25">
      <c r="B15" s="11"/>
      <c r="C15" s="12" t="s">
        <v>2</v>
      </c>
      <c r="D15" s="12" t="s">
        <v>3</v>
      </c>
      <c r="I15" s="39">
        <f>C19</f>
        <v>95000000</v>
      </c>
      <c r="J15" s="2" t="s">
        <v>72</v>
      </c>
    </row>
    <row r="16" spans="1:18" x14ac:dyDescent="0.25">
      <c r="B16" s="11" t="s">
        <v>4</v>
      </c>
      <c r="C16" s="13">
        <v>143000000</v>
      </c>
      <c r="D16" s="13">
        <v>100000000</v>
      </c>
      <c r="I16" s="40">
        <f>I14-I15</f>
        <v>5000000</v>
      </c>
      <c r="J16" s="2" t="s">
        <v>73</v>
      </c>
    </row>
    <row r="17" spans="1:18" x14ac:dyDescent="0.25">
      <c r="B17" s="11" t="s">
        <v>5</v>
      </c>
      <c r="C17" s="13">
        <v>7900000</v>
      </c>
      <c r="D17" s="13">
        <v>5000000</v>
      </c>
    </row>
    <row r="18" spans="1:18" x14ac:dyDescent="0.25">
      <c r="B18" s="56"/>
      <c r="C18" s="56"/>
      <c r="D18" s="56"/>
    </row>
    <row r="19" spans="1:18" x14ac:dyDescent="0.25">
      <c r="B19" s="11" t="s">
        <v>6</v>
      </c>
      <c r="C19" s="54">
        <v>95000000</v>
      </c>
      <c r="D19" s="55"/>
    </row>
    <row r="20" spans="1:18" x14ac:dyDescent="0.25">
      <c r="B20" s="11" t="s">
        <v>7</v>
      </c>
      <c r="C20" s="54">
        <v>98000000</v>
      </c>
      <c r="D20" s="55"/>
    </row>
    <row r="22" spans="1:18" x14ac:dyDescent="0.25">
      <c r="E22" s="14"/>
    </row>
    <row r="23" spans="1:18" ht="15.75" customHeight="1" x14ac:dyDescent="0.25">
      <c r="A23" s="7" t="s">
        <v>29</v>
      </c>
      <c r="E23" s="14"/>
      <c r="G23" s="4" t="s">
        <v>50</v>
      </c>
      <c r="H23" s="53" t="s">
        <v>49</v>
      </c>
      <c r="I23" s="53"/>
      <c r="J23" s="53"/>
      <c r="K23" s="53"/>
      <c r="L23" s="53"/>
      <c r="M23" s="53"/>
      <c r="N23" s="53"/>
      <c r="O23" s="53"/>
      <c r="P23" s="53"/>
      <c r="Q23" s="53"/>
      <c r="R23" s="53"/>
    </row>
    <row r="24" spans="1:18" x14ac:dyDescent="0.25">
      <c r="A24" s="6"/>
      <c r="E24" s="14"/>
      <c r="G24" s="4"/>
      <c r="H24" s="53"/>
      <c r="I24" s="53"/>
      <c r="J24" s="53"/>
      <c r="K24" s="53"/>
      <c r="L24" s="53"/>
      <c r="M24" s="53"/>
      <c r="N24" s="53"/>
      <c r="O24" s="53"/>
      <c r="P24" s="53"/>
      <c r="Q24" s="53"/>
      <c r="R24" s="53"/>
    </row>
    <row r="25" spans="1:18" x14ac:dyDescent="0.25">
      <c r="A25" s="6"/>
      <c r="B25" s="53" t="s">
        <v>48</v>
      </c>
      <c r="C25" s="53"/>
      <c r="D25" s="53"/>
      <c r="E25" s="53"/>
      <c r="G25" s="4"/>
      <c r="H25" s="53"/>
      <c r="I25" s="53"/>
      <c r="J25" s="53"/>
      <c r="K25" s="53"/>
      <c r="L25" s="53"/>
      <c r="M25" s="53"/>
      <c r="N25" s="53"/>
      <c r="O25" s="53"/>
      <c r="P25" s="53"/>
      <c r="Q25" s="53"/>
      <c r="R25" s="53"/>
    </row>
    <row r="26" spans="1:18" x14ac:dyDescent="0.25">
      <c r="B26" s="53"/>
      <c r="C26" s="53"/>
      <c r="D26" s="53"/>
      <c r="E26" s="53"/>
      <c r="G26" s="4"/>
      <c r="H26" s="53"/>
      <c r="I26" s="53"/>
      <c r="J26" s="53"/>
      <c r="K26" s="53"/>
      <c r="L26" s="53"/>
      <c r="M26" s="53"/>
      <c r="N26" s="53"/>
      <c r="O26" s="53"/>
      <c r="P26" s="53"/>
      <c r="Q26" s="53"/>
      <c r="R26" s="53"/>
    </row>
    <row r="27" spans="1:18" x14ac:dyDescent="0.25">
      <c r="B27" s="15"/>
      <c r="C27" s="15"/>
      <c r="D27" s="15"/>
      <c r="E27" s="15"/>
      <c r="G27" s="4"/>
      <c r="H27" s="53"/>
      <c r="I27" s="53"/>
      <c r="J27" s="53"/>
      <c r="K27" s="53"/>
      <c r="L27" s="53"/>
      <c r="M27" s="53"/>
      <c r="N27" s="53"/>
      <c r="O27" s="53"/>
      <c r="P27" s="53"/>
      <c r="Q27" s="53"/>
      <c r="R27" s="53"/>
    </row>
    <row r="28" spans="1:18" x14ac:dyDescent="0.25">
      <c r="B28" s="4" t="s">
        <v>39</v>
      </c>
      <c r="C28" s="8">
        <v>5.5E-2</v>
      </c>
      <c r="E28" s="14"/>
    </row>
    <row r="29" spans="1:18" x14ac:dyDescent="0.25">
      <c r="B29" s="16"/>
      <c r="C29" s="10"/>
      <c r="I29" s="39">
        <f>C30-D16</f>
        <v>18000000</v>
      </c>
      <c r="J29" s="2" t="s">
        <v>74</v>
      </c>
    </row>
    <row r="30" spans="1:18" x14ac:dyDescent="0.25">
      <c r="B30" s="11" t="s">
        <v>23</v>
      </c>
      <c r="C30" s="13">
        <v>118000000</v>
      </c>
      <c r="I30" s="2">
        <f>4500</f>
        <v>4500</v>
      </c>
      <c r="J30" s="2" t="s">
        <v>75</v>
      </c>
    </row>
    <row r="31" spans="1:18" x14ac:dyDescent="0.25">
      <c r="B31" s="11" t="s">
        <v>24</v>
      </c>
      <c r="C31" s="17" t="s">
        <v>25</v>
      </c>
      <c r="I31" s="41">
        <f>C32+C33</f>
        <v>1500</v>
      </c>
      <c r="J31" s="2" t="s">
        <v>76</v>
      </c>
    </row>
    <row r="32" spans="1:18" x14ac:dyDescent="0.25">
      <c r="B32" s="11" t="s">
        <v>26</v>
      </c>
      <c r="C32" s="11">
        <v>500</v>
      </c>
      <c r="I32" s="2">
        <f>I30/I31</f>
        <v>3</v>
      </c>
      <c r="J32" s="2" t="s">
        <v>77</v>
      </c>
    </row>
    <row r="33" spans="2:10" x14ac:dyDescent="0.25">
      <c r="B33" s="11" t="s">
        <v>27</v>
      </c>
      <c r="C33" s="18">
        <v>1000</v>
      </c>
      <c r="I33" s="40">
        <f>I29/I32</f>
        <v>6000000</v>
      </c>
      <c r="J33" s="2" t="s">
        <v>78</v>
      </c>
    </row>
  </sheetData>
  <sheetProtection sheet="1" objects="1" scenarios="1" formatCells="0" formatColumns="0" formatRows="0" insertColumns="0" insertRows="0"/>
  <mergeCells count="8">
    <mergeCell ref="B25:E26"/>
    <mergeCell ref="H7:R9"/>
    <mergeCell ref="H23:R27"/>
    <mergeCell ref="H10:R10"/>
    <mergeCell ref="C19:D19"/>
    <mergeCell ref="C20:D20"/>
    <mergeCell ref="B18:D18"/>
    <mergeCell ref="B7:E8"/>
  </mergeCells>
  <pageMargins left="0.7" right="0.7" top="0.75" bottom="0.75" header="0.3" footer="0.3"/>
  <pageSetup scale="84"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3"/>
  <sheetViews>
    <sheetView topLeftCell="A3" zoomScaleNormal="100" workbookViewId="0">
      <selection activeCell="I30" sqref="I30"/>
    </sheetView>
  </sheetViews>
  <sheetFormatPr defaultColWidth="9.42578125" defaultRowHeight="15.75" x14ac:dyDescent="0.25"/>
  <cols>
    <col min="1" max="1" width="3.42578125" style="4" customWidth="1"/>
    <col min="2" max="2" width="45.42578125" style="4" customWidth="1"/>
    <col min="3" max="3" width="24.42578125" style="4" customWidth="1"/>
    <col min="4" max="4" width="2.85546875" style="4" customWidth="1"/>
    <col min="5" max="5" width="1" style="5" customWidth="1"/>
    <col min="6" max="6" width="4" style="2" customWidth="1"/>
    <col min="7" max="12" width="9.42578125" style="2"/>
    <col min="13" max="13" width="16.7109375" style="2" customWidth="1"/>
    <col min="14" max="14" width="14.42578125" style="2" customWidth="1"/>
    <col min="15" max="17" width="9.42578125" style="2"/>
    <col min="18" max="18" width="1" style="22" customWidth="1"/>
    <col min="19" max="16384" width="9.42578125" style="2"/>
  </cols>
  <sheetData>
    <row r="1" spans="1:17" x14ac:dyDescent="0.25">
      <c r="A1" s="3" t="s">
        <v>9</v>
      </c>
      <c r="F1" s="3" t="s">
        <v>9</v>
      </c>
      <c r="G1" s="4"/>
      <c r="H1" s="4"/>
      <c r="I1" s="4"/>
      <c r="J1" s="4"/>
      <c r="K1" s="4"/>
      <c r="L1" s="4"/>
      <c r="M1" s="4"/>
      <c r="N1" s="4"/>
      <c r="O1" s="4"/>
      <c r="P1" s="4"/>
      <c r="Q1" s="4"/>
    </row>
    <row r="2" spans="1:17" x14ac:dyDescent="0.25">
      <c r="A2" s="3" t="s">
        <v>10</v>
      </c>
      <c r="F2" s="3" t="s">
        <v>10</v>
      </c>
      <c r="G2" s="4"/>
      <c r="H2" s="4"/>
      <c r="I2" s="4"/>
      <c r="J2" s="4"/>
      <c r="K2" s="4"/>
      <c r="L2" s="4"/>
      <c r="M2" s="4"/>
      <c r="N2" s="4"/>
      <c r="O2" s="4"/>
      <c r="P2" s="4"/>
      <c r="Q2" s="4"/>
    </row>
    <row r="3" spans="1:17" x14ac:dyDescent="0.25">
      <c r="A3" s="3" t="s">
        <v>11</v>
      </c>
      <c r="F3" s="3" t="s">
        <v>11</v>
      </c>
      <c r="G3" s="4"/>
      <c r="H3" s="4"/>
      <c r="I3" s="4"/>
      <c r="J3" s="4"/>
      <c r="K3" s="4"/>
      <c r="L3" s="4"/>
      <c r="M3" s="4"/>
      <c r="N3" s="4"/>
      <c r="O3" s="4"/>
      <c r="P3" s="4"/>
      <c r="Q3" s="4"/>
    </row>
    <row r="4" spans="1:17" x14ac:dyDescent="0.25">
      <c r="F4" s="4"/>
      <c r="G4" s="4"/>
      <c r="H4" s="4"/>
      <c r="I4" s="4"/>
      <c r="J4" s="4"/>
      <c r="K4" s="4"/>
      <c r="L4" s="4"/>
      <c r="M4" s="4"/>
      <c r="N4" s="4"/>
      <c r="O4" s="4"/>
      <c r="P4" s="4"/>
      <c r="Q4" s="4"/>
    </row>
    <row r="5" spans="1:17" x14ac:dyDescent="0.25">
      <c r="A5" s="6" t="s">
        <v>14</v>
      </c>
      <c r="F5" s="6" t="s">
        <v>43</v>
      </c>
      <c r="G5" s="4"/>
      <c r="H5" s="4"/>
      <c r="I5" s="4"/>
      <c r="J5" s="4"/>
      <c r="K5" s="4"/>
      <c r="L5" s="4"/>
      <c r="M5" s="4"/>
      <c r="N5" s="4"/>
      <c r="O5" s="4"/>
      <c r="P5" s="4"/>
      <c r="Q5" s="4"/>
    </row>
    <row r="6" spans="1:17" x14ac:dyDescent="0.25">
      <c r="A6" s="7"/>
      <c r="F6" s="4"/>
      <c r="G6" s="4"/>
      <c r="H6" s="4"/>
      <c r="I6" s="4"/>
      <c r="J6" s="4"/>
      <c r="K6" s="4"/>
      <c r="L6" s="4"/>
      <c r="M6" s="4"/>
      <c r="N6" s="4"/>
      <c r="O6" s="4"/>
      <c r="P6" s="4"/>
      <c r="Q6" s="4"/>
    </row>
    <row r="7" spans="1:17" ht="15.75" customHeight="1" x14ac:dyDescent="0.25">
      <c r="A7" s="7" t="s">
        <v>38</v>
      </c>
      <c r="F7" s="4" t="s">
        <v>51</v>
      </c>
      <c r="G7" s="53" t="s">
        <v>52</v>
      </c>
      <c r="H7" s="53"/>
      <c r="I7" s="53"/>
      <c r="J7" s="53"/>
      <c r="K7" s="53"/>
      <c r="L7" s="53"/>
      <c r="M7" s="53"/>
      <c r="N7" s="53"/>
      <c r="O7" s="53"/>
      <c r="P7" s="53"/>
      <c r="Q7" s="53"/>
    </row>
    <row r="8" spans="1:17" x14ac:dyDescent="0.25">
      <c r="F8" s="4"/>
      <c r="G8" s="30" t="s">
        <v>40</v>
      </c>
      <c r="H8" s="4"/>
      <c r="I8" s="4"/>
      <c r="J8" s="4"/>
      <c r="K8" s="4"/>
      <c r="L8" s="8">
        <v>6.4999999999999997E-3</v>
      </c>
      <c r="M8" s="21"/>
      <c r="N8" s="21"/>
      <c r="O8" s="21"/>
      <c r="P8" s="21"/>
      <c r="Q8" s="21"/>
    </row>
    <row r="9" spans="1:17" x14ac:dyDescent="0.25">
      <c r="B9" s="23" t="s">
        <v>30</v>
      </c>
      <c r="C9" s="24"/>
      <c r="F9" s="4"/>
      <c r="G9" s="30" t="s">
        <v>41</v>
      </c>
      <c r="H9" s="4"/>
      <c r="I9" s="4"/>
      <c r="J9" s="4"/>
      <c r="K9" s="4"/>
      <c r="L9" s="31">
        <v>0.1</v>
      </c>
      <c r="M9" s="21"/>
      <c r="N9" s="21"/>
      <c r="O9" s="21"/>
      <c r="P9" s="21"/>
      <c r="Q9" s="21"/>
    </row>
    <row r="10" spans="1:17" x14ac:dyDescent="0.25">
      <c r="B10" s="25"/>
      <c r="C10" s="24"/>
      <c r="F10" s="4"/>
      <c r="G10" s="30"/>
      <c r="H10" s="4"/>
      <c r="I10" s="4"/>
      <c r="J10" s="4"/>
      <c r="K10" s="4"/>
      <c r="L10" s="31"/>
      <c r="M10" s="21"/>
      <c r="N10" s="21"/>
      <c r="O10" s="21"/>
      <c r="P10" s="21"/>
      <c r="Q10" s="21"/>
    </row>
    <row r="11" spans="1:17" x14ac:dyDescent="0.25">
      <c r="B11" s="11" t="s">
        <v>31</v>
      </c>
      <c r="C11" s="26">
        <v>1900000</v>
      </c>
      <c r="F11" s="4"/>
      <c r="G11" s="53" t="s">
        <v>53</v>
      </c>
      <c r="H11" s="53"/>
      <c r="I11" s="53"/>
      <c r="J11" s="53"/>
      <c r="K11" s="53"/>
      <c r="L11" s="53"/>
      <c r="M11" s="53"/>
      <c r="N11" s="53"/>
      <c r="O11" s="53"/>
      <c r="P11" s="53"/>
      <c r="Q11" s="53"/>
    </row>
    <row r="12" spans="1:17" x14ac:dyDescent="0.25">
      <c r="B12" s="11" t="s">
        <v>32</v>
      </c>
      <c r="C12" s="17">
        <v>14.6</v>
      </c>
      <c r="F12" s="4"/>
      <c r="G12" s="30"/>
      <c r="H12" s="4"/>
      <c r="I12" s="4"/>
      <c r="J12" s="4"/>
      <c r="K12" s="4"/>
      <c r="L12" s="31"/>
      <c r="M12" s="21"/>
      <c r="N12" s="21"/>
      <c r="O12" s="21"/>
      <c r="P12" s="21"/>
      <c r="Q12" s="21"/>
    </row>
    <row r="13" spans="1:17" x14ac:dyDescent="0.25">
      <c r="B13" s="11" t="s">
        <v>33</v>
      </c>
      <c r="C13" s="27">
        <v>1700000</v>
      </c>
    </row>
    <row r="14" spans="1:17" x14ac:dyDescent="0.25">
      <c r="B14" s="57" t="s">
        <v>34</v>
      </c>
      <c r="C14" s="28" t="s">
        <v>35</v>
      </c>
      <c r="G14" s="2" t="s">
        <v>135</v>
      </c>
    </row>
    <row r="15" spans="1:17" x14ac:dyDescent="0.25">
      <c r="B15" s="57"/>
      <c r="C15" s="29" t="s">
        <v>36</v>
      </c>
    </row>
    <row r="16" spans="1:17" x14ac:dyDescent="0.25">
      <c r="B16" s="11" t="s">
        <v>37</v>
      </c>
      <c r="C16" s="29">
        <v>5.0999999999999996</v>
      </c>
      <c r="G16" s="2" t="s">
        <v>136</v>
      </c>
    </row>
    <row r="17" spans="2:14" x14ac:dyDescent="0.25">
      <c r="G17" s="34"/>
    </row>
    <row r="18" spans="2:14" x14ac:dyDescent="0.25">
      <c r="G18" s="2" t="s">
        <v>137</v>
      </c>
      <c r="N18" s="50">
        <f>50%*C13</f>
        <v>850000</v>
      </c>
    </row>
    <row r="19" spans="2:14" x14ac:dyDescent="0.25">
      <c r="B19" s="30"/>
      <c r="C19" s="8"/>
    </row>
    <row r="20" spans="2:14" x14ac:dyDescent="0.25">
      <c r="B20" s="30"/>
      <c r="C20" s="31"/>
      <c r="G20" s="2" t="s">
        <v>138</v>
      </c>
    </row>
    <row r="21" spans="2:14" x14ac:dyDescent="0.25">
      <c r="G21" s="2" t="s">
        <v>139</v>
      </c>
    </row>
    <row r="23" spans="2:14" x14ac:dyDescent="0.25">
      <c r="G23" s="2" t="s">
        <v>140</v>
      </c>
      <c r="N23" s="51">
        <f>(1+C16/100)^0.65</f>
        <v>1.0328607295798884</v>
      </c>
    </row>
    <row r="25" spans="2:14" x14ac:dyDescent="0.25">
      <c r="G25" s="2" t="s">
        <v>141</v>
      </c>
      <c r="N25" s="51">
        <f>(1+L9)</f>
        <v>1.1000000000000001</v>
      </c>
    </row>
    <row r="27" spans="2:14" x14ac:dyDescent="0.25">
      <c r="G27" s="2" t="s">
        <v>142</v>
      </c>
      <c r="N27" s="51">
        <f>(1+C12/100)^0.65</f>
        <v>1.0926221525919746</v>
      </c>
    </row>
    <row r="29" spans="2:14" x14ac:dyDescent="0.25">
      <c r="G29" s="2" t="s">
        <v>143</v>
      </c>
      <c r="N29" s="50">
        <f>N18*N25+N18*N23</f>
        <v>1812931.6201429053</v>
      </c>
    </row>
    <row r="31" spans="2:14" x14ac:dyDescent="0.25">
      <c r="G31" s="2" t="s">
        <v>144</v>
      </c>
      <c r="N31" s="50">
        <f>C11*N27</f>
        <v>2075982.0899247518</v>
      </c>
    </row>
    <row r="33" spans="7:14" x14ac:dyDescent="0.25">
      <c r="G33" s="2" t="s">
        <v>145</v>
      </c>
      <c r="N33" s="52">
        <f>N29-N31</f>
        <v>-263050.46978184651</v>
      </c>
    </row>
  </sheetData>
  <sheetProtection algorithmName="SHA-512" hashValue="B2sqKmm9fVccwugrDvQbecLKEntVDs+E+XWehOZ1eiJ7jYdFqVb8J3RhzvZSrvOSrNG0H8/w/wkOp6tEZTE4mw==" saltValue="tmjMEFnXZJw35uDcMES06Q==" spinCount="100000" sheet="1" objects="1" scenarios="1" formatCells="0" formatColumns="0" formatRows="0" insertColumns="0" insertRows="0"/>
  <mergeCells count="3">
    <mergeCell ref="B14:B15"/>
    <mergeCell ref="G7:Q7"/>
    <mergeCell ref="G11:Q11"/>
  </mergeCells>
  <pageMargins left="0.7" right="0.7" top="0.75" bottom="0.75" header="0.3" footer="0.3"/>
  <pageSetup scale="84" orientation="portrait" horizontalDpi="4294967293" verticalDpi="0" r:id="rId1"/>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0E5C0-1A83-481D-9E81-A5494DE91368}">
  <dimension ref="A1:P83"/>
  <sheetViews>
    <sheetView zoomScaleNormal="100" workbookViewId="0">
      <selection activeCell="G23" sqref="G23"/>
    </sheetView>
  </sheetViews>
  <sheetFormatPr defaultColWidth="9.42578125" defaultRowHeight="15.75" x14ac:dyDescent="0.25"/>
  <cols>
    <col min="1" max="1" width="3" style="4" customWidth="1"/>
    <col min="2" max="2" width="52.42578125" style="4" bestFit="1" customWidth="1"/>
    <col min="3" max="3" width="14.42578125" style="4" customWidth="1"/>
    <col min="4" max="4" width="19" style="4" customWidth="1"/>
    <col min="5" max="5" width="1" style="5" customWidth="1"/>
    <col min="6" max="6" width="3.42578125" style="2" customWidth="1"/>
    <col min="7" max="7" width="35.85546875" style="2" customWidth="1"/>
    <col min="8" max="12" width="19.42578125" style="2" customWidth="1"/>
    <col min="13" max="15" width="9.42578125" style="2"/>
    <col min="16" max="16" width="1" style="22" customWidth="1"/>
    <col min="17" max="16384" width="9.42578125" style="2"/>
  </cols>
  <sheetData>
    <row r="1" spans="1:15" x14ac:dyDescent="0.25">
      <c r="A1" s="3" t="s">
        <v>9</v>
      </c>
      <c r="F1" s="3" t="s">
        <v>9</v>
      </c>
      <c r="G1" s="4"/>
      <c r="H1" s="4"/>
      <c r="I1" s="4"/>
      <c r="J1" s="4"/>
      <c r="K1" s="4"/>
      <c r="L1" s="4"/>
      <c r="M1" s="4"/>
      <c r="N1" s="4"/>
      <c r="O1" s="4"/>
    </row>
    <row r="2" spans="1:15" x14ac:dyDescent="0.25">
      <c r="A2" s="3" t="s">
        <v>10</v>
      </c>
      <c r="F2" s="3" t="s">
        <v>10</v>
      </c>
      <c r="G2" s="4"/>
      <c r="H2" s="4"/>
      <c r="I2" s="4"/>
      <c r="J2" s="4"/>
      <c r="K2" s="4"/>
      <c r="L2" s="4"/>
      <c r="M2" s="4"/>
      <c r="N2" s="4"/>
      <c r="O2" s="4"/>
    </row>
    <row r="3" spans="1:15" x14ac:dyDescent="0.25">
      <c r="A3" s="3" t="s">
        <v>12</v>
      </c>
      <c r="F3" s="3" t="s">
        <v>12</v>
      </c>
      <c r="G3" s="4"/>
      <c r="H3" s="4"/>
      <c r="I3" s="4"/>
      <c r="J3" s="4"/>
      <c r="K3" s="4"/>
      <c r="L3" s="4"/>
      <c r="M3" s="4"/>
      <c r="N3" s="4"/>
      <c r="O3" s="4"/>
    </row>
    <row r="4" spans="1:15" ht="16.5" thickBot="1" x14ac:dyDescent="0.3">
      <c r="F4" s="4"/>
      <c r="G4" s="4"/>
      <c r="H4" s="4"/>
      <c r="I4" s="4"/>
      <c r="J4" s="4"/>
      <c r="K4" s="4"/>
      <c r="L4" s="4"/>
      <c r="M4" s="4"/>
      <c r="N4" s="4"/>
      <c r="O4" s="4"/>
    </row>
    <row r="5" spans="1:15" ht="16.5" thickBot="1" x14ac:dyDescent="0.3">
      <c r="A5" s="58" t="s">
        <v>57</v>
      </c>
      <c r="B5" s="59"/>
      <c r="C5" s="59"/>
      <c r="D5" s="60"/>
      <c r="F5" s="4"/>
      <c r="G5" s="4"/>
      <c r="H5" s="4"/>
      <c r="I5" s="4"/>
      <c r="J5" s="4"/>
      <c r="K5" s="4"/>
      <c r="L5" s="4"/>
      <c r="M5" s="4"/>
      <c r="N5" s="4"/>
      <c r="O5" s="4"/>
    </row>
    <row r="6" spans="1:15" x14ac:dyDescent="0.25">
      <c r="F6" s="4"/>
      <c r="G6" s="4"/>
      <c r="H6" s="4"/>
      <c r="I6" s="4"/>
      <c r="J6" s="4"/>
      <c r="K6" s="4"/>
      <c r="L6" s="4"/>
      <c r="M6" s="4"/>
      <c r="N6" s="4"/>
      <c r="O6" s="4"/>
    </row>
    <row r="7" spans="1:15" x14ac:dyDescent="0.25">
      <c r="F7" s="4"/>
      <c r="G7" s="4"/>
      <c r="H7" s="4"/>
      <c r="I7" s="4"/>
      <c r="J7" s="4"/>
      <c r="K7" s="4"/>
      <c r="L7" s="4"/>
      <c r="M7" s="4"/>
      <c r="N7" s="4"/>
      <c r="O7" s="4"/>
    </row>
    <row r="8" spans="1:15" x14ac:dyDescent="0.25">
      <c r="A8" s="6" t="s">
        <v>14</v>
      </c>
      <c r="F8" s="6" t="s">
        <v>44</v>
      </c>
      <c r="G8" s="4"/>
      <c r="H8" s="4"/>
      <c r="I8" s="4"/>
      <c r="J8" s="4"/>
      <c r="K8" s="4"/>
      <c r="L8" s="4"/>
      <c r="M8" s="4"/>
      <c r="N8" s="4"/>
      <c r="O8" s="4"/>
    </row>
    <row r="9" spans="1:15" x14ac:dyDescent="0.25">
      <c r="A9" s="6"/>
      <c r="F9" s="6"/>
      <c r="G9" s="4"/>
      <c r="H9" s="4"/>
      <c r="I9" s="4"/>
      <c r="J9" s="4"/>
      <c r="K9" s="4"/>
      <c r="L9" s="4"/>
      <c r="M9" s="4"/>
      <c r="N9" s="4"/>
      <c r="O9" s="4"/>
    </row>
    <row r="10" spans="1:15" ht="15.75" customHeight="1" x14ac:dyDescent="0.25">
      <c r="A10" s="6"/>
      <c r="B10" s="53" t="s">
        <v>54</v>
      </c>
      <c r="C10" s="53"/>
      <c r="D10" s="53"/>
      <c r="F10" s="4" t="s">
        <v>46</v>
      </c>
      <c r="G10" s="53" t="s">
        <v>56</v>
      </c>
      <c r="H10" s="53"/>
      <c r="I10" s="53"/>
      <c r="J10" s="53"/>
      <c r="K10" s="53"/>
      <c r="L10" s="53"/>
      <c r="M10" s="53"/>
      <c r="N10" s="53"/>
      <c r="O10" s="53"/>
    </row>
    <row r="11" spans="1:15" x14ac:dyDescent="0.25">
      <c r="B11" s="53"/>
      <c r="C11" s="53"/>
      <c r="D11" s="53"/>
      <c r="F11" s="4"/>
      <c r="G11" s="53"/>
      <c r="H11" s="53"/>
      <c r="I11" s="53"/>
      <c r="J11" s="53"/>
      <c r="K11" s="53"/>
      <c r="L11" s="53"/>
      <c r="M11" s="53"/>
      <c r="N11" s="53"/>
      <c r="O11" s="53"/>
    </row>
    <row r="12" spans="1:15" x14ac:dyDescent="0.25">
      <c r="B12" s="53"/>
      <c r="C12" s="53"/>
      <c r="D12" s="53"/>
      <c r="F12" s="4"/>
      <c r="G12" s="53"/>
      <c r="H12" s="53"/>
      <c r="I12" s="53"/>
      <c r="J12" s="53"/>
      <c r="K12" s="53"/>
      <c r="L12" s="53"/>
      <c r="M12" s="53"/>
      <c r="N12" s="53"/>
      <c r="O12" s="53"/>
    </row>
    <row r="13" spans="1:15" x14ac:dyDescent="0.25">
      <c r="F13" s="4"/>
      <c r="G13" s="53" t="s">
        <v>53</v>
      </c>
      <c r="H13" s="53"/>
      <c r="I13" s="53"/>
      <c r="J13" s="53"/>
      <c r="K13" s="53"/>
      <c r="L13" s="53"/>
      <c r="M13" s="53"/>
      <c r="N13" s="53"/>
      <c r="O13" s="53"/>
    </row>
    <row r="14" spans="1:15" x14ac:dyDescent="0.25">
      <c r="B14" s="9" t="s">
        <v>55</v>
      </c>
      <c r="F14" s="4"/>
      <c r="G14" s="30"/>
      <c r="H14" s="4"/>
      <c r="I14" s="4"/>
      <c r="J14" s="4"/>
      <c r="K14" s="4"/>
      <c r="L14" s="31"/>
      <c r="M14" s="21"/>
      <c r="N14" s="21"/>
      <c r="O14" s="21"/>
    </row>
    <row r="15" spans="1:15" x14ac:dyDescent="0.25">
      <c r="H15" s="49"/>
      <c r="I15" s="49">
        <v>44012</v>
      </c>
      <c r="J15" s="49">
        <v>44012</v>
      </c>
      <c r="K15" s="49">
        <v>44012</v>
      </c>
    </row>
    <row r="16" spans="1:15" x14ac:dyDescent="0.25">
      <c r="B16" s="11" t="s">
        <v>15</v>
      </c>
      <c r="C16" s="32">
        <v>60000000</v>
      </c>
      <c r="H16" s="49">
        <v>43831</v>
      </c>
      <c r="I16" s="2" t="s">
        <v>134</v>
      </c>
      <c r="J16" s="2" t="s">
        <v>118</v>
      </c>
      <c r="K16" s="2" t="s">
        <v>107</v>
      </c>
    </row>
    <row r="17" spans="2:11" x14ac:dyDescent="0.25">
      <c r="B17" s="11" t="s">
        <v>16</v>
      </c>
      <c r="C17" s="32">
        <v>18000000</v>
      </c>
      <c r="G17" s="2" t="s">
        <v>133</v>
      </c>
      <c r="H17" s="46">
        <v>-1149659000</v>
      </c>
      <c r="I17" s="46">
        <f>-H27</f>
        <v>-1182692000</v>
      </c>
      <c r="J17" s="46">
        <f>-H37</f>
        <v>-1183092350</v>
      </c>
      <c r="K17" s="46">
        <f>-H53</f>
        <v>191382375</v>
      </c>
    </row>
    <row r="18" spans="2:11" x14ac:dyDescent="0.25">
      <c r="B18" s="11" t="s">
        <v>17</v>
      </c>
      <c r="C18" s="32">
        <v>17500000</v>
      </c>
      <c r="G18" s="2" t="s">
        <v>132</v>
      </c>
      <c r="H18" s="48">
        <v>668828000</v>
      </c>
      <c r="I18" s="48">
        <f>H29</f>
        <v>688429000</v>
      </c>
      <c r="J18" s="48">
        <f>H40</f>
        <v>645000000</v>
      </c>
      <c r="K18" s="48">
        <v>0</v>
      </c>
    </row>
    <row r="19" spans="2:11" x14ac:dyDescent="0.25">
      <c r="B19" s="11" t="s">
        <v>18</v>
      </c>
      <c r="C19" s="32">
        <v>645000000</v>
      </c>
      <c r="G19" s="2" t="s">
        <v>131</v>
      </c>
      <c r="H19" s="46">
        <f>SUM(H17:H18)</f>
        <v>-480831000</v>
      </c>
      <c r="I19" s="46">
        <f>SUM(I17:I18)</f>
        <v>-494263000</v>
      </c>
      <c r="J19" s="46">
        <f>SUM(J17:J18)</f>
        <v>-538092350</v>
      </c>
      <c r="K19" s="46">
        <f>SUM(K17:K18)</f>
        <v>191382375</v>
      </c>
    </row>
    <row r="20" spans="2:11" x14ac:dyDescent="0.25">
      <c r="B20" s="11" t="s">
        <v>19</v>
      </c>
      <c r="C20" s="32">
        <v>18000000</v>
      </c>
      <c r="G20" s="2" t="s">
        <v>130</v>
      </c>
      <c r="H20" s="48">
        <v>147412000</v>
      </c>
      <c r="I20" s="48">
        <f>H31</f>
        <v>146042000</v>
      </c>
      <c r="J20" s="48">
        <f>H44</f>
        <v>189871350</v>
      </c>
      <c r="K20" s="48">
        <f>H58</f>
        <v>-189871350</v>
      </c>
    </row>
    <row r="21" spans="2:11" ht="31.5" x14ac:dyDescent="0.25">
      <c r="B21" s="11" t="s">
        <v>20</v>
      </c>
      <c r="C21" s="32">
        <v>17500000</v>
      </c>
      <c r="G21" s="47" t="s">
        <v>129</v>
      </c>
      <c r="H21" s="46">
        <f>SUM(H19:H20)</f>
        <v>-333419000</v>
      </c>
      <c r="I21" s="46">
        <f>SUM(I19:I20)</f>
        <v>-348221000</v>
      </c>
      <c r="J21" s="46">
        <f>SUM(J19:J20)</f>
        <v>-348221000</v>
      </c>
      <c r="K21" s="46">
        <f>SUM(K19:K20)</f>
        <v>1511025</v>
      </c>
    </row>
    <row r="22" spans="2:11" x14ac:dyDescent="0.25">
      <c r="B22" s="11" t="s">
        <v>21</v>
      </c>
      <c r="C22" s="33">
        <v>44105</v>
      </c>
      <c r="H22" s="42"/>
      <c r="I22" s="42"/>
      <c r="J22" s="42"/>
      <c r="K22" s="42"/>
    </row>
    <row r="23" spans="2:11" x14ac:dyDescent="0.25">
      <c r="B23" s="11" t="s">
        <v>22</v>
      </c>
      <c r="C23" s="17">
        <v>10.5</v>
      </c>
      <c r="G23" s="2" t="s">
        <v>128</v>
      </c>
      <c r="H23" s="42"/>
      <c r="I23" s="42"/>
      <c r="J23" s="42"/>
      <c r="K23" s="42"/>
    </row>
    <row r="24" spans="2:11" x14ac:dyDescent="0.25">
      <c r="H24" s="42"/>
      <c r="I24" s="42"/>
      <c r="J24" s="42"/>
      <c r="K24" s="42"/>
    </row>
    <row r="25" spans="2:11" x14ac:dyDescent="0.25">
      <c r="G25" s="43" t="s">
        <v>127</v>
      </c>
      <c r="H25" s="42"/>
      <c r="I25" s="42"/>
      <c r="J25" s="42"/>
      <c r="K25" s="42"/>
    </row>
    <row r="26" spans="2:11" x14ac:dyDescent="0.25">
      <c r="G26" s="2" t="s">
        <v>126</v>
      </c>
      <c r="H26" s="42"/>
      <c r="I26" s="42"/>
      <c r="J26" s="42"/>
      <c r="K26" s="42"/>
    </row>
    <row r="27" spans="2:11" x14ac:dyDescent="0.25">
      <c r="G27" s="2" t="s">
        <v>125</v>
      </c>
      <c r="H27" s="42">
        <f>1149659000+58986000*0.5+44620000*0.5-37540000*0.5</f>
        <v>1182692000</v>
      </c>
      <c r="I27" s="42"/>
      <c r="J27" s="42"/>
      <c r="K27" s="42"/>
    </row>
    <row r="28" spans="2:11" x14ac:dyDescent="0.25">
      <c r="G28" s="2" t="s">
        <v>124</v>
      </c>
      <c r="H28" s="42"/>
      <c r="I28" s="42"/>
      <c r="J28" s="42"/>
      <c r="K28" s="42"/>
    </row>
    <row r="29" spans="2:11" x14ac:dyDescent="0.25">
      <c r="G29" s="2" t="s">
        <v>123</v>
      </c>
      <c r="H29" s="42">
        <f>668828000+41742000*0.5+17500000-37540000*0.5</f>
        <v>688429000</v>
      </c>
      <c r="I29" s="42"/>
      <c r="J29" s="42"/>
      <c r="K29" s="42"/>
    </row>
    <row r="30" spans="2:11" x14ac:dyDescent="0.25">
      <c r="G30" s="2" t="s">
        <v>122</v>
      </c>
      <c r="H30" s="42"/>
      <c r="I30" s="42"/>
      <c r="J30" s="42"/>
      <c r="K30" s="42"/>
    </row>
    <row r="31" spans="2:11" x14ac:dyDescent="0.25">
      <c r="G31" s="2" t="s">
        <v>121</v>
      </c>
      <c r="H31" s="42">
        <f>147412000-2740000*0.5</f>
        <v>146042000</v>
      </c>
      <c r="I31" s="42"/>
      <c r="J31" s="42"/>
      <c r="K31" s="42"/>
    </row>
    <row r="32" spans="2:11" x14ac:dyDescent="0.25">
      <c r="G32" s="2" t="s">
        <v>120</v>
      </c>
      <c r="H32" s="42"/>
      <c r="I32" s="42"/>
      <c r="J32" s="42"/>
      <c r="K32" s="42"/>
    </row>
    <row r="33" spans="7:11" x14ac:dyDescent="0.25">
      <c r="G33" s="2" t="s">
        <v>119</v>
      </c>
      <c r="H33" s="42">
        <f>-333419000-(58986000+44620000-41742000+2740000)*0.5+C18</f>
        <v>-348221000</v>
      </c>
      <c r="I33" s="45"/>
      <c r="J33" s="42"/>
      <c r="K33" s="42"/>
    </row>
    <row r="34" spans="7:11" x14ac:dyDescent="0.25">
      <c r="H34" s="42"/>
      <c r="I34" s="42"/>
      <c r="J34" s="42"/>
      <c r="K34" s="42"/>
    </row>
    <row r="35" spans="7:11" x14ac:dyDescent="0.25">
      <c r="G35" s="2" t="s">
        <v>118</v>
      </c>
      <c r="H35" s="42"/>
      <c r="I35" s="42"/>
      <c r="J35" s="42"/>
      <c r="K35" s="42"/>
    </row>
    <row r="36" spans="7:11" x14ac:dyDescent="0.25">
      <c r="G36" s="2" t="s">
        <v>117</v>
      </c>
      <c r="H36" s="42"/>
      <c r="I36" s="42"/>
      <c r="J36" s="42"/>
      <c r="K36" s="42"/>
    </row>
    <row r="37" spans="7:11" x14ac:dyDescent="0.25">
      <c r="G37" s="2" t="s">
        <v>116</v>
      </c>
      <c r="H37" s="42">
        <f>(1149659000+58986000*0.5)*(1+3.75%*0.5)-C17*(1+3.75%*0.25)</f>
        <v>1183092350</v>
      </c>
      <c r="I37" s="42"/>
      <c r="J37" s="42"/>
      <c r="K37" s="42"/>
    </row>
    <row r="38" spans="7:11" x14ac:dyDescent="0.25">
      <c r="G38" s="2" t="s">
        <v>115</v>
      </c>
      <c r="H38" s="42"/>
      <c r="I38" s="42"/>
      <c r="J38" s="42"/>
      <c r="K38" s="42"/>
    </row>
    <row r="39" spans="7:11" x14ac:dyDescent="0.25">
      <c r="G39" s="2" t="s">
        <v>114</v>
      </c>
      <c r="H39" s="42">
        <f>H37-H27</f>
        <v>400350</v>
      </c>
      <c r="I39" s="42"/>
      <c r="J39" s="42"/>
      <c r="K39" s="42"/>
    </row>
    <row r="40" spans="7:11" x14ac:dyDescent="0.25">
      <c r="G40" s="2" t="s">
        <v>113</v>
      </c>
      <c r="H40" s="42">
        <f>C19</f>
        <v>645000000</v>
      </c>
      <c r="I40" s="45" t="s">
        <v>112</v>
      </c>
      <c r="J40" s="42"/>
      <c r="K40" s="42"/>
    </row>
    <row r="41" spans="7:11" x14ac:dyDescent="0.25">
      <c r="G41" s="2" t="s">
        <v>111</v>
      </c>
      <c r="H41" s="42"/>
      <c r="I41" s="42"/>
      <c r="J41" s="42"/>
      <c r="K41" s="42"/>
    </row>
    <row r="42" spans="7:11" x14ac:dyDescent="0.25">
      <c r="G42" s="2" t="s">
        <v>110</v>
      </c>
      <c r="H42" s="42">
        <f>H29-H40</f>
        <v>43429000</v>
      </c>
      <c r="I42" s="42"/>
      <c r="J42" s="42"/>
      <c r="K42" s="42"/>
    </row>
    <row r="43" spans="7:11" x14ac:dyDescent="0.25">
      <c r="G43" s="2" t="s">
        <v>109</v>
      </c>
      <c r="H43" s="42"/>
      <c r="I43" s="42"/>
      <c r="J43" s="42"/>
      <c r="K43" s="42"/>
    </row>
    <row r="44" spans="7:11" x14ac:dyDescent="0.25">
      <c r="G44" s="2" t="s">
        <v>108</v>
      </c>
      <c r="H44" s="42">
        <f>H31+H39+H42</f>
        <v>189871350</v>
      </c>
      <c r="I44" s="42"/>
      <c r="J44" s="42"/>
      <c r="K44" s="42"/>
    </row>
    <row r="45" spans="7:11" x14ac:dyDescent="0.25">
      <c r="H45" s="42"/>
      <c r="I45" s="42"/>
      <c r="J45" s="42"/>
      <c r="K45" s="42"/>
    </row>
    <row r="46" spans="7:11" x14ac:dyDescent="0.25">
      <c r="G46" s="2" t="s">
        <v>107</v>
      </c>
    </row>
    <row r="47" spans="7:11" x14ac:dyDescent="0.25">
      <c r="G47" s="2" t="s">
        <v>106</v>
      </c>
    </row>
    <row r="48" spans="7:11" x14ac:dyDescent="0.25">
      <c r="G48" s="2" t="s">
        <v>105</v>
      </c>
    </row>
    <row r="49" spans="7:11" x14ac:dyDescent="0.25">
      <c r="G49" s="2" t="s">
        <v>104</v>
      </c>
      <c r="H49" s="42">
        <f>(961292000+C16*0.5)*(1+3.75%*0.5) - C17*(1+3.75%*0.25)</f>
        <v>991709975</v>
      </c>
      <c r="I49" s="42"/>
      <c r="J49" s="42"/>
      <c r="K49" s="42"/>
    </row>
    <row r="50" spans="7:11" x14ac:dyDescent="0.25">
      <c r="G50" s="2" t="s">
        <v>103</v>
      </c>
      <c r="H50" s="42">
        <f>H49</f>
        <v>991709975</v>
      </c>
      <c r="I50" s="42"/>
      <c r="J50" s="42"/>
      <c r="K50" s="42"/>
    </row>
    <row r="51" spans="7:11" x14ac:dyDescent="0.25">
      <c r="H51" s="42"/>
      <c r="I51" s="42"/>
      <c r="J51" s="42"/>
      <c r="K51" s="42"/>
    </row>
    <row r="52" spans="7:11" x14ac:dyDescent="0.25">
      <c r="G52" s="2" t="s">
        <v>102</v>
      </c>
      <c r="H52" s="42"/>
      <c r="I52" s="42"/>
      <c r="J52" s="42"/>
      <c r="K52" s="42"/>
    </row>
    <row r="53" spans="7:11" x14ac:dyDescent="0.25">
      <c r="G53" s="2" t="s">
        <v>101</v>
      </c>
      <c r="H53" s="42">
        <f>H50-H37</f>
        <v>-191382375</v>
      </c>
      <c r="I53" s="42"/>
      <c r="J53" s="42"/>
      <c r="K53" s="42"/>
    </row>
    <row r="54" spans="7:11" x14ac:dyDescent="0.25">
      <c r="G54" s="2" t="s">
        <v>100</v>
      </c>
      <c r="H54" s="42"/>
      <c r="I54" s="42"/>
      <c r="J54" s="42"/>
      <c r="K54" s="42"/>
    </row>
    <row r="55" spans="7:11" x14ac:dyDescent="0.25">
      <c r="G55" s="2" t="s">
        <v>99</v>
      </c>
      <c r="H55" s="42"/>
      <c r="I55" s="42"/>
      <c r="J55" s="42"/>
      <c r="K55" s="42"/>
    </row>
    <row r="56" spans="7:11" x14ac:dyDescent="0.25">
      <c r="G56" s="2" t="s">
        <v>98</v>
      </c>
      <c r="H56" s="42"/>
      <c r="I56" s="42"/>
      <c r="J56" s="42"/>
      <c r="K56" s="42"/>
    </row>
    <row r="57" spans="7:11" x14ac:dyDescent="0.25">
      <c r="H57" s="42"/>
      <c r="I57" s="42"/>
      <c r="J57" s="42"/>
      <c r="K57" s="42"/>
    </row>
    <row r="58" spans="7:11" x14ac:dyDescent="0.25">
      <c r="G58" s="2" t="s">
        <v>97</v>
      </c>
      <c r="H58" s="42">
        <f>-H44</f>
        <v>-189871350</v>
      </c>
      <c r="I58" s="42"/>
      <c r="J58" s="42"/>
      <c r="K58" s="42"/>
    </row>
    <row r="59" spans="7:11" x14ac:dyDescent="0.25">
      <c r="G59" s="2" t="s">
        <v>96</v>
      </c>
      <c r="H59" s="42"/>
      <c r="I59" s="42"/>
      <c r="J59" s="42"/>
      <c r="K59" s="42"/>
    </row>
    <row r="60" spans="7:11" x14ac:dyDescent="0.25">
      <c r="G60" s="2" t="s">
        <v>83</v>
      </c>
      <c r="H60" s="42">
        <f>H53+H44</f>
        <v>-1511025</v>
      </c>
      <c r="I60" s="42"/>
      <c r="J60" s="42"/>
      <c r="K60" s="42"/>
    </row>
    <row r="61" spans="7:11" x14ac:dyDescent="0.25">
      <c r="H61" s="42"/>
      <c r="I61" s="42"/>
      <c r="J61" s="42"/>
      <c r="K61" s="42"/>
    </row>
    <row r="62" spans="7:11" x14ac:dyDescent="0.25">
      <c r="G62" s="2" t="s">
        <v>95</v>
      </c>
      <c r="H62" s="42"/>
      <c r="I62" s="42"/>
      <c r="J62" s="42"/>
      <c r="K62" s="42"/>
    </row>
    <row r="63" spans="7:11" x14ac:dyDescent="0.25">
      <c r="H63" s="42"/>
      <c r="I63" s="42"/>
      <c r="J63" s="42"/>
      <c r="K63" s="42"/>
    </row>
    <row r="64" spans="7:11" x14ac:dyDescent="0.25">
      <c r="G64" s="2" t="s">
        <v>94</v>
      </c>
      <c r="H64" s="42"/>
      <c r="I64" s="42"/>
      <c r="J64" s="42"/>
      <c r="K64" s="42"/>
    </row>
    <row r="65" spans="7:11" x14ac:dyDescent="0.25">
      <c r="G65" s="43" t="s">
        <v>93</v>
      </c>
      <c r="H65" s="44">
        <f>(58986000+44620000-41742000+2740000)*0.5</f>
        <v>32302000</v>
      </c>
      <c r="I65" s="42"/>
      <c r="J65" s="42"/>
      <c r="K65" s="42"/>
    </row>
    <row r="66" spans="7:11" x14ac:dyDescent="0.25">
      <c r="H66" s="42"/>
      <c r="I66" s="42"/>
      <c r="J66" s="42"/>
      <c r="K66" s="42"/>
    </row>
    <row r="67" spans="7:11" x14ac:dyDescent="0.25">
      <c r="G67" s="2" t="s">
        <v>92</v>
      </c>
      <c r="H67" s="42"/>
      <c r="I67" s="42"/>
      <c r="J67" s="42"/>
      <c r="K67" s="42"/>
    </row>
    <row r="68" spans="7:11" x14ac:dyDescent="0.25">
      <c r="G68" s="2" t="s">
        <v>91</v>
      </c>
      <c r="H68" s="42"/>
      <c r="I68" s="42"/>
      <c r="J68" s="42"/>
      <c r="K68" s="42"/>
    </row>
    <row r="69" spans="7:11" x14ac:dyDescent="0.25">
      <c r="G69" s="2" t="s">
        <v>90</v>
      </c>
      <c r="H69" s="42"/>
      <c r="I69" s="42"/>
      <c r="J69" s="42"/>
      <c r="K69" s="42"/>
    </row>
    <row r="70" spans="7:11" x14ac:dyDescent="0.25">
      <c r="G70" s="2" t="s">
        <v>89</v>
      </c>
      <c r="H70" s="42">
        <f>H50*3.75%*0.5-C20*3.75%*0.25</f>
        <v>18425812.03125</v>
      </c>
      <c r="I70" s="42"/>
      <c r="J70" s="42"/>
      <c r="K70" s="42"/>
    </row>
    <row r="71" spans="7:11" x14ac:dyDescent="0.25">
      <c r="G71" s="2" t="s">
        <v>88</v>
      </c>
      <c r="H71" s="42"/>
      <c r="I71" s="42"/>
      <c r="J71" s="42"/>
      <c r="K71" s="42"/>
    </row>
    <row r="72" spans="7:11" x14ac:dyDescent="0.25">
      <c r="G72" s="2" t="s">
        <v>87</v>
      </c>
      <c r="H72" s="42">
        <f>C19*6.25%*0.5+(C21-C20)*6.25%*0.25</f>
        <v>20148437.5</v>
      </c>
      <c r="I72" s="42"/>
      <c r="J72" s="42"/>
      <c r="K72" s="42"/>
    </row>
    <row r="73" spans="7:11" x14ac:dyDescent="0.25">
      <c r="G73" s="2" t="s">
        <v>86</v>
      </c>
      <c r="H73" s="42"/>
      <c r="I73" s="42"/>
      <c r="J73" s="42"/>
      <c r="K73" s="42"/>
    </row>
    <row r="74" spans="7:11" x14ac:dyDescent="0.25">
      <c r="G74" s="2" t="s">
        <v>85</v>
      </c>
      <c r="H74" s="42"/>
      <c r="I74" s="42"/>
      <c r="J74" s="42"/>
      <c r="K74" s="42"/>
    </row>
    <row r="75" spans="7:11" x14ac:dyDescent="0.25">
      <c r="G75" s="43" t="s">
        <v>84</v>
      </c>
      <c r="H75" s="44">
        <f>0+H70-H72+0+0</f>
        <v>-1722625.46875</v>
      </c>
      <c r="I75" s="42"/>
      <c r="J75" s="42"/>
      <c r="K75" s="42"/>
    </row>
    <row r="76" spans="7:11" x14ac:dyDescent="0.25">
      <c r="H76" s="42"/>
      <c r="I76" s="42"/>
      <c r="J76" s="42"/>
      <c r="K76" s="42"/>
    </row>
    <row r="77" spans="7:11" x14ac:dyDescent="0.25">
      <c r="G77" s="43" t="s">
        <v>83</v>
      </c>
      <c r="H77" s="44">
        <f>H60</f>
        <v>-1511025</v>
      </c>
      <c r="I77" s="42"/>
      <c r="J77" s="42"/>
      <c r="K77" s="42"/>
    </row>
    <row r="78" spans="7:11" x14ac:dyDescent="0.25">
      <c r="H78" s="42"/>
      <c r="I78" s="42"/>
      <c r="J78" s="42"/>
      <c r="K78" s="42"/>
    </row>
    <row r="79" spans="7:11" x14ac:dyDescent="0.25">
      <c r="G79" s="43" t="s">
        <v>82</v>
      </c>
      <c r="H79" s="44">
        <f>H65+H75+H77</f>
        <v>29068349.53125</v>
      </c>
      <c r="I79" s="42"/>
      <c r="J79" s="42"/>
      <c r="K79" s="42"/>
    </row>
    <row r="80" spans="7:11" x14ac:dyDescent="0.25">
      <c r="G80" s="2" t="s">
        <v>81</v>
      </c>
      <c r="H80" s="42">
        <f>58986000+44620000-41742000+2740000</f>
        <v>64604000</v>
      </c>
      <c r="I80" s="42"/>
      <c r="J80" s="42"/>
      <c r="K80" s="42"/>
    </row>
    <row r="81" spans="7:11" x14ac:dyDescent="0.25">
      <c r="H81" s="42"/>
      <c r="I81" s="42"/>
      <c r="J81" s="42"/>
      <c r="K81" s="42"/>
    </row>
    <row r="82" spans="7:11" x14ac:dyDescent="0.25">
      <c r="G82" s="43" t="s">
        <v>80</v>
      </c>
      <c r="H82" s="44">
        <f>H79-H80</f>
        <v>-35535650.46875</v>
      </c>
      <c r="I82" s="42"/>
      <c r="J82" s="42"/>
      <c r="K82" s="42"/>
    </row>
    <row r="83" spans="7:11" x14ac:dyDescent="0.25">
      <c r="G83" s="43" t="s">
        <v>79</v>
      </c>
      <c r="H83" s="42"/>
      <c r="I83" s="42"/>
      <c r="J83" s="42"/>
      <c r="K83" s="42"/>
    </row>
  </sheetData>
  <sheetProtection algorithmName="SHA-512" hashValue="jooUmqszgz9aGJb1Ix7YSYFn6UqEqDg2oAaFOu0/U6NXiHxTfPMkZFZ4V7KV2x/gm5lIqBFT0TFNLDAnrTzWDA==" saltValue="kLJQbSYhOL4Ms2NdTslxWg==" spinCount="100000" sheet="1" objects="1" scenarios="1" formatCells="0" formatColumns="0" formatRows="0" insertColumns="0" insertRows="0"/>
  <mergeCells count="4">
    <mergeCell ref="B10:D12"/>
    <mergeCell ref="G10:O12"/>
    <mergeCell ref="G13:O13"/>
    <mergeCell ref="A5:D5"/>
  </mergeCells>
  <pageMargins left="0.7" right="0.7" top="0.75" bottom="0.75" header="0.3" footer="0.3"/>
  <pageSetup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1"/>
  <sheetViews>
    <sheetView zoomScaleNormal="100" workbookViewId="0">
      <selection activeCell="G31" sqref="G31"/>
    </sheetView>
  </sheetViews>
  <sheetFormatPr defaultColWidth="9.42578125" defaultRowHeight="15.75" x14ac:dyDescent="0.25"/>
  <cols>
    <col min="1" max="1" width="3" style="4" customWidth="1"/>
    <col min="2" max="4" width="29" style="4" customWidth="1"/>
    <col min="5" max="5" width="1" style="5" customWidth="1"/>
    <col min="6" max="6" width="3.42578125" style="2" customWidth="1"/>
    <col min="7" max="7" width="21.28515625" style="2" customWidth="1"/>
    <col min="8" max="15" width="9.42578125" style="2"/>
    <col min="16" max="16" width="1" style="22" customWidth="1"/>
    <col min="17" max="16384" width="9.42578125" style="2"/>
  </cols>
  <sheetData>
    <row r="1" spans="1:15" x14ac:dyDescent="0.25">
      <c r="A1" s="3" t="s">
        <v>9</v>
      </c>
      <c r="F1" s="3" t="s">
        <v>9</v>
      </c>
      <c r="G1" s="4"/>
      <c r="H1" s="4"/>
      <c r="I1" s="4"/>
      <c r="J1" s="4"/>
      <c r="K1" s="4"/>
      <c r="L1" s="4"/>
      <c r="M1" s="4"/>
      <c r="N1" s="4"/>
      <c r="O1" s="4"/>
    </row>
    <row r="2" spans="1:15" x14ac:dyDescent="0.25">
      <c r="A2" s="3" t="s">
        <v>10</v>
      </c>
      <c r="F2" s="3" t="s">
        <v>10</v>
      </c>
      <c r="G2" s="4"/>
      <c r="H2" s="4"/>
      <c r="I2" s="4"/>
      <c r="J2" s="4"/>
      <c r="K2" s="4"/>
      <c r="L2" s="4"/>
      <c r="M2" s="4"/>
      <c r="N2" s="4"/>
      <c r="O2" s="4"/>
    </row>
    <row r="3" spans="1:15" x14ac:dyDescent="0.25">
      <c r="A3" s="3" t="s">
        <v>13</v>
      </c>
      <c r="F3" s="3" t="s">
        <v>13</v>
      </c>
      <c r="G3" s="4"/>
      <c r="H3" s="4"/>
      <c r="I3" s="4"/>
      <c r="J3" s="4"/>
      <c r="K3" s="4"/>
      <c r="L3" s="4"/>
      <c r="M3" s="4"/>
      <c r="N3" s="4"/>
      <c r="O3" s="4"/>
    </row>
    <row r="4" spans="1:15" x14ac:dyDescent="0.25">
      <c r="F4" s="4"/>
      <c r="G4" s="4"/>
      <c r="H4" s="4"/>
      <c r="I4" s="4"/>
      <c r="J4" s="4"/>
      <c r="K4" s="4"/>
      <c r="L4" s="4"/>
      <c r="M4" s="4"/>
      <c r="N4" s="4"/>
      <c r="O4" s="4"/>
    </row>
    <row r="5" spans="1:15" x14ac:dyDescent="0.25">
      <c r="A5" s="6" t="s">
        <v>14</v>
      </c>
      <c r="F5" s="6" t="s">
        <v>45</v>
      </c>
      <c r="G5" s="4"/>
      <c r="H5" s="4"/>
      <c r="I5" s="4"/>
      <c r="J5" s="4"/>
      <c r="K5" s="4"/>
      <c r="L5" s="4"/>
      <c r="M5" s="4"/>
      <c r="N5" s="4"/>
      <c r="O5" s="4"/>
    </row>
    <row r="6" spans="1:15" x14ac:dyDescent="0.25">
      <c r="F6" s="4"/>
      <c r="G6" s="4"/>
      <c r="H6" s="4"/>
      <c r="I6" s="4"/>
      <c r="J6" s="4"/>
      <c r="K6" s="4"/>
      <c r="L6" s="4"/>
      <c r="M6" s="4"/>
      <c r="N6" s="4"/>
      <c r="O6" s="4"/>
    </row>
    <row r="7" spans="1:15" ht="15.75" customHeight="1" x14ac:dyDescent="0.25">
      <c r="B7" s="53" t="s">
        <v>58</v>
      </c>
      <c r="C7" s="53"/>
      <c r="D7" s="53"/>
      <c r="F7" s="4" t="s">
        <v>50</v>
      </c>
      <c r="G7" s="53" t="s">
        <v>59</v>
      </c>
      <c r="H7" s="53"/>
      <c r="I7" s="53"/>
      <c r="J7" s="53"/>
      <c r="K7" s="53"/>
      <c r="L7" s="53"/>
      <c r="M7" s="53"/>
      <c r="N7" s="53"/>
      <c r="O7" s="53"/>
    </row>
    <row r="8" spans="1:15" x14ac:dyDescent="0.25">
      <c r="B8" s="53"/>
      <c r="C8" s="53"/>
      <c r="D8" s="53"/>
      <c r="F8" s="4"/>
      <c r="G8" s="53"/>
      <c r="H8" s="53"/>
      <c r="I8" s="53"/>
      <c r="J8" s="53"/>
      <c r="K8" s="53"/>
      <c r="L8" s="53"/>
      <c r="M8" s="53"/>
      <c r="N8" s="53"/>
      <c r="O8" s="53"/>
    </row>
    <row r="9" spans="1:15" x14ac:dyDescent="0.25">
      <c r="B9" s="53"/>
      <c r="C9" s="53"/>
      <c r="D9" s="53"/>
      <c r="F9" s="4"/>
      <c r="G9" s="53"/>
      <c r="H9" s="53"/>
      <c r="I9" s="53"/>
      <c r="J9" s="53"/>
      <c r="K9" s="53"/>
      <c r="L9" s="53"/>
      <c r="M9" s="53"/>
      <c r="N9" s="53"/>
      <c r="O9" s="53"/>
    </row>
    <row r="10" spans="1:15" x14ac:dyDescent="0.25">
      <c r="B10" s="53"/>
      <c r="C10" s="53"/>
      <c r="D10" s="53"/>
      <c r="F10" s="4"/>
      <c r="G10" s="53"/>
      <c r="H10" s="53"/>
      <c r="I10" s="53"/>
      <c r="J10" s="53"/>
      <c r="K10" s="53"/>
      <c r="L10" s="53"/>
      <c r="M10" s="53"/>
      <c r="N10" s="53"/>
      <c r="O10" s="53"/>
    </row>
    <row r="11" spans="1:15" ht="15.75" customHeight="1" x14ac:dyDescent="0.25">
      <c r="B11" s="53"/>
      <c r="C11" s="53"/>
      <c r="D11" s="53"/>
      <c r="F11" s="4"/>
      <c r="G11" s="53" t="s">
        <v>53</v>
      </c>
      <c r="H11" s="53"/>
      <c r="I11" s="53"/>
      <c r="J11" s="53"/>
      <c r="K11" s="53"/>
      <c r="L11" s="53"/>
      <c r="M11" s="53"/>
      <c r="N11" s="53"/>
      <c r="O11" s="53"/>
    </row>
    <row r="12" spans="1:15" x14ac:dyDescent="0.25">
      <c r="B12" s="53"/>
      <c r="C12" s="53"/>
      <c r="D12" s="53"/>
      <c r="F12" s="4"/>
      <c r="G12" s="53"/>
      <c r="H12" s="53"/>
      <c r="I12" s="53"/>
      <c r="J12" s="53"/>
      <c r="K12" s="53"/>
      <c r="L12" s="53"/>
      <c r="M12" s="53"/>
      <c r="N12" s="53"/>
      <c r="O12" s="53"/>
    </row>
    <row r="13" spans="1:15" x14ac:dyDescent="0.25">
      <c r="B13" s="53"/>
      <c r="C13" s="53"/>
      <c r="D13" s="53"/>
    </row>
    <row r="14" spans="1:15" x14ac:dyDescent="0.25">
      <c r="B14" s="53"/>
      <c r="C14" s="53"/>
      <c r="D14" s="53"/>
      <c r="G14" s="2" t="s">
        <v>61</v>
      </c>
    </row>
    <row r="16" spans="1:15" x14ac:dyDescent="0.25">
      <c r="G16" s="2" t="s">
        <v>63</v>
      </c>
      <c r="H16" s="35">
        <v>0.18</v>
      </c>
    </row>
    <row r="17" spans="7:9" x14ac:dyDescent="0.25">
      <c r="G17" s="2" t="s">
        <v>64</v>
      </c>
      <c r="H17" s="35">
        <v>0.37</v>
      </c>
    </row>
    <row r="18" spans="7:9" x14ac:dyDescent="0.25">
      <c r="G18" s="2" t="s">
        <v>62</v>
      </c>
      <c r="H18" s="35">
        <v>0.2</v>
      </c>
    </row>
    <row r="20" spans="7:9" x14ac:dyDescent="0.25">
      <c r="G20" s="2" t="s">
        <v>65</v>
      </c>
    </row>
    <row r="21" spans="7:9" x14ac:dyDescent="0.25">
      <c r="G21" s="36">
        <f>1-(H16+H18)</f>
        <v>0.62</v>
      </c>
      <c r="I21" s="2" t="s">
        <v>70</v>
      </c>
    </row>
    <row r="22" spans="7:9" x14ac:dyDescent="0.25">
      <c r="G22" s="2" t="s">
        <v>66</v>
      </c>
    </row>
    <row r="23" spans="7:9" x14ac:dyDescent="0.25">
      <c r="G23" s="2">
        <f>G21*100</f>
        <v>62</v>
      </c>
      <c r="H23" s="34" t="s">
        <v>67</v>
      </c>
    </row>
    <row r="24" spans="7:9" x14ac:dyDescent="0.25">
      <c r="G24" s="2" t="s">
        <v>68</v>
      </c>
    </row>
    <row r="25" spans="7:9" x14ac:dyDescent="0.25">
      <c r="G25" s="34" t="s">
        <v>69</v>
      </c>
      <c r="H25" s="37">
        <f>(G21/(1-0.37))-1</f>
        <v>-1.5873015873015928E-2</v>
      </c>
    </row>
    <row r="31" spans="7:9" x14ac:dyDescent="0.25">
      <c r="G31" s="38"/>
    </row>
  </sheetData>
  <sheetProtection algorithmName="SHA-512" hashValue="7O4gPd7zrmTrGmQqpmEiYyp4IHDSjO9brxkUUSEdUDxgWhvwbGifkPeoPnLr9h7k5uZ2T2eBR+QESHnXPfav9w==" saltValue="/WpmcLWsQl+J5EC1sfU9OQ==" spinCount="100000" sheet="1" objects="1" scenarios="1" formatCells="0" formatColumns="0" formatRows="0" insertColumns="0" insertRows="0"/>
  <mergeCells count="5">
    <mergeCell ref="B7:D14"/>
    <mergeCell ref="G7:O9"/>
    <mergeCell ref="G10:O10"/>
    <mergeCell ref="G11:O11"/>
    <mergeCell ref="G12:O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8A87F8BE90AF04C9C0E755B7A54BE1F" ma:contentTypeVersion="8" ma:contentTypeDescription="Create a new document." ma:contentTypeScope="" ma:versionID="baa9af011de380a07db3e5aa3ebf2d99">
  <xsd:schema xmlns:xsd="http://www.w3.org/2001/XMLSchema" xmlns:xs="http://www.w3.org/2001/XMLSchema" xmlns:p="http://schemas.microsoft.com/office/2006/metadata/properties" xmlns:ns3="1c1f44d3-7cb7-4840-a41f-b489ae367cc5" targetNamespace="http://schemas.microsoft.com/office/2006/metadata/properties" ma:root="true" ma:fieldsID="908ca2e89536b3c28c156e25406d657c" ns3:_="">
    <xsd:import namespace="1c1f44d3-7cb7-4840-a41f-b489ae367cc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1f44d3-7cb7-4840-a41f-b489ae367c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81CF85-FE09-4EBF-9972-8BB27780FA27}">
  <ds:schemaRef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1c1f44d3-7cb7-4840-a41f-b489ae367cc5"/>
    <ds:schemaRef ds:uri="http://www.w3.org/XML/1998/namespace"/>
    <ds:schemaRef ds:uri="http://purl.org/dc/terms/"/>
  </ds:schemaRefs>
</ds:datastoreItem>
</file>

<file path=customXml/itemProps2.xml><?xml version="1.0" encoding="utf-8"?>
<ds:datastoreItem xmlns:ds="http://schemas.openxmlformats.org/officeDocument/2006/customXml" ds:itemID="{9D6E72B9-E4A0-4BB6-BD7F-58C263DF5F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1f44d3-7cb7-4840-a41f-b489ae367c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527E2E-676E-4900-89FB-4B0A92AC009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Question 3</vt:lpstr>
      <vt:lpstr>Question 5</vt:lpstr>
      <vt:lpstr>Question 9</vt:lpstr>
      <vt:lpstr>Question 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 Zionce</cp:lastModifiedBy>
  <cp:lastPrinted>2020-08-05T01:56:16Z</cp:lastPrinted>
  <dcterms:created xsi:type="dcterms:W3CDTF">2015-06-05T18:17:20Z</dcterms:created>
  <dcterms:modified xsi:type="dcterms:W3CDTF">2021-01-19T16:07:31Z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0x01010028A87F8BE90AF04C9C0E755B7A54BE1F</vt:lpwstr>
  </property>
</Properties>
</file>