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8_{DC5D2D0F-8C97-422B-94B1-0D5369B8D701}" xr6:coauthVersionLast="46" xr6:coauthVersionMax="46" xr10:uidLastSave="{00000000-0000-0000-0000-000000000000}"/>
  <bookViews>
    <workbookView xWindow="0" yWindow="0" windowWidth="23400" windowHeight="12480" xr2:uid="{00000000-000D-0000-FFFF-FFFF00000000}"/>
  </bookViews>
  <sheets>
    <sheet name="Instructions" sheetId="8" r:id="rId1"/>
    <sheet name="FASB DAC Guidance" sheetId="2" r:id="rId2"/>
    <sheet name="DAC Example" sheetId="1" r:id="rId3"/>
    <sheet name="20 YT DAC" sheetId="6" r:id="rId4"/>
    <sheet name="FASB Reserve Guidance" sheetId="11" r:id="rId5"/>
    <sheet name="Reserve Example" sheetId="9" r:id="rId6"/>
    <sheet name="20 YT Reserve" sheetId="10" r:id="rId7"/>
    <sheet name="Answer Key" sheetId="12" r:id="rId8"/>
  </sheets>
  <definedNames>
    <definedName name="_xlnm.Print_Area" localSheetId="2">'DAC Example'!$A$1:$R$32</definedName>
    <definedName name="_xlnm.Print_Area" localSheetId="1">'FASB DAC Guidance'!$A$1:$J$32</definedName>
    <definedName name="_xlnm.Print_Area" localSheetId="4">'FASB Reserve Guidance'!$A$1:$J$32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8" i="9" l="1"/>
  <c r="X78" i="9"/>
  <c r="M78" i="9"/>
  <c r="L79" i="9"/>
  <c r="L78" i="9"/>
  <c r="G63" i="9"/>
  <c r="J13" i="6" l="1"/>
  <c r="R28" i="10"/>
  <c r="J14" i="10" l="1"/>
  <c r="R35" i="10"/>
  <c r="R34" i="10"/>
  <c r="R33" i="10"/>
  <c r="R32" i="10"/>
  <c r="R31" i="10"/>
  <c r="R30" i="10"/>
  <c r="R29" i="10"/>
  <c r="R27" i="10"/>
  <c r="R26" i="10"/>
  <c r="R25" i="10"/>
  <c r="R24" i="10"/>
  <c r="R23" i="10"/>
  <c r="R22" i="10"/>
  <c r="R21" i="10"/>
  <c r="R20" i="10"/>
  <c r="R19" i="10"/>
  <c r="R18" i="10"/>
  <c r="R17" i="10"/>
  <c r="K36" i="10" l="1"/>
  <c r="K35" i="10"/>
  <c r="K34" i="10"/>
  <c r="K33" i="10"/>
  <c r="K32" i="10"/>
  <c r="K31" i="10"/>
  <c r="K30" i="10"/>
  <c r="K29" i="10"/>
  <c r="K28" i="10"/>
  <c r="K27" i="10"/>
  <c r="K26" i="10"/>
  <c r="K25" i="10"/>
  <c r="K24" i="10"/>
  <c r="K23" i="10"/>
  <c r="K22" i="10"/>
  <c r="K21" i="10"/>
  <c r="K20" i="10"/>
  <c r="K19" i="10"/>
  <c r="K18" i="10"/>
  <c r="K17" i="10"/>
  <c r="J36" i="10"/>
  <c r="J35" i="10"/>
  <c r="J34" i="10"/>
  <c r="J33" i="10"/>
  <c r="J32" i="10"/>
  <c r="J31" i="10"/>
  <c r="J30" i="10"/>
  <c r="J29" i="10"/>
  <c r="J28" i="10"/>
  <c r="J27" i="10"/>
  <c r="J26" i="10"/>
  <c r="J25" i="10"/>
  <c r="J24" i="10"/>
  <c r="J23" i="10"/>
  <c r="J22" i="10"/>
  <c r="J21" i="10"/>
  <c r="J20" i="10"/>
  <c r="J19" i="10"/>
  <c r="J18" i="10"/>
  <c r="J17" i="10"/>
  <c r="L17" i="10" l="1"/>
  <c r="C18" i="10" l="1"/>
  <c r="L18" i="10" s="1"/>
  <c r="B18" i="10"/>
  <c r="B19" i="10" s="1"/>
  <c r="B20" i="10" s="1"/>
  <c r="B21" i="10" s="1"/>
  <c r="B22" i="10" s="1"/>
  <c r="B23" i="10" s="1"/>
  <c r="B24" i="10" s="1"/>
  <c r="B25" i="10" s="1"/>
  <c r="B26" i="10" s="1"/>
  <c r="B27" i="10" s="1"/>
  <c r="B28" i="10" s="1"/>
  <c r="B29" i="10" s="1"/>
  <c r="B30" i="10" s="1"/>
  <c r="B31" i="10" s="1"/>
  <c r="B32" i="10" s="1"/>
  <c r="B33" i="10" s="1"/>
  <c r="B34" i="10" s="1"/>
  <c r="B35" i="10" s="1"/>
  <c r="B36" i="10" s="1"/>
  <c r="M17" i="10"/>
  <c r="M18" i="10" s="1"/>
  <c r="D17" i="10"/>
  <c r="D18" i="10" s="1"/>
  <c r="D28" i="9"/>
  <c r="F28" i="9" s="1"/>
  <c r="G62" i="9" s="1"/>
  <c r="E28" i="9"/>
  <c r="I28" i="9"/>
  <c r="J28" i="9"/>
  <c r="K28" i="9" s="1"/>
  <c r="O28" i="9"/>
  <c r="P28" i="9"/>
  <c r="Q28" i="9" s="1"/>
  <c r="U28" i="9"/>
  <c r="V28" i="9"/>
  <c r="W28" i="9" s="1"/>
  <c r="B29" i="9"/>
  <c r="B30" i="9" s="1"/>
  <c r="B31" i="9" s="1"/>
  <c r="B32" i="9" s="1"/>
  <c r="B33" i="9" s="1"/>
  <c r="B34" i="9" s="1"/>
  <c r="B35" i="9" s="1"/>
  <c r="B36" i="9" s="1"/>
  <c r="B37" i="9" s="1"/>
  <c r="B38" i="9" s="1"/>
  <c r="B39" i="9" s="1"/>
  <c r="B40" i="9" s="1"/>
  <c r="B41" i="9" s="1"/>
  <c r="B42" i="9" s="1"/>
  <c r="B43" i="9" s="1"/>
  <c r="B44" i="9" s="1"/>
  <c r="B45" i="9" s="1"/>
  <c r="B46" i="9" s="1"/>
  <c r="B47" i="9" s="1"/>
  <c r="C29" i="9"/>
  <c r="V29" i="9" l="1"/>
  <c r="W29" i="9" s="1"/>
  <c r="G61" i="9"/>
  <c r="P29" i="9"/>
  <c r="Q29" i="9" s="1"/>
  <c r="D29" i="9"/>
  <c r="E29" i="9" s="1"/>
  <c r="J29" i="9"/>
  <c r="K29" i="9" s="1"/>
  <c r="X28" i="9"/>
  <c r="L28" i="9"/>
  <c r="M19" i="10"/>
  <c r="F17" i="10"/>
  <c r="E17" i="10"/>
  <c r="C19" i="10"/>
  <c r="L19" i="10" s="1"/>
  <c r="O17" i="10"/>
  <c r="N17" i="10"/>
  <c r="D19" i="10"/>
  <c r="F18" i="10"/>
  <c r="E18" i="10"/>
  <c r="D30" i="9"/>
  <c r="I29" i="9"/>
  <c r="O29" i="9"/>
  <c r="P30" i="9" s="1"/>
  <c r="U29" i="9"/>
  <c r="V30" i="9" s="1"/>
  <c r="C30" i="9"/>
  <c r="R28" i="9"/>
  <c r="F29" i="9" l="1"/>
  <c r="J30" i="9"/>
  <c r="M20" i="10"/>
  <c r="X29" i="9"/>
  <c r="R29" i="9"/>
  <c r="C20" i="10"/>
  <c r="L20" i="10" s="1"/>
  <c r="D20" i="10"/>
  <c r="F19" i="10"/>
  <c r="E19" i="10"/>
  <c r="N18" i="10"/>
  <c r="O18" i="10"/>
  <c r="F30" i="9"/>
  <c r="D31" i="9"/>
  <c r="E30" i="9"/>
  <c r="Q30" i="9"/>
  <c r="L29" i="9"/>
  <c r="K30" i="9"/>
  <c r="I30" i="9"/>
  <c r="J31" i="9" s="1"/>
  <c r="O30" i="9"/>
  <c r="R30" i="9" s="1"/>
  <c r="U30" i="9"/>
  <c r="X30" i="9" s="1"/>
  <c r="C31" i="9"/>
  <c r="W30" i="9"/>
  <c r="L30" i="9" l="1"/>
  <c r="V31" i="9"/>
  <c r="M21" i="10"/>
  <c r="N19" i="10"/>
  <c r="O19" i="10"/>
  <c r="C21" i="10"/>
  <c r="L21" i="10" s="1"/>
  <c r="D21" i="10"/>
  <c r="F20" i="10"/>
  <c r="E20" i="10"/>
  <c r="I31" i="9"/>
  <c r="J32" i="9" s="1"/>
  <c r="O31" i="9"/>
  <c r="U31" i="9"/>
  <c r="V32" i="9" s="1"/>
  <c r="C32" i="9"/>
  <c r="K31" i="9"/>
  <c r="P31" i="9"/>
  <c r="W31" i="9"/>
  <c r="F31" i="9"/>
  <c r="D32" i="9"/>
  <c r="E31" i="9"/>
  <c r="M13" i="6"/>
  <c r="C13" i="6"/>
  <c r="K14" i="6"/>
  <c r="K15" i="6" s="1"/>
  <c r="K16" i="6" s="1"/>
  <c r="K17" i="6" s="1"/>
  <c r="K18" i="6" s="1"/>
  <c r="K19" i="6" s="1"/>
  <c r="L31" i="9" l="1"/>
  <c r="X31" i="9"/>
  <c r="M22" i="10"/>
  <c r="F21" i="10"/>
  <c r="E21" i="10"/>
  <c r="D22" i="10"/>
  <c r="C22" i="10"/>
  <c r="L22" i="10" s="1"/>
  <c r="N20" i="10"/>
  <c r="O20" i="10"/>
  <c r="F32" i="9"/>
  <c r="E32" i="9"/>
  <c r="D33" i="9"/>
  <c r="Q31" i="9"/>
  <c r="P32" i="9"/>
  <c r="R31" i="9"/>
  <c r="I32" i="9"/>
  <c r="L32" i="9" s="1"/>
  <c r="C33" i="9"/>
  <c r="I33" i="9" s="1"/>
  <c r="O32" i="9"/>
  <c r="U32" i="9"/>
  <c r="X32" i="9" s="1"/>
  <c r="W32" i="9"/>
  <c r="J33" i="9"/>
  <c r="K32" i="9"/>
  <c r="K20" i="6"/>
  <c r="K21" i="6" s="1"/>
  <c r="K22" i="6" s="1"/>
  <c r="K23" i="6" s="1"/>
  <c r="K24" i="6" s="1"/>
  <c r="K25" i="6" s="1"/>
  <c r="K26" i="6" s="1"/>
  <c r="K27" i="6" s="1"/>
  <c r="K28" i="6" s="1"/>
  <c r="K29" i="6" s="1"/>
  <c r="K30" i="6" s="1"/>
  <c r="K31" i="6" s="1"/>
  <c r="K32" i="6" s="1"/>
  <c r="B14" i="6"/>
  <c r="J14" i="6" s="1"/>
  <c r="M23" i="10" l="1"/>
  <c r="M14" i="6"/>
  <c r="N21" i="10"/>
  <c r="O21" i="10"/>
  <c r="D23" i="10"/>
  <c r="F22" i="10"/>
  <c r="E22" i="10"/>
  <c r="C23" i="10"/>
  <c r="L23" i="10" s="1"/>
  <c r="K33" i="9"/>
  <c r="E33" i="9"/>
  <c r="K76" i="9" s="1"/>
  <c r="D34" i="9"/>
  <c r="F33" i="9"/>
  <c r="K77" i="9" s="1"/>
  <c r="V33" i="9"/>
  <c r="O33" i="9"/>
  <c r="U33" i="9"/>
  <c r="J34" i="9"/>
  <c r="C34" i="9"/>
  <c r="R32" i="9"/>
  <c r="Q32" i="9"/>
  <c r="P33" i="9"/>
  <c r="B15" i="6"/>
  <c r="M24" i="10" l="1"/>
  <c r="J15" i="6"/>
  <c r="M15" i="6"/>
  <c r="C24" i="10"/>
  <c r="L24" i="10" s="1"/>
  <c r="N22" i="10"/>
  <c r="O22" i="10"/>
  <c r="D24" i="10"/>
  <c r="E23" i="10"/>
  <c r="F23" i="10"/>
  <c r="K34" i="9"/>
  <c r="P34" i="9"/>
  <c r="Q33" i="9"/>
  <c r="R33" i="9"/>
  <c r="L76" i="9"/>
  <c r="M61" i="9"/>
  <c r="F34" i="9"/>
  <c r="E34" i="9"/>
  <c r="D35" i="9"/>
  <c r="L33" i="9"/>
  <c r="C35" i="9"/>
  <c r="I34" i="9"/>
  <c r="J35" i="9" s="1"/>
  <c r="O34" i="9"/>
  <c r="U34" i="9"/>
  <c r="V34" i="9"/>
  <c r="W33" i="9"/>
  <c r="X33" i="9"/>
  <c r="B16" i="6"/>
  <c r="E11" i="1"/>
  <c r="E10" i="1"/>
  <c r="C11" i="1"/>
  <c r="C10" i="1"/>
  <c r="C9" i="1"/>
  <c r="C8" i="1"/>
  <c r="C7" i="1"/>
  <c r="M25" i="10" l="1"/>
  <c r="J16" i="6"/>
  <c r="M16" i="6"/>
  <c r="N23" i="10"/>
  <c r="O23" i="10"/>
  <c r="C25" i="10"/>
  <c r="L25" i="10" s="1"/>
  <c r="D25" i="10"/>
  <c r="F24" i="10"/>
  <c r="E24" i="10"/>
  <c r="K35" i="9"/>
  <c r="L77" i="9"/>
  <c r="M77" i="9" s="1"/>
  <c r="M62" i="9"/>
  <c r="R34" i="9"/>
  <c r="Q34" i="9"/>
  <c r="P35" i="9"/>
  <c r="E35" i="9"/>
  <c r="D36" i="9"/>
  <c r="F35" i="9"/>
  <c r="M76" i="9"/>
  <c r="L34" i="9"/>
  <c r="V35" i="9"/>
  <c r="X34" i="9"/>
  <c r="W34" i="9"/>
  <c r="O35" i="9"/>
  <c r="U35" i="9"/>
  <c r="I35" i="9"/>
  <c r="L35" i="9" s="1"/>
  <c r="C36" i="9"/>
  <c r="B17" i="6"/>
  <c r="C12" i="1"/>
  <c r="N25" i="1"/>
  <c r="H25" i="1"/>
  <c r="M26" i="10" l="1"/>
  <c r="J17" i="6"/>
  <c r="M17" i="6"/>
  <c r="C26" i="10"/>
  <c r="L26" i="10" s="1"/>
  <c r="N24" i="10"/>
  <c r="O24" i="10"/>
  <c r="D26" i="10"/>
  <c r="E25" i="10"/>
  <c r="F25" i="10"/>
  <c r="X35" i="9"/>
  <c r="W35" i="9"/>
  <c r="V36" i="9"/>
  <c r="F36" i="9"/>
  <c r="E36" i="9"/>
  <c r="D37" i="9"/>
  <c r="J36" i="9"/>
  <c r="U36" i="9"/>
  <c r="I36" i="9"/>
  <c r="C37" i="9"/>
  <c r="O36" i="9"/>
  <c r="Q35" i="9"/>
  <c r="P36" i="9"/>
  <c r="R35" i="9"/>
  <c r="B18" i="6"/>
  <c r="C25" i="1"/>
  <c r="M27" i="10" l="1"/>
  <c r="J18" i="6"/>
  <c r="M18" i="6"/>
  <c r="C27" i="10"/>
  <c r="L27" i="10" s="1"/>
  <c r="O25" i="10"/>
  <c r="N25" i="10"/>
  <c r="F26" i="10"/>
  <c r="D27" i="10"/>
  <c r="E26" i="10"/>
  <c r="R36" i="9"/>
  <c r="W77" i="9" s="1"/>
  <c r="Q36" i="9"/>
  <c r="W76" i="9" s="1"/>
  <c r="P37" i="9"/>
  <c r="K36" i="9"/>
  <c r="J37" i="9"/>
  <c r="L36" i="9"/>
  <c r="W36" i="9"/>
  <c r="Y61" i="9" s="1"/>
  <c r="V37" i="9"/>
  <c r="X36" i="9"/>
  <c r="O37" i="9"/>
  <c r="I37" i="9"/>
  <c r="C38" i="9"/>
  <c r="U37" i="9"/>
  <c r="E37" i="9"/>
  <c r="D38" i="9"/>
  <c r="F37" i="9"/>
  <c r="B19" i="6"/>
  <c r="B25" i="1"/>
  <c r="C26" i="1" s="1"/>
  <c r="Y62" i="9" l="1"/>
  <c r="X77" i="9" s="1"/>
  <c r="Y77" i="9"/>
  <c r="M28" i="10"/>
  <c r="J19" i="6"/>
  <c r="M19" i="6"/>
  <c r="D28" i="10"/>
  <c r="E27" i="10"/>
  <c r="F27" i="10"/>
  <c r="O26" i="10"/>
  <c r="N26" i="10"/>
  <c r="C28" i="10"/>
  <c r="L28" i="10" s="1"/>
  <c r="I38" i="9"/>
  <c r="C39" i="9"/>
  <c r="U38" i="9"/>
  <c r="O38" i="9"/>
  <c r="X37" i="9"/>
  <c r="V38" i="9"/>
  <c r="W37" i="9"/>
  <c r="F38" i="9"/>
  <c r="D39" i="9"/>
  <c r="E38" i="9"/>
  <c r="X76" i="9"/>
  <c r="Q37" i="9"/>
  <c r="P38" i="9"/>
  <c r="R37" i="9"/>
  <c r="L37" i="9"/>
  <c r="J38" i="9"/>
  <c r="K37" i="9"/>
  <c r="B20" i="6"/>
  <c r="J20" i="6" s="1"/>
  <c r="D20" i="1"/>
  <c r="M29" i="10" l="1"/>
  <c r="M20" i="6"/>
  <c r="D29" i="10"/>
  <c r="E28" i="10"/>
  <c r="F28" i="10"/>
  <c r="C29" i="10"/>
  <c r="L29" i="10" s="1"/>
  <c r="O27" i="10"/>
  <c r="N27" i="10"/>
  <c r="R38" i="9"/>
  <c r="P39" i="9"/>
  <c r="Q38" i="9"/>
  <c r="Y76" i="9"/>
  <c r="K38" i="9"/>
  <c r="J39" i="9"/>
  <c r="L38" i="9"/>
  <c r="W38" i="9"/>
  <c r="V39" i="9"/>
  <c r="X38" i="9"/>
  <c r="O39" i="9"/>
  <c r="U39" i="9"/>
  <c r="C40" i="9"/>
  <c r="I39" i="9"/>
  <c r="E39" i="9"/>
  <c r="D40" i="9"/>
  <c r="F39" i="9"/>
  <c r="B21" i="6"/>
  <c r="J21" i="6" s="1"/>
  <c r="D7" i="1"/>
  <c r="F20" i="1"/>
  <c r="M30" i="10" l="1"/>
  <c r="M21" i="6"/>
  <c r="C30" i="10"/>
  <c r="L30" i="10" s="1"/>
  <c r="N28" i="10"/>
  <c r="O28" i="10"/>
  <c r="D30" i="10"/>
  <c r="E29" i="10"/>
  <c r="F29" i="10"/>
  <c r="L39" i="9"/>
  <c r="J40" i="9"/>
  <c r="K39" i="9"/>
  <c r="U40" i="9"/>
  <c r="I40" i="9"/>
  <c r="C41" i="9"/>
  <c r="O40" i="9"/>
  <c r="X39" i="9"/>
  <c r="W39" i="9"/>
  <c r="V40" i="9"/>
  <c r="Q39" i="9"/>
  <c r="P40" i="9"/>
  <c r="R39" i="9"/>
  <c r="F40" i="9"/>
  <c r="D41" i="9"/>
  <c r="E40" i="9"/>
  <c r="B22" i="6"/>
  <c r="J22" i="6" s="1"/>
  <c r="I20" i="1"/>
  <c r="I25" i="1" s="1"/>
  <c r="I26" i="1" s="1"/>
  <c r="J21" i="1" s="1"/>
  <c r="D8" i="1" s="1"/>
  <c r="L20" i="1"/>
  <c r="M31" i="10" l="1"/>
  <c r="M22" i="6"/>
  <c r="F30" i="10"/>
  <c r="D31" i="10"/>
  <c r="E30" i="10"/>
  <c r="C31" i="10"/>
  <c r="L31" i="10" s="1"/>
  <c r="N29" i="10"/>
  <c r="O29" i="10"/>
  <c r="K40" i="9"/>
  <c r="J41" i="9"/>
  <c r="L40" i="9"/>
  <c r="R40" i="9"/>
  <c r="Q40" i="9"/>
  <c r="P41" i="9"/>
  <c r="E41" i="9"/>
  <c r="D42" i="9"/>
  <c r="F41" i="9"/>
  <c r="W40" i="9"/>
  <c r="V41" i="9"/>
  <c r="X40" i="9"/>
  <c r="O41" i="9"/>
  <c r="I41" i="9"/>
  <c r="C42" i="9"/>
  <c r="U41" i="9"/>
  <c r="B23" i="6"/>
  <c r="J23" i="6" s="1"/>
  <c r="R20" i="1"/>
  <c r="K21" i="1"/>
  <c r="E8" i="1" s="1"/>
  <c r="M32" i="10" l="1"/>
  <c r="M23" i="6"/>
  <c r="N30" i="10"/>
  <c r="O30" i="10"/>
  <c r="C32" i="10"/>
  <c r="L32" i="10" s="1"/>
  <c r="M33" i="10" s="1"/>
  <c r="D32" i="10"/>
  <c r="E31" i="10"/>
  <c r="F31" i="10"/>
  <c r="Q41" i="9"/>
  <c r="P42" i="9"/>
  <c r="R41" i="9"/>
  <c r="L41" i="9"/>
  <c r="K41" i="9"/>
  <c r="J42" i="9"/>
  <c r="F42" i="9"/>
  <c r="E42" i="9"/>
  <c r="D43" i="9"/>
  <c r="I42" i="9"/>
  <c r="C43" i="9"/>
  <c r="U42" i="9"/>
  <c r="O42" i="9"/>
  <c r="X41" i="9"/>
  <c r="W41" i="9"/>
  <c r="V42" i="9"/>
  <c r="B24" i="6"/>
  <c r="J24" i="6" s="1"/>
  <c r="L21" i="1"/>
  <c r="R21" i="1" s="1"/>
  <c r="M24" i="6" l="1"/>
  <c r="E32" i="10"/>
  <c r="F32" i="10"/>
  <c r="D33" i="10"/>
  <c r="O31" i="10"/>
  <c r="N31" i="10"/>
  <c r="C33" i="10"/>
  <c r="L33" i="10" s="1"/>
  <c r="M34" i="10" s="1"/>
  <c r="K42" i="9"/>
  <c r="J43" i="9"/>
  <c r="L42" i="9"/>
  <c r="R42" i="9"/>
  <c r="Q42" i="9"/>
  <c r="P43" i="9"/>
  <c r="E43" i="9"/>
  <c r="D44" i="9"/>
  <c r="F43" i="9"/>
  <c r="W42" i="9"/>
  <c r="V43" i="9"/>
  <c r="X42" i="9"/>
  <c r="O43" i="9"/>
  <c r="U43" i="9"/>
  <c r="I43" i="9"/>
  <c r="C44" i="9"/>
  <c r="B25" i="6"/>
  <c r="J25" i="6" s="1"/>
  <c r="O21" i="1"/>
  <c r="O25" i="1" s="1"/>
  <c r="O26" i="1" s="1"/>
  <c r="P22" i="1" s="1"/>
  <c r="M25" i="6" l="1"/>
  <c r="C34" i="10"/>
  <c r="L34" i="10" s="1"/>
  <c r="M35" i="10" s="1"/>
  <c r="E33" i="10"/>
  <c r="F33" i="10"/>
  <c r="D34" i="10"/>
  <c r="N32" i="10"/>
  <c r="O32" i="10"/>
  <c r="Q43" i="9"/>
  <c r="P44" i="9"/>
  <c r="R43" i="9"/>
  <c r="L43" i="9"/>
  <c r="K43" i="9"/>
  <c r="J44" i="9"/>
  <c r="U44" i="9"/>
  <c r="I44" i="9"/>
  <c r="C45" i="9"/>
  <c r="O44" i="9"/>
  <c r="F44" i="9"/>
  <c r="E44" i="9"/>
  <c r="D45" i="9"/>
  <c r="X43" i="9"/>
  <c r="W43" i="9"/>
  <c r="V44" i="9"/>
  <c r="B26" i="6"/>
  <c r="J26" i="6" s="1"/>
  <c r="P23" i="1"/>
  <c r="D10" i="1" s="1"/>
  <c r="P24" i="1"/>
  <c r="D11" i="1" s="1"/>
  <c r="D9" i="1"/>
  <c r="Q22" i="1"/>
  <c r="E9" i="1" s="1"/>
  <c r="E12" i="1" s="1"/>
  <c r="F7" i="1"/>
  <c r="B8" i="1" s="1"/>
  <c r="F8" i="1" s="1"/>
  <c r="B9" i="1" s="1"/>
  <c r="M26" i="6" l="1"/>
  <c r="C35" i="10"/>
  <c r="L35" i="10" s="1"/>
  <c r="M36" i="10" s="1"/>
  <c r="O33" i="10"/>
  <c r="N33" i="10"/>
  <c r="F34" i="10"/>
  <c r="E34" i="10"/>
  <c r="D35" i="10"/>
  <c r="K44" i="9"/>
  <c r="J45" i="9"/>
  <c r="L44" i="9"/>
  <c r="R44" i="9"/>
  <c r="Q44" i="9"/>
  <c r="P45" i="9"/>
  <c r="E45" i="9"/>
  <c r="D46" i="9"/>
  <c r="F45" i="9"/>
  <c r="O45" i="9"/>
  <c r="I45" i="9"/>
  <c r="C46" i="9"/>
  <c r="U45" i="9"/>
  <c r="W44" i="9"/>
  <c r="X44" i="9"/>
  <c r="V45" i="9"/>
  <c r="B27" i="6"/>
  <c r="J27" i="6" s="1"/>
  <c r="R22" i="1"/>
  <c r="R23" i="1" s="1"/>
  <c r="R24" i="1" s="1"/>
  <c r="D12" i="1"/>
  <c r="F9" i="1"/>
  <c r="B10" i="1" s="1"/>
  <c r="F10" i="1" s="1"/>
  <c r="B11" i="1" s="1"/>
  <c r="F11" i="1" s="1"/>
  <c r="M27" i="6" l="1"/>
  <c r="D36" i="10"/>
  <c r="E35" i="10"/>
  <c r="F35" i="10"/>
  <c r="O34" i="10"/>
  <c r="N34" i="10"/>
  <c r="C36" i="10"/>
  <c r="L36" i="10" s="1"/>
  <c r="Q45" i="9"/>
  <c r="R45" i="9"/>
  <c r="P46" i="9"/>
  <c r="L45" i="9"/>
  <c r="K45" i="9"/>
  <c r="J46" i="9"/>
  <c r="X45" i="9"/>
  <c r="W45" i="9"/>
  <c r="V46" i="9"/>
  <c r="I46" i="9"/>
  <c r="C47" i="9"/>
  <c r="U46" i="9"/>
  <c r="O46" i="9"/>
  <c r="F46" i="9"/>
  <c r="D47" i="9"/>
  <c r="E46" i="9"/>
  <c r="B28" i="6"/>
  <c r="J28" i="6" s="1"/>
  <c r="M28" i="6" l="1"/>
  <c r="O35" i="10"/>
  <c r="N35" i="10"/>
  <c r="F36" i="10"/>
  <c r="F37" i="10" s="1"/>
  <c r="E36" i="10"/>
  <c r="E37" i="10" s="1"/>
  <c r="K46" i="9"/>
  <c r="L46" i="9"/>
  <c r="J47" i="9"/>
  <c r="W46" i="9"/>
  <c r="X46" i="9"/>
  <c r="V47" i="9"/>
  <c r="E47" i="9"/>
  <c r="E48" i="9" s="1"/>
  <c r="F47" i="9"/>
  <c r="F48" i="9" s="1"/>
  <c r="I47" i="9"/>
  <c r="O47" i="9"/>
  <c r="U47" i="9"/>
  <c r="R46" i="9"/>
  <c r="Q46" i="9"/>
  <c r="P47" i="9"/>
  <c r="B29" i="6"/>
  <c r="J29" i="6" s="1"/>
  <c r="M29" i="6" l="1"/>
  <c r="F50" i="9"/>
  <c r="G33" i="9" s="1"/>
  <c r="K74" i="9" s="1"/>
  <c r="N36" i="10"/>
  <c r="N37" i="10" s="1"/>
  <c r="O36" i="10"/>
  <c r="O37" i="10" s="1"/>
  <c r="F39" i="10"/>
  <c r="Q47" i="9"/>
  <c r="Q48" i="9" s="1"/>
  <c r="R47" i="9"/>
  <c r="W47" i="9"/>
  <c r="W48" i="9" s="1"/>
  <c r="X47" i="9"/>
  <c r="K47" i="9"/>
  <c r="K48" i="9" s="1"/>
  <c r="L47" i="9"/>
  <c r="B30" i="6"/>
  <c r="J30" i="6" s="1"/>
  <c r="X48" i="9" l="1"/>
  <c r="R48" i="9"/>
  <c r="R50" i="9" s="1"/>
  <c r="S34" i="9"/>
  <c r="L48" i="9"/>
  <c r="L50" i="9" s="1"/>
  <c r="M34" i="9" s="1"/>
  <c r="G44" i="9"/>
  <c r="G32" i="9"/>
  <c r="G34" i="9"/>
  <c r="G45" i="9"/>
  <c r="G43" i="9"/>
  <c r="G40" i="9"/>
  <c r="G30" i="9"/>
  <c r="G42" i="9"/>
  <c r="G41" i="9"/>
  <c r="G39" i="9"/>
  <c r="G46" i="9"/>
  <c r="G28" i="9"/>
  <c r="G31" i="9"/>
  <c r="G37" i="9"/>
  <c r="G35" i="9"/>
  <c r="G38" i="9"/>
  <c r="G36" i="9"/>
  <c r="G29" i="9"/>
  <c r="M30" i="6"/>
  <c r="X50" i="9"/>
  <c r="Y38" i="9" s="1"/>
  <c r="O39" i="10"/>
  <c r="P23" i="10" s="1"/>
  <c r="G33" i="10"/>
  <c r="G29" i="10"/>
  <c r="G25" i="10"/>
  <c r="G24" i="10"/>
  <c r="G22" i="10"/>
  <c r="G35" i="10"/>
  <c r="G34" i="10"/>
  <c r="G20" i="10"/>
  <c r="G28" i="10"/>
  <c r="G18" i="10"/>
  <c r="G32" i="10"/>
  <c r="G27" i="10"/>
  <c r="G23" i="10"/>
  <c r="G17" i="10"/>
  <c r="G31" i="10"/>
  <c r="G26" i="10"/>
  <c r="G30" i="10"/>
  <c r="G21" i="10"/>
  <c r="G19" i="10"/>
  <c r="S37" i="9"/>
  <c r="S41" i="9"/>
  <c r="S45" i="9"/>
  <c r="S35" i="9"/>
  <c r="S39" i="9"/>
  <c r="S43" i="9"/>
  <c r="S40" i="9"/>
  <c r="S36" i="9"/>
  <c r="W74" i="9" s="1"/>
  <c r="S44" i="9"/>
  <c r="S38" i="9"/>
  <c r="S46" i="9"/>
  <c r="S42" i="9"/>
  <c r="M55" i="9"/>
  <c r="K73" i="9"/>
  <c r="K79" i="9" s="1"/>
  <c r="K80" i="9" s="1"/>
  <c r="B31" i="6"/>
  <c r="J31" i="6" s="1"/>
  <c r="Y35" i="9" l="1"/>
  <c r="Y56" i="9" s="1"/>
  <c r="Y37" i="9"/>
  <c r="Y45" i="9"/>
  <c r="M32" i="9"/>
  <c r="M56" i="9" s="1"/>
  <c r="M64" i="9" s="1"/>
  <c r="Y46" i="9"/>
  <c r="Y44" i="9"/>
  <c r="Y42" i="9"/>
  <c r="G57" i="9"/>
  <c r="Y36" i="9"/>
  <c r="Y57" i="9" s="1"/>
  <c r="X74" i="9" s="1"/>
  <c r="Y74" i="9" s="1"/>
  <c r="M37" i="9"/>
  <c r="M40" i="9"/>
  <c r="M33" i="9"/>
  <c r="M57" i="9" s="1"/>
  <c r="L74" i="9" s="1"/>
  <c r="M74" i="9" s="1"/>
  <c r="M42" i="9"/>
  <c r="M43" i="9"/>
  <c r="M35" i="9"/>
  <c r="M38" i="9"/>
  <c r="M39" i="9"/>
  <c r="M45" i="9"/>
  <c r="M44" i="9"/>
  <c r="M46" i="9"/>
  <c r="M36" i="9"/>
  <c r="M41" i="9"/>
  <c r="M31" i="6"/>
  <c r="Y39" i="9"/>
  <c r="Y40" i="9"/>
  <c r="Y41" i="9"/>
  <c r="Y43" i="9"/>
  <c r="P29" i="10"/>
  <c r="P31" i="10"/>
  <c r="P30" i="10"/>
  <c r="P28" i="10"/>
  <c r="P22" i="10"/>
  <c r="P20" i="10"/>
  <c r="P33" i="10"/>
  <c r="P26" i="10"/>
  <c r="P18" i="10"/>
  <c r="P32" i="10"/>
  <c r="P25" i="10"/>
  <c r="P34" i="10"/>
  <c r="P21" i="10"/>
  <c r="P17" i="10"/>
  <c r="P27" i="10"/>
  <c r="P24" i="10"/>
  <c r="P35" i="10"/>
  <c r="P19" i="10"/>
  <c r="L73" i="9"/>
  <c r="W73" i="9"/>
  <c r="W79" i="9" s="1"/>
  <c r="W80" i="9" s="1"/>
  <c r="Y55" i="9"/>
  <c r="Y63" i="9" s="1"/>
  <c r="L32" i="6"/>
  <c r="L31" i="6" s="1"/>
  <c r="L30" i="6" s="1"/>
  <c r="L29" i="6" s="1"/>
  <c r="L28" i="6" s="1"/>
  <c r="L27" i="6" s="1"/>
  <c r="L26" i="6" s="1"/>
  <c r="L25" i="6" s="1"/>
  <c r="L24" i="6" s="1"/>
  <c r="L23" i="6" s="1"/>
  <c r="L22" i="6" s="1"/>
  <c r="L21" i="6" s="1"/>
  <c r="L20" i="6" s="1"/>
  <c r="B32" i="6"/>
  <c r="G64" i="9" l="1"/>
  <c r="G65" i="9" s="1"/>
  <c r="Y64" i="9"/>
  <c r="M63" i="9"/>
  <c r="M65" i="9" s="1"/>
  <c r="M32" i="6"/>
  <c r="X73" i="9"/>
  <c r="Y73" i="9" s="1"/>
  <c r="M73" i="9"/>
  <c r="L19" i="6"/>
  <c r="L18" i="6" s="1"/>
  <c r="L17" i="6" s="1"/>
  <c r="L16" i="6" s="1"/>
  <c r="L15" i="6" s="1"/>
  <c r="L14" i="6" s="1"/>
  <c r="L13" i="6" s="1"/>
  <c r="H13" i="6" s="1"/>
  <c r="M79" i="9" l="1"/>
  <c r="M80" i="9" s="1"/>
  <c r="J70" i="9" s="1"/>
  <c r="L80" i="9"/>
  <c r="X79" i="9"/>
  <c r="Y65" i="9"/>
  <c r="E13" i="6"/>
  <c r="F13" i="6" s="1"/>
  <c r="G13" i="6" s="1"/>
  <c r="C14" i="6" s="1"/>
  <c r="N32" i="6"/>
  <c r="N31" i="6" s="1"/>
  <c r="N30" i="6" s="1"/>
  <c r="N29" i="6" s="1"/>
  <c r="N28" i="6" s="1"/>
  <c r="N27" i="6" s="1"/>
  <c r="N26" i="6" s="1"/>
  <c r="N25" i="6" s="1"/>
  <c r="N24" i="6" s="1"/>
  <c r="N23" i="6" s="1"/>
  <c r="N22" i="6" s="1"/>
  <c r="N21" i="6" s="1"/>
  <c r="Y79" i="9" l="1"/>
  <c r="Y80" i="9" s="1"/>
  <c r="V70" i="9" s="1"/>
  <c r="X80" i="9"/>
  <c r="H14" i="6"/>
  <c r="E14" i="6" s="1"/>
  <c r="F14" i="6" s="1"/>
  <c r="G14" i="6" s="1"/>
  <c r="C15" i="6" s="1"/>
  <c r="N20" i="6"/>
  <c r="N19" i="6" s="1"/>
  <c r="N18" i="6" s="1"/>
  <c r="N17" i="6" s="1"/>
  <c r="N16" i="6" s="1"/>
  <c r="N15" i="6" s="1"/>
  <c r="N14" i="6" s="1"/>
  <c r="N13" i="6" s="1"/>
  <c r="H15" i="6" l="1"/>
  <c r="E15" i="6" s="1"/>
  <c r="F15" i="6" s="1"/>
  <c r="G15" i="6" s="1"/>
  <c r="C16" i="6" s="1"/>
  <c r="H16" i="6" l="1"/>
  <c r="E16" i="6" s="1"/>
  <c r="F16" i="6" s="1"/>
  <c r="G16" i="6" s="1"/>
  <c r="C17" i="6" s="1"/>
  <c r="H17" i="6" l="1"/>
  <c r="E17" i="6" s="1"/>
  <c r="F17" i="6" s="1"/>
  <c r="G17" i="6" s="1"/>
  <c r="C18" i="6" s="1"/>
  <c r="H18" i="6" l="1"/>
  <c r="E18" i="6" s="1"/>
  <c r="F18" i="6" s="1"/>
  <c r="G18" i="6" s="1"/>
  <c r="C19" i="6" s="1"/>
  <c r="H19" i="6" l="1"/>
  <c r="E19" i="6" s="1"/>
  <c r="F19" i="6" s="1"/>
  <c r="G19" i="6" s="1"/>
  <c r="C20" i="6" l="1"/>
  <c r="H20" i="6" l="1"/>
  <c r="E20" i="6" s="1"/>
  <c r="F20" i="6" s="1"/>
  <c r="G20" i="6" s="1"/>
  <c r="C21" i="6" s="1"/>
  <c r="H21" i="6" l="1"/>
  <c r="E21" i="6" s="1"/>
  <c r="F21" i="6" s="1"/>
  <c r="G21" i="6" s="1"/>
  <c r="C22" i="6" l="1"/>
  <c r="H22" i="6" l="1"/>
  <c r="E22" i="6" s="1"/>
  <c r="F22" i="6" s="1"/>
  <c r="G22" i="6" s="1"/>
  <c r="C23" i="6" l="1"/>
  <c r="H23" i="6" l="1"/>
  <c r="E23" i="6" s="1"/>
  <c r="F23" i="6" s="1"/>
  <c r="G23" i="6" s="1"/>
  <c r="C24" i="6" s="1"/>
  <c r="H24" i="6" l="1"/>
  <c r="E24" i="6" s="1"/>
  <c r="F24" i="6" s="1"/>
  <c r="G24" i="6" s="1"/>
  <c r="C25" i="6" s="1"/>
  <c r="H25" i="6" l="1"/>
  <c r="E25" i="6" s="1"/>
  <c r="F25" i="6" s="1"/>
  <c r="G25" i="6" s="1"/>
  <c r="C26" i="6" s="1"/>
  <c r="H26" i="6" l="1"/>
  <c r="E26" i="6" s="1"/>
  <c r="F26" i="6" s="1"/>
  <c r="G26" i="6" s="1"/>
  <c r="C27" i="6" s="1"/>
  <c r="H27" i="6" l="1"/>
  <c r="E27" i="6" s="1"/>
  <c r="F27" i="6" s="1"/>
  <c r="G27" i="6" s="1"/>
  <c r="C28" i="6" s="1"/>
  <c r="H28" i="6" l="1"/>
  <c r="E28" i="6" s="1"/>
  <c r="F28" i="6" s="1"/>
  <c r="G28" i="6" s="1"/>
  <c r="C29" i="6" s="1"/>
  <c r="H29" i="6" l="1"/>
  <c r="E29" i="6" s="1"/>
  <c r="F29" i="6" s="1"/>
  <c r="G29" i="6" s="1"/>
  <c r="C30" i="6" s="1"/>
  <c r="H30" i="6" l="1"/>
  <c r="E30" i="6" s="1"/>
  <c r="F30" i="6" s="1"/>
  <c r="G30" i="6" s="1"/>
  <c r="C31" i="6" s="1"/>
  <c r="H31" i="6" l="1"/>
  <c r="E31" i="6" s="1"/>
  <c r="F31" i="6" s="1"/>
  <c r="G31" i="6" s="1"/>
  <c r="C32" i="6" s="1"/>
  <c r="H32" i="6" l="1"/>
  <c r="E32" i="6" s="1"/>
  <c r="F32" i="6" s="1"/>
  <c r="G3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1" authorId="0" shapeId="0" xr:uid="{00000000-0006-0000-0300-000001000000}">
      <text>
        <r>
          <rPr>
            <sz val="9"/>
            <color indexed="81"/>
            <rFont val="Tahoma"/>
            <family val="2"/>
          </rPr>
          <t>Present value of in force business at the beginning of year, original, before updated persistency</t>
        </r>
      </text>
    </comment>
    <comment ref="N11" authorId="0" shapeId="0" xr:uid="{00000000-0006-0000-0300-000002000000}">
      <text>
        <r>
          <rPr>
            <sz val="9"/>
            <color indexed="81"/>
            <rFont val="Tahoma"/>
            <family val="2"/>
          </rPr>
          <t>Present value of future business in force at the beginning of the year with updated persistency</t>
        </r>
      </text>
    </comment>
  </commentList>
</comments>
</file>

<file path=xl/sharedStrings.xml><?xml version="1.0" encoding="utf-8"?>
<sst xmlns="http://schemas.openxmlformats.org/spreadsheetml/2006/main" count="261" uniqueCount="169">
  <si>
    <t>Year</t>
  </si>
  <si>
    <t>Total</t>
  </si>
  <si>
    <t>Capitalized  Acquisition Expenses</t>
  </si>
  <si>
    <t>Reported DAC</t>
  </si>
  <si>
    <t>Amortization</t>
  </si>
  <si>
    <t>Experience Adjustment</t>
  </si>
  <si>
    <t>Balance, Beginning of Year</t>
  </si>
  <si>
    <t>Balance of Insurance inforce, anticipated at beginning of year</t>
  </si>
  <si>
    <t>Balance, End of Year</t>
  </si>
  <si>
    <t>These examples replicate the examples in the ASU paragraphs 944-30-55-7 through 944-30-55-7B</t>
  </si>
  <si>
    <t>Anticipated Amortization</t>
  </si>
  <si>
    <t>Amortization Schedules
Group Method</t>
  </si>
  <si>
    <t>Illustration of DAC Amortization under Group Method</t>
  </si>
  <si>
    <r>
      <rPr>
        <b/>
        <sz val="14"/>
        <color theme="0"/>
        <rFont val="Calibri"/>
        <family val="2"/>
        <scheme val="minor"/>
      </rPr>
      <t xml:space="preserve">Deferred Acquisition Costs Rollforward
increase/(decrease)
</t>
    </r>
    <r>
      <rPr>
        <b/>
        <sz val="11"/>
        <color theme="0"/>
        <rFont val="Calibri"/>
        <family val="2"/>
      </rPr>
      <t>from Amortization Schedules below</t>
    </r>
  </si>
  <si>
    <t>Valuation Year 1</t>
  </si>
  <si>
    <t>Valuation Year 2</t>
  </si>
  <si>
    <t>Valuation Year 3 and later</t>
  </si>
  <si>
    <t>Amortization Rate</t>
  </si>
  <si>
    <r>
      <t xml:space="preserve">
</t>
    </r>
    <r>
      <rPr>
        <b/>
        <u/>
        <sz val="11"/>
        <color rgb="FF002060"/>
        <rFont val="Calibri"/>
        <family val="2"/>
        <scheme val="minor"/>
      </rPr>
      <t>Valuation Year 1 Commentary</t>
    </r>
    <r>
      <rPr>
        <b/>
        <sz val="11"/>
        <color rgb="FF002060"/>
        <rFont val="Calibri"/>
        <family val="2"/>
        <scheme val="minor"/>
      </rPr>
      <t xml:space="preserve">
Under the ASU, there is no interest discounting and no anticipation of future capitalized expenses.
Amortization Rate = Total Acq Exp / Total Inforce = 80/5000 = 1.60% </t>
    </r>
  </si>
  <si>
    <t>Valuation Year</t>
  </si>
  <si>
    <t>Assume 20 year Term issued beginning of the year</t>
  </si>
  <si>
    <t>additional lapses</t>
  </si>
  <si>
    <t>Original Persistency</t>
  </si>
  <si>
    <t>Reported DAC, end of year</t>
  </si>
  <si>
    <t>increase/(decrease) in lapses in valuation  year</t>
  </si>
  <si>
    <t>DAC, beginning of Year</t>
  </si>
  <si>
    <t>DAC Roll Forward</t>
  </si>
  <si>
    <t>Amortization Rate*</t>
  </si>
  <si>
    <t>increase/(decrease) in lapses in each future year after valuation year</t>
  </si>
  <si>
    <t>Original Balance of Insurance inforce,  at beginning of year</t>
  </si>
  <si>
    <t>Inforce Projection</t>
  </si>
  <si>
    <t>20YT policies issued</t>
  </si>
  <si>
    <t>face per policy</t>
  </si>
  <si>
    <t>annual premium per policy</t>
  </si>
  <si>
    <t>Prems collected End of Yr</t>
  </si>
  <si>
    <t>Benefits paid End of Yr</t>
  </si>
  <si>
    <t>lapse rate</t>
  </si>
  <si>
    <t>Lapse</t>
  </si>
  <si>
    <t>Pricing Mort</t>
  </si>
  <si>
    <t>Inforce</t>
  </si>
  <si>
    <t>Prems</t>
  </si>
  <si>
    <t>Benes</t>
  </si>
  <si>
    <t>Res</t>
  </si>
  <si>
    <t>Mort Thru Yr 6</t>
  </si>
  <si>
    <t>Mort Thru Yr 8</t>
  </si>
  <si>
    <t>Revised Mort</t>
  </si>
  <si>
    <t>net premium ratio</t>
  </si>
  <si>
    <t>Reported Reserve Prior Year</t>
  </si>
  <si>
    <t>Reported Reserve Year 1</t>
  </si>
  <si>
    <t>Reported Reserve Year 6</t>
  </si>
  <si>
    <t>Reported Reserve Year 9</t>
  </si>
  <si>
    <t>Income Statement Year 1</t>
  </si>
  <si>
    <t>Income Statement Year 6</t>
  </si>
  <si>
    <t>Income Statement Year 9</t>
  </si>
  <si>
    <t>Premiums</t>
  </si>
  <si>
    <t>Benefits</t>
  </si>
  <si>
    <t>Increase in Reserve</t>
  </si>
  <si>
    <t>Net Income</t>
  </si>
  <si>
    <t>Q&amp;A</t>
  </si>
  <si>
    <t>Answer:</t>
  </si>
  <si>
    <t>Anticipated</t>
  </si>
  <si>
    <t>Actual</t>
  </si>
  <si>
    <t>Variance</t>
  </si>
  <si>
    <t>Spreadsheet Overview</t>
  </si>
  <si>
    <t>Disclaimer</t>
  </si>
  <si>
    <t>From time to time, the Society of Actuaries (SOA) makes tools and illustrative examples available through its website, educational curriculum, or other means . The SOA takes reasonable steps to develop such tools consistent with accepted actuarial principles and practices. However, the SOA does not warranty these tools as fit for use in any respect, and no warranty should be assumed or implied by any individual.
Actuaries, insurers, regulators and other parties use the SOA's tools at their own risk. The SOA disclaims all responsibility for any party's use or misuse of its tools and for any work product generated through use or misuse of these tools and illustrations.</t>
  </si>
  <si>
    <t>Spreadsheet Assignments</t>
  </si>
  <si>
    <t>#</t>
  </si>
  <si>
    <t>Questions for Candidate</t>
  </si>
  <si>
    <t>Tab Descriptions</t>
  </si>
  <si>
    <t>Tab Name</t>
  </si>
  <si>
    <t>Description</t>
  </si>
  <si>
    <t>Instructions</t>
  </si>
  <si>
    <t>Overview, questions, and description of tabs</t>
  </si>
  <si>
    <t>Baseline</t>
  </si>
  <si>
    <t>Illustration of Reserve Calculation For Traditional Life Insurance</t>
  </si>
  <si>
    <t>Extra Mortality %</t>
  </si>
  <si>
    <t>Extra Lapse</t>
  </si>
  <si>
    <t>Year Y.  Current Valuation year. Year when future mortality and lapse assumptions are unlocked.</t>
  </si>
  <si>
    <t>base lapse rate</t>
  </si>
  <si>
    <t>Base Pricing Mort</t>
  </si>
  <si>
    <t>percentage increase/(decrease) in mortality, starting year X until year Y</t>
  </si>
  <si>
    <t>percentage increase/(decrease) in lapse, starting year X until year Y</t>
  </si>
  <si>
    <t>percentage increase/(decrease) in mortality, after valuation year Y</t>
  </si>
  <si>
    <t>percentage increase/(decrease) in lapse, after valuation year Y</t>
  </si>
  <si>
    <t>Year X.  First year that variance in mortality and lapses occur</t>
  </si>
  <si>
    <t>FASB DAC Guidance</t>
  </si>
  <si>
    <t>Key paragraphs from ASU relevant to DAC.</t>
  </si>
  <si>
    <t>DAC Example</t>
  </si>
  <si>
    <t>DAC calculation under the group method that replicates the example provided in the ASU.</t>
  </si>
  <si>
    <t>20 YT DAC</t>
  </si>
  <si>
    <t>FASB Reserve Guidance</t>
  </si>
  <si>
    <t>Key paragraphs from ASU on the calculation of reserve for Traditional non-par long duration insurance contracts.</t>
  </si>
  <si>
    <t>Reserve Example</t>
  </si>
  <si>
    <t>Reserve calculation example that replicates the example provided in the ASU.</t>
  </si>
  <si>
    <t>20 YT Reserve</t>
  </si>
  <si>
    <t>Additional DAC example that allows users to test out various persistency scenarios and toggle on valuation year.</t>
  </si>
  <si>
    <t>discounting rate</t>
  </si>
  <si>
    <t>2a</t>
  </si>
  <si>
    <t>2b</t>
  </si>
  <si>
    <t>2c</t>
  </si>
  <si>
    <t>1a</t>
  </si>
  <si>
    <t>Questions on DAC example, tab "20 YT DAC"</t>
  </si>
  <si>
    <t>Questions on reserve example, tab "20 YT Reserve"</t>
  </si>
  <si>
    <t>In the baseline model, where experience emerged as anticipated, why did the amortization rate increase from 0.029 to 0.033 in year 10 and then stayed flat?</t>
  </si>
  <si>
    <t>1b</t>
  </si>
  <si>
    <t>1c</t>
  </si>
  <si>
    <t>discount rate (use zero for simplification)</t>
  </si>
  <si>
    <t>A. At contract inception, baseline</t>
  </si>
  <si>
    <t>Additional reserve example that allows the user to test out various mortality and lapse scenarios and toggle on valuation year.</t>
  </si>
  <si>
    <t>Assume experience emerges as anticipated in first 11 years. What is the experience adjustment for additional 20% termination in year 12?</t>
  </si>
  <si>
    <t>Continuing from 2a, what is the total impact on the reserve for additional 20% claims in year 12 and increasing  future mortality assumptions by 20%?</t>
  </si>
  <si>
    <t>Assuming experience emerges as expected through year 11, what is the impact on reserve due to 3% increase in lapse in year 12 and in all future years? Explain the reason for the direction of the change.</t>
  </si>
  <si>
    <t>Assume actual inforce = original anticipated until year prior to valuation year</t>
  </si>
  <si>
    <t>EOY = End of Year</t>
  </si>
  <si>
    <t>BOY = Beginning of Year</t>
  </si>
  <si>
    <t>Updated Inforce Projection, beginning of year</t>
  </si>
  <si>
    <t>PVF in force at boy, original,  before updated persistency</t>
  </si>
  <si>
    <t>PVF in force at beginning of year with updated persistency</t>
  </si>
  <si>
    <t>Assume additional lapse rate anticipated at the end of the valuation year</t>
  </si>
  <si>
    <t>Assume experience emerges with the additional lapse after valuation year</t>
  </si>
  <si>
    <t>FASB Example 6, beginning at ASU 944-40-55-29H</t>
  </si>
  <si>
    <t>-For roll-forwards, PV(net premiums) and PV(benefits) need to be separated.</t>
  </si>
  <si>
    <t>-Beginning of period adjustment reflects experience and new assumptions.</t>
  </si>
  <si>
    <t>What is the bottom line impact of extra claims in year 6?</t>
  </si>
  <si>
    <t>What is the bottom line impact of extra claims in year 9 and updating of assumptions?</t>
  </si>
  <si>
    <t>Premiums collected end of year</t>
  </si>
  <si>
    <t>Benefits paid end of year</t>
  </si>
  <si>
    <t>Business
In Force</t>
  </si>
  <si>
    <t>Reserves</t>
  </si>
  <si>
    <t>20-year level term policies issued</t>
  </si>
  <si>
    <t>20-Year Level Term - GAAP Reserve Example</t>
  </si>
  <si>
    <t>DAC Example, 20-Year Level Term, Group Method</t>
  </si>
  <si>
    <r>
      <t xml:space="preserve">
</t>
    </r>
    <r>
      <rPr>
        <b/>
        <u/>
        <sz val="11"/>
        <color rgb="FF002060"/>
        <rFont val="Calibri"/>
        <family val="2"/>
        <scheme val="minor"/>
      </rPr>
      <t>Valuation Year 2 Commentary</t>
    </r>
    <r>
      <rPr>
        <b/>
        <sz val="11"/>
        <color rgb="FF002060"/>
        <rFont val="Calibri"/>
        <family val="2"/>
        <scheme val="minor"/>
      </rPr>
      <t xml:space="preserve">
The amortization rate of 1.85%(= (64+10)/4,000) is based on projected in force balance anticipated at beginning of year 2 and does not reflect the actual termination at end of year 2.
The experience adjustment, $(17)= -(64+10-19)*300/1000, is a 30% prorata DAC write-off  due to 30% fewer policies that persisted.  This experience adjustment is required under ASU 944-30-35-3B and is critical in making the group method behave similar to individual contract method when excess terminations occur.</t>
    </r>
  </si>
  <si>
    <t>a. At contract inception</t>
  </si>
  <si>
    <t>b. 20% extra mortality during year 6</t>
  </si>
  <si>
    <t>c (continued). In year 9, 20% extra mort again, and revise future assumption</t>
  </si>
  <si>
    <t>c. 20% extra mortality in years 6-8 …</t>
  </si>
  <si>
    <t xml:space="preserve">This spreadsheet contains a model of future DAC calculations using the group method following FASB' s Accounting Standards Update(ASU) No. 2018-12 (issued August 2018).  The DAC calculation for all product types has been simplified under the ASU, which now requires straight line method without discounting.  FASB allows a seriatim or group method for the DAC calculation.  The DAC example replicates the example provided in the ASU. An additional DAC example for longer amortization period is provided to allow user to try various persistency scenarios using the input parameters provided.
This spreadsheet also provides illustration of reserve under the ASU for traditional non-participating long duration insurance contracts.  In contrast to DAC, the reserve for traditional non-participating products is now more complicated under the ASU, requiring use of a retrospective method, new treatment of the discounting rate change impact, significant disclosure requirements, among other things. An additional example is provided in a separate tab that allows user to try different mortality and persistency scenarios using input parameters provided.
</t>
  </si>
  <si>
    <t>What is the impact on year 10 and year 11 DAC balances if lapses are increased 5% starting in year 11?</t>
  </si>
  <si>
    <t>In the 20 YT Reserve example, assuming valuation year is 12 and no change in assumptions and experience emerges as anticipated through first 11 years, what is the impact on year 12 reserve due to 20% additional mortality in year 12?</t>
  </si>
  <si>
    <r>
      <rPr>
        <b/>
        <sz val="11"/>
        <color theme="1"/>
        <rFont val="Calibri"/>
        <family val="2"/>
      </rPr>
      <t>ASU 944-30-55-7</t>
    </r>
    <r>
      <rPr>
        <sz val="11"/>
        <color theme="1"/>
        <rFont val="Calibri"/>
        <family val="2"/>
        <scheme val="minor"/>
      </rPr>
      <t xml:space="preserve"> This example illustrates the computation of amortization on a constant level basis. A block of long-duration guaranteed renewable five-year term life insurance contracts are grouped and amortized in proportion to the amount of insurance in force to derive an approximate level of amortization amount on an individual contract basis. In year 1, the insurance entity defers costs totaling $80 and projects the balance of insurance in force over 5  years. The insurance entity would need to include mortality and lapse assumptions to project the balance of insurance in force. However, for ease of illustration, no mortality or lapses are assumed.</t>
    </r>
  </si>
  <si>
    <r>
      <t xml:space="preserve">
</t>
    </r>
    <r>
      <rPr>
        <b/>
        <sz val="11"/>
        <color theme="1"/>
        <rFont val="Calibri"/>
        <family val="2"/>
      </rPr>
      <t xml:space="preserve">ASU 944-30-55-7A </t>
    </r>
    <r>
      <rPr>
        <sz val="11"/>
        <color theme="1"/>
        <rFont val="Calibri"/>
        <family val="2"/>
        <scheme val="minor"/>
      </rPr>
      <t xml:space="preserve">At year beginning of year 20X2, the entity incurs an additional $10 of deferrable acquisition expenses and computes the amortization rate and expense for year 2.
</t>
    </r>
    <r>
      <rPr>
        <b/>
        <sz val="11"/>
        <color theme="1"/>
        <rFont val="Calibri"/>
        <family val="2"/>
        <scheme val="minor"/>
      </rPr>
      <t xml:space="preserve">ASU 944-30-55-7B </t>
    </r>
    <r>
      <rPr>
        <sz val="11"/>
        <color theme="1"/>
        <rFont val="Calibri"/>
        <family val="2"/>
        <scheme val="minor"/>
      </rPr>
      <t>At the end of year 2, the entity experienced unexpected contract terminations that resulted in the write-off of deferred acquisition costs at the end of the reporting period. ...</t>
    </r>
  </si>
  <si>
    <r>
      <t xml:space="preserve">
</t>
    </r>
    <r>
      <rPr>
        <b/>
        <sz val="11"/>
        <color theme="1"/>
        <rFont val="Calibri"/>
        <family val="2"/>
      </rPr>
      <t xml:space="preserve">ASU 944-30-55-7B </t>
    </r>
    <r>
      <rPr>
        <b/>
        <i/>
        <sz val="11"/>
        <color theme="1"/>
        <rFont val="Calibri"/>
        <family val="2"/>
      </rPr>
      <t>(continued)</t>
    </r>
    <r>
      <rPr>
        <b/>
        <sz val="11"/>
        <color theme="1"/>
        <rFont val="Calibri"/>
        <family val="2"/>
      </rPr>
      <t xml:space="preserve"> </t>
    </r>
    <r>
      <rPr>
        <sz val="11"/>
        <color theme="1"/>
        <rFont val="Calibri"/>
        <family val="2"/>
        <scheme val="minor"/>
      </rPr>
      <t xml:space="preserve">.... In addition, the entity updated the expected balance of insurance in force for the remaining periods. 
</t>
    </r>
  </si>
  <si>
    <t>Expectations for Candidates</t>
  </si>
  <si>
    <t>(v)   Have a general understanding of all formulas in the workbook and be able to recreate calculations as needed.</t>
  </si>
  <si>
    <t>(iii)  Have a deep understanding of the mechanics for both the DAC and reserve calculations.</t>
  </si>
  <si>
    <t>(iv)  Understand how DAC and reserves move relative to the underlying income impact from cash flows.</t>
  </si>
  <si>
    <r>
      <t xml:space="preserve">(ii)   Understand how changes to mortality and lapse </t>
    </r>
    <r>
      <rPr>
        <i/>
        <sz val="11"/>
        <color theme="9" tint="-0.499984740745262"/>
        <rFont val="Calibri"/>
        <family val="2"/>
        <scheme val="minor"/>
      </rPr>
      <t>assumptions</t>
    </r>
    <r>
      <rPr>
        <sz val="11"/>
        <color theme="9" tint="-0.499984740745262"/>
        <rFont val="Calibri"/>
        <family val="2"/>
        <scheme val="minor"/>
      </rPr>
      <t xml:space="preserve"> drive changes in the level and patterns for DAC and reserves.</t>
    </r>
  </si>
  <si>
    <r>
      <t xml:space="preserve">(i)    Understand how changes to mortality and lapse </t>
    </r>
    <r>
      <rPr>
        <i/>
        <sz val="11"/>
        <color theme="9" tint="-0.499984740745262"/>
        <rFont val="Calibri"/>
        <family val="2"/>
        <scheme val="minor"/>
      </rPr>
      <t>experience</t>
    </r>
    <r>
      <rPr>
        <sz val="11"/>
        <color theme="9" tint="-0.499984740745262"/>
        <rFont val="Calibri"/>
        <family val="2"/>
        <scheme val="minor"/>
      </rPr>
      <t xml:space="preserve"> drive changes in the level and patterns for DAC and reserves.</t>
    </r>
  </si>
  <si>
    <t>Answer Key</t>
  </si>
  <si>
    <t>Contains answers to questions asked in the "Instructions" tab</t>
  </si>
  <si>
    <t>Answers to Spreadsheet Assignments</t>
  </si>
  <si>
    <t>Answer Key for Candidates</t>
  </si>
  <si>
    <t>1.a</t>
  </si>
  <si>
    <t>1.b</t>
  </si>
  <si>
    <t>1.c</t>
  </si>
  <si>
    <t>2.a</t>
  </si>
  <si>
    <t>2.b</t>
  </si>
  <si>
    <t>2.c</t>
  </si>
  <si>
    <t>An additional $11.70 is amortized for the DAC balance in year 12.</t>
  </si>
  <si>
    <t>The new capitalized expenses of $10 in year 10 was not anticipated in the prior year amortization rate of 0.029.  The new amortization rate of 0.033 reflect $10 higher PV capitalized expenses in the numerator.  It stayed flat going forward because there are no more new capitalized expenses that would increase the numerator. Note that, unlike the prior DAC standard, new deferrals in renewal years do not start to amortize until they occur (whereas the prior standard started to take future deferrals into account for the amortization calculation at the point of issue).</t>
  </si>
  <si>
    <t>Impact on year 10 DAC is zero.  Under the group method, change in future persistency assumption affects amortization prospectively and does not impact current year amortization. The impact on year 11 DAC is $4 M more amortization, due to the experience adjustment. The increase in lapse starting year 12 does not impact year 11 DAC.</t>
  </si>
  <si>
    <t>The year 12 reserve decreases $13.3 k from $528.1 k to $514.8 k. This favorable reduction in reserve dampens the unfavorable extra claims of $47 k.</t>
  </si>
  <si>
    <t>The year 12 reserve increases $243.3 k from $528.1 k to $771.2 k.</t>
  </si>
  <si>
    <t xml:space="preserve">The year 12 reserve decreases $56.7 k from $528.1 k to $471.4 k. We expect a decrease in the year 12 reserve due to an increase in lapses because there are no surrender benefits for term. We are then benefiting from the release of reserves due to the additional terminations.	</t>
  </si>
  <si>
    <t>(vi)  Responsible for understanding the questions and answers provided in the spreadsheet assignments.</t>
  </si>
  <si>
    <t>Remeasurement gain or loss</t>
  </si>
  <si>
    <t>Remeasured Reserve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</si>
</sst>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k"/>
    <numFmt numFmtId="168" formatCode="#,##0.0,\k"/>
    <numFmt numFmtId="169" formatCode="0.0%"/>
    <numFmt numFmtId="170" formatCode="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sz val="11"/>
      <color theme="0"/>
      <name val="Calibri"/>
      <family val="2"/>
      <scheme val="minor"/>
    </font>
    <font>
      <b/>
      <sz val="20"/>
      <color theme="0"/>
      <name val="Calibri"/>
      <family val="2"/>
      <scheme val="minor"/>
    </font>
    <font>
      <b/>
      <sz val="14"/>
      <color theme="0"/>
      <name val="Calibri"/>
      <family val="2"/>
      <scheme val="minor"/>
    </font>
    <font>
      <b/>
      <sz val="11"/>
      <color theme="0"/>
      <name val="Calibri"/>
      <family val="2"/>
    </font>
    <font>
      <b/>
      <sz val="11"/>
      <color rgb="FF002060"/>
      <name val="Calibri"/>
      <family val="2"/>
      <scheme val="minor"/>
    </font>
    <font>
      <b/>
      <u/>
      <sz val="11"/>
      <color rgb="FF002060"/>
      <name val="Calibri"/>
      <family val="2"/>
      <scheme val="minor"/>
    </font>
    <font>
      <b/>
      <sz val="16"/>
      <color rgb="FF002060"/>
      <name val="Calibri"/>
      <family val="2"/>
      <scheme val="minor"/>
    </font>
    <font>
      <sz val="11"/>
      <color rgb="FF0070C0"/>
      <name val="Calibri"/>
      <family val="2"/>
      <scheme val="minor"/>
    </font>
    <font>
      <sz val="11"/>
      <color rgb="FFFF0000"/>
      <name val="Calibri"/>
      <family val="2"/>
      <scheme val="minor"/>
    </font>
    <font>
      <b/>
      <sz val="12"/>
      <color theme="1"/>
      <name val="Calibri"/>
      <family val="2"/>
      <scheme val="minor"/>
    </font>
    <font>
      <sz val="11"/>
      <color theme="4"/>
      <name val="Calibri"/>
      <family val="2"/>
      <scheme val="minor"/>
    </font>
    <font>
      <b/>
      <i/>
      <sz val="11"/>
      <color theme="1"/>
      <name val="Calibri"/>
      <family val="2"/>
      <scheme val="minor"/>
    </font>
    <font>
      <b/>
      <sz val="11"/>
      <color theme="4"/>
      <name val="Calibri"/>
      <family val="2"/>
      <scheme val="minor"/>
    </font>
    <font>
      <b/>
      <u/>
      <sz val="14"/>
      <color rgb="FF002060"/>
      <name val="Calibri"/>
      <family val="2"/>
      <scheme val="minor"/>
    </font>
    <font>
      <sz val="11"/>
      <color rgb="FF002060"/>
      <name val="Calibri"/>
      <family val="2"/>
      <scheme val="minor"/>
    </font>
    <font>
      <b/>
      <u/>
      <sz val="13"/>
      <color rgb="FF9E0000"/>
      <name val="Calibri"/>
      <family val="2"/>
      <scheme val="minor"/>
    </font>
    <font>
      <sz val="11"/>
      <color rgb="FF9E0000"/>
      <name val="Calibri"/>
      <family val="2"/>
      <scheme val="minor"/>
    </font>
    <font>
      <sz val="12"/>
      <color rgb="FF9E0000"/>
      <name val="Calibri"/>
      <family val="2"/>
      <scheme val="minor"/>
    </font>
    <font>
      <b/>
      <u/>
      <sz val="12"/>
      <color rgb="FF002060"/>
      <name val="Calibri"/>
      <family val="2"/>
      <scheme val="minor"/>
    </font>
    <font>
      <sz val="11"/>
      <name val="Calibri"/>
      <family val="2"/>
      <scheme val="minor"/>
    </font>
    <font>
      <b/>
      <sz val="11"/>
      <color rgb="FF0070C0"/>
      <name val="Calibri"/>
      <family val="2"/>
      <scheme val="minor"/>
    </font>
    <font>
      <b/>
      <sz val="11"/>
      <color theme="8" tint="-0.249977111117893"/>
      <name val="Calibri"/>
      <family val="2"/>
      <scheme val="minor"/>
    </font>
    <font>
      <b/>
      <sz val="11"/>
      <color theme="0"/>
      <name val="Calibri"/>
      <family val="2"/>
      <scheme val="minor"/>
    </font>
    <font>
      <i/>
      <sz val="11"/>
      <color theme="1"/>
      <name val="Calibri"/>
      <family val="2"/>
      <scheme val="minor"/>
    </font>
    <font>
      <b/>
      <u/>
      <sz val="16"/>
      <color theme="1"/>
      <name val="Calibri"/>
      <family val="2"/>
      <scheme val="minor"/>
    </font>
    <font>
      <b/>
      <i/>
      <sz val="12"/>
      <color theme="1"/>
      <name val="Calibri"/>
      <family val="2"/>
      <scheme val="minor"/>
    </font>
    <font>
      <b/>
      <sz val="11"/>
      <color rgb="FFFF0000"/>
      <name val="Calibri"/>
      <family val="2"/>
      <scheme val="minor"/>
    </font>
    <font>
      <sz val="9"/>
      <color indexed="81"/>
      <name val="Tahoma"/>
      <family val="2"/>
    </font>
    <font>
      <b/>
      <sz val="11"/>
      <color theme="1"/>
      <name val="Calibri"/>
      <family val="2"/>
    </font>
    <font>
      <b/>
      <i/>
      <sz val="11"/>
      <color theme="1"/>
      <name val="Calibri"/>
      <family val="2"/>
    </font>
    <font>
      <b/>
      <u/>
      <sz val="14"/>
      <color theme="9" tint="-0.499984740745262"/>
      <name val="Calibri"/>
      <family val="2"/>
      <scheme val="minor"/>
    </font>
    <font>
      <sz val="11"/>
      <color theme="9" tint="-0.499984740745262"/>
      <name val="Calibri"/>
      <family val="2"/>
      <scheme val="minor"/>
    </font>
    <font>
      <i/>
      <sz val="11"/>
      <color theme="9" tint="-0.499984740745262"/>
      <name val="Calibri"/>
      <family val="2"/>
      <scheme val="minor"/>
    </font>
    <font>
      <b/>
      <u/>
      <sz val="16"/>
      <color rgb="FF00206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5F5F5"/>
        <bgColor indexed="64"/>
      </patternFill>
    </fill>
    <fill>
      <patternFill patternType="solid">
        <fgColor theme="7" tint="0.79998168889431442"/>
        <bgColor indexed="64"/>
      </patternFill>
    </fill>
    <fill>
      <patternFill patternType="solid">
        <fgColor rgb="FFF1E8F4"/>
        <bgColor indexed="64"/>
      </patternFill>
    </fill>
    <fill>
      <patternFill patternType="solid">
        <fgColor rgb="FF002060"/>
        <bgColor indexed="64"/>
      </patternFill>
    </fill>
    <fill>
      <patternFill patternType="solid">
        <fgColor rgb="FFF8F8F8"/>
        <bgColor indexed="64"/>
      </patternFill>
    </fill>
    <fill>
      <patternFill patternType="solid">
        <fgColor rgb="FFFFFFCC"/>
        <bgColor indexed="64"/>
      </patternFill>
    </fill>
    <fill>
      <patternFill patternType="solid">
        <fgColor theme="4" tint="0.79998168889431442"/>
        <bgColor indexed="64"/>
      </patternFill>
    </fill>
    <fill>
      <patternFill patternType="solid">
        <fgColor rgb="FFD5C0D8"/>
        <bgColor indexed="64"/>
      </patternFill>
    </fill>
    <fill>
      <patternFill patternType="solid">
        <fgColor theme="5" tint="0.59999389629810485"/>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rgb="FF9E0000"/>
      </left>
      <right/>
      <top style="thin">
        <color rgb="FF9E0000"/>
      </top>
      <bottom/>
      <diagonal/>
    </border>
    <border>
      <left/>
      <right/>
      <top style="thin">
        <color rgb="FF9E0000"/>
      </top>
      <bottom/>
      <diagonal/>
    </border>
    <border>
      <left/>
      <right style="thin">
        <color rgb="FF9E0000"/>
      </right>
      <top style="thin">
        <color rgb="FF9E0000"/>
      </top>
      <bottom/>
      <diagonal/>
    </border>
    <border>
      <left style="thin">
        <color rgb="FF9E0000"/>
      </left>
      <right/>
      <top/>
      <bottom/>
      <diagonal/>
    </border>
    <border>
      <left/>
      <right style="thin">
        <color rgb="FF9E0000"/>
      </right>
      <top/>
      <bottom/>
      <diagonal/>
    </border>
    <border>
      <left style="thin">
        <color rgb="FF9E0000"/>
      </left>
      <right/>
      <top/>
      <bottom style="thin">
        <color rgb="FF9E0000"/>
      </bottom>
      <diagonal/>
    </border>
    <border>
      <left/>
      <right/>
      <top/>
      <bottom style="thin">
        <color rgb="FF9E0000"/>
      </bottom>
      <diagonal/>
    </border>
    <border>
      <left/>
      <right style="thin">
        <color rgb="FF9E0000"/>
      </right>
      <top/>
      <bottom style="thin">
        <color rgb="FF9E0000"/>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37">
    <xf numFmtId="0" fontId="0" fillId="0" borderId="0" xfId="0"/>
    <xf numFmtId="0" fontId="0" fillId="0" borderId="0" xfId="0" applyAlignment="1">
      <alignment horizontal="centerContinuous" wrapText="1"/>
    </xf>
    <xf numFmtId="0" fontId="0" fillId="0" borderId="0" xfId="0" applyBorder="1"/>
    <xf numFmtId="0" fontId="0" fillId="0" borderId="0" xfId="0" applyBorder="1" applyAlignment="1">
      <alignment wrapText="1"/>
    </xf>
    <xf numFmtId="0" fontId="0" fillId="0" borderId="0" xfId="0" applyBorder="1" applyAlignment="1">
      <alignment horizontal="right"/>
    </xf>
    <xf numFmtId="0" fontId="0" fillId="0" borderId="0" xfId="0" applyBorder="1" applyAlignment="1">
      <alignment horizontal="centerContinuous" wrapText="1"/>
    </xf>
    <xf numFmtId="10" fontId="0" fillId="0" borderId="0" xfId="1" applyNumberFormat="1" applyFont="1" applyBorder="1"/>
    <xf numFmtId="164" fontId="0" fillId="0" borderId="0" xfId="2" applyNumberFormat="1" applyFont="1" applyBorder="1"/>
    <xf numFmtId="164" fontId="0" fillId="0" borderId="0" xfId="0" applyNumberFormat="1" applyBorder="1"/>
    <xf numFmtId="164" fontId="0" fillId="0" borderId="0" xfId="2" applyNumberFormat="1" applyFont="1"/>
    <xf numFmtId="164" fontId="0" fillId="0" borderId="0" xfId="0" applyNumberFormat="1"/>
    <xf numFmtId="165" fontId="0" fillId="0" borderId="0" xfId="3" applyNumberFormat="1" applyFont="1"/>
    <xf numFmtId="165" fontId="2" fillId="2" borderId="1" xfId="3" applyNumberFormat="1" applyFont="1" applyFill="1" applyBorder="1"/>
    <xf numFmtId="165" fontId="0" fillId="0" borderId="0" xfId="3" applyNumberFormat="1" applyFont="1" applyBorder="1"/>
    <xf numFmtId="0" fontId="0" fillId="0" borderId="0" xfId="0" applyAlignment="1">
      <alignment horizontal="centerContinuous"/>
    </xf>
    <xf numFmtId="164" fontId="0" fillId="0" borderId="1" xfId="2" applyNumberFormat="1" applyFont="1" applyBorder="1"/>
    <xf numFmtId="164" fontId="0" fillId="0" borderId="1" xfId="0" applyNumberFormat="1" applyBorder="1"/>
    <xf numFmtId="165" fontId="2" fillId="2" borderId="0" xfId="3" applyNumberFormat="1" applyFont="1" applyFill="1" applyBorder="1"/>
    <xf numFmtId="0" fontId="5" fillId="0" borderId="0" xfId="0" applyFont="1" applyAlignment="1">
      <alignment horizontal="left" indent="1"/>
    </xf>
    <xf numFmtId="0" fontId="2" fillId="0" borderId="0" xfId="0" applyFont="1" applyAlignment="1">
      <alignment horizontal="left" indent="1"/>
    </xf>
    <xf numFmtId="0" fontId="7" fillId="3" borderId="2" xfId="0" applyFont="1" applyFill="1" applyBorder="1" applyAlignment="1">
      <alignment horizontal="centerContinuous" vertical="center" wrapText="1"/>
    </xf>
    <xf numFmtId="0" fontId="4" fillId="3" borderId="2" xfId="0" applyFont="1" applyFill="1" applyBorder="1" applyAlignment="1">
      <alignment horizontal="centerContinuous" vertical="center" wrapText="1"/>
    </xf>
    <xf numFmtId="0" fontId="6" fillId="3" borderId="3" xfId="0" applyFont="1" applyFill="1" applyBorder="1" applyAlignment="1">
      <alignment wrapText="1"/>
    </xf>
    <xf numFmtId="0" fontId="3" fillId="4" borderId="4" xfId="0" applyFont="1" applyFill="1" applyBorder="1" applyAlignment="1">
      <alignment horizontal="centerContinuous" wrapText="1"/>
    </xf>
    <xf numFmtId="0" fontId="4" fillId="4" borderId="2" xfId="0" applyFont="1" applyFill="1" applyBorder="1" applyAlignment="1">
      <alignment horizontal="centerContinuous" wrapText="1"/>
    </xf>
    <xf numFmtId="0" fontId="4" fillId="4" borderId="2" xfId="0" applyFont="1" applyFill="1" applyBorder="1" applyAlignment="1">
      <alignment horizontal="centerContinuous"/>
    </xf>
    <xf numFmtId="0" fontId="4" fillId="4" borderId="5" xfId="0" applyFont="1" applyFill="1" applyBorder="1" applyAlignment="1">
      <alignment horizontal="centerContinuous"/>
    </xf>
    <xf numFmtId="0" fontId="2" fillId="0" borderId="0" xfId="0" applyFont="1"/>
    <xf numFmtId="0" fontId="2" fillId="0" borderId="0" xfId="0" applyFont="1" applyBorder="1"/>
    <xf numFmtId="0" fontId="2"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2" fillId="0" borderId="0" xfId="0" applyFont="1" applyBorder="1" applyAlignment="1">
      <alignment horizontal="right" wrapText="1" indent="1"/>
    </xf>
    <xf numFmtId="0" fontId="2" fillId="0" borderId="0" xfId="0" applyFont="1" applyBorder="1" applyAlignment="1">
      <alignment horizontal="right" indent="1"/>
    </xf>
    <xf numFmtId="0" fontId="2" fillId="0" borderId="0" xfId="0" applyFont="1" applyFill="1" applyBorder="1" applyAlignment="1">
      <alignment horizontal="right" indent="1"/>
    </xf>
    <xf numFmtId="0" fontId="2" fillId="5" borderId="6" xfId="0" applyFont="1" applyFill="1" applyBorder="1" applyAlignment="1">
      <alignment horizontal="centerContinuous"/>
    </xf>
    <xf numFmtId="0" fontId="0" fillId="5" borderId="7" xfId="0" applyFill="1" applyBorder="1" applyAlignment="1">
      <alignment horizontal="centerContinuous"/>
    </xf>
    <xf numFmtId="0" fontId="0" fillId="5" borderId="8" xfId="0" applyFill="1" applyBorder="1" applyAlignment="1">
      <alignment horizontal="centerContinuous"/>
    </xf>
    <xf numFmtId="165" fontId="0" fillId="6" borderId="0" xfId="3" applyNumberFormat="1" applyFont="1" applyFill="1" applyBorder="1"/>
    <xf numFmtId="164" fontId="0" fillId="6" borderId="0" xfId="2" applyNumberFormat="1" applyFont="1" applyFill="1" applyBorder="1"/>
    <xf numFmtId="164" fontId="0" fillId="6" borderId="1" xfId="2" applyNumberFormat="1" applyFont="1" applyFill="1" applyBorder="1"/>
    <xf numFmtId="165" fontId="2" fillId="6" borderId="0" xfId="3" applyNumberFormat="1" applyFont="1" applyFill="1" applyBorder="1"/>
    <xf numFmtId="0" fontId="10" fillId="0" borderId="3" xfId="0" applyFont="1" applyBorder="1" applyAlignment="1">
      <alignment wrapText="1"/>
    </xf>
    <xf numFmtId="10" fontId="0" fillId="0" borderId="0" xfId="1" applyNumberFormat="1" applyFont="1" applyBorder="1" applyAlignment="1">
      <alignment vertical="center"/>
    </xf>
    <xf numFmtId="0" fontId="2" fillId="0" borderId="0" xfId="0" applyFont="1" applyBorder="1" applyAlignment="1">
      <alignment horizontal="right" vertical="center" wrapText="1" indent="1"/>
    </xf>
    <xf numFmtId="0" fontId="12" fillId="0" borderId="0" xfId="0" applyFont="1" applyAlignment="1">
      <alignment horizontal="centerContinuous"/>
    </xf>
    <xf numFmtId="0" fontId="10" fillId="0" borderId="0" xfId="0" applyFont="1" applyBorder="1" applyAlignment="1">
      <alignment wrapText="1"/>
    </xf>
    <xf numFmtId="43" fontId="0" fillId="0" borderId="0" xfId="0" applyNumberFormat="1"/>
    <xf numFmtId="0" fontId="10" fillId="0" borderId="11"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164" fontId="10" fillId="0" borderId="17" xfId="0" applyNumberFormat="1" applyFont="1" applyBorder="1" applyAlignment="1">
      <alignment wrapText="1"/>
    </xf>
    <xf numFmtId="43" fontId="0" fillId="0" borderId="0" xfId="2" applyNumberFormat="1" applyFont="1" applyBorder="1"/>
    <xf numFmtId="0" fontId="0" fillId="7" borderId="13" xfId="0" applyFill="1" applyBorder="1" applyAlignment="1">
      <alignment horizontal="centerContinuous"/>
    </xf>
    <xf numFmtId="0" fontId="0" fillId="7" borderId="14" xfId="0" applyFill="1" applyBorder="1" applyAlignment="1">
      <alignment horizontal="centerContinuous"/>
    </xf>
    <xf numFmtId="0" fontId="0" fillId="7" borderId="23" xfId="0" applyFill="1" applyBorder="1" applyAlignment="1">
      <alignment horizontal="centerContinuous"/>
    </xf>
    <xf numFmtId="0" fontId="0" fillId="7" borderId="24" xfId="0" applyFill="1" applyBorder="1" applyAlignment="1">
      <alignment horizontal="centerContinuous"/>
    </xf>
    <xf numFmtId="0" fontId="10" fillId="0" borderId="25" xfId="0" applyFont="1" applyBorder="1" applyAlignment="1">
      <alignment wrapText="1"/>
    </xf>
    <xf numFmtId="0" fontId="10" fillId="0" borderId="26" xfId="0" applyFont="1" applyBorder="1" applyAlignment="1">
      <alignment wrapText="1"/>
    </xf>
    <xf numFmtId="0" fontId="15" fillId="0" borderId="0" xfId="0" applyFont="1"/>
    <xf numFmtId="0" fontId="16" fillId="0" borderId="0" xfId="0" applyFont="1"/>
    <xf numFmtId="9" fontId="16" fillId="0" borderId="0" xfId="0" applyNumberFormat="1" applyFont="1"/>
    <xf numFmtId="9" fontId="0" fillId="0" borderId="0" xfId="0" applyNumberFormat="1"/>
    <xf numFmtId="0" fontId="17" fillId="0" borderId="0" xfId="0" applyFont="1"/>
    <xf numFmtId="0" fontId="2" fillId="0" borderId="0" xfId="0" applyFont="1" applyAlignment="1">
      <alignment horizontal="center" wrapText="1"/>
    </xf>
    <xf numFmtId="0" fontId="0" fillId="0" borderId="0" xfId="0" applyAlignment="1">
      <alignment horizontal="center"/>
    </xf>
    <xf numFmtId="166" fontId="0" fillId="0" borderId="0" xfId="0" applyNumberFormat="1"/>
    <xf numFmtId="167" fontId="0" fillId="0" borderId="0" xfId="0" applyNumberFormat="1"/>
    <xf numFmtId="168" fontId="0" fillId="0" borderId="0" xfId="0" applyNumberFormat="1"/>
    <xf numFmtId="168" fontId="14" fillId="0" borderId="0" xfId="0" applyNumberFormat="1" applyFont="1"/>
    <xf numFmtId="0" fontId="0" fillId="0" borderId="3" xfId="0" applyBorder="1" applyAlignment="1">
      <alignment horizontal="center"/>
    </xf>
    <xf numFmtId="169" fontId="0" fillId="0" borderId="5" xfId="1" applyNumberFormat="1" applyFont="1" applyFill="1" applyBorder="1"/>
    <xf numFmtId="0" fontId="0" fillId="0" borderId="0" xfId="0" applyAlignment="1">
      <alignment vertical="top" wrapText="1"/>
    </xf>
    <xf numFmtId="0" fontId="19" fillId="0" borderId="0" xfId="0" applyFont="1"/>
    <xf numFmtId="0" fontId="20" fillId="0" borderId="0" xfId="0" applyFont="1" applyAlignment="1">
      <alignment wrapText="1"/>
    </xf>
    <xf numFmtId="0" fontId="20" fillId="0" borderId="0" xfId="0" applyFont="1"/>
    <xf numFmtId="0" fontId="21" fillId="0" borderId="27" xfId="0" applyFont="1" applyBorder="1"/>
    <xf numFmtId="0" fontId="22" fillId="0" borderId="28" xfId="0" applyFont="1" applyBorder="1"/>
    <xf numFmtId="0" fontId="0" fillId="0" borderId="29" xfId="0" applyBorder="1"/>
    <xf numFmtId="0" fontId="23" fillId="0" borderId="30" xfId="0" applyFont="1" applyBorder="1"/>
    <xf numFmtId="0" fontId="22" fillId="0" borderId="0" xfId="0" applyFont="1" applyBorder="1"/>
    <xf numFmtId="0" fontId="0" fillId="0" borderId="31" xfId="0" applyBorder="1"/>
    <xf numFmtId="0" fontId="24" fillId="0" borderId="0" xfId="0" applyFont="1"/>
    <xf numFmtId="0" fontId="2" fillId="8" borderId="35" xfId="0" applyFont="1" applyFill="1" applyBorder="1" applyAlignment="1">
      <alignment horizontal="center" vertical="center" wrapText="1"/>
    </xf>
    <xf numFmtId="0" fontId="2" fillId="0" borderId="35" xfId="0" applyFont="1" applyBorder="1" applyAlignment="1">
      <alignment horizontal="center" vertical="center" wrapText="1"/>
    </xf>
    <xf numFmtId="0" fontId="0" fillId="0" borderId="0" xfId="0" applyAlignment="1">
      <alignment horizontal="left" vertical="center" indent="1"/>
    </xf>
    <xf numFmtId="0" fontId="0" fillId="0" borderId="0" xfId="0" applyAlignment="1">
      <alignment wrapText="1"/>
    </xf>
    <xf numFmtId="0" fontId="2" fillId="11" borderId="35" xfId="0" applyFont="1" applyFill="1" applyBorder="1" applyAlignment="1">
      <alignment horizontal="center" vertical="center" wrapText="1"/>
    </xf>
    <xf numFmtId="0" fontId="0" fillId="0" borderId="4" xfId="0"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168" fontId="0" fillId="10" borderId="1" xfId="0" applyNumberFormat="1" applyFill="1" applyBorder="1"/>
    <xf numFmtId="0" fontId="0" fillId="10" borderId="1" xfId="0" applyFill="1" applyBorder="1"/>
    <xf numFmtId="0" fontId="0" fillId="0" borderId="0" xfId="0" applyFill="1"/>
    <xf numFmtId="169" fontId="0" fillId="0" borderId="0" xfId="1" applyNumberFormat="1" applyFont="1"/>
    <xf numFmtId="0" fontId="27" fillId="0" borderId="0" xfId="0" applyFont="1"/>
    <xf numFmtId="9" fontId="27" fillId="0" borderId="0" xfId="2" applyNumberFormat="1" applyFont="1"/>
    <xf numFmtId="0" fontId="10" fillId="0" borderId="3" xfId="0" applyFont="1" applyBorder="1" applyAlignment="1">
      <alignment horizontal="center" wrapText="1"/>
    </xf>
    <xf numFmtId="0" fontId="2" fillId="0" borderId="3" xfId="0" applyFont="1" applyBorder="1" applyAlignment="1">
      <alignment horizontal="center"/>
    </xf>
    <xf numFmtId="0" fontId="2" fillId="0" borderId="7" xfId="0" applyFont="1" applyBorder="1" applyAlignment="1">
      <alignment horizontal="center"/>
    </xf>
    <xf numFmtId="0" fontId="2" fillId="14" borderId="4" xfId="0" applyFont="1" applyFill="1" applyBorder="1"/>
    <xf numFmtId="0" fontId="0" fillId="14" borderId="5" xfId="0" applyFill="1" applyBorder="1"/>
    <xf numFmtId="0" fontId="2" fillId="14" borderId="5" xfId="0" applyFont="1" applyFill="1" applyBorder="1"/>
    <xf numFmtId="0" fontId="30" fillId="0" borderId="0" xfId="0" applyFont="1"/>
    <xf numFmtId="0" fontId="0" fillId="4" borderId="0" xfId="0" applyFill="1" applyBorder="1"/>
    <xf numFmtId="0" fontId="15" fillId="4" borderId="36" xfId="0" applyFont="1" applyFill="1" applyBorder="1"/>
    <xf numFmtId="0" fontId="0" fillId="4" borderId="37" xfId="0" applyFill="1" applyBorder="1"/>
    <xf numFmtId="0" fontId="0" fillId="4" borderId="38" xfId="0" applyFill="1" applyBorder="1"/>
    <xf numFmtId="0" fontId="18" fillId="4" borderId="39" xfId="0" applyFont="1" applyFill="1" applyBorder="1"/>
    <xf numFmtId="0" fontId="0" fillId="4" borderId="40" xfId="0" applyFill="1" applyBorder="1"/>
    <xf numFmtId="0" fontId="0" fillId="4" borderId="39" xfId="0" applyFill="1" applyBorder="1"/>
    <xf numFmtId="9" fontId="18" fillId="4" borderId="39" xfId="0" applyNumberFormat="1" applyFont="1" applyFill="1" applyBorder="1"/>
    <xf numFmtId="9" fontId="18" fillId="4" borderId="41" xfId="0" applyNumberFormat="1" applyFont="1" applyFill="1" applyBorder="1"/>
    <xf numFmtId="0" fontId="0" fillId="4" borderId="42" xfId="0" applyFill="1" applyBorder="1"/>
    <xf numFmtId="0" fontId="0" fillId="4" borderId="43" xfId="0" applyFill="1" applyBorder="1"/>
    <xf numFmtId="0" fontId="26" fillId="4" borderId="36" xfId="0" applyFont="1" applyFill="1" applyBorder="1"/>
    <xf numFmtId="0" fontId="0" fillId="4" borderId="37" xfId="0" quotePrefix="1" applyFill="1" applyBorder="1"/>
    <xf numFmtId="0" fontId="26" fillId="4" borderId="39" xfId="0" applyFont="1" applyFill="1" applyBorder="1"/>
    <xf numFmtId="169" fontId="26" fillId="4" borderId="39" xfId="1" applyNumberFormat="1" applyFont="1" applyFill="1" applyBorder="1"/>
    <xf numFmtId="0" fontId="17" fillId="4" borderId="0" xfId="0" applyFont="1" applyFill="1" applyBorder="1"/>
    <xf numFmtId="169" fontId="26" fillId="4" borderId="41" xfId="1" applyNumberFormat="1" applyFont="1" applyFill="1" applyBorder="1"/>
    <xf numFmtId="0" fontId="28" fillId="12" borderId="0" xfId="0" applyFont="1" applyFill="1" applyAlignment="1">
      <alignment horizontal="center" vertical="center" wrapText="1"/>
    </xf>
    <xf numFmtId="0" fontId="2" fillId="0" borderId="0" xfId="0" applyFont="1" applyAlignment="1">
      <alignment horizontal="center" vertical="center" wrapText="1"/>
    </xf>
    <xf numFmtId="9" fontId="0" fillId="0" borderId="0" xfId="0" applyNumberFormat="1" applyAlignment="1">
      <alignment horizontal="center"/>
    </xf>
    <xf numFmtId="166" fontId="0" fillId="0" borderId="0" xfId="0" applyNumberFormat="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168" fontId="25" fillId="0" borderId="0" xfId="0" applyNumberFormat="1" applyFont="1" applyFill="1" applyAlignment="1">
      <alignment horizontal="center"/>
    </xf>
    <xf numFmtId="169" fontId="0" fillId="0" borderId="0" xfId="1" applyNumberFormat="1" applyFont="1" applyAlignment="1">
      <alignment horizontal="center"/>
    </xf>
    <xf numFmtId="168" fontId="25" fillId="0" borderId="0" xfId="0" applyNumberFormat="1" applyFont="1" applyAlignment="1">
      <alignment horizontal="center"/>
    </xf>
    <xf numFmtId="0" fontId="2" fillId="0" borderId="0" xfId="0" applyFont="1" applyAlignment="1">
      <alignment horizontal="center"/>
    </xf>
    <xf numFmtId="0" fontId="31" fillId="0" borderId="0" xfId="0" applyFont="1"/>
    <xf numFmtId="0" fontId="0" fillId="13" borderId="0" xfId="0" applyFill="1" applyAlignment="1">
      <alignment horizontal="center"/>
    </xf>
    <xf numFmtId="168" fontId="2" fillId="0" borderId="3" xfId="0" applyNumberFormat="1" applyFont="1" applyBorder="1" applyAlignment="1">
      <alignment horizontal="center"/>
    </xf>
    <xf numFmtId="0" fontId="0" fillId="0" borderId="0" xfId="0" applyAlignment="1"/>
    <xf numFmtId="9" fontId="0" fillId="13" borderId="0" xfId="0" applyNumberFormat="1" applyFill="1" applyAlignment="1">
      <alignment horizontal="center"/>
    </xf>
    <xf numFmtId="166" fontId="0" fillId="13" borderId="0" xfId="0" applyNumberFormat="1" applyFill="1" applyAlignment="1">
      <alignment horizontal="center"/>
    </xf>
    <xf numFmtId="167" fontId="0" fillId="13" borderId="0" xfId="0" applyNumberFormat="1" applyFill="1" applyAlignment="1">
      <alignment horizontal="center"/>
    </xf>
    <xf numFmtId="168" fontId="0" fillId="13" borderId="0" xfId="0" applyNumberFormat="1" applyFill="1" applyAlignment="1">
      <alignment horizontal="center"/>
    </xf>
    <xf numFmtId="166" fontId="16" fillId="2" borderId="0" xfId="0" applyNumberFormat="1" applyFont="1" applyFill="1" applyAlignment="1">
      <alignment horizontal="center"/>
    </xf>
    <xf numFmtId="166" fontId="18" fillId="2" borderId="0" xfId="0" applyNumberFormat="1" applyFont="1" applyFill="1" applyAlignment="1">
      <alignment horizontal="center"/>
    </xf>
    <xf numFmtId="168" fontId="2" fillId="0" borderId="7" xfId="0" applyNumberFormat="1" applyFont="1" applyBorder="1" applyAlignment="1">
      <alignment horizontal="center"/>
    </xf>
    <xf numFmtId="0" fontId="0" fillId="10" borderId="36" xfId="0" applyFill="1" applyBorder="1"/>
    <xf numFmtId="0" fontId="0" fillId="10" borderId="37" xfId="0" applyFill="1" applyBorder="1"/>
    <xf numFmtId="168" fontId="0" fillId="10" borderId="38" xfId="0" applyNumberFormat="1" applyFill="1" applyBorder="1"/>
    <xf numFmtId="0" fontId="0" fillId="10" borderId="39" xfId="0" applyFill="1" applyBorder="1"/>
    <xf numFmtId="0" fontId="0" fillId="10" borderId="0" xfId="0" applyFill="1" applyBorder="1"/>
    <xf numFmtId="168" fontId="14" fillId="10" borderId="40" xfId="0" applyNumberFormat="1" applyFont="1" applyFill="1" applyBorder="1"/>
    <xf numFmtId="0" fontId="0" fillId="10" borderId="40" xfId="0" applyFill="1" applyBorder="1"/>
    <xf numFmtId="168" fontId="0" fillId="10" borderId="40" xfId="0" applyNumberFormat="1" applyFill="1" applyBorder="1"/>
    <xf numFmtId="0" fontId="0" fillId="10" borderId="44" xfId="0" applyFill="1" applyBorder="1"/>
    <xf numFmtId="168" fontId="0" fillId="10" borderId="45" xfId="0" applyNumberFormat="1" applyFill="1" applyBorder="1"/>
    <xf numFmtId="0" fontId="0" fillId="10" borderId="41" xfId="0" applyFill="1" applyBorder="1"/>
    <xf numFmtId="0" fontId="0" fillId="10" borderId="42" xfId="0" applyFill="1" applyBorder="1"/>
    <xf numFmtId="168" fontId="0" fillId="10" borderId="43" xfId="0" applyNumberFormat="1" applyFill="1" applyBorder="1"/>
    <xf numFmtId="0" fontId="0" fillId="10" borderId="38" xfId="0" applyFill="1" applyBorder="1"/>
    <xf numFmtId="168" fontId="0" fillId="10" borderId="42" xfId="0" applyNumberFormat="1" applyFill="1" applyBorder="1"/>
    <xf numFmtId="0" fontId="0" fillId="10" borderId="43" xfId="0" applyFill="1" applyBorder="1"/>
    <xf numFmtId="168" fontId="0" fillId="10" borderId="0" xfId="0" applyNumberFormat="1" applyFill="1" applyBorder="1"/>
    <xf numFmtId="168" fontId="32" fillId="0" borderId="0" xfId="0" applyNumberFormat="1" applyFont="1" applyFill="1" applyAlignment="1">
      <alignment horizontal="center"/>
    </xf>
    <xf numFmtId="167" fontId="0" fillId="0" borderId="0" xfId="0" applyNumberFormat="1" applyFill="1" applyAlignment="1">
      <alignment horizontal="center"/>
    </xf>
    <xf numFmtId="168" fontId="0" fillId="0" borderId="0" xfId="0" applyNumberFormat="1" applyFill="1" applyAlignment="1">
      <alignment horizontal="center"/>
    </xf>
    <xf numFmtId="0" fontId="2" fillId="4" borderId="35"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0" fillId="0" borderId="0" xfId="0" applyBorder="1" applyAlignment="1"/>
    <xf numFmtId="164" fontId="0" fillId="0" borderId="18" xfId="2" applyNumberFormat="1" applyFont="1" applyBorder="1" applyAlignment="1"/>
    <xf numFmtId="43" fontId="13" fillId="0" borderId="17" xfId="2" applyFont="1" applyBorder="1" applyAlignment="1"/>
    <xf numFmtId="164" fontId="13" fillId="0" borderId="0" xfId="2" applyNumberFormat="1" applyFont="1" applyBorder="1" applyAlignment="1"/>
    <xf numFmtId="0" fontId="0" fillId="0" borderId="18" xfId="0" applyBorder="1" applyAlignment="1"/>
    <xf numFmtId="164" fontId="0" fillId="9" borderId="17" xfId="2" applyNumberFormat="1" applyFont="1" applyFill="1" applyBorder="1" applyAlignment="1"/>
    <xf numFmtId="164" fontId="13" fillId="9" borderId="0" xfId="2" applyNumberFormat="1" applyFont="1" applyFill="1" applyBorder="1" applyAlignment="1"/>
    <xf numFmtId="164" fontId="0" fillId="9" borderId="0" xfId="2" applyNumberFormat="1" applyFont="1" applyFill="1" applyBorder="1" applyAlignment="1"/>
    <xf numFmtId="43" fontId="0" fillId="9" borderId="0" xfId="2" applyNumberFormat="1" applyFont="1" applyFill="1" applyBorder="1" applyAlignment="1"/>
    <xf numFmtId="164" fontId="0" fillId="9" borderId="18" xfId="2" applyNumberFormat="1" applyFont="1" applyFill="1" applyBorder="1" applyAlignment="1"/>
    <xf numFmtId="43" fontId="13" fillId="9" borderId="17" xfId="2" applyFont="1" applyFill="1" applyBorder="1" applyAlignment="1"/>
    <xf numFmtId="9" fontId="0" fillId="9" borderId="0" xfId="1" applyFont="1" applyFill="1" applyBorder="1" applyAlignment="1"/>
    <xf numFmtId="164" fontId="0" fillId="0" borderId="17" xfId="2" applyNumberFormat="1" applyFont="1" applyBorder="1" applyAlignment="1"/>
    <xf numFmtId="164" fontId="0" fillId="0" borderId="0" xfId="2" applyNumberFormat="1" applyFont="1" applyBorder="1" applyAlignment="1"/>
    <xf numFmtId="43" fontId="0" fillId="0" borderId="0" xfId="2" applyNumberFormat="1" applyFont="1" applyBorder="1" applyAlignment="1"/>
    <xf numFmtId="9" fontId="0" fillId="0" borderId="0" xfId="1" applyFont="1" applyBorder="1" applyAlignment="1"/>
    <xf numFmtId="164" fontId="0" fillId="0" borderId="19" xfId="2" applyNumberFormat="1" applyFont="1" applyBorder="1" applyAlignment="1"/>
    <xf numFmtId="164" fontId="13" fillId="0" borderId="20" xfId="2" applyNumberFormat="1" applyFont="1" applyBorder="1" applyAlignment="1"/>
    <xf numFmtId="164" fontId="0" fillId="0" borderId="20" xfId="2" applyNumberFormat="1" applyFont="1" applyBorder="1" applyAlignment="1"/>
    <xf numFmtId="43" fontId="0" fillId="0" borderId="20" xfId="2" applyNumberFormat="1" applyFont="1" applyBorder="1" applyAlignment="1"/>
    <xf numFmtId="164" fontId="0" fillId="0" borderId="21" xfId="2" applyNumberFormat="1" applyFont="1" applyBorder="1" applyAlignment="1"/>
    <xf numFmtId="0" fontId="0" fillId="0" borderId="19" xfId="0" applyBorder="1" applyAlignment="1"/>
    <xf numFmtId="43" fontId="0" fillId="0" borderId="20" xfId="2" applyFont="1" applyBorder="1" applyAlignment="1"/>
    <xf numFmtId="0" fontId="2" fillId="7" borderId="12" xfId="0" applyFont="1" applyFill="1" applyBorder="1" applyAlignment="1">
      <alignment horizontal="centerContinuous"/>
    </xf>
    <xf numFmtId="0" fontId="2" fillId="7" borderId="22" xfId="0" applyFont="1" applyFill="1" applyBorder="1" applyAlignment="1">
      <alignment horizontal="centerContinuous"/>
    </xf>
    <xf numFmtId="0" fontId="29" fillId="0" borderId="0" xfId="0" applyFont="1" applyAlignment="1">
      <alignment horizontal="center"/>
    </xf>
    <xf numFmtId="0" fontId="17" fillId="0" borderId="0" xfId="0" applyFont="1" applyAlignment="1">
      <alignment vertical="center"/>
    </xf>
    <xf numFmtId="164" fontId="25" fillId="9" borderId="0" xfId="2" applyNumberFormat="1" applyFont="1" applyFill="1" applyBorder="1" applyAlignment="1"/>
    <xf numFmtId="164" fontId="25" fillId="0" borderId="0" xfId="2" applyNumberFormat="1" applyFont="1" applyBorder="1" applyAlignment="1"/>
    <xf numFmtId="164" fontId="25" fillId="0" borderId="20" xfId="2" applyNumberFormat="1" applyFont="1" applyBorder="1" applyAlignment="1"/>
    <xf numFmtId="168" fontId="32" fillId="13" borderId="0" xfId="0" applyNumberFormat="1" applyFont="1" applyFill="1" applyAlignment="1">
      <alignment horizontal="center"/>
    </xf>
    <xf numFmtId="0" fontId="29" fillId="0" borderId="0" xfId="0" quotePrefix="1" applyFont="1"/>
    <xf numFmtId="0" fontId="2" fillId="14" borderId="4" xfId="0" applyFont="1" applyFill="1" applyBorder="1" applyAlignment="1">
      <alignment horizontal="left" indent="2"/>
    </xf>
    <xf numFmtId="170" fontId="0" fillId="0" borderId="0" xfId="1" applyNumberFormat="1" applyFont="1"/>
    <xf numFmtId="169" fontId="29" fillId="0" borderId="0" xfId="1" applyNumberFormat="1" applyFont="1" applyAlignment="1">
      <alignment horizontal="center"/>
    </xf>
    <xf numFmtId="0" fontId="0" fillId="0" borderId="4" xfId="0" applyBorder="1" applyAlignment="1">
      <alignment horizontal="left" vertical="center" wrapText="1"/>
    </xf>
    <xf numFmtId="0" fontId="36" fillId="0" borderId="0" xfId="0" applyFont="1"/>
    <xf numFmtId="0" fontId="37" fillId="0" borderId="0" xfId="0" applyFont="1"/>
    <xf numFmtId="0" fontId="37" fillId="0" borderId="0" xfId="0" applyFont="1" applyAlignment="1">
      <alignment horizontal="left" indent="1"/>
    </xf>
    <xf numFmtId="0" fontId="0" fillId="0" borderId="2" xfId="0" applyBorder="1"/>
    <xf numFmtId="0" fontId="0" fillId="0" borderId="5" xfId="0" applyBorder="1"/>
    <xf numFmtId="0" fontId="39" fillId="0" borderId="0" xfId="0" applyFont="1"/>
    <xf numFmtId="0" fontId="0" fillId="16" borderId="35" xfId="0" applyFill="1" applyBorder="1" applyAlignment="1">
      <alignment horizontal="center" vertical="center"/>
    </xf>
    <xf numFmtId="0" fontId="2" fillId="17" borderId="35" xfId="0" applyFont="1" applyFill="1" applyBorder="1" applyAlignment="1">
      <alignment horizontal="center" vertical="center" wrapText="1"/>
    </xf>
    <xf numFmtId="168" fontId="25" fillId="10" borderId="40" xfId="0" applyNumberFormat="1" applyFont="1" applyFill="1" applyBorder="1"/>
    <xf numFmtId="0" fontId="0" fillId="10" borderId="37" xfId="0" applyFill="1" applyBorder="1" applyAlignment="1">
      <alignment horizontal="right"/>
    </xf>
    <xf numFmtId="0" fontId="0" fillId="10" borderId="38" xfId="0" applyFill="1" applyBorder="1" applyAlignment="1">
      <alignment horizontal="right"/>
    </xf>
    <xf numFmtId="0" fontId="0" fillId="0" borderId="4" xfId="0"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2" fillId="11" borderId="4" xfId="0" applyFont="1" applyFill="1" applyBorder="1" applyAlignment="1">
      <alignment horizontal="left" vertical="center" wrapText="1"/>
    </xf>
    <xf numFmtId="0" fontId="0" fillId="11" borderId="2" xfId="0" applyFill="1" applyBorder="1" applyAlignment="1">
      <alignment horizontal="left" vertical="center"/>
    </xf>
    <xf numFmtId="0" fontId="0" fillId="11" borderId="5" xfId="0" applyFill="1" applyBorder="1" applyAlignment="1">
      <alignment horizontal="left" vertical="center"/>
    </xf>
    <xf numFmtId="0" fontId="0" fillId="0" borderId="35" xfId="0" applyBorder="1" applyAlignment="1">
      <alignment horizontal="left" vertical="center" wrapText="1" indent="1"/>
    </xf>
    <xf numFmtId="0" fontId="20" fillId="0" borderId="0" xfId="0" applyFont="1" applyAlignment="1">
      <alignment vertical="top" wrapText="1"/>
    </xf>
    <xf numFmtId="0" fontId="22" fillId="0" borderId="30" xfId="0" applyFont="1" applyBorder="1" applyAlignment="1">
      <alignment vertical="top" wrapText="1"/>
    </xf>
    <xf numFmtId="0" fontId="22" fillId="0" borderId="0" xfId="0" applyFont="1" applyBorder="1" applyAlignment="1">
      <alignment vertical="top" wrapText="1"/>
    </xf>
    <xf numFmtId="0" fontId="22" fillId="0" borderId="0" xfId="0" applyFont="1" applyBorder="1" applyAlignment="1">
      <alignment wrapText="1"/>
    </xf>
    <xf numFmtId="0" fontId="0" fillId="0" borderId="31" xfId="0" applyBorder="1" applyAlignment="1">
      <alignment wrapText="1"/>
    </xf>
    <xf numFmtId="0" fontId="22" fillId="0" borderId="32" xfId="0" applyFont="1" applyBorder="1" applyAlignment="1">
      <alignment vertical="top" wrapText="1"/>
    </xf>
    <xf numFmtId="0" fontId="22" fillId="0" borderId="33" xfId="0" applyFont="1" applyBorder="1" applyAlignment="1">
      <alignment vertical="top" wrapText="1"/>
    </xf>
    <xf numFmtId="0" fontId="22" fillId="0" borderId="33" xfId="0" applyFont="1" applyBorder="1" applyAlignment="1">
      <alignment wrapText="1"/>
    </xf>
    <xf numFmtId="0" fontId="0" fillId="0" borderId="34" xfId="0" applyBorder="1" applyAlignment="1">
      <alignment wrapText="1"/>
    </xf>
    <xf numFmtId="0" fontId="2" fillId="8" borderId="35" xfId="0" applyFont="1" applyFill="1" applyBorder="1" applyAlignment="1">
      <alignment horizontal="left" vertical="center" wrapText="1" indent="1"/>
    </xf>
    <xf numFmtId="0" fontId="0" fillId="8" borderId="35" xfId="0" applyFill="1" applyBorder="1" applyAlignment="1">
      <alignment horizontal="left" vertical="center" wrapText="1" indent="1"/>
    </xf>
    <xf numFmtId="0" fontId="0" fillId="5" borderId="9" xfId="0" applyFill="1" applyBorder="1" applyAlignment="1">
      <alignment horizontal="left" vertical="center" wrapText="1"/>
    </xf>
    <xf numFmtId="0" fontId="0" fillId="5" borderId="1" xfId="0" applyFill="1" applyBorder="1" applyAlignment="1">
      <alignment horizontal="left" vertical="center" wrapText="1"/>
    </xf>
    <xf numFmtId="0" fontId="0" fillId="5" borderId="10" xfId="0" applyFill="1" applyBorder="1" applyAlignment="1">
      <alignment horizontal="left" vertical="center" wrapText="1"/>
    </xf>
    <xf numFmtId="0" fontId="0" fillId="5" borderId="9"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1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cellXfs>
  <cellStyles count="4">
    <cellStyle name="Comma" xfId="2" builtinId="3"/>
    <cellStyle name="Currency" xfId="3" builtinId="4"/>
    <cellStyle name="Normal" xfId="0" builtinId="0"/>
    <cellStyle name="Percent" xfId="1" builtinId="5"/>
  </cellStyles>
  <dxfs count="2">
    <dxf>
      <fill>
        <patternFill>
          <bgColor theme="0"/>
        </patternFill>
      </fill>
    </dxf>
    <dxf>
      <fill>
        <patternFill>
          <bgColor theme="0" tint="-4.9989318521683403E-2"/>
        </patternFill>
      </fill>
    </dxf>
  </dxfs>
  <tableStyles count="0" defaultTableStyle="TableStyleMedium2" defaultPivotStyle="PivotStyleLight16"/>
  <colors>
    <mruColors>
      <color rgb="FFD5C0D8"/>
      <color rgb="FFF8F8F8"/>
      <color rgb="FFF8CEB2"/>
      <color rgb="FFFFFFCC"/>
      <color rgb="FFF5F5F5"/>
      <color rgb="FFFFFE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67235</xdr:colOff>
      <xdr:row>2</xdr:row>
      <xdr:rowOff>9526</xdr:rowOff>
    </xdr:from>
    <xdr:to>
      <xdr:col>8</xdr:col>
      <xdr:colOff>336176</xdr:colOff>
      <xdr:row>24</xdr:row>
      <xdr:rowOff>280147</xdr:rowOff>
    </xdr:to>
    <xdr:sp macro="" textlink="">
      <xdr:nvSpPr>
        <xdr:cNvPr id="2" name="TextBox 1">
          <a:extLst>
            <a:ext uri="{FF2B5EF4-FFF2-40B4-BE49-F238E27FC236}">
              <a16:creationId xmlns:a16="http://schemas.microsoft.com/office/drawing/2014/main" id="{D190BA44-9137-4D35-AD54-3B84C11536A3}"/>
            </a:ext>
          </a:extLst>
        </xdr:cNvPr>
        <xdr:cNvSpPr txBox="1"/>
      </xdr:nvSpPr>
      <xdr:spPr>
        <a:xfrm>
          <a:off x="1580029" y="659467"/>
          <a:ext cx="5939118" cy="4932268"/>
        </a:xfrm>
        <a:prstGeom prst="rect">
          <a:avLst/>
        </a:prstGeom>
        <a:solidFill>
          <a:srgbClr val="F9F9F9"/>
        </a:solidFill>
        <a:ln w="9525" cmpd="sng">
          <a:solidFill>
            <a:schemeClr val="tx1">
              <a:alpha val="97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002060"/>
              </a:solidFill>
            </a:rPr>
            <a:t>Accounting Standards Update (ASU) 2018-12 August 2018</a:t>
          </a:r>
        </a:p>
        <a:p>
          <a:pPr algn="ctr"/>
          <a:r>
            <a:rPr lang="en-US" sz="1200" b="1">
              <a:solidFill>
                <a:srgbClr val="002060"/>
              </a:solidFill>
            </a:rPr>
            <a:t>Targeted</a:t>
          </a:r>
          <a:r>
            <a:rPr lang="en-US" sz="1200" b="1" baseline="0">
              <a:solidFill>
                <a:srgbClr val="002060"/>
              </a:solidFill>
            </a:rPr>
            <a:t> Improvements to the Accounting for Long-Duration Contracts</a:t>
          </a:r>
        </a:p>
        <a:p>
          <a:endParaRPr lang="en-US" sz="1100">
            <a:solidFill>
              <a:srgbClr val="002060"/>
            </a:solidFill>
          </a:endParaRPr>
        </a:p>
        <a:p>
          <a:r>
            <a:rPr lang="en-US" sz="1100">
              <a:solidFill>
                <a:srgbClr val="002060"/>
              </a:solidFill>
            </a:rPr>
            <a:t> </a:t>
          </a:r>
          <a:r>
            <a:rPr lang="en-US" sz="1100" b="1">
              <a:solidFill>
                <a:srgbClr val="002060"/>
              </a:solidFill>
              <a:latin typeface="+mn-lt"/>
              <a:ea typeface="+mn-ea"/>
              <a:cs typeface="+mn-cs"/>
            </a:rPr>
            <a:t>944-30-35-3A </a:t>
          </a:r>
          <a:r>
            <a:rPr lang="en-US" sz="1100" b="0">
              <a:solidFill>
                <a:srgbClr val="002060"/>
              </a:solidFill>
              <a:latin typeface="+mn-lt"/>
              <a:ea typeface="+mn-ea"/>
              <a:cs typeface="+mn-cs"/>
            </a:rPr>
            <a:t>Acquisition costs capitalized under paragraphs 944-30-25-1A </a:t>
          </a:r>
          <a:r>
            <a:rPr lang="en-US" sz="1100">
              <a:solidFill>
                <a:srgbClr val="002060"/>
              </a:solidFill>
              <a:latin typeface="+mn-lt"/>
              <a:ea typeface="+mn-ea"/>
              <a:cs typeface="+mn-cs"/>
            </a:rPr>
            <a:t>through 25-1AA shall be charged to expense on a constant level basis—either on an individual contract basis or on a grouped contract basis—over the expected term of the related contract(s) as follows:</a:t>
          </a:r>
        </a:p>
        <a:p>
          <a:endParaRPr lang="en-US" sz="1100">
            <a:solidFill>
              <a:srgbClr val="002060"/>
            </a:solidFill>
            <a:latin typeface="+mn-lt"/>
            <a:ea typeface="+mn-ea"/>
            <a:cs typeface="+mn-cs"/>
          </a:endParaRPr>
        </a:p>
        <a:p>
          <a:r>
            <a:rPr lang="en-US" sz="1100">
              <a:solidFill>
                <a:srgbClr val="002060"/>
              </a:solidFill>
              <a:latin typeface="+mn-lt"/>
              <a:ea typeface="+mn-ea"/>
              <a:cs typeface="+mn-cs"/>
            </a:rPr>
            <a:t>a. Individual contracts. Capitalized acquisition costs shall be charged to expense on a straight-line basis. </a:t>
          </a:r>
        </a:p>
        <a:p>
          <a:endParaRPr lang="en-US" sz="1100">
            <a:solidFill>
              <a:srgbClr val="002060"/>
            </a:solidFill>
            <a:latin typeface="+mn-lt"/>
            <a:ea typeface="+mn-ea"/>
            <a:cs typeface="+mn-cs"/>
          </a:endParaRPr>
        </a:p>
        <a:p>
          <a:r>
            <a:rPr lang="en-US" sz="1100">
              <a:solidFill>
                <a:srgbClr val="002060"/>
              </a:solidFill>
              <a:latin typeface="+mn-lt"/>
              <a:ea typeface="+mn-ea"/>
              <a:cs typeface="+mn-cs"/>
            </a:rPr>
            <a:t>b. Grouped contracts. Capitalized acquisition costs shall be charged to expense on a constant-level basis that approximates straight-line amortization on an individual contract basis. Contracts shall be grouped consistent with the grouping used in estimating the liability for future policy benefits (or any other related balance) for the corresponding contracts. </a:t>
          </a:r>
        </a:p>
        <a:p>
          <a:endParaRPr lang="en-US" sz="1100">
            <a:solidFill>
              <a:srgbClr val="002060"/>
            </a:solidFill>
            <a:latin typeface="+mn-lt"/>
            <a:ea typeface="+mn-ea"/>
            <a:cs typeface="+mn-cs"/>
          </a:endParaRPr>
        </a:p>
        <a:p>
          <a:r>
            <a:rPr lang="en-US" sz="1100">
              <a:solidFill>
                <a:srgbClr val="002060"/>
              </a:solidFill>
              <a:latin typeface="+mn-lt"/>
              <a:ea typeface="+mn-ea"/>
              <a:cs typeface="+mn-cs"/>
            </a:rPr>
            <a:t>The resulting amortization amount shall not be a function of revenue or profit emergence. The amortization method shall be applied consistently over the expected term of the related contract(s). </a:t>
          </a:r>
        </a:p>
        <a:p>
          <a:endParaRPr lang="en-US" sz="1100">
            <a:solidFill>
              <a:srgbClr val="002060"/>
            </a:solidFill>
            <a:latin typeface="+mn-lt"/>
            <a:ea typeface="+mn-ea"/>
            <a:cs typeface="+mn-cs"/>
          </a:endParaRPr>
        </a:p>
        <a:p>
          <a:r>
            <a:rPr lang="en-US" sz="1100" b="1">
              <a:solidFill>
                <a:srgbClr val="002060"/>
              </a:solidFill>
              <a:latin typeface="+mn-lt"/>
              <a:ea typeface="+mn-ea"/>
              <a:cs typeface="+mn-cs"/>
            </a:rPr>
            <a:t>944-30-35-3B </a:t>
          </a:r>
          <a:r>
            <a:rPr lang="en-US" sz="1100" b="0">
              <a:solidFill>
                <a:srgbClr val="002060"/>
              </a:solidFill>
              <a:latin typeface="+mn-lt"/>
              <a:ea typeface="+mn-ea"/>
              <a:cs typeface="+mn-cs"/>
            </a:rPr>
            <a:t>The balance of capitalized acquisition costs shall be reduced for </a:t>
          </a:r>
          <a:r>
            <a:rPr lang="en-US" sz="1100">
              <a:solidFill>
                <a:srgbClr val="002060"/>
              </a:solidFill>
              <a:latin typeface="+mn-lt"/>
              <a:ea typeface="+mn-ea"/>
              <a:cs typeface="+mn-cs"/>
            </a:rPr>
            <a:t>actual experience in excess of expected experience (that is, as a result of unexpected contract terminations). The effect of changes in future estimates (for example, revisions of mortality or lapse assumptions as required in paragraph 944- 40-35-5(a)) shall be recognized over the remaining expected contract term as a revision of the future amortization amounts. </a:t>
          </a:r>
        </a:p>
        <a:p>
          <a:endParaRPr lang="en-US" sz="1100">
            <a:solidFill>
              <a:srgbClr val="002060"/>
            </a:solidFill>
            <a:latin typeface="+mn-lt"/>
            <a:ea typeface="+mn-ea"/>
            <a:cs typeface="+mn-cs"/>
          </a:endParaRPr>
        </a:p>
        <a:p>
          <a:r>
            <a:rPr lang="en-US" sz="1100" b="1">
              <a:solidFill>
                <a:srgbClr val="002060"/>
              </a:solidFill>
              <a:latin typeface="+mn-lt"/>
              <a:ea typeface="+mn-ea"/>
              <a:cs typeface="+mn-cs"/>
            </a:rPr>
            <a:t>944-30-35-3C </a:t>
          </a:r>
          <a:r>
            <a:rPr lang="en-US" sz="1100" b="0">
              <a:solidFill>
                <a:srgbClr val="002060"/>
              </a:solidFill>
              <a:latin typeface="+mn-lt"/>
              <a:ea typeface="+mn-ea"/>
              <a:cs typeface="+mn-cs"/>
            </a:rPr>
            <a:t>No interest shall accrue on the unamortized balance of capitalized </a:t>
          </a:r>
          <a:r>
            <a:rPr lang="en-US" sz="1100">
              <a:solidFill>
                <a:srgbClr val="002060"/>
              </a:solidFill>
              <a:latin typeface="+mn-lt"/>
              <a:ea typeface="+mn-ea"/>
              <a:cs typeface="+mn-cs"/>
            </a:rPr>
            <a:t>acquisition costs. In determining amortization expense, future deferrable costs shall not be included before the incurrence and capitalization of those costs. </a:t>
          </a:r>
          <a:endParaRPr lang="en-US" sz="1100">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130969</xdr:colOff>
      <xdr:row>32</xdr:row>
      <xdr:rowOff>180975</xdr:rowOff>
    </xdr:from>
    <xdr:to>
      <xdr:col>11</xdr:col>
      <xdr:colOff>130969</xdr:colOff>
      <xdr:row>39</xdr:row>
      <xdr:rowOff>142875</xdr:rowOff>
    </xdr:to>
    <xdr:sp macro="" textlink="">
      <xdr:nvSpPr>
        <xdr:cNvPr id="2" name="TextBox 1">
          <a:extLst>
            <a:ext uri="{FF2B5EF4-FFF2-40B4-BE49-F238E27FC236}">
              <a16:creationId xmlns:a16="http://schemas.microsoft.com/office/drawing/2014/main" id="{1BD5C342-D593-40B2-B329-0D3FFE042FA4}"/>
            </a:ext>
          </a:extLst>
        </xdr:cNvPr>
        <xdr:cNvSpPr txBox="1"/>
      </xdr:nvSpPr>
      <xdr:spPr>
        <a:xfrm>
          <a:off x="7012782" y="7062788"/>
          <a:ext cx="4286250" cy="1295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amortization rate n</a:t>
          </a:r>
          <a:r>
            <a:rPr lang="en-US" sz="1100"/>
            <a:t>umerator is the DAC reported at end of prior year and Capitalized</a:t>
          </a:r>
          <a:r>
            <a:rPr lang="en-US" sz="1100" baseline="0"/>
            <a:t> expenses in current year</a:t>
          </a:r>
        </a:p>
        <a:p>
          <a:r>
            <a:rPr lang="en-US" sz="1100"/>
            <a:t>* The amortization rate denominator is the present</a:t>
          </a:r>
          <a:r>
            <a:rPr lang="en-US" sz="1100" baseline="0"/>
            <a:t> value of the future in force balance anticipated at beginning of the current year.</a:t>
          </a:r>
        </a:p>
        <a:p>
          <a:r>
            <a:rPr lang="en-US" sz="1100" baseline="0"/>
            <a:t>*Amortization basis = The balance in force at the beginning of the year, reflecting historical experience prior to current year and anticipated experience for the end of the year and for all future years.</a:t>
          </a:r>
          <a:endParaRPr lang="en-US" sz="1100"/>
        </a:p>
      </xdr:txBody>
    </xdr:sp>
    <xdr:clientData/>
  </xdr:twoCellAnchor>
  <xdr:twoCellAnchor>
    <xdr:from>
      <xdr:col>1</xdr:col>
      <xdr:colOff>600075</xdr:colOff>
      <xdr:row>32</xdr:row>
      <xdr:rowOff>171450</xdr:rowOff>
    </xdr:from>
    <xdr:to>
      <xdr:col>6</xdr:col>
      <xdr:colOff>1019175</xdr:colOff>
      <xdr:row>39</xdr:row>
      <xdr:rowOff>142875</xdr:rowOff>
    </xdr:to>
    <xdr:sp macro="" textlink="">
      <xdr:nvSpPr>
        <xdr:cNvPr id="3" name="TextBox 2">
          <a:extLst>
            <a:ext uri="{FF2B5EF4-FFF2-40B4-BE49-F238E27FC236}">
              <a16:creationId xmlns:a16="http://schemas.microsoft.com/office/drawing/2014/main" id="{EBC8BB80-62B0-45C0-B489-6542B3C8AE1A}"/>
            </a:ext>
          </a:extLst>
        </xdr:cNvPr>
        <xdr:cNvSpPr txBox="1"/>
      </xdr:nvSpPr>
      <xdr:spPr>
        <a:xfrm>
          <a:off x="1209675" y="7048500"/>
          <a:ext cx="5667375" cy="13049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Experience adjustment = prorata DAC write-off for excess</a:t>
          </a:r>
          <a:r>
            <a:rPr lang="en-US" sz="1100" baseline="0"/>
            <a:t> lapses. </a:t>
          </a:r>
        </a:p>
        <a:p>
          <a:r>
            <a:rPr lang="en-US" sz="1100" baseline="0"/>
            <a:t>= Anticipated DAC at EOY  x (expected inforce EOY -actual inforce EOY )/Anticipated inforce EOY </a:t>
          </a:r>
        </a:p>
        <a:p>
          <a:r>
            <a:rPr lang="en-US" sz="1100"/>
            <a:t>=</a:t>
          </a:r>
          <a:r>
            <a:rPr lang="en-US" sz="1100" baseline="0"/>
            <a:t> Anticipated DAC at EOY x extra lapses/anticipated persistency</a:t>
          </a:r>
        </a:p>
        <a:p>
          <a:endParaRPr lang="en-US" sz="1100" baseline="0"/>
        </a:p>
        <a:p>
          <a:r>
            <a:rPr lang="en-US" sz="1100" baseline="0"/>
            <a:t>Anticipated DAC = DAC BOY + capitalization less anticipated amortization</a:t>
          </a:r>
        </a:p>
        <a:p>
          <a:r>
            <a:rPr lang="en-US" sz="1100" baseline="0"/>
            <a:t>Anticipated amortization does not reflect the actual inforce at end of year but reflects the actual deferrable expense in the year.</a:t>
          </a:r>
          <a:endParaRPr lang="en-US" sz="1100"/>
        </a:p>
      </xdr:txBody>
    </xdr:sp>
    <xdr:clientData/>
  </xdr:twoCellAnchor>
  <xdr:twoCellAnchor>
    <xdr:from>
      <xdr:col>2</xdr:col>
      <xdr:colOff>9524</xdr:colOff>
      <xdr:row>41</xdr:row>
      <xdr:rowOff>9524</xdr:rowOff>
    </xdr:from>
    <xdr:to>
      <xdr:col>10</xdr:col>
      <xdr:colOff>1171574</xdr:colOff>
      <xdr:row>59</xdr:row>
      <xdr:rowOff>59531</xdr:rowOff>
    </xdr:to>
    <xdr:sp macro="" textlink="">
      <xdr:nvSpPr>
        <xdr:cNvPr id="4" name="TextBox 3">
          <a:extLst>
            <a:ext uri="{FF2B5EF4-FFF2-40B4-BE49-F238E27FC236}">
              <a16:creationId xmlns:a16="http://schemas.microsoft.com/office/drawing/2014/main" id="{736245D7-4CBB-48B0-9915-3789520EE83D}"/>
            </a:ext>
          </a:extLst>
        </xdr:cNvPr>
        <xdr:cNvSpPr txBox="1"/>
      </xdr:nvSpPr>
      <xdr:spPr>
        <a:xfrm>
          <a:off x="1223962" y="8986837"/>
          <a:ext cx="10079831" cy="3479007"/>
        </a:xfrm>
        <a:prstGeom prst="rect">
          <a:avLst/>
        </a:prstGeom>
        <a:solidFill>
          <a:srgbClr val="FFFE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Q&amp;A</a:t>
          </a:r>
        </a:p>
        <a:p>
          <a:r>
            <a:rPr lang="en-US" sz="1100" b="1" i="0" u="none" strike="noStrike">
              <a:solidFill>
                <a:schemeClr val="dk1"/>
              </a:solidFill>
              <a:effectLst/>
              <a:latin typeface="+mn-lt"/>
              <a:ea typeface="+mn-ea"/>
              <a:cs typeface="+mn-cs"/>
            </a:rPr>
            <a:t>What are the potential reasons that amortization rate would be increasing from year to year?</a:t>
          </a:r>
          <a:r>
            <a:rPr lang="en-US" b="1"/>
            <a:t> </a:t>
          </a:r>
        </a:p>
        <a:p>
          <a:pPr marL="171450" indent="-171450">
            <a:buFont typeface="Arial" panose="020B0604020202020204" pitchFamily="34" charset="0"/>
            <a:buChar char="•"/>
          </a:pPr>
          <a:r>
            <a:rPr lang="en-US" sz="1100" b="0" i="0">
              <a:solidFill>
                <a:schemeClr val="dk1"/>
              </a:solidFill>
              <a:effectLst/>
              <a:latin typeface="+mn-lt"/>
              <a:ea typeface="+mn-ea"/>
              <a:cs typeface="+mn-cs"/>
            </a:rPr>
            <a:t>Any renewal acquisition expenses (such as renewal commissions) tend to increase amortization rate.  Renewal acquisition expenses would tend  to increase the numerator in the amortization rate.  The requirements</a:t>
          </a:r>
          <a:r>
            <a:rPr lang="en-US" sz="1100" b="0" i="0" baseline="0">
              <a:solidFill>
                <a:schemeClr val="dk1"/>
              </a:solidFill>
              <a:effectLst/>
              <a:latin typeface="+mn-lt"/>
              <a:ea typeface="+mn-ea"/>
              <a:cs typeface="+mn-cs"/>
            </a:rPr>
            <a:t> do not allow</a:t>
          </a:r>
          <a:r>
            <a:rPr lang="en-US" sz="1100" b="0" i="0">
              <a:solidFill>
                <a:schemeClr val="dk1"/>
              </a:solidFill>
              <a:effectLst/>
              <a:latin typeface="+mn-lt"/>
              <a:ea typeface="+mn-ea"/>
              <a:cs typeface="+mn-cs"/>
            </a:rPr>
            <a:t> anticipating acquisition expenses in future period when calculating the amortization rate.  So the prior period's amortization rate does not include the current year's deferable expenses in the numerator. Therefore, the amortization rate tends to progressively</a:t>
          </a:r>
          <a:r>
            <a:rPr lang="en-US" sz="1100" b="0" i="0" baseline="0">
              <a:solidFill>
                <a:schemeClr val="dk1"/>
              </a:solidFill>
              <a:effectLst/>
              <a:latin typeface="+mn-lt"/>
              <a:ea typeface="+mn-ea"/>
              <a:cs typeface="+mn-cs"/>
            </a:rPr>
            <a:t> increase each year as new renewal expenses occur.</a:t>
          </a:r>
          <a:r>
            <a:rPr lang="en-US" sz="1100">
              <a:solidFill>
                <a:schemeClr val="dk1"/>
              </a:solidFill>
              <a:effectLst/>
              <a:latin typeface="+mn-lt"/>
              <a:ea typeface="+mn-ea"/>
              <a:cs typeface="+mn-cs"/>
            </a:rPr>
            <a:t>  You can test out the impact by zeroing out the year 2 and later acquisition expenses.</a:t>
          </a:r>
          <a:endParaRPr lang="en-US" sz="500">
            <a:solidFill>
              <a:schemeClr val="dk1"/>
            </a:solidFill>
            <a:effectLst/>
            <a:latin typeface="+mn-lt"/>
            <a:ea typeface="+mn-ea"/>
            <a:cs typeface="+mn-cs"/>
          </a:endParaRPr>
        </a:p>
        <a:p>
          <a:pPr marL="0" indent="0">
            <a:buFont typeface="Arial" panose="020B0604020202020204" pitchFamily="34" charset="0"/>
            <a:buNone/>
          </a:pPr>
          <a:r>
            <a:rPr lang="en-US" sz="500">
              <a:solidFill>
                <a:schemeClr val="dk1"/>
              </a:solidFill>
              <a:effectLst/>
              <a:latin typeface="+mn-lt"/>
              <a:ea typeface="+mn-ea"/>
              <a:cs typeface="+mn-cs"/>
            </a:rPr>
            <a:t>  </a:t>
          </a:r>
          <a:r>
            <a:rPr lang="en-US" sz="500" baseline="0">
              <a:solidFill>
                <a:schemeClr val="dk1"/>
              </a:solidFill>
              <a:effectLst/>
              <a:latin typeface="+mn-lt"/>
              <a:ea typeface="+mn-ea"/>
              <a:cs typeface="+mn-cs"/>
            </a:rPr>
            <a:t>  </a:t>
          </a:r>
          <a:endParaRPr lang="en-US" sz="5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Projected persistency is revised to be less than prior periods projection.  This would tend to lower the denominator of</a:t>
          </a:r>
          <a:r>
            <a:rPr lang="en-US" sz="1100" b="0" i="0" u="none" strike="noStrike" baseline="0">
              <a:solidFill>
                <a:schemeClr val="dk1"/>
              </a:solidFill>
              <a:effectLst/>
              <a:latin typeface="+mn-lt"/>
              <a:ea typeface="+mn-ea"/>
              <a:cs typeface="+mn-cs"/>
            </a:rPr>
            <a:t> the amortization ratio</a:t>
          </a:r>
          <a:r>
            <a:rPr lang="en-US" sz="1100" b="0" i="0" u="none" strike="noStrike">
              <a:solidFill>
                <a:schemeClr val="dk1"/>
              </a:solidFill>
              <a:effectLst/>
              <a:latin typeface="+mn-lt"/>
              <a:ea typeface="+mn-ea"/>
              <a:cs typeface="+mn-cs"/>
            </a:rPr>
            <a:t>.</a:t>
          </a:r>
          <a:r>
            <a:rPr lang="en-US"/>
            <a:t>  The opposite is true</a:t>
          </a:r>
          <a:r>
            <a:rPr lang="en-US" baseline="0"/>
            <a:t> if future persistency is instead increased.  You can test this by changing the additional lapses to negative amounts.  Persisency may also impact renewal acquisitoin expenses that tend to have opposite effect on amortization rate.</a:t>
          </a:r>
          <a:endParaRPr lang="en-US"/>
        </a:p>
        <a:p>
          <a:pPr marL="0" indent="0">
            <a:buFontTx/>
            <a:buNone/>
          </a:pPr>
          <a:r>
            <a:rPr lang="en-US"/>
            <a:t> </a:t>
          </a:r>
        </a:p>
        <a:p>
          <a:pPr marL="0" indent="0">
            <a:buFontTx/>
            <a:buNone/>
          </a:pPr>
          <a:r>
            <a:rPr lang="en-US" sz="1100" b="1"/>
            <a:t>What is the experience adjustment when you have</a:t>
          </a:r>
          <a:r>
            <a:rPr lang="en-US" sz="1100" b="1" baseline="0"/>
            <a:t> better persistency than anticipated?</a:t>
          </a:r>
        </a:p>
        <a:p>
          <a:pPr marL="171450" indent="-171450">
            <a:buFont typeface="Arial" panose="020B0604020202020204" pitchFamily="34" charset="0"/>
            <a:buChar char="•"/>
          </a:pPr>
          <a:r>
            <a:rPr lang="en-US" sz="1100"/>
            <a:t>Zero.  The experience adjustment is one</a:t>
          </a:r>
          <a:r>
            <a:rPr lang="en-US" sz="1100" baseline="0"/>
            <a:t> sided, i.e. only for extra lapses.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What is the DAC balance at end of the year if all policies terminate?</a:t>
          </a:r>
          <a:endParaRPr lang="en-US">
            <a:effectLst/>
          </a:endParaRPr>
        </a:p>
        <a:p>
          <a:pPr marL="171450" indent="-171450">
            <a:buFont typeface="Arial" panose="020B0604020202020204" pitchFamily="34" charset="0"/>
            <a:buChar char="•"/>
          </a:pPr>
          <a:r>
            <a:rPr lang="en-US" sz="1100">
              <a:solidFill>
                <a:schemeClr val="dk1"/>
              </a:solidFill>
              <a:latin typeface="+mn-lt"/>
              <a:ea typeface="+mn-ea"/>
              <a:cs typeface="+mn-cs"/>
            </a:rPr>
            <a:t>Zero.  The </a:t>
          </a:r>
          <a:r>
            <a:rPr lang="en-US" sz="1100">
              <a:solidFill>
                <a:schemeClr val="dk1"/>
              </a:solidFill>
              <a:effectLst/>
              <a:latin typeface="+mn-lt"/>
              <a:ea typeface="+mn-ea"/>
              <a:cs typeface="+mn-cs"/>
            </a:rPr>
            <a:t>experience adjustment writes off all the remaining DAC.  Test this by using 1.00 as extra lapse in cell C7 and zero out all remaining future deferrable expenses. It makes sense that there is no remaining </a:t>
          </a:r>
          <a:r>
            <a:rPr lang="en-US" sz="1100" baseline="0">
              <a:solidFill>
                <a:schemeClr val="dk1"/>
              </a:solidFill>
              <a:effectLst/>
              <a:latin typeface="+mn-lt"/>
              <a:ea typeface="+mn-ea"/>
              <a:cs typeface="+mn-cs"/>
            </a:rPr>
            <a:t>DAC balance if there are no remaining policies in force.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329171</xdr:colOff>
      <xdr:row>2</xdr:row>
      <xdr:rowOff>45245</xdr:rowOff>
    </xdr:from>
    <xdr:to>
      <xdr:col>11</xdr:col>
      <xdr:colOff>202405</xdr:colOff>
      <xdr:row>74</xdr:row>
      <xdr:rowOff>166687</xdr:rowOff>
    </xdr:to>
    <xdr:sp macro="" textlink="">
      <xdr:nvSpPr>
        <xdr:cNvPr id="2" name="TextBox 1">
          <a:extLst>
            <a:ext uri="{FF2B5EF4-FFF2-40B4-BE49-F238E27FC236}">
              <a16:creationId xmlns:a16="http://schemas.microsoft.com/office/drawing/2014/main" id="{ADB961B4-ED6B-4A6B-833D-432539EA7C1B}"/>
            </a:ext>
          </a:extLst>
        </xdr:cNvPr>
        <xdr:cNvSpPr txBox="1"/>
      </xdr:nvSpPr>
      <xdr:spPr>
        <a:xfrm>
          <a:off x="329171" y="497683"/>
          <a:ext cx="7255109" cy="15480504"/>
        </a:xfrm>
        <a:prstGeom prst="rect">
          <a:avLst/>
        </a:prstGeom>
        <a:solidFill>
          <a:srgbClr val="F9F9F9"/>
        </a:solidFill>
        <a:ln w="9525" cmpd="sng">
          <a:solidFill>
            <a:schemeClr val="tx1">
              <a:alpha val="97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002060"/>
              </a:solidFill>
            </a:rPr>
            <a:t>Accounting Standards Update(ASU) 2018-12 August 2018</a:t>
          </a:r>
        </a:p>
        <a:p>
          <a:pPr algn="ctr"/>
          <a:r>
            <a:rPr lang="en-US" sz="1200" b="1">
              <a:solidFill>
                <a:srgbClr val="002060"/>
              </a:solidFill>
            </a:rPr>
            <a:t>Targeted</a:t>
          </a:r>
          <a:r>
            <a:rPr lang="en-US" sz="1200" b="1" baseline="0">
              <a:solidFill>
                <a:srgbClr val="002060"/>
              </a:solidFill>
            </a:rPr>
            <a:t> Improvements to the Accounting for Long-Duration Contracts</a:t>
          </a:r>
        </a:p>
        <a:p>
          <a:endParaRPr lang="en-US" sz="1100">
            <a:solidFill>
              <a:srgbClr val="002060"/>
            </a:solidFill>
          </a:endParaRPr>
        </a:p>
        <a:p>
          <a:r>
            <a:rPr lang="en-US" sz="1100">
              <a:solidFill>
                <a:srgbClr val="002060"/>
              </a:solidFill>
            </a:rPr>
            <a:t> </a:t>
          </a:r>
          <a:r>
            <a:rPr lang="en-US" sz="1100" b="1">
              <a:solidFill>
                <a:schemeClr val="dk1"/>
              </a:solidFill>
              <a:latin typeface="+mn-lt"/>
              <a:ea typeface="+mn-ea"/>
              <a:cs typeface="+mn-cs"/>
            </a:rPr>
            <a:t>&gt; Traditional and Limited-Payment Long-Duration Contracts </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944-40-30-7 </a:t>
          </a:r>
          <a:r>
            <a:rPr lang="en-US" sz="1100" b="0">
              <a:solidFill>
                <a:schemeClr val="dk1"/>
              </a:solidFill>
              <a:latin typeface="+mn-lt"/>
              <a:ea typeface="+mn-ea"/>
              <a:cs typeface="+mn-cs"/>
            </a:rPr>
            <a:t>The liability for future policy benefits accrued under paragraph 944-40-25-10944-40-25-8 shall be the </a:t>
          </a:r>
          <a:r>
            <a:rPr lang="en-US" sz="1100">
              <a:solidFill>
                <a:schemeClr val="dk1"/>
              </a:solidFill>
              <a:latin typeface="+mn-lt"/>
              <a:ea typeface="+mn-ea"/>
              <a:cs typeface="+mn-cs"/>
            </a:rPr>
            <a:t>present value of future benefits to be paid to or on behalf of policyholders and related expenses less the present value of future </a:t>
          </a:r>
          <a:r>
            <a:rPr lang="en-US" sz="1100" b="1">
              <a:solidFill>
                <a:schemeClr val="dk1"/>
              </a:solidFill>
              <a:latin typeface="+mn-lt"/>
              <a:ea typeface="+mn-ea"/>
              <a:cs typeface="+mn-cs"/>
            </a:rPr>
            <a:t>net premiums </a:t>
          </a:r>
          <a:r>
            <a:rPr lang="en-US" sz="1100" b="0">
              <a:solidFill>
                <a:schemeClr val="dk1"/>
              </a:solidFill>
              <a:latin typeface="+mn-lt"/>
              <a:ea typeface="+mn-ea"/>
              <a:cs typeface="+mn-cs"/>
            </a:rPr>
            <a:t>(portion of </a:t>
          </a:r>
          <a:r>
            <a:rPr lang="en-US" sz="1100" b="1">
              <a:solidFill>
                <a:schemeClr val="dk1"/>
              </a:solidFill>
              <a:latin typeface="+mn-lt"/>
              <a:ea typeface="+mn-ea"/>
              <a:cs typeface="+mn-cs"/>
            </a:rPr>
            <a:t>gross premium</a:t>
          </a:r>
          <a:r>
            <a:rPr lang="en-US" sz="1100" b="0">
              <a:solidFill>
                <a:schemeClr val="dk1"/>
              </a:solidFill>
              <a:latin typeface="+mn-lt"/>
              <a:ea typeface="+mn-ea"/>
              <a:cs typeface="+mn-cs"/>
            </a:rPr>
            <a:t> required to provide for all benefits and expenses, excluding acquisition costs or costs that are required to be charged to expense as</a:t>
          </a:r>
          <a:r>
            <a:rPr lang="en-US" sz="1100" b="1">
              <a:solidFill>
                <a:schemeClr val="dk1"/>
              </a:solidFill>
              <a:latin typeface="+mn-lt"/>
              <a:ea typeface="+mn-ea"/>
              <a:cs typeface="+mn-cs"/>
            </a:rPr>
            <a:t> </a:t>
          </a:r>
          <a:r>
            <a:rPr lang="en-US" sz="1100">
              <a:solidFill>
                <a:schemeClr val="dk1"/>
              </a:solidFill>
              <a:latin typeface="+mn-lt"/>
              <a:ea typeface="+mn-ea"/>
              <a:cs typeface="+mn-cs"/>
            </a:rPr>
            <a:t>incurred). That liability shall be estimated using methods that include assumptions, such as discount rate estimates of expected investment yields, </a:t>
          </a:r>
          <a:r>
            <a:rPr lang="en-US" sz="1100" b="0">
              <a:solidFill>
                <a:schemeClr val="dk1"/>
              </a:solidFill>
              <a:latin typeface="+mn-lt"/>
              <a:ea typeface="+mn-ea"/>
              <a:cs typeface="+mn-cs"/>
            </a:rPr>
            <a:t>mortality, morbidity, terminations, and expenses</a:t>
          </a:r>
          <a:r>
            <a:rPr lang="en-US" sz="1100" b="1">
              <a:solidFill>
                <a:schemeClr val="dk1"/>
              </a:solidFill>
              <a:latin typeface="+mn-lt"/>
              <a:ea typeface="+mn-ea"/>
              <a:cs typeface="+mn-cs"/>
            </a:rPr>
            <a:t> </a:t>
          </a:r>
          <a:r>
            <a:rPr lang="en-US" sz="1100" b="0">
              <a:solidFill>
                <a:schemeClr val="dk1"/>
              </a:solidFill>
              <a:latin typeface="+mn-lt"/>
              <a:ea typeface="+mn-ea"/>
              <a:cs typeface="+mn-cs"/>
            </a:rPr>
            <a:t>(see </a:t>
          </a:r>
          <a:r>
            <a:rPr lang="en-US" sz="1100">
              <a:solidFill>
                <a:schemeClr val="dk1"/>
              </a:solidFill>
              <a:latin typeface="+mn-lt"/>
              <a:ea typeface="+mn-ea"/>
              <a:cs typeface="+mn-cs"/>
            </a:rPr>
            <a:t>paragraphs 944-40-30-9 and 944-40-30-11 through 30-15), applicable at the time the insurance contracts are made. The liability also shall consider other assumptions relating to guaranteed contract benefits, such as coupons, annual endowments, and conversion privileges. The assumptions shall not include a provision for the </a:t>
          </a:r>
          <a:r>
            <a:rPr lang="en-US" sz="1100" b="1">
              <a:solidFill>
                <a:schemeClr val="dk1"/>
              </a:solidFill>
              <a:latin typeface="+mn-lt"/>
              <a:ea typeface="+mn-ea"/>
              <a:cs typeface="+mn-cs"/>
            </a:rPr>
            <a:t>risk of adverse deviation. </a:t>
          </a:r>
          <a:r>
            <a:rPr lang="en-US" sz="1100" b="0">
              <a:solidFill>
                <a:schemeClr val="dk1"/>
              </a:solidFill>
              <a:latin typeface="+mn-lt"/>
              <a:ea typeface="+mn-ea"/>
              <a:cs typeface="+mn-cs"/>
            </a:rPr>
            <a:t>In determining the level of aggregation </a:t>
          </a:r>
          <a:r>
            <a:rPr lang="en-US" sz="1100">
              <a:solidFill>
                <a:schemeClr val="dk1"/>
              </a:solidFill>
              <a:latin typeface="+mn-lt"/>
              <a:ea typeface="+mn-ea"/>
              <a:cs typeface="+mn-cs"/>
            </a:rPr>
            <a:t>at which reserves are calculated, an insurance entity shall not group contracts together from different issue years but shall group contracts into quarterly or annual groups. </a:t>
          </a:r>
        </a:p>
        <a:p>
          <a:endParaRPr lang="en-U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944-40-30-7A </a:t>
          </a:r>
          <a:r>
            <a:rPr lang="en-US" sz="1100" b="0">
              <a:solidFill>
                <a:schemeClr val="dk1"/>
              </a:solidFill>
              <a:effectLst/>
              <a:latin typeface="+mn-lt"/>
              <a:ea typeface="+mn-ea"/>
              <a:cs typeface="+mn-cs"/>
            </a:rPr>
            <a:t>To the extent the present value of future benefits and expenses </a:t>
          </a:r>
          <a:r>
            <a:rPr lang="en-US" sz="1100">
              <a:solidFill>
                <a:schemeClr val="dk1"/>
              </a:solidFill>
              <a:effectLst/>
              <a:latin typeface="+mn-lt"/>
              <a:ea typeface="+mn-ea"/>
              <a:cs typeface="+mn-cs"/>
            </a:rPr>
            <a:t>exceeds the present value of future gross premiums, an immediate charge shall be recognized in net income (see paragraph 944-40-45-4) such that net premiums are set equal to gross premiums. In no event shall the liability for future policy benefits balance be less than zero for the level of aggregation at which reserves are calculated. Assumptions shall be updated in subsequent accounting periods as described in paragraphs 944-40-35-5 through 35-6A and 944-40-35-7A through  35-7B.</a:t>
          </a:r>
          <a:endParaRPr lang="en-US">
            <a:effectLst/>
          </a:endParaRPr>
        </a:p>
        <a:p>
          <a:endParaRPr lang="en-US" sz="1100">
            <a:solidFill>
              <a:schemeClr val="dk1"/>
            </a:solidFill>
            <a:latin typeface="+mn-lt"/>
            <a:ea typeface="+mn-ea"/>
            <a:cs typeface="+mn-cs"/>
          </a:endParaRPr>
        </a:p>
        <a:p>
          <a:r>
            <a:rPr lang="en-US" sz="1100" b="1">
              <a:solidFill>
                <a:schemeClr val="dk1"/>
              </a:solidFill>
              <a:latin typeface="+mn-lt"/>
              <a:ea typeface="+mn-ea"/>
              <a:cs typeface="+mn-cs"/>
            </a:rPr>
            <a:t>&gt; &gt; &gt; Discount Rate </a:t>
          </a:r>
        </a:p>
        <a:p>
          <a:r>
            <a:rPr lang="en-US" sz="1100" b="1">
              <a:solidFill>
                <a:schemeClr val="dk1"/>
              </a:solidFill>
              <a:latin typeface="+mn-lt"/>
              <a:ea typeface="+mn-ea"/>
              <a:cs typeface="+mn-cs"/>
            </a:rPr>
            <a:t>944-40-30-9 </a:t>
          </a:r>
          <a:r>
            <a:rPr lang="en-US" sz="1100">
              <a:solidFill>
                <a:schemeClr val="dk1"/>
              </a:solidFill>
              <a:latin typeface="+mn-lt"/>
              <a:ea typeface="+mn-ea"/>
              <a:cs typeface="+mn-cs"/>
            </a:rPr>
            <a:t>The liability for future policy benefits shall be discounted using an upper-medium grade (low credit-risk) fixed-income instrument yield. An insurance entity shall consider reliable information in estimating the upper-medium grade (low-credit-risk) fixedincome instrument yield that reflects the duration characteristics of the liability for future policy benefits (see paragraph 944-40-55-13E). An insurance entity shall maximize the use of relevant observable inputs and minimize the use of unobservable inputs in determining the discount rate assumption.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944-40-35-5 </a:t>
          </a:r>
          <a:r>
            <a:rPr lang="en-US" sz="1100" b="0">
              <a:solidFill>
                <a:schemeClr val="dk1"/>
              </a:solidFill>
              <a:latin typeface="+mn-lt"/>
              <a:ea typeface="+mn-ea"/>
              <a:cs typeface="+mn-cs"/>
            </a:rPr>
            <a:t>Assumptions shall be</a:t>
          </a:r>
          <a:r>
            <a:rPr lang="en-US" sz="1100" b="1">
              <a:solidFill>
                <a:schemeClr val="dk1"/>
              </a:solidFill>
              <a:latin typeface="+mn-lt"/>
              <a:ea typeface="+mn-ea"/>
              <a:cs typeface="+mn-cs"/>
            </a:rPr>
            <a:t> </a:t>
          </a:r>
          <a:r>
            <a:rPr lang="en-US" sz="1100">
              <a:solidFill>
                <a:schemeClr val="dk1"/>
              </a:solidFill>
              <a:latin typeface="+mn-lt"/>
              <a:ea typeface="+mn-ea"/>
              <a:cs typeface="+mn-cs"/>
            </a:rPr>
            <a:t>updated in subsequent accounting periods as follows to determine changes in the </a:t>
          </a:r>
          <a:r>
            <a:rPr lang="en-US" sz="1100" b="0">
              <a:solidFill>
                <a:schemeClr val="dk1"/>
              </a:solidFill>
              <a:latin typeface="+mn-lt"/>
              <a:ea typeface="+mn-ea"/>
              <a:cs typeface="+mn-cs"/>
            </a:rPr>
            <a:t>liability for future policy benefits:</a:t>
          </a:r>
        </a:p>
        <a:p>
          <a:pPr marL="182880">
            <a:spcBef>
              <a:spcPts val="0"/>
            </a:spcBef>
          </a:pPr>
          <a:r>
            <a:rPr lang="en-US" sz="1100">
              <a:solidFill>
                <a:schemeClr val="dk1"/>
              </a:solidFill>
              <a:latin typeface="+mn-lt"/>
              <a:ea typeface="+mn-ea"/>
              <a:cs typeface="+mn-cs"/>
            </a:rPr>
            <a:t>a. Cash flow assumptions (that is, the assumptions used to derive estimated cash flows, including the </a:t>
          </a:r>
          <a:r>
            <a:rPr lang="en-US" sz="1100" b="1">
              <a:solidFill>
                <a:schemeClr val="dk1"/>
              </a:solidFill>
              <a:latin typeface="+mn-lt"/>
              <a:ea typeface="+mn-ea"/>
              <a:cs typeface="+mn-cs"/>
            </a:rPr>
            <a:t>mortality, morbidity, termination, </a:t>
          </a:r>
          <a:r>
            <a:rPr lang="en-US" sz="1100" b="0">
              <a:solidFill>
                <a:schemeClr val="dk1"/>
              </a:solidFill>
              <a:latin typeface="+mn-lt"/>
              <a:ea typeface="+mn-ea"/>
              <a:cs typeface="+mn-cs"/>
            </a:rPr>
            <a:t>and </a:t>
          </a:r>
          <a:r>
            <a:rPr lang="en-US" sz="1100">
              <a:solidFill>
                <a:schemeClr val="dk1"/>
              </a:solidFill>
              <a:latin typeface="+mn-lt"/>
              <a:ea typeface="+mn-ea"/>
              <a:cs typeface="+mn-cs"/>
            </a:rPr>
            <a:t>expense assumptions referenced in paragraphs 944-40-30-11 through 30-15) shall be reviewed—and if there is a change, updated—on an annual basis, at the same time every year. </a:t>
          </a:r>
        </a:p>
        <a:p>
          <a:pPr marL="274320"/>
          <a:r>
            <a:rPr lang="en-US" sz="1100">
              <a:solidFill>
                <a:schemeClr val="dk1"/>
              </a:solidFill>
              <a:latin typeface="+mn-lt"/>
              <a:ea typeface="+mn-ea"/>
              <a:cs typeface="+mn-cs"/>
            </a:rPr>
            <a:t>1. Cash flow assumptions shall be updated in interim reporting periods  if evidence suggests that cash flow assumptions should be revised.</a:t>
          </a:r>
        </a:p>
        <a:p>
          <a:pPr marL="274320"/>
          <a:r>
            <a:rPr lang="en-US" sz="1100">
              <a:solidFill>
                <a:schemeClr val="dk1"/>
              </a:solidFill>
              <a:latin typeface="+mn-lt"/>
              <a:ea typeface="+mn-ea"/>
              <a:cs typeface="+mn-cs"/>
            </a:rPr>
            <a:t>2. An insurance entity may make an entity-wide election not to update the expense assumption</a:t>
          </a:r>
        </a:p>
        <a:p>
          <a:pPr marL="182880">
            <a:spcBef>
              <a:spcPts val="0"/>
            </a:spcBef>
          </a:pPr>
          <a:r>
            <a:rPr lang="en-US" sz="1100">
              <a:solidFill>
                <a:schemeClr val="dk1"/>
              </a:solidFill>
              <a:latin typeface="+mn-lt"/>
              <a:ea typeface="+mn-ea"/>
              <a:cs typeface="+mn-cs"/>
            </a:rPr>
            <a:t>b. The discount rate assumption referenced in paragraph 944-40-30-9 shall be updated for annual and interim reporting periods, as of the reporting date.  referenced in paragraph 944-40-30-15.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944-40-35-6 </a:t>
          </a:r>
          <a:r>
            <a:rPr lang="en-US" sz="1100" b="0">
              <a:solidFill>
                <a:schemeClr val="dk1"/>
              </a:solidFill>
              <a:latin typeface="+mn-lt"/>
              <a:ea typeface="+mn-ea"/>
              <a:cs typeface="+mn-cs"/>
            </a:rPr>
            <a:t>Actual experience shall be recognized in the period in which that </a:t>
          </a:r>
          <a:r>
            <a:rPr lang="en-US" sz="1100">
              <a:solidFill>
                <a:schemeClr val="dk1"/>
              </a:solidFill>
              <a:latin typeface="+mn-lt"/>
              <a:ea typeface="+mn-ea"/>
              <a:cs typeface="+mn-cs"/>
            </a:rPr>
            <a:t>experience arises. The liability for future policy benefits shall then be updated for actual experience at least on an annual basis as described in paragraph 944-4035-5(a) (and for limited-payment contracts, see paragraph 944-605-35-1B for guidance on updating any corresponding deferred profit liability). An insurance entity need not update the liability for future policy benefits for actual experience more often than on an annual basis, unless cash flow assumptions are updated as described in paragraph 944-40-35-5(a)(1).</a:t>
          </a:r>
        </a:p>
        <a:p>
          <a:r>
            <a:rPr lang="en-US" sz="1100">
              <a:solidFill>
                <a:schemeClr val="dk1"/>
              </a:solidFill>
              <a:latin typeface="+mn-lt"/>
              <a:ea typeface="+mn-ea"/>
              <a:cs typeface="+mn-cs"/>
            </a:rPr>
            <a:t> </a:t>
          </a:r>
        </a:p>
        <a:p>
          <a:r>
            <a:rPr lang="en-US" sz="1100">
              <a:solidFill>
                <a:sysClr val="windowText" lastClr="000000"/>
              </a:solidFill>
            </a:rPr>
            <a:t>944-40-35-6A  A related charge or credit to net income (see paragraph 944-40-454) or other  comprehensive income as a result of updating assumptions at the level  of aggregation at which reserves are calculated (that is, for a group of contracts) shall be determined as follows: </a:t>
          </a:r>
        </a:p>
        <a:p>
          <a:pPr marL="182880">
            <a:spcBef>
              <a:spcPts val="0"/>
            </a:spcBef>
          </a:pPr>
          <a:r>
            <a:rPr lang="en-US" sz="1100">
              <a:solidFill>
                <a:sysClr val="windowText" lastClr="000000"/>
              </a:solidFill>
            </a:rPr>
            <a:t>a. Cash flow assumptions. Net premiums shall be updated for cash flow changes. An insurance entity shall update its estimate of cash flows expected over the entire life of a group of contracts using actual historical experience and updated future cash flow assumptions. An insurance entity shall recalculate net premiums by comparing the present value of actual historical benefits and related actual (if applicable) historical expenses plus updated remaining expected benefits and related expenses, less the liability carryover basis (if applicable), with the present value of actual historical gross premiums plus the updated remaining expected gross premiums (see Examples 6 and 7 in paragraphs 944-4055-29H through 55-29U). The revised ratio of net premiums to gross premiums</a:t>
          </a:r>
        </a:p>
        <a:p>
          <a:pPr marL="182880">
            <a:spcBef>
              <a:spcPts val="0"/>
            </a:spcBef>
          </a:pPr>
          <a:r>
            <a:rPr lang="en-US" sz="1100">
              <a:solidFill>
                <a:sysClr val="windowText" lastClr="000000"/>
              </a:solidFill>
            </a:rPr>
            <a:t>shall not exceed 100 percent (see paragraph 944-40-35-7A). </a:t>
          </a:r>
        </a:p>
        <a:p>
          <a:pPr marL="457200"/>
          <a:r>
            <a:rPr lang="en-US" sz="1100">
              <a:solidFill>
                <a:sysClr val="windowText" lastClr="000000"/>
              </a:solidFill>
            </a:rPr>
            <a:t>1. Liability remeasurement gain or loss. The revised net premiums shall be used to derive an updated liability for future policy benefits as of the beginning of the current reporting period, discounted at the original (that is, contract issuance) discount rate. The updated liability for future policy benefits as of the beginning of the current reporting period shall then be compared with the carrying amount of</a:t>
          </a:r>
        </a:p>
        <a:p>
          <a:pPr marL="457200"/>
          <a:r>
            <a:rPr lang="en-US" sz="1100">
              <a:solidFill>
                <a:sysClr val="windowText" lastClr="000000"/>
              </a:solidFill>
            </a:rPr>
            <a:t>the liability as of that date (that is, before the updating of cash flow assumptions) to determine the current period change in liability estimate (that is, the liability remeasurement gain or loss) to be</a:t>
          </a:r>
        </a:p>
        <a:p>
          <a:pPr marL="457200"/>
          <a:r>
            <a:rPr lang="en-US" sz="1100">
              <a:solidFill>
                <a:sysClr val="windowText" lastClr="000000"/>
              </a:solidFill>
            </a:rPr>
            <a:t>recognized in net income for the current reporting period (see  paragraph 944-40-45-4 for presentation requirements).  </a:t>
          </a:r>
        </a:p>
        <a:p>
          <a:pPr marL="457200"/>
          <a:r>
            <a:rPr lang="en-US" sz="1100">
              <a:solidFill>
                <a:sysClr val="windowText" lastClr="000000"/>
              </a:solidFill>
            </a:rPr>
            <a:t>2. Current-period benefit expense. The revised net premiums shall be</a:t>
          </a:r>
        </a:p>
        <a:p>
          <a:pPr marL="457200"/>
          <a:r>
            <a:rPr lang="en-US" sz="1100">
              <a:solidFill>
                <a:sysClr val="windowText" lastClr="000000"/>
              </a:solidFill>
            </a:rPr>
            <a:t>applied as of the beginning of the current reporting period to derive the benefit expense for the current reporting period (see paragraph 944-40-45-4 for presentation requirements). </a:t>
          </a:r>
        </a:p>
        <a:p>
          <a:pPr marL="457200"/>
          <a:r>
            <a:rPr lang="en-US" sz="1100">
              <a:solidFill>
                <a:sysClr val="windowText" lastClr="000000"/>
              </a:solidFill>
              <a:latin typeface="+mn-lt"/>
              <a:ea typeface="+mn-ea"/>
              <a:cs typeface="+mn-cs"/>
            </a:rPr>
            <a:t>3. Subsequent periods. In subsequent periods, the revised net premiums shall be used to measure the liability for future policy benefits, subject to future revisions.  </a:t>
          </a:r>
        </a:p>
        <a:p>
          <a:pPr marL="182880">
            <a:spcBef>
              <a:spcPts val="0"/>
            </a:spcBef>
          </a:pPr>
          <a:r>
            <a:rPr lang="en-US" sz="1100">
              <a:solidFill>
                <a:sysClr val="windowText" lastClr="000000"/>
              </a:solidFill>
              <a:latin typeface="+mn-lt"/>
              <a:ea typeface="+mn-ea"/>
              <a:cs typeface="+mn-cs"/>
            </a:rPr>
            <a:t>b. Discount rate assumptions. Net premiums shall not be updated for  discount rate assumption changes. </a:t>
          </a:r>
        </a:p>
        <a:p>
          <a:pPr marL="457200"/>
          <a:r>
            <a:rPr lang="en-US" sz="1100">
              <a:solidFill>
                <a:sysClr val="windowText" lastClr="000000"/>
              </a:solidFill>
              <a:latin typeface="+mn-lt"/>
              <a:ea typeface="+mn-ea"/>
              <a:cs typeface="+mn-cs"/>
            </a:rPr>
            <a:t>1. The difference between the updated carrying amount of the liability for future policy benefits (that is, the present value of future benefits and expenses less the present value of future net premiums based on updated cash flow assumptions) measured using the updated discount rate assumption and the original discount rate assumption shall be recognized directly to other comprehensive income (that is, on an immediate basis).  </a:t>
          </a:r>
        </a:p>
        <a:p>
          <a:pPr marL="457200"/>
          <a:r>
            <a:rPr lang="en-US" sz="1100">
              <a:solidFill>
                <a:sysClr val="windowText" lastClr="000000"/>
              </a:solidFill>
              <a:latin typeface="+mn-lt"/>
              <a:ea typeface="+mn-ea"/>
              <a:cs typeface="+mn-cs"/>
            </a:rPr>
            <a:t>2. The interest accretion rate shall remain the original discount rate used at contract issue date. </a:t>
          </a:r>
        </a:p>
        <a:p>
          <a:pPr marL="457200"/>
          <a:endParaRPr lang="en-US" sz="1100">
            <a:solidFill>
              <a:schemeClr val="dk1"/>
            </a:solidFill>
            <a:latin typeface="+mn-lt"/>
            <a:ea typeface="+mn-ea"/>
            <a:cs typeface="+mn-cs"/>
          </a:endParaRPr>
        </a:p>
        <a:p>
          <a:r>
            <a:rPr lang="en-US" sz="1100" b="1">
              <a:solidFill>
                <a:schemeClr val="dk1"/>
              </a:solidFill>
              <a:latin typeface="+mn-lt"/>
              <a:ea typeface="+mn-ea"/>
              <a:cs typeface="+mn-cs"/>
            </a:rPr>
            <a:t>944-40-35-7A </a:t>
          </a:r>
          <a:r>
            <a:rPr lang="en-US" sz="1100" b="0">
              <a:solidFill>
                <a:schemeClr val="dk1"/>
              </a:solidFill>
              <a:latin typeface="+mn-lt"/>
              <a:ea typeface="+mn-ea"/>
              <a:cs typeface="+mn-cs"/>
            </a:rPr>
            <a:t>If the updating of cash flow assumptions results in the present value </a:t>
          </a:r>
          <a:r>
            <a:rPr lang="en-US" sz="1100">
              <a:solidFill>
                <a:schemeClr val="dk1"/>
              </a:solidFill>
              <a:latin typeface="+mn-lt"/>
              <a:ea typeface="+mn-ea"/>
              <a:cs typeface="+mn-cs"/>
            </a:rPr>
            <a:t>of future benefits and expenses exceeding the present value of future gross premiums, an insurance entity shall:  </a:t>
          </a:r>
        </a:p>
        <a:p>
          <a:pPr marL="182880">
            <a:spcBef>
              <a:spcPts val="0"/>
            </a:spcBef>
          </a:pPr>
          <a:r>
            <a:rPr lang="en-US" sz="1100">
              <a:solidFill>
                <a:schemeClr val="dk1"/>
              </a:solidFill>
              <a:latin typeface="+mn-lt"/>
              <a:ea typeface="+mn-ea"/>
              <a:cs typeface="+mn-cs"/>
            </a:rPr>
            <a:t>a. Set net premiums equal to gross premiums </a:t>
          </a:r>
        </a:p>
        <a:p>
          <a:pPr marL="182880">
            <a:spcBef>
              <a:spcPts val="0"/>
            </a:spcBef>
          </a:pPr>
          <a:r>
            <a:rPr lang="en-US" sz="1100">
              <a:solidFill>
                <a:schemeClr val="dk1"/>
              </a:solidFill>
              <a:latin typeface="+mn-lt"/>
              <a:ea typeface="+mn-ea"/>
              <a:cs typeface="+mn-cs"/>
            </a:rPr>
            <a:t>b. Increase the liability for future policy benefits</a:t>
          </a:r>
        </a:p>
        <a:p>
          <a:pPr marL="182880">
            <a:spcBef>
              <a:spcPts val="0"/>
            </a:spcBef>
          </a:pPr>
          <a:r>
            <a:rPr lang="en-US" sz="1100">
              <a:solidFill>
                <a:schemeClr val="dk1"/>
              </a:solidFill>
              <a:latin typeface="+mn-lt"/>
              <a:ea typeface="+mn-ea"/>
              <a:cs typeface="+mn-cs"/>
            </a:rPr>
            <a:t>c. Recognize a corresponding charge to net income for the current reporting period (see paragraph 944-40-45-4) such that net premiums are set equal to gross premiums.   In subsequent periods (that is, until assumptions are subsequently updated), the liability for future policy benefits shall be accrued with net premiums set equal to gross premiums.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944-40-35-7B </a:t>
          </a:r>
          <a:r>
            <a:rPr lang="en-US" sz="1100" b="0">
              <a:solidFill>
                <a:schemeClr val="dk1"/>
              </a:solidFill>
              <a:latin typeface="+mn-lt"/>
              <a:ea typeface="+mn-ea"/>
              <a:cs typeface="+mn-cs"/>
            </a:rPr>
            <a:t>In no event shall the liability for future policy benefits balance be </a:t>
          </a:r>
          <a:r>
            <a:rPr lang="en-US" sz="1100">
              <a:solidFill>
                <a:schemeClr val="dk1"/>
              </a:solidFill>
              <a:latin typeface="+mn-lt"/>
              <a:ea typeface="+mn-ea"/>
              <a:cs typeface="+mn-cs"/>
            </a:rPr>
            <a:t>less than zero at the level of aggregation at which reserves are calculated.  </a:t>
          </a:r>
          <a:endParaRPr lang="en-US" sz="1100">
            <a:solidFill>
              <a:srgbClr val="00206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180975</xdr:rowOff>
    </xdr:from>
    <xdr:to>
      <xdr:col>25</xdr:col>
      <xdr:colOff>28575</xdr:colOff>
      <xdr:row>14</xdr:row>
      <xdr:rowOff>85725</xdr:rowOff>
    </xdr:to>
    <xdr:sp macro="" textlink="">
      <xdr:nvSpPr>
        <xdr:cNvPr id="2" name="TextBox 1">
          <a:extLst>
            <a:ext uri="{FF2B5EF4-FFF2-40B4-BE49-F238E27FC236}">
              <a16:creationId xmlns:a16="http://schemas.microsoft.com/office/drawing/2014/main" id="{F84882AF-C0A0-47DE-87A2-F14040E38DE9}"/>
            </a:ext>
          </a:extLst>
        </xdr:cNvPr>
        <xdr:cNvSpPr txBox="1"/>
      </xdr:nvSpPr>
      <xdr:spPr>
        <a:xfrm>
          <a:off x="647700" y="371475"/>
          <a:ext cx="14620875" cy="2381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latin typeface="+mn-lt"/>
              <a:ea typeface="+mn-ea"/>
              <a:cs typeface="+mn-cs"/>
            </a:rPr>
            <a:t>&gt; &gt; Example 6: Updating of Assumptions Used in the Measurement of the Liability for Future Policy Benefits </a:t>
          </a:r>
        </a:p>
        <a:p>
          <a:r>
            <a:rPr lang="en-US" sz="1100" b="1">
              <a:solidFill>
                <a:schemeClr val="dk1"/>
              </a:solidFill>
              <a:latin typeface="+mn-lt"/>
              <a:ea typeface="+mn-ea"/>
              <a:cs typeface="+mn-cs"/>
            </a:rPr>
            <a:t>944-40-55-29H </a:t>
          </a:r>
          <a:r>
            <a:rPr lang="en-US" sz="1100" b="0">
              <a:solidFill>
                <a:schemeClr val="dk1"/>
              </a:solidFill>
              <a:latin typeface="+mn-lt"/>
              <a:ea typeface="+mn-ea"/>
              <a:cs typeface="+mn-cs"/>
            </a:rPr>
            <a:t>This example illustrates an approach to updating assumptions </a:t>
          </a:r>
          <a:r>
            <a:rPr lang="en-US" sz="1100">
              <a:solidFill>
                <a:schemeClr val="dk1"/>
              </a:solidFill>
              <a:latin typeface="+mn-lt"/>
              <a:ea typeface="+mn-ea"/>
              <a:cs typeface="+mn-cs"/>
            </a:rPr>
            <a:t>used to measure the liability for future policy benefits related to traditional life insurance contracts. </a:t>
          </a:r>
        </a:p>
        <a:p>
          <a:r>
            <a:rPr lang="en-US" sz="1100" b="1">
              <a:solidFill>
                <a:schemeClr val="dk1"/>
              </a:solidFill>
              <a:latin typeface="+mn-lt"/>
              <a:ea typeface="+mn-ea"/>
              <a:cs typeface="+mn-cs"/>
            </a:rPr>
            <a:t>944-40-55-29I </a:t>
          </a:r>
          <a:r>
            <a:rPr lang="en-US" sz="1100" b="0">
              <a:solidFill>
                <a:schemeClr val="dk1"/>
              </a:solidFill>
              <a:latin typeface="+mn-lt"/>
              <a:ea typeface="+mn-ea"/>
              <a:cs typeface="+mn-cs"/>
            </a:rPr>
            <a:t>This example assumes the following for the contracts discussed: </a:t>
          </a:r>
        </a:p>
        <a:p>
          <a:pPr marL="182880" lvl="1"/>
          <a:r>
            <a:rPr lang="en-US" sz="1100">
              <a:solidFill>
                <a:schemeClr val="dk1"/>
              </a:solidFill>
              <a:latin typeface="+mn-lt"/>
              <a:ea typeface="+mn-ea"/>
              <a:cs typeface="+mn-cs"/>
            </a:rPr>
            <a:t>a. At contract inception:</a:t>
          </a:r>
        </a:p>
        <a:p>
          <a:pPr marL="182880" lvl="1"/>
          <a:r>
            <a:rPr lang="en-US" sz="1100">
              <a:solidFill>
                <a:schemeClr val="dk1"/>
              </a:solidFill>
              <a:latin typeface="+mn-lt"/>
              <a:ea typeface="+mn-ea"/>
              <a:cs typeface="+mn-cs"/>
            </a:rPr>
            <a:t>    1. The insurance entity issues 1,000 guaranteed-renewable 20-year term life insurance contracts that are grouped into a single cohort for purposes of measuring the liability for future policy benefits.</a:t>
          </a:r>
        </a:p>
        <a:p>
          <a:pPr marL="182880" lvl="1"/>
          <a:r>
            <a:rPr lang="en-US" sz="1100">
              <a:solidFill>
                <a:schemeClr val="dk1"/>
              </a:solidFill>
              <a:latin typeface="+mn-lt"/>
              <a:ea typeface="+mn-ea"/>
              <a:cs typeface="+mn-cs"/>
            </a:rPr>
            <a:t>    2. Face amount per contract: $200,000.</a:t>
          </a:r>
        </a:p>
        <a:p>
          <a:pPr marL="182880" lvl="1"/>
          <a:r>
            <a:rPr lang="en-US" sz="1100">
              <a:solidFill>
                <a:schemeClr val="dk1"/>
              </a:solidFill>
              <a:latin typeface="+mn-lt"/>
              <a:ea typeface="+mn-ea"/>
              <a:cs typeface="+mn-cs"/>
            </a:rPr>
            <a:t>    3. Annual premium per contact: $500.</a:t>
          </a:r>
        </a:p>
        <a:p>
          <a:pPr marL="182880" lvl="1"/>
          <a:r>
            <a:rPr lang="en-US" sz="1100">
              <a:solidFill>
                <a:schemeClr val="dk1"/>
              </a:solidFill>
              <a:latin typeface="+mn-lt"/>
              <a:ea typeface="+mn-ea"/>
              <a:cs typeface="+mn-cs"/>
            </a:rPr>
            <a:t>    4. Discount rate: 0 percent.</a:t>
          </a:r>
        </a:p>
        <a:p>
          <a:pPr marL="182880" lvl="1"/>
          <a:r>
            <a:rPr lang="en-US" sz="1100">
              <a:solidFill>
                <a:schemeClr val="dk1"/>
              </a:solidFill>
              <a:latin typeface="+mn-lt"/>
              <a:ea typeface="+mn-ea"/>
              <a:cs typeface="+mn-cs"/>
            </a:rPr>
            <a:t>    5</a:t>
          </a:r>
          <a:r>
            <a:rPr lang="en-US" sz="1100" b="0">
              <a:solidFill>
                <a:schemeClr val="dk1"/>
              </a:solidFill>
              <a:latin typeface="+mn-lt"/>
              <a:ea typeface="+mn-ea"/>
              <a:cs typeface="+mn-cs"/>
            </a:rPr>
            <a:t>. Lapse rate: 5 percent for all years.</a:t>
          </a:r>
        </a:p>
        <a:p>
          <a:pPr marL="182880" lvl="1"/>
          <a:r>
            <a:rPr lang="en-US" sz="1100">
              <a:solidFill>
                <a:schemeClr val="dk1"/>
              </a:solidFill>
              <a:latin typeface="+mn-lt"/>
              <a:ea typeface="+mn-ea"/>
              <a:cs typeface="+mn-cs"/>
            </a:rPr>
            <a:t>    6. Mortality rate: 0.1 percent in Year 1, increasing linearly to 0.29 percent in Year 20.</a:t>
          </a:r>
        </a:p>
        <a:p>
          <a:pPr marL="182880" lvl="1"/>
          <a:r>
            <a:rPr lang="en-US" sz="1100">
              <a:solidFill>
                <a:schemeClr val="dk1"/>
              </a:solidFill>
              <a:latin typeface="+mn-lt"/>
              <a:ea typeface="+mn-ea"/>
              <a:cs typeface="+mn-cs"/>
            </a:rPr>
            <a:t>    7. For ease of illustration, no expenses are assumed, benefit payments and premium receipts occur at the end of the year, and annual periods are presented.</a:t>
          </a:r>
        </a:p>
        <a:p>
          <a:pPr marL="182880" lvl="1"/>
          <a:r>
            <a:rPr lang="en-US" sz="1100">
              <a:solidFill>
                <a:schemeClr val="dk1"/>
              </a:solidFill>
              <a:latin typeface="+mn-lt"/>
              <a:ea typeface="+mn-ea"/>
              <a:cs typeface="+mn-cs"/>
            </a:rPr>
            <a:t>b. During Year 6: The insurance entity experiences unfavorable mortality that is 20 percent higher than expected. The insurance entity determines that it does not need to change its future mortality or lapse assumptions.</a:t>
          </a:r>
        </a:p>
        <a:p>
          <a:pPr marL="182880" lvl="1"/>
          <a:r>
            <a:rPr lang="en-US" sz="1100">
              <a:solidFill>
                <a:schemeClr val="dk1"/>
              </a:solidFill>
              <a:latin typeface="+mn-lt"/>
              <a:ea typeface="+mn-ea"/>
              <a:cs typeface="+mn-cs"/>
            </a:rPr>
            <a:t>c. During Year 9: After experiencing continued unfavorable mortality (20 percent higher than expected in Years 7 through 9), the insurance entity increases its mortality assumption by 20 percent for Years 10 through 20.</a:t>
          </a:r>
        </a:p>
        <a:p>
          <a:endParaRPr lang="en-US" sz="1100"/>
        </a:p>
      </xdr:txBody>
    </xdr:sp>
    <xdr:clientData/>
  </xdr:twoCellAnchor>
  <xdr:twoCellAnchor>
    <xdr:from>
      <xdr:col>8</xdr:col>
      <xdr:colOff>28575</xdr:colOff>
      <xdr:row>24</xdr:row>
      <xdr:rowOff>28574</xdr:rowOff>
    </xdr:from>
    <xdr:to>
      <xdr:col>12</xdr:col>
      <xdr:colOff>904875</xdr:colOff>
      <xdr:row>24</xdr:row>
      <xdr:rowOff>2190750</xdr:rowOff>
    </xdr:to>
    <xdr:sp macro="" textlink="">
      <xdr:nvSpPr>
        <xdr:cNvPr id="3" name="TextBox 2">
          <a:extLst>
            <a:ext uri="{FF2B5EF4-FFF2-40B4-BE49-F238E27FC236}">
              <a16:creationId xmlns:a16="http://schemas.microsoft.com/office/drawing/2014/main" id="{D9DDC541-1696-4939-A04A-8B0F0721B6D3}"/>
            </a:ext>
          </a:extLst>
        </xdr:cNvPr>
        <xdr:cNvSpPr txBox="1"/>
      </xdr:nvSpPr>
      <xdr:spPr>
        <a:xfrm>
          <a:off x="4886325" y="4759324"/>
          <a:ext cx="4559300" cy="21621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latin typeface="+mn-lt"/>
              <a:ea typeface="+mn-ea"/>
              <a:cs typeface="+mn-cs"/>
            </a:rPr>
            <a:t>944-40-55-29M</a:t>
          </a:r>
          <a:r>
            <a:rPr lang="en-US" sz="1100" b="0">
              <a:solidFill>
                <a:schemeClr val="dk1"/>
              </a:solidFill>
              <a:latin typeface="+mn-lt"/>
              <a:ea typeface="+mn-ea"/>
              <a:cs typeface="+mn-cs"/>
            </a:rPr>
            <a:t> At the end of Year 6, the Entity updates its mortality assumption </a:t>
          </a:r>
          <a:r>
            <a:rPr lang="en-US" sz="1100">
              <a:solidFill>
                <a:schemeClr val="dk1"/>
              </a:solidFill>
              <a:latin typeface="+mn-lt"/>
              <a:ea typeface="+mn-ea"/>
              <a:cs typeface="+mn-cs"/>
            </a:rPr>
            <a:t>to reflect the unfavorable experience in that year (that is, the true-up from expected experience to actual experience) and its effect on estimated cash flows. However, as specified in paragraph 944-40-35-5(a), the Entity reviewed its future cash flow assumptions and determined that its future mortality and lapse assumptions did</a:t>
          </a:r>
          <a:r>
            <a:rPr lang="en-US" sz="1100" baseline="0">
              <a:solidFill>
                <a:schemeClr val="dk1"/>
              </a:solidFill>
              <a:latin typeface="+mn-lt"/>
              <a:ea typeface="+mn-ea"/>
              <a:cs typeface="+mn-cs"/>
            </a:rPr>
            <a:t> </a:t>
          </a:r>
          <a:r>
            <a:rPr lang="en-US" sz="1100">
              <a:solidFill>
                <a:schemeClr val="dk1"/>
              </a:solidFill>
              <a:latin typeface="+mn-lt"/>
              <a:ea typeface="+mn-ea"/>
              <a:cs typeface="+mn-cs"/>
            </a:rPr>
            <a:t>not need to be adjusted. </a:t>
          </a:r>
        </a:p>
        <a:p>
          <a:endParaRPr lang="en-US" sz="1100">
            <a:solidFill>
              <a:schemeClr val="dk1"/>
            </a:solidFill>
            <a:latin typeface="+mn-lt"/>
            <a:ea typeface="+mn-ea"/>
            <a:cs typeface="+mn-cs"/>
          </a:endParaRPr>
        </a:p>
        <a:p>
          <a:r>
            <a:rPr lang="en-US" sz="1100">
              <a:solidFill>
                <a:schemeClr val="dk1"/>
              </a:solidFill>
              <a:latin typeface="+mn-lt"/>
              <a:ea typeface="+mn-ea"/>
              <a:cs typeface="+mn-cs"/>
            </a:rPr>
            <a:t>The following table provides information about the estimated cash flow effects of updating cash flow assumptions and the corresponding adjustment to the liability for future policy benefits and current-period benefit expense.</a:t>
          </a:r>
        </a:p>
        <a:p>
          <a:endParaRPr lang="en-US" sz="1100"/>
        </a:p>
      </xdr:txBody>
    </xdr:sp>
    <xdr:clientData/>
  </xdr:twoCellAnchor>
  <xdr:twoCellAnchor>
    <xdr:from>
      <xdr:col>1</xdr:col>
      <xdr:colOff>19050</xdr:colOff>
      <xdr:row>24</xdr:row>
      <xdr:rowOff>0</xdr:rowOff>
    </xdr:from>
    <xdr:to>
      <xdr:col>6</xdr:col>
      <xdr:colOff>590550</xdr:colOff>
      <xdr:row>24</xdr:row>
      <xdr:rowOff>2190750</xdr:rowOff>
    </xdr:to>
    <xdr:sp macro="" textlink="">
      <xdr:nvSpPr>
        <xdr:cNvPr id="4" name="TextBox 3">
          <a:extLst>
            <a:ext uri="{FF2B5EF4-FFF2-40B4-BE49-F238E27FC236}">
              <a16:creationId xmlns:a16="http://schemas.microsoft.com/office/drawing/2014/main" id="{92986141-C9CC-4C06-BDFD-035CBFF96A0A}"/>
            </a:ext>
          </a:extLst>
        </xdr:cNvPr>
        <xdr:cNvSpPr txBox="1"/>
      </xdr:nvSpPr>
      <xdr:spPr>
        <a:xfrm>
          <a:off x="628650" y="4381500"/>
          <a:ext cx="3619500" cy="190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latin typeface="+mn-lt"/>
              <a:ea typeface="+mn-ea"/>
              <a:cs typeface="+mn-cs"/>
            </a:rPr>
            <a:t>944-40-55-29J </a:t>
          </a:r>
          <a:r>
            <a:rPr lang="en-US" sz="1100">
              <a:solidFill>
                <a:schemeClr val="dk1"/>
              </a:solidFill>
              <a:latin typeface="+mn-lt"/>
              <a:ea typeface="+mn-ea"/>
              <a:cs typeface="+mn-cs"/>
            </a:rPr>
            <a:t>This Example illustrates computations involved in the following:</a:t>
          </a:r>
        </a:p>
        <a:p>
          <a:r>
            <a:rPr lang="en-US" sz="1100">
              <a:solidFill>
                <a:schemeClr val="dk1"/>
              </a:solidFill>
              <a:latin typeface="+mn-lt"/>
              <a:ea typeface="+mn-ea"/>
              <a:cs typeface="+mn-cs"/>
            </a:rPr>
            <a:t>a. Net premiums</a:t>
          </a:r>
        </a:p>
        <a:p>
          <a:r>
            <a:rPr lang="en-US" sz="1100">
              <a:solidFill>
                <a:schemeClr val="dk1"/>
              </a:solidFill>
              <a:latin typeface="+mn-lt"/>
              <a:ea typeface="+mn-ea"/>
              <a:cs typeface="+mn-cs"/>
            </a:rPr>
            <a:t>b. Liability remeasurement adjustments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944-40-55-29K</a:t>
          </a:r>
          <a:r>
            <a:rPr lang="en-US" sz="1100">
              <a:solidFill>
                <a:schemeClr val="dk1"/>
              </a:solidFill>
              <a:latin typeface="+mn-lt"/>
              <a:ea typeface="+mn-ea"/>
              <a:cs typeface="+mn-cs"/>
            </a:rPr>
            <a:t> The computation of the original net premium ratio at the issue date of the portfolio of contracts follows. </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944-40-55-29L </a:t>
          </a:r>
          <a:r>
            <a:rPr lang="en-US" sz="1100">
              <a:solidFill>
                <a:schemeClr val="dk1"/>
              </a:solidFill>
              <a:latin typeface="+mn-lt"/>
              <a:ea typeface="+mn-ea"/>
              <a:cs typeface="+mn-cs"/>
            </a:rPr>
            <a:t> The computation of the liability for future policy benefits at the end of Year 1 follows. </a:t>
          </a:r>
          <a:endParaRPr lang="en-US" sz="1100"/>
        </a:p>
      </xdr:txBody>
    </xdr:sp>
    <xdr:clientData/>
  </xdr:twoCellAnchor>
  <xdr:twoCellAnchor>
    <xdr:from>
      <xdr:col>20</xdr:col>
      <xdr:colOff>28575</xdr:colOff>
      <xdr:row>24</xdr:row>
      <xdr:rowOff>9525</xdr:rowOff>
    </xdr:from>
    <xdr:to>
      <xdr:col>24</xdr:col>
      <xdr:colOff>590550</xdr:colOff>
      <xdr:row>24</xdr:row>
      <xdr:rowOff>2181225</xdr:rowOff>
    </xdr:to>
    <xdr:sp macro="" textlink="">
      <xdr:nvSpPr>
        <xdr:cNvPr id="5" name="TextBox 4">
          <a:extLst>
            <a:ext uri="{FF2B5EF4-FFF2-40B4-BE49-F238E27FC236}">
              <a16:creationId xmlns:a16="http://schemas.microsoft.com/office/drawing/2014/main" id="{9C53542B-4F64-42E0-AD0F-D831E332AB8C}"/>
            </a:ext>
          </a:extLst>
        </xdr:cNvPr>
        <xdr:cNvSpPr txBox="1"/>
      </xdr:nvSpPr>
      <xdr:spPr>
        <a:xfrm>
          <a:off x="12220575" y="4391025"/>
          <a:ext cx="3000375" cy="1809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latin typeface="+mn-lt"/>
              <a:ea typeface="+mn-ea"/>
              <a:cs typeface="+mn-cs"/>
            </a:rPr>
            <a:t>944-40-55-29N </a:t>
          </a:r>
          <a:r>
            <a:rPr lang="en-US" sz="1100">
              <a:solidFill>
                <a:schemeClr val="dk1"/>
              </a:solidFill>
              <a:latin typeface="+mn-lt"/>
              <a:ea typeface="+mn-ea"/>
              <a:cs typeface="+mn-cs"/>
            </a:rPr>
            <a:t>At the end of Year 9, the Entity reviews and updates its mortality assumption to reflect the unfavorable experience in that year and an increase in expected mortality in Years 10 through 20.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following tables provide information about the estimated cash flow effects of updating the mortality assumption and the corresponding adjustment to the liability for future policy benefits and current-period benefit expense. </a:t>
          </a:r>
          <a:endParaRPr lang="en-US" sz="1100"/>
        </a:p>
      </xdr:txBody>
    </xdr:sp>
    <xdr:clientData/>
  </xdr:twoCellAnchor>
  <xdr:twoCellAnchor>
    <xdr:from>
      <xdr:col>14</xdr:col>
      <xdr:colOff>0</xdr:colOff>
      <xdr:row>24</xdr:row>
      <xdr:rowOff>28575</xdr:rowOff>
    </xdr:from>
    <xdr:to>
      <xdr:col>18</xdr:col>
      <xdr:colOff>561975</xdr:colOff>
      <xdr:row>24</xdr:row>
      <xdr:rowOff>2190750</xdr:rowOff>
    </xdr:to>
    <xdr:sp macro="" textlink="">
      <xdr:nvSpPr>
        <xdr:cNvPr id="6" name="TextBox 5">
          <a:extLst>
            <a:ext uri="{FF2B5EF4-FFF2-40B4-BE49-F238E27FC236}">
              <a16:creationId xmlns:a16="http://schemas.microsoft.com/office/drawing/2014/main" id="{E8B5D60D-7B93-4252-8BC7-9579E946B314}"/>
            </a:ext>
          </a:extLst>
        </xdr:cNvPr>
        <xdr:cNvSpPr txBox="1"/>
      </xdr:nvSpPr>
      <xdr:spPr>
        <a:xfrm>
          <a:off x="8534400" y="4410075"/>
          <a:ext cx="3000375" cy="161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ysClr val="windowText" lastClr="000000"/>
              </a:solidFill>
            </a:rPr>
            <a:t>Note:</a:t>
          </a:r>
          <a:r>
            <a:rPr lang="en-US" sz="1100" i="1" baseline="0">
              <a:solidFill>
                <a:sysClr val="windowText" lastClr="000000"/>
              </a:solidFill>
            </a:rPr>
            <a:t> </a:t>
          </a:r>
          <a:r>
            <a:rPr lang="en-US" sz="1100" i="1">
              <a:solidFill>
                <a:sysClr val="windowText" lastClr="000000"/>
              </a:solidFill>
            </a:rPr>
            <a:t>Unfavorable mortality continues until year</a:t>
          </a:r>
          <a:r>
            <a:rPr lang="en-US" sz="1100" i="1" baseline="0">
              <a:solidFill>
                <a:sysClr val="windowText" lastClr="000000"/>
              </a:solidFill>
            </a:rPr>
            <a:t> 8.  No change in future assumptions.</a:t>
          </a:r>
          <a:endParaRPr lang="en-US" sz="1100" i="1">
            <a:solidFill>
              <a:sysClr val="windowText" lastClr="000000"/>
            </a:solidFill>
          </a:endParaRPr>
        </a:p>
      </xdr:txBody>
    </xdr:sp>
    <xdr:clientData/>
  </xdr:twoCellAnchor>
  <xdr:twoCellAnchor>
    <xdr:from>
      <xdr:col>8</xdr:col>
      <xdr:colOff>4969</xdr:colOff>
      <xdr:row>70</xdr:row>
      <xdr:rowOff>50939</xdr:rowOff>
    </xdr:from>
    <xdr:to>
      <xdr:col>12</xdr:col>
      <xdr:colOff>894522</xdr:colOff>
      <xdr:row>70</xdr:row>
      <xdr:rowOff>1572454</xdr:rowOff>
    </xdr:to>
    <xdr:sp macro="" textlink="">
      <xdr:nvSpPr>
        <xdr:cNvPr id="7" name="TextBox 6">
          <a:extLst>
            <a:ext uri="{FF2B5EF4-FFF2-40B4-BE49-F238E27FC236}">
              <a16:creationId xmlns:a16="http://schemas.microsoft.com/office/drawing/2014/main" id="{B0ABE835-4C3F-47AE-828B-B3E76992AF27}"/>
            </a:ext>
          </a:extLst>
        </xdr:cNvPr>
        <xdr:cNvSpPr txBox="1"/>
      </xdr:nvSpPr>
      <xdr:spPr>
        <a:xfrm>
          <a:off x="4881769" y="12433439"/>
          <a:ext cx="3042203" cy="14039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comparison of anticipated vs actual below.  </a:t>
          </a:r>
        </a:p>
        <a:p>
          <a:r>
            <a:rPr lang="en-US" sz="1100"/>
            <a:t>In year 6, we get hit with $46.1 k more claims than anticipated. The unfavorable income impact of $19.2 k is</a:t>
          </a:r>
          <a:r>
            <a:rPr lang="en-US" sz="1100" baseline="0"/>
            <a:t> significantly less because the reserve dampens (absorbs) a significant portion of the excess claims.  The nature of retrospective aspect of the reserve calculation is that the impact of excess claims is spread out for life, i.e. over 20 years.</a:t>
          </a:r>
          <a:endParaRPr lang="en-US" sz="1100"/>
        </a:p>
      </xdr:txBody>
    </xdr:sp>
    <xdr:clientData/>
  </xdr:twoCellAnchor>
  <xdr:twoCellAnchor>
    <xdr:from>
      <xdr:col>20</xdr:col>
      <xdr:colOff>19050</xdr:colOff>
      <xdr:row>70</xdr:row>
      <xdr:rowOff>61705</xdr:rowOff>
    </xdr:from>
    <xdr:to>
      <xdr:col>25</xdr:col>
      <xdr:colOff>0</xdr:colOff>
      <xdr:row>70</xdr:row>
      <xdr:rowOff>1573695</xdr:rowOff>
    </xdr:to>
    <xdr:sp macro="" textlink="">
      <xdr:nvSpPr>
        <xdr:cNvPr id="8" name="TextBox 7">
          <a:extLst>
            <a:ext uri="{FF2B5EF4-FFF2-40B4-BE49-F238E27FC236}">
              <a16:creationId xmlns:a16="http://schemas.microsoft.com/office/drawing/2014/main" id="{FC720531-F66D-4FD8-B734-9353AC54F4DF}"/>
            </a:ext>
          </a:extLst>
        </xdr:cNvPr>
        <xdr:cNvSpPr txBox="1"/>
      </xdr:nvSpPr>
      <xdr:spPr>
        <a:xfrm>
          <a:off x="12211050" y="12444205"/>
          <a:ext cx="3028950" cy="13086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See comparison of anticipated vs actual below. </a:t>
          </a:r>
          <a:r>
            <a:rPr lang="en-US" sz="1100"/>
            <a:t>In year 9, we are hit with $47.2 k more claims than anticipated. </a:t>
          </a:r>
          <a:r>
            <a:rPr lang="en-US" sz="1100" baseline="0"/>
            <a:t> This would have caused reserve to be lower than anticipated because reserve absorbs a good portion of the excess claims.  However, we also increase future mortality, which tended to increase reserve significantly. In all, reserve increased $268.3 k more than anticipated.</a:t>
          </a:r>
        </a:p>
        <a:p>
          <a:endParaRPr lang="en-US" sz="1100" baseline="0"/>
        </a:p>
        <a:p>
          <a:r>
            <a:rPr lang="en-US" sz="1100" baseline="0"/>
            <a:t>Contributing to the severe unfavorable impact above is that the unfavorable claims in years 6-8 caused significant decrease to reserve through 3 years.  </a:t>
          </a:r>
          <a:endParaRPr lang="en-US" sz="1100"/>
        </a:p>
      </xdr:txBody>
    </xdr:sp>
    <xdr:clientData/>
  </xdr:twoCellAnchor>
  <xdr:twoCellAnchor>
    <xdr:from>
      <xdr:col>14</xdr:col>
      <xdr:colOff>6212</xdr:colOff>
      <xdr:row>70</xdr:row>
      <xdr:rowOff>62948</xdr:rowOff>
    </xdr:from>
    <xdr:to>
      <xdr:col>19</xdr:col>
      <xdr:colOff>16565</xdr:colOff>
      <xdr:row>70</xdr:row>
      <xdr:rowOff>1536838</xdr:rowOff>
    </xdr:to>
    <xdr:sp macro="" textlink="">
      <xdr:nvSpPr>
        <xdr:cNvPr id="9" name="TextBox 8">
          <a:extLst>
            <a:ext uri="{FF2B5EF4-FFF2-40B4-BE49-F238E27FC236}">
              <a16:creationId xmlns:a16="http://schemas.microsoft.com/office/drawing/2014/main" id="{34C88E74-A88B-4C45-A91C-11E8CF6FE4F9}"/>
            </a:ext>
          </a:extLst>
        </xdr:cNvPr>
        <xdr:cNvSpPr txBox="1"/>
      </xdr:nvSpPr>
      <xdr:spPr>
        <a:xfrm>
          <a:off x="8540612" y="12445448"/>
          <a:ext cx="3058353" cy="13086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p>
        <a:p>
          <a:r>
            <a:rPr lang="en-US" sz="1100" baseline="0"/>
            <a:t>By year 8, there is significant reduction in reserve levels because of the unfavorable claims experience in years 6-8.  From schedule A, the originally anticipated reserve at end of year 8 is  $609.1k.  After a series of unfavorable claims  experience, the reserve at end of year 8 is down to $542.9 k.</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223627</xdr:colOff>
      <xdr:row>0</xdr:row>
      <xdr:rowOff>165652</xdr:rowOff>
    </xdr:from>
    <xdr:to>
      <xdr:col>15</xdr:col>
      <xdr:colOff>1018760</xdr:colOff>
      <xdr:row>5</xdr:row>
      <xdr:rowOff>16565</xdr:rowOff>
    </xdr:to>
    <xdr:sp macro="" textlink="">
      <xdr:nvSpPr>
        <xdr:cNvPr id="2" name="TextBox 1">
          <a:extLst>
            <a:ext uri="{FF2B5EF4-FFF2-40B4-BE49-F238E27FC236}">
              <a16:creationId xmlns:a16="http://schemas.microsoft.com/office/drawing/2014/main" id="{C9E3D566-1B7F-4503-B910-0DA9848685ED}"/>
            </a:ext>
          </a:extLst>
        </xdr:cNvPr>
        <xdr:cNvSpPr txBox="1"/>
      </xdr:nvSpPr>
      <xdr:spPr>
        <a:xfrm>
          <a:off x="5077236" y="165652"/>
          <a:ext cx="6245089" cy="82826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Experience emerges as originally anticipated before</a:t>
          </a:r>
          <a:r>
            <a:rPr lang="en-US" sz="1100" baseline="0"/>
            <a:t> year X.</a:t>
          </a:r>
        </a:p>
        <a:p>
          <a:pPr marL="171450" indent="-171450">
            <a:buFont typeface="Arial" panose="020B0604020202020204" pitchFamily="34" charset="0"/>
            <a:buChar char="•"/>
          </a:pPr>
          <a:r>
            <a:rPr lang="en-US" sz="1100" baseline="0"/>
            <a:t>Starting year X, block experiences higher mortality and additional lapses.</a:t>
          </a:r>
        </a:p>
        <a:p>
          <a:pPr marL="171450" indent="-171450">
            <a:buFont typeface="Arial" panose="020B0604020202020204" pitchFamily="34" charset="0"/>
            <a:buChar char="•"/>
          </a:pPr>
          <a:r>
            <a:rPr lang="en-US" sz="1100" baseline="0"/>
            <a:t>In year Y, future assumptions are updated to reflect the higher mortality and higher lapses consistent with recent experience.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P49"/>
  <sheetViews>
    <sheetView showGridLines="0" tabSelected="1" zoomScale="80" zoomScaleNormal="80" workbookViewId="0">
      <selection activeCell="T7" sqref="T7"/>
    </sheetView>
  </sheetViews>
  <sheetFormatPr defaultRowHeight="14.4" x14ac:dyDescent="0.3"/>
  <cols>
    <col min="1" max="1" width="1.109375" customWidth="1"/>
    <col min="2" max="2" width="21" customWidth="1"/>
    <col min="3" max="3" width="72.77734375" style="86" customWidth="1"/>
    <col min="7" max="7" width="4.44140625" customWidth="1"/>
    <col min="16" max="16" width="4.21875" customWidth="1"/>
  </cols>
  <sheetData>
    <row r="1" spans="2:16" ht="8.4" customHeight="1" x14ac:dyDescent="0.3">
      <c r="B1" s="72"/>
      <c r="C1" s="72"/>
      <c r="D1" s="72"/>
      <c r="E1" s="72"/>
      <c r="F1" s="72"/>
    </row>
    <row r="2" spans="2:16" ht="18" x14ac:dyDescent="0.35">
      <c r="B2" s="73" t="s">
        <v>63</v>
      </c>
      <c r="C2" s="74"/>
      <c r="D2" s="75"/>
      <c r="E2" s="75"/>
      <c r="F2" s="75"/>
      <c r="H2" s="76" t="s">
        <v>64</v>
      </c>
      <c r="I2" s="77"/>
      <c r="J2" s="77"/>
      <c r="K2" s="77"/>
      <c r="L2" s="77"/>
      <c r="M2" s="77"/>
      <c r="N2" s="77"/>
      <c r="O2" s="77"/>
      <c r="P2" s="78"/>
    </row>
    <row r="3" spans="2:16" ht="7.5" customHeight="1" x14ac:dyDescent="0.3">
      <c r="B3" s="75"/>
      <c r="C3" s="74"/>
      <c r="D3" s="75"/>
      <c r="E3" s="75"/>
      <c r="F3" s="75"/>
      <c r="H3" s="79"/>
      <c r="I3" s="80"/>
      <c r="J3" s="80"/>
      <c r="K3" s="80"/>
      <c r="L3" s="80"/>
      <c r="M3" s="80"/>
      <c r="N3" s="80"/>
      <c r="O3" s="80"/>
      <c r="P3" s="81"/>
    </row>
    <row r="4" spans="2:16" x14ac:dyDescent="0.3">
      <c r="B4" s="218" t="s">
        <v>138</v>
      </c>
      <c r="C4" s="218"/>
      <c r="D4" s="218"/>
      <c r="E4" s="218"/>
      <c r="F4" s="218"/>
      <c r="H4" s="219" t="s">
        <v>65</v>
      </c>
      <c r="I4" s="220"/>
      <c r="J4" s="220"/>
      <c r="K4" s="220"/>
      <c r="L4" s="220"/>
      <c r="M4" s="220"/>
      <c r="N4" s="220"/>
      <c r="O4" s="221"/>
      <c r="P4" s="222"/>
    </row>
    <row r="5" spans="2:16" x14ac:dyDescent="0.3">
      <c r="B5" s="218"/>
      <c r="C5" s="218"/>
      <c r="D5" s="218"/>
      <c r="E5" s="218"/>
      <c r="F5" s="218"/>
      <c r="H5" s="219"/>
      <c r="I5" s="220"/>
      <c r="J5" s="220"/>
      <c r="K5" s="220"/>
      <c r="L5" s="220"/>
      <c r="M5" s="220"/>
      <c r="N5" s="220"/>
      <c r="O5" s="221"/>
      <c r="P5" s="222"/>
    </row>
    <row r="6" spans="2:16" x14ac:dyDescent="0.3">
      <c r="B6" s="218"/>
      <c r="C6" s="218"/>
      <c r="D6" s="218"/>
      <c r="E6" s="218"/>
      <c r="F6" s="218"/>
      <c r="H6" s="219"/>
      <c r="I6" s="220"/>
      <c r="J6" s="220"/>
      <c r="K6" s="220"/>
      <c r="L6" s="220"/>
      <c r="M6" s="220"/>
      <c r="N6" s="220"/>
      <c r="O6" s="221"/>
      <c r="P6" s="222"/>
    </row>
    <row r="7" spans="2:16" x14ac:dyDescent="0.3">
      <c r="B7" s="218"/>
      <c r="C7" s="218"/>
      <c r="D7" s="218"/>
      <c r="E7" s="218"/>
      <c r="F7" s="218"/>
      <c r="H7" s="219"/>
      <c r="I7" s="220"/>
      <c r="J7" s="220"/>
      <c r="K7" s="220"/>
      <c r="L7" s="220"/>
      <c r="M7" s="220"/>
      <c r="N7" s="220"/>
      <c r="O7" s="221"/>
      <c r="P7" s="222"/>
    </row>
    <row r="8" spans="2:16" x14ac:dyDescent="0.3">
      <c r="B8" s="218"/>
      <c r="C8" s="218"/>
      <c r="D8" s="218"/>
      <c r="E8" s="218"/>
      <c r="F8" s="218"/>
      <c r="H8" s="219"/>
      <c r="I8" s="220"/>
      <c r="J8" s="220"/>
      <c r="K8" s="220"/>
      <c r="L8" s="220"/>
      <c r="M8" s="220"/>
      <c r="N8" s="220"/>
      <c r="O8" s="221"/>
      <c r="P8" s="222"/>
    </row>
    <row r="9" spans="2:16" x14ac:dyDescent="0.3">
      <c r="B9" s="218"/>
      <c r="C9" s="218"/>
      <c r="D9" s="218"/>
      <c r="E9" s="218"/>
      <c r="F9" s="218"/>
      <c r="H9" s="219"/>
      <c r="I9" s="220"/>
      <c r="J9" s="220"/>
      <c r="K9" s="220"/>
      <c r="L9" s="220"/>
      <c r="M9" s="220"/>
      <c r="N9" s="220"/>
      <c r="O9" s="221"/>
      <c r="P9" s="222"/>
    </row>
    <row r="10" spans="2:16" x14ac:dyDescent="0.3">
      <c r="B10" s="218"/>
      <c r="C10" s="218"/>
      <c r="D10" s="218"/>
      <c r="E10" s="218"/>
      <c r="F10" s="218"/>
      <c r="H10" s="219"/>
      <c r="I10" s="220"/>
      <c r="J10" s="220"/>
      <c r="K10" s="220"/>
      <c r="L10" s="220"/>
      <c r="M10" s="220"/>
      <c r="N10" s="220"/>
      <c r="O10" s="221"/>
      <c r="P10" s="222"/>
    </row>
    <row r="11" spans="2:16" x14ac:dyDescent="0.3">
      <c r="B11" s="218"/>
      <c r="C11" s="218"/>
      <c r="D11" s="218"/>
      <c r="E11" s="218"/>
      <c r="F11" s="218"/>
      <c r="H11" s="219"/>
      <c r="I11" s="220"/>
      <c r="J11" s="220"/>
      <c r="K11" s="220"/>
      <c r="L11" s="220"/>
      <c r="M11" s="220"/>
      <c r="N11" s="220"/>
      <c r="O11" s="221"/>
      <c r="P11" s="222"/>
    </row>
    <row r="12" spans="2:16" x14ac:dyDescent="0.3">
      <c r="B12" s="218"/>
      <c r="C12" s="218"/>
      <c r="D12" s="218"/>
      <c r="E12" s="218"/>
      <c r="F12" s="218"/>
      <c r="H12" s="219"/>
      <c r="I12" s="220"/>
      <c r="J12" s="220"/>
      <c r="K12" s="220"/>
      <c r="L12" s="220"/>
      <c r="M12" s="220"/>
      <c r="N12" s="220"/>
      <c r="O12" s="221"/>
      <c r="P12" s="222"/>
    </row>
    <row r="13" spans="2:16" x14ac:dyDescent="0.3">
      <c r="B13" s="218"/>
      <c r="C13" s="218"/>
      <c r="D13" s="218"/>
      <c r="E13" s="218"/>
      <c r="F13" s="218"/>
      <c r="H13" s="219"/>
      <c r="I13" s="220"/>
      <c r="J13" s="220"/>
      <c r="K13" s="220"/>
      <c r="L13" s="220"/>
      <c r="M13" s="220"/>
      <c r="N13" s="220"/>
      <c r="O13" s="221"/>
      <c r="P13" s="222"/>
    </row>
    <row r="14" spans="2:16" x14ac:dyDescent="0.3">
      <c r="B14" s="218"/>
      <c r="C14" s="218"/>
      <c r="D14" s="218"/>
      <c r="E14" s="218"/>
      <c r="F14" s="218"/>
      <c r="H14" s="223"/>
      <c r="I14" s="224"/>
      <c r="J14" s="224"/>
      <c r="K14" s="224"/>
      <c r="L14" s="224"/>
      <c r="M14" s="224"/>
      <c r="N14" s="224"/>
      <c r="O14" s="225"/>
      <c r="P14" s="226"/>
    </row>
    <row r="15" spans="2:16" ht="8.4" customHeight="1" x14ac:dyDescent="0.3">
      <c r="B15" s="72"/>
      <c r="C15" s="72"/>
      <c r="D15" s="72"/>
      <c r="E15" s="72"/>
      <c r="F15" s="72"/>
    </row>
    <row r="16" spans="2:16" ht="18.75" customHeight="1" x14ac:dyDescent="0.35">
      <c r="B16" s="200" t="s">
        <v>144</v>
      </c>
      <c r="C16" s="74"/>
      <c r="D16" s="75"/>
      <c r="E16" s="75"/>
      <c r="F16" s="75"/>
    </row>
    <row r="17" spans="2:8" ht="3.75" customHeight="1" x14ac:dyDescent="0.3">
      <c r="B17" s="201"/>
      <c r="C17" s="75"/>
      <c r="D17" s="75"/>
      <c r="E17" s="75"/>
      <c r="F17" s="75"/>
    </row>
    <row r="18" spans="2:8" ht="15" customHeight="1" x14ac:dyDescent="0.3">
      <c r="B18" s="202" t="s">
        <v>149</v>
      </c>
      <c r="C18" s="75"/>
      <c r="D18" s="75"/>
      <c r="E18" s="75"/>
      <c r="F18" s="75"/>
    </row>
    <row r="19" spans="2:8" x14ac:dyDescent="0.3">
      <c r="B19" s="202" t="s">
        <v>148</v>
      </c>
      <c r="C19" s="75"/>
      <c r="D19" s="75"/>
      <c r="E19" s="75"/>
      <c r="F19" s="75"/>
    </row>
    <row r="20" spans="2:8" x14ac:dyDescent="0.3">
      <c r="B20" s="202" t="s">
        <v>146</v>
      </c>
      <c r="C20" s="75"/>
      <c r="D20" s="75"/>
      <c r="E20" s="75"/>
      <c r="F20" s="75"/>
    </row>
    <row r="21" spans="2:8" x14ac:dyDescent="0.3">
      <c r="B21" s="202" t="s">
        <v>147</v>
      </c>
      <c r="C21" s="75"/>
      <c r="D21" s="75"/>
      <c r="E21" s="75"/>
      <c r="F21" s="75"/>
    </row>
    <row r="22" spans="2:8" x14ac:dyDescent="0.3">
      <c r="B22" s="202" t="s">
        <v>145</v>
      </c>
      <c r="C22" s="75"/>
      <c r="D22" s="75"/>
      <c r="E22" s="75"/>
      <c r="F22" s="75"/>
    </row>
    <row r="23" spans="2:8" x14ac:dyDescent="0.3">
      <c r="B23" s="202" t="s">
        <v>166</v>
      </c>
      <c r="C23" s="75"/>
      <c r="D23" s="75"/>
      <c r="E23" s="75"/>
      <c r="F23" s="75"/>
    </row>
    <row r="24" spans="2:8" ht="27" customHeight="1" x14ac:dyDescent="0.3">
      <c r="B24" s="82" t="s">
        <v>66</v>
      </c>
      <c r="C24" s="72"/>
      <c r="D24" s="72"/>
      <c r="E24" s="72"/>
      <c r="F24" s="72"/>
    </row>
    <row r="25" spans="2:8" ht="8.4" customHeight="1" x14ac:dyDescent="0.3">
      <c r="B25" s="72"/>
      <c r="C25" s="72"/>
      <c r="D25" s="72"/>
      <c r="E25" s="72"/>
      <c r="F25" s="72"/>
    </row>
    <row r="26" spans="2:8" ht="27" customHeight="1" x14ac:dyDescent="0.3">
      <c r="B26" s="83" t="s">
        <v>67</v>
      </c>
      <c r="C26" s="227" t="s">
        <v>68</v>
      </c>
      <c r="D26" s="228"/>
      <c r="E26" s="228"/>
      <c r="F26" s="228"/>
    </row>
    <row r="27" spans="2:8" ht="9" customHeight="1" x14ac:dyDescent="0.3">
      <c r="C27"/>
    </row>
    <row r="28" spans="2:8" s="85" customFormat="1" ht="54.75" customHeight="1" x14ac:dyDescent="0.3">
      <c r="B28" s="84">
        <v>1</v>
      </c>
      <c r="C28" s="217" t="s">
        <v>102</v>
      </c>
      <c r="D28" s="217"/>
      <c r="E28" s="217"/>
      <c r="F28" s="217"/>
      <c r="H28"/>
    </row>
    <row r="29" spans="2:8" s="85" customFormat="1" ht="54.75" customHeight="1" x14ac:dyDescent="0.3">
      <c r="B29" s="84" t="s">
        <v>101</v>
      </c>
      <c r="C29" s="217" t="s">
        <v>110</v>
      </c>
      <c r="D29" s="217"/>
      <c r="E29" s="217"/>
      <c r="F29" s="217"/>
    </row>
    <row r="30" spans="2:8" s="85" customFormat="1" ht="54.75" customHeight="1" x14ac:dyDescent="0.3">
      <c r="B30" s="84" t="s">
        <v>105</v>
      </c>
      <c r="C30" s="217" t="s">
        <v>104</v>
      </c>
      <c r="D30" s="217"/>
      <c r="E30" s="217"/>
      <c r="F30" s="217"/>
    </row>
    <row r="31" spans="2:8" ht="54.75" customHeight="1" x14ac:dyDescent="0.3">
      <c r="B31" s="84" t="s">
        <v>106</v>
      </c>
      <c r="C31" s="217" t="s">
        <v>139</v>
      </c>
      <c r="D31" s="217"/>
      <c r="E31" s="217"/>
      <c r="F31" s="217"/>
    </row>
    <row r="32" spans="2:8" ht="9" customHeight="1" x14ac:dyDescent="0.3">
      <c r="C32"/>
    </row>
    <row r="33" spans="2:8" s="85" customFormat="1" ht="54.75" customHeight="1" x14ac:dyDescent="0.3">
      <c r="B33" s="84">
        <v>2</v>
      </c>
      <c r="C33" s="217" t="s">
        <v>103</v>
      </c>
      <c r="D33" s="217"/>
      <c r="E33" s="217"/>
      <c r="F33" s="217"/>
      <c r="H33"/>
    </row>
    <row r="34" spans="2:8" s="85" customFormat="1" ht="57.15" customHeight="1" x14ac:dyDescent="0.3">
      <c r="B34" s="84" t="s">
        <v>98</v>
      </c>
      <c r="C34" s="217" t="s">
        <v>140</v>
      </c>
      <c r="D34" s="217"/>
      <c r="E34" s="217"/>
      <c r="F34" s="217"/>
    </row>
    <row r="35" spans="2:8" s="85" customFormat="1" ht="54.75" customHeight="1" x14ac:dyDescent="0.3">
      <c r="B35" s="84" t="s">
        <v>99</v>
      </c>
      <c r="C35" s="217" t="s">
        <v>111</v>
      </c>
      <c r="D35" s="217"/>
      <c r="E35" s="217"/>
      <c r="F35" s="217"/>
    </row>
    <row r="36" spans="2:8" s="85" customFormat="1" ht="70.5" customHeight="1" x14ac:dyDescent="0.3">
      <c r="B36" s="84" t="s">
        <v>100</v>
      </c>
      <c r="C36" s="217" t="s">
        <v>112</v>
      </c>
      <c r="D36" s="217"/>
      <c r="E36" s="217"/>
      <c r="F36" s="217"/>
    </row>
    <row r="37" spans="2:8" x14ac:dyDescent="0.3">
      <c r="B37" s="72"/>
      <c r="C37" s="72"/>
      <c r="D37" s="72"/>
      <c r="E37" s="72"/>
      <c r="F37" s="72"/>
    </row>
    <row r="38" spans="2:8" x14ac:dyDescent="0.3">
      <c r="B38" s="72"/>
      <c r="C38" s="72"/>
      <c r="D38" s="72"/>
      <c r="E38" s="72"/>
      <c r="F38" s="72"/>
    </row>
    <row r="39" spans="2:8" ht="15.6" x14ac:dyDescent="0.3">
      <c r="B39" s="82" t="s">
        <v>69</v>
      </c>
    </row>
    <row r="40" spans="2:8" ht="9" customHeight="1" x14ac:dyDescent="0.3"/>
    <row r="41" spans="2:8" ht="27.75" customHeight="1" x14ac:dyDescent="0.3">
      <c r="B41" s="87" t="s">
        <v>70</v>
      </c>
      <c r="C41" s="214" t="s">
        <v>71</v>
      </c>
      <c r="D41" s="215"/>
      <c r="E41" s="215"/>
      <c r="F41" s="216"/>
    </row>
    <row r="42" spans="2:8" ht="34.5" customHeight="1" x14ac:dyDescent="0.3">
      <c r="B42" s="207" t="s">
        <v>72</v>
      </c>
      <c r="C42" s="211" t="s">
        <v>73</v>
      </c>
      <c r="D42" s="212"/>
      <c r="E42" s="212"/>
      <c r="F42" s="213"/>
    </row>
    <row r="43" spans="2:8" ht="34.5" customHeight="1" x14ac:dyDescent="0.3">
      <c r="B43" s="162" t="s">
        <v>86</v>
      </c>
      <c r="C43" s="211" t="s">
        <v>87</v>
      </c>
      <c r="D43" s="212"/>
      <c r="E43" s="212"/>
      <c r="F43" s="213"/>
    </row>
    <row r="44" spans="2:8" ht="34.5" customHeight="1" x14ac:dyDescent="0.3">
      <c r="B44" s="162" t="s">
        <v>88</v>
      </c>
      <c r="C44" s="211" t="s">
        <v>89</v>
      </c>
      <c r="D44" s="212"/>
      <c r="E44" s="212"/>
      <c r="F44" s="213"/>
    </row>
    <row r="45" spans="2:8" ht="34.5" customHeight="1" x14ac:dyDescent="0.3">
      <c r="B45" s="162" t="s">
        <v>90</v>
      </c>
      <c r="C45" s="211" t="s">
        <v>96</v>
      </c>
      <c r="D45" s="212"/>
      <c r="E45" s="212"/>
      <c r="F45" s="213"/>
    </row>
    <row r="46" spans="2:8" ht="34.5" customHeight="1" x14ac:dyDescent="0.3">
      <c r="B46" s="163" t="s">
        <v>91</v>
      </c>
      <c r="C46" s="211" t="s">
        <v>92</v>
      </c>
      <c r="D46" s="212"/>
      <c r="E46" s="212"/>
      <c r="F46" s="213"/>
    </row>
    <row r="47" spans="2:8" ht="34.5" customHeight="1" x14ac:dyDescent="0.3">
      <c r="B47" s="163" t="s">
        <v>93</v>
      </c>
      <c r="C47" s="211" t="s">
        <v>94</v>
      </c>
      <c r="D47" s="212"/>
      <c r="E47" s="212"/>
      <c r="F47" s="213"/>
    </row>
    <row r="48" spans="2:8" ht="35.4" customHeight="1" x14ac:dyDescent="0.3">
      <c r="B48" s="163" t="s">
        <v>95</v>
      </c>
      <c r="C48" s="88" t="s">
        <v>109</v>
      </c>
      <c r="D48" s="89"/>
      <c r="E48" s="89"/>
      <c r="F48" s="90"/>
    </row>
    <row r="49" spans="2:6" ht="35.4" customHeight="1" x14ac:dyDescent="0.3">
      <c r="B49" s="206" t="s">
        <v>150</v>
      </c>
      <c r="C49" s="199" t="s">
        <v>151</v>
      </c>
      <c r="D49" s="203"/>
      <c r="E49" s="203"/>
      <c r="F49" s="204"/>
    </row>
  </sheetData>
  <mergeCells count="18">
    <mergeCell ref="B4:F14"/>
    <mergeCell ref="H4:P14"/>
    <mergeCell ref="C26:F26"/>
    <mergeCell ref="C28:F28"/>
    <mergeCell ref="C29:F29"/>
    <mergeCell ref="C34:F34"/>
    <mergeCell ref="C35:F35"/>
    <mergeCell ref="C36:F36"/>
    <mergeCell ref="C30:F30"/>
    <mergeCell ref="C31:F31"/>
    <mergeCell ref="C33:F33"/>
    <mergeCell ref="C47:F47"/>
    <mergeCell ref="C41:F41"/>
    <mergeCell ref="C42:F42"/>
    <mergeCell ref="C43:F43"/>
    <mergeCell ref="C44:F44"/>
    <mergeCell ref="C45:F45"/>
    <mergeCell ref="C46:F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J49"/>
  <sheetViews>
    <sheetView showGridLines="0" zoomScaleNormal="100" workbookViewId="0">
      <selection activeCell="M6" sqref="M6"/>
    </sheetView>
  </sheetViews>
  <sheetFormatPr defaultRowHeight="14.4" x14ac:dyDescent="0.3"/>
  <cols>
    <col min="1" max="1" width="5" customWidth="1"/>
    <col min="2" max="7" width="12.44140625" customWidth="1"/>
    <col min="8" max="8" width="9.44140625" customWidth="1"/>
    <col min="9" max="9" width="12.44140625" customWidth="1"/>
    <col min="10" max="10" width="4.21875" customWidth="1"/>
    <col min="11" max="11" width="4.44140625" customWidth="1"/>
    <col min="13" max="13" width="10.77734375" customWidth="1"/>
    <col min="14" max="14" width="12.44140625" customWidth="1"/>
    <col min="15" max="15" width="11.77734375" customWidth="1"/>
    <col min="16" max="16" width="12.44140625" customWidth="1"/>
    <col min="17" max="17" width="9.88671875" customWidth="1"/>
  </cols>
  <sheetData>
    <row r="1" spans="1:10" ht="21" x14ac:dyDescent="0.4">
      <c r="A1" s="45" t="s">
        <v>12</v>
      </c>
      <c r="B1" s="14"/>
      <c r="C1" s="14"/>
      <c r="D1" s="14"/>
      <c r="E1" s="14"/>
      <c r="F1" s="14"/>
      <c r="G1" s="14"/>
      <c r="H1" s="14"/>
      <c r="I1" s="14"/>
      <c r="J1" s="14"/>
    </row>
    <row r="2" spans="1:10" x14ac:dyDescent="0.3">
      <c r="A2" s="1"/>
      <c r="B2" s="1"/>
    </row>
    <row r="3" spans="1:10" x14ac:dyDescent="0.3">
      <c r="A3" s="1"/>
      <c r="B3" s="1"/>
    </row>
    <row r="4" spans="1:10" x14ac:dyDescent="0.3">
      <c r="C4" s="2"/>
      <c r="D4" s="2"/>
      <c r="E4" s="2"/>
    </row>
    <row r="5" spans="1:10" x14ac:dyDescent="0.3">
      <c r="C5" s="2"/>
      <c r="D5" s="2"/>
      <c r="E5" s="2"/>
    </row>
    <row r="6" spans="1:10" x14ac:dyDescent="0.3">
      <c r="C6" s="2"/>
      <c r="D6" s="2"/>
      <c r="E6" s="2"/>
    </row>
    <row r="7" spans="1:10" x14ac:dyDescent="0.3">
      <c r="C7" s="2"/>
      <c r="D7" s="2"/>
      <c r="E7" s="2"/>
    </row>
    <row r="8" spans="1:10" x14ac:dyDescent="0.3">
      <c r="C8" s="2"/>
      <c r="D8" s="2"/>
      <c r="E8" s="2"/>
    </row>
    <row r="9" spans="1:10" x14ac:dyDescent="0.3">
      <c r="C9" s="2"/>
      <c r="D9" s="2"/>
      <c r="E9" s="2"/>
    </row>
    <row r="10" spans="1:10" x14ac:dyDescent="0.3">
      <c r="C10" s="2"/>
      <c r="D10" s="2"/>
      <c r="E10" s="2"/>
    </row>
    <row r="11" spans="1:10" ht="34.5" customHeight="1" x14ac:dyDescent="0.3">
      <c r="C11" s="2"/>
      <c r="D11" s="2"/>
      <c r="E11" s="2"/>
    </row>
    <row r="12" spans="1:10" ht="33" customHeight="1" x14ac:dyDescent="0.3">
      <c r="C12" s="2"/>
      <c r="D12" s="2"/>
      <c r="E12" s="2"/>
    </row>
    <row r="25" ht="42.75" customHeight="1" x14ac:dyDescent="0.3"/>
    <row r="26" ht="27.75" customHeight="1" x14ac:dyDescent="0.3"/>
    <row r="33" spans="1:5" x14ac:dyDescent="0.3">
      <c r="A33" s="5"/>
      <c r="B33" s="2"/>
      <c r="C33" s="2"/>
      <c r="D33" s="2"/>
      <c r="E33" s="2"/>
    </row>
    <row r="34" spans="1:5" x14ac:dyDescent="0.3">
      <c r="A34" s="2"/>
      <c r="B34" s="2"/>
      <c r="C34" s="2"/>
      <c r="D34" s="2"/>
      <c r="E34" s="2"/>
    </row>
    <row r="35" spans="1:5" x14ac:dyDescent="0.3">
      <c r="A35" s="2"/>
      <c r="B35" s="2"/>
      <c r="C35" s="2"/>
      <c r="D35" s="2"/>
      <c r="E35" s="2"/>
    </row>
    <row r="36" spans="1:5" x14ac:dyDescent="0.3">
      <c r="A36" s="3"/>
      <c r="B36" s="2"/>
      <c r="C36" s="2"/>
      <c r="D36" s="2"/>
      <c r="E36" s="2"/>
    </row>
    <row r="37" spans="1:5" x14ac:dyDescent="0.3">
      <c r="A37" s="2"/>
      <c r="B37" s="2"/>
      <c r="C37" s="2"/>
      <c r="D37" s="2"/>
      <c r="E37" s="2"/>
    </row>
    <row r="38" spans="1:5" x14ac:dyDescent="0.3">
      <c r="A38" s="2"/>
      <c r="B38" s="2"/>
      <c r="C38" s="2"/>
      <c r="D38" s="2"/>
      <c r="E38" s="2"/>
    </row>
    <row r="39" spans="1:5" x14ac:dyDescent="0.3">
      <c r="A39" s="2"/>
      <c r="B39" s="2"/>
      <c r="C39" s="2"/>
      <c r="D39" s="2"/>
      <c r="E39" s="2"/>
    </row>
    <row r="40" spans="1:5" x14ac:dyDescent="0.3">
      <c r="A40" s="2"/>
      <c r="B40" s="2"/>
      <c r="C40" s="2"/>
      <c r="D40" s="2"/>
      <c r="E40" s="2"/>
    </row>
    <row r="41" spans="1:5" ht="32.25" customHeight="1" x14ac:dyDescent="0.3">
      <c r="A41" s="2"/>
      <c r="B41" s="2"/>
      <c r="C41" s="2"/>
      <c r="D41" s="2"/>
      <c r="E41" s="2"/>
    </row>
    <row r="42" spans="1:5" ht="32.25" customHeight="1" x14ac:dyDescent="0.3">
      <c r="A42" s="2"/>
      <c r="B42" s="2"/>
      <c r="C42" s="2"/>
      <c r="D42" s="2"/>
      <c r="E42" s="2"/>
    </row>
    <row r="43" spans="1:5" ht="32.25" customHeight="1" x14ac:dyDescent="0.3">
      <c r="A43" s="6"/>
      <c r="B43" s="2"/>
      <c r="C43" s="2"/>
      <c r="D43" s="2"/>
      <c r="E43" s="2"/>
    </row>
    <row r="44" spans="1:5" x14ac:dyDescent="0.3">
      <c r="A44" s="2"/>
      <c r="B44" s="2"/>
      <c r="C44" s="2"/>
      <c r="D44" s="2"/>
      <c r="E44" s="2"/>
    </row>
    <row r="45" spans="1:5" x14ac:dyDescent="0.3">
      <c r="A45" s="2"/>
      <c r="B45" s="2"/>
      <c r="C45" s="2"/>
      <c r="D45" s="2"/>
      <c r="E45" s="2"/>
    </row>
    <row r="46" spans="1:5" x14ac:dyDescent="0.3">
      <c r="A46" s="2"/>
      <c r="B46" s="2"/>
      <c r="C46" s="2"/>
      <c r="D46" s="2"/>
      <c r="E46" s="2"/>
    </row>
    <row r="47" spans="1:5" x14ac:dyDescent="0.3">
      <c r="A47" s="2"/>
      <c r="B47" s="2"/>
      <c r="C47" s="2"/>
      <c r="D47" s="2"/>
      <c r="E47" s="2"/>
    </row>
    <row r="48" spans="1:5" x14ac:dyDescent="0.3">
      <c r="A48" s="2"/>
      <c r="B48" s="2"/>
      <c r="C48" s="2"/>
      <c r="D48" s="2"/>
    </row>
    <row r="49" spans="1:4" x14ac:dyDescent="0.3">
      <c r="A49" s="2"/>
      <c r="B49" s="2"/>
      <c r="C49" s="2"/>
      <c r="D49" s="2"/>
    </row>
  </sheetData>
  <pageMargins left="0.2" right="0.2" top="0.75" bottom="0.75" header="0.3" footer="0.3"/>
  <pageSetup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R49"/>
  <sheetViews>
    <sheetView showGridLines="0" zoomScale="85" zoomScaleNormal="85" workbookViewId="0">
      <selection activeCell="B1" sqref="B1"/>
    </sheetView>
  </sheetViews>
  <sheetFormatPr defaultRowHeight="14.4" x14ac:dyDescent="0.3"/>
  <cols>
    <col min="1" max="1" width="12.88671875" customWidth="1"/>
    <col min="2" max="2" width="18.21875" customWidth="1"/>
    <col min="3" max="6" width="14.44140625" customWidth="1"/>
    <col min="7" max="7" width="13.21875" customWidth="1"/>
    <col min="8" max="8" width="18.21875" customWidth="1"/>
    <col min="9" max="12" width="14.44140625" customWidth="1"/>
    <col min="13" max="13" width="14.109375" customWidth="1"/>
    <col min="14" max="14" width="18.21875" customWidth="1"/>
    <col min="15" max="18" width="14.44140625" customWidth="1"/>
    <col min="19" max="19" width="4.44140625" customWidth="1"/>
    <col min="21" max="21" width="10.77734375" customWidth="1"/>
    <col min="22" max="22" width="12.44140625" customWidth="1"/>
    <col min="23" max="23" width="11.77734375" customWidth="1"/>
    <col min="24" max="24" width="12.44140625" customWidth="1"/>
    <col min="25" max="25" width="9.88671875" customWidth="1"/>
  </cols>
  <sheetData>
    <row r="1" spans="1:18" ht="21" x14ac:dyDescent="0.4">
      <c r="B1" s="18" t="s">
        <v>12</v>
      </c>
      <c r="C1" s="14"/>
      <c r="D1" s="14"/>
      <c r="E1" s="14"/>
      <c r="F1" s="14"/>
      <c r="G1" s="14"/>
      <c r="H1" s="14"/>
      <c r="I1" s="14"/>
      <c r="J1" s="14"/>
      <c r="K1" s="14"/>
      <c r="L1" s="14"/>
      <c r="M1" s="14"/>
      <c r="N1" s="14"/>
      <c r="O1" s="14"/>
      <c r="P1" s="14"/>
      <c r="Q1" s="14"/>
      <c r="R1" s="14"/>
    </row>
    <row r="2" spans="1:18" x14ac:dyDescent="0.3">
      <c r="B2" s="19" t="s">
        <v>9</v>
      </c>
      <c r="C2" s="14"/>
      <c r="D2" s="14"/>
      <c r="E2" s="14"/>
      <c r="F2" s="14"/>
      <c r="G2" s="14"/>
      <c r="H2" s="14"/>
      <c r="I2" s="14"/>
      <c r="J2" s="14"/>
      <c r="K2" s="14"/>
      <c r="L2" s="14"/>
      <c r="M2" s="14"/>
      <c r="N2" s="14"/>
      <c r="O2" s="14"/>
      <c r="P2" s="14"/>
      <c r="Q2" s="14"/>
      <c r="R2" s="14"/>
    </row>
    <row r="3" spans="1:18" x14ac:dyDescent="0.3">
      <c r="B3" s="1"/>
      <c r="C3" s="1"/>
      <c r="D3" s="1"/>
      <c r="E3" s="1"/>
      <c r="F3" s="1"/>
    </row>
    <row r="4" spans="1:18" ht="59.25" customHeight="1" x14ac:dyDescent="0.3">
      <c r="B4" s="20" t="s">
        <v>13</v>
      </c>
      <c r="C4" s="21"/>
      <c r="D4" s="21"/>
      <c r="E4" s="21"/>
      <c r="F4" s="21"/>
    </row>
    <row r="5" spans="1:18" ht="43.8" thickBot="1" x14ac:dyDescent="0.35">
      <c r="A5" s="32" t="s">
        <v>0</v>
      </c>
      <c r="B5" s="22" t="s">
        <v>6</v>
      </c>
      <c r="C5" s="22" t="s">
        <v>2</v>
      </c>
      <c r="D5" s="22" t="s">
        <v>4</v>
      </c>
      <c r="E5" s="22" t="s">
        <v>5</v>
      </c>
      <c r="F5" s="22" t="s">
        <v>8</v>
      </c>
    </row>
    <row r="6" spans="1:18" ht="15" thickTop="1" x14ac:dyDescent="0.3">
      <c r="A6" s="32"/>
      <c r="B6" s="9"/>
      <c r="C6" s="9"/>
      <c r="D6" s="9"/>
      <c r="E6" s="9"/>
      <c r="F6" s="9"/>
    </row>
    <row r="7" spans="1:18" x14ac:dyDescent="0.3">
      <c r="A7" s="33">
        <v>1</v>
      </c>
      <c r="B7" s="11">
        <v>0</v>
      </c>
      <c r="C7" s="11">
        <f>+C20</f>
        <v>80</v>
      </c>
      <c r="D7" s="11">
        <f>+D20</f>
        <v>-16</v>
      </c>
      <c r="E7" s="11"/>
      <c r="F7" s="11">
        <f>SUM(B7:E7)</f>
        <v>64</v>
      </c>
    </row>
    <row r="8" spans="1:18" x14ac:dyDescent="0.3">
      <c r="A8" s="33">
        <v>2</v>
      </c>
      <c r="B8" s="9">
        <f>+F7</f>
        <v>64</v>
      </c>
      <c r="C8" s="9">
        <f>+I21</f>
        <v>10</v>
      </c>
      <c r="D8" s="9">
        <f>+J21</f>
        <v>-18.5</v>
      </c>
      <c r="E8" s="9">
        <f>+K21</f>
        <v>-16.650000000000002</v>
      </c>
      <c r="F8" s="10">
        <f>SUM(B8:E8)</f>
        <v>38.849999999999994</v>
      </c>
    </row>
    <row r="9" spans="1:18" x14ac:dyDescent="0.3">
      <c r="A9" s="33">
        <v>3</v>
      </c>
      <c r="B9" s="9">
        <f t="shared" ref="B9:B11" si="0">+F8</f>
        <v>38.849999999999994</v>
      </c>
      <c r="C9" s="9">
        <f t="shared" ref="C9:E11" si="1">+O22</f>
        <v>0</v>
      </c>
      <c r="D9" s="9">
        <f t="shared" si="1"/>
        <v>-20.919230769230765</v>
      </c>
      <c r="E9" s="9">
        <f t="shared" si="1"/>
        <v>0</v>
      </c>
      <c r="F9" s="10">
        <f>SUM(B9:E9)</f>
        <v>17.930769230769229</v>
      </c>
    </row>
    <row r="10" spans="1:18" x14ac:dyDescent="0.3">
      <c r="A10" s="33">
        <v>4</v>
      </c>
      <c r="B10" s="9">
        <f t="shared" si="0"/>
        <v>17.930769230769229</v>
      </c>
      <c r="C10" s="9">
        <f t="shared" si="1"/>
        <v>0</v>
      </c>
      <c r="D10" s="9">
        <f t="shared" si="1"/>
        <v>-11.953846153846152</v>
      </c>
      <c r="E10" s="9">
        <f t="shared" si="1"/>
        <v>0</v>
      </c>
      <c r="F10" s="10">
        <f>SUM(B10:E10)</f>
        <v>5.976923076923077</v>
      </c>
    </row>
    <row r="11" spans="1:18" x14ac:dyDescent="0.3">
      <c r="A11" s="33">
        <v>5</v>
      </c>
      <c r="B11" s="15">
        <f t="shared" si="0"/>
        <v>5.976923076923077</v>
      </c>
      <c r="C11" s="15">
        <f t="shared" si="1"/>
        <v>0</v>
      </c>
      <c r="D11" s="15">
        <f t="shared" si="1"/>
        <v>-5.9769230769230761</v>
      </c>
      <c r="E11" s="15">
        <f t="shared" si="1"/>
        <v>0</v>
      </c>
      <c r="F11" s="16">
        <f>SUM(B11:E11)</f>
        <v>8.8817841970012523E-16</v>
      </c>
    </row>
    <row r="12" spans="1:18" ht="23.25" customHeight="1" x14ac:dyDescent="0.3">
      <c r="A12" s="34" t="s">
        <v>1</v>
      </c>
      <c r="B12" s="2"/>
      <c r="C12" s="13">
        <f>SUM(C7:C11)</f>
        <v>90</v>
      </c>
      <c r="D12" s="13">
        <f>SUM(D7:D11)</f>
        <v>-73.349999999999994</v>
      </c>
      <c r="E12" s="13">
        <f>SUM(E7:E11)</f>
        <v>-16.650000000000002</v>
      </c>
      <c r="F12" s="2"/>
    </row>
    <row r="13" spans="1:18" ht="24.75" customHeight="1" x14ac:dyDescent="0.3">
      <c r="A13" s="27"/>
      <c r="B13" s="1"/>
      <c r="C13" s="1"/>
      <c r="D13" s="1"/>
      <c r="E13" s="1"/>
      <c r="F13" s="1"/>
    </row>
    <row r="14" spans="1:18" ht="37.799999999999997" x14ac:dyDescent="0.5">
      <c r="A14" s="27"/>
      <c r="B14" s="23" t="s">
        <v>11</v>
      </c>
      <c r="C14" s="24"/>
      <c r="D14" s="24"/>
      <c r="E14" s="24"/>
      <c r="F14" s="24"/>
      <c r="G14" s="25"/>
      <c r="H14" s="25"/>
      <c r="I14" s="25"/>
      <c r="J14" s="25"/>
      <c r="K14" s="25"/>
      <c r="L14" s="25"/>
      <c r="M14" s="25"/>
      <c r="N14" s="25"/>
      <c r="O14" s="25"/>
      <c r="P14" s="25"/>
      <c r="Q14" s="25"/>
      <c r="R14" s="26"/>
    </row>
    <row r="15" spans="1:18" x14ac:dyDescent="0.3">
      <c r="A15" s="28"/>
      <c r="B15" s="2"/>
      <c r="C15" s="2"/>
      <c r="D15" s="2"/>
      <c r="E15" s="2"/>
      <c r="F15" s="2"/>
      <c r="G15" s="2"/>
      <c r="H15" s="2"/>
    </row>
    <row r="16" spans="1:18" x14ac:dyDescent="0.3">
      <c r="A16" s="28"/>
      <c r="B16" s="35" t="s">
        <v>14</v>
      </c>
      <c r="C16" s="36"/>
      <c r="D16" s="36"/>
      <c r="E16" s="36"/>
      <c r="F16" s="37"/>
      <c r="G16" s="2"/>
      <c r="H16" s="35" t="s">
        <v>15</v>
      </c>
      <c r="I16" s="36"/>
      <c r="J16" s="36"/>
      <c r="K16" s="36"/>
      <c r="L16" s="37"/>
      <c r="N16" s="35" t="s">
        <v>16</v>
      </c>
      <c r="O16" s="36"/>
      <c r="P16" s="36"/>
      <c r="Q16" s="36"/>
      <c r="R16" s="37"/>
    </row>
    <row r="17" spans="1:18" ht="138.75" customHeight="1" x14ac:dyDescent="0.3">
      <c r="A17" s="29"/>
      <c r="B17" s="229" t="s">
        <v>141</v>
      </c>
      <c r="C17" s="230"/>
      <c r="D17" s="230"/>
      <c r="E17" s="230"/>
      <c r="F17" s="231"/>
      <c r="G17" s="2"/>
      <c r="H17" s="232" t="s">
        <v>142</v>
      </c>
      <c r="I17" s="233"/>
      <c r="J17" s="233"/>
      <c r="K17" s="233"/>
      <c r="L17" s="234"/>
      <c r="N17" s="232" t="s">
        <v>143</v>
      </c>
      <c r="O17" s="233"/>
      <c r="P17" s="233"/>
      <c r="Q17" s="233"/>
      <c r="R17" s="234"/>
    </row>
    <row r="18" spans="1:18" ht="51.75" customHeight="1" thickBot="1" x14ac:dyDescent="0.35">
      <c r="A18" s="32" t="s">
        <v>0</v>
      </c>
      <c r="B18" s="42" t="s">
        <v>7</v>
      </c>
      <c r="C18" s="42" t="s">
        <v>2</v>
      </c>
      <c r="D18" s="42" t="s">
        <v>10</v>
      </c>
      <c r="E18" s="42" t="s">
        <v>5</v>
      </c>
      <c r="F18" s="42" t="s">
        <v>3</v>
      </c>
      <c r="G18" s="32" t="s">
        <v>0</v>
      </c>
      <c r="H18" s="42" t="s">
        <v>7</v>
      </c>
      <c r="I18" s="42" t="s">
        <v>2</v>
      </c>
      <c r="J18" s="42" t="s">
        <v>10</v>
      </c>
      <c r="K18" s="42" t="s">
        <v>5</v>
      </c>
      <c r="L18" s="42" t="s">
        <v>3</v>
      </c>
      <c r="M18" s="32" t="s">
        <v>0</v>
      </c>
      <c r="N18" s="42" t="s">
        <v>7</v>
      </c>
      <c r="O18" s="42" t="s">
        <v>2</v>
      </c>
      <c r="P18" s="42" t="s">
        <v>10</v>
      </c>
      <c r="Q18" s="42" t="s">
        <v>5</v>
      </c>
      <c r="R18" s="42" t="s">
        <v>3</v>
      </c>
    </row>
    <row r="19" spans="1:18" ht="15" thickTop="1" x14ac:dyDescent="0.3">
      <c r="A19" s="32"/>
      <c r="B19" s="3"/>
      <c r="C19" s="3"/>
      <c r="D19" s="3"/>
      <c r="F19" s="3"/>
      <c r="G19" s="32"/>
      <c r="H19" s="3"/>
      <c r="I19" s="3"/>
      <c r="J19" s="3"/>
      <c r="K19" s="3"/>
      <c r="L19" s="3"/>
      <c r="M19" s="32"/>
      <c r="N19" s="3"/>
      <c r="O19" s="3"/>
      <c r="P19" s="3"/>
      <c r="Q19" s="3"/>
      <c r="R19" s="3"/>
    </row>
    <row r="20" spans="1:18" x14ac:dyDescent="0.3">
      <c r="A20" s="33">
        <v>1</v>
      </c>
      <c r="B20" s="38">
        <v>1000</v>
      </c>
      <c r="C20" s="38">
        <v>80</v>
      </c>
      <c r="D20" s="38">
        <f>-B20*C$26</f>
        <v>-16</v>
      </c>
      <c r="E20" s="38"/>
      <c r="F20" s="17">
        <f>+C19+D20+C20</f>
        <v>64</v>
      </c>
      <c r="G20" s="33">
        <v>1</v>
      </c>
      <c r="H20" s="7"/>
      <c r="I20" s="38">
        <f>+F20</f>
        <v>64</v>
      </c>
      <c r="J20" s="13"/>
      <c r="K20" s="13"/>
      <c r="L20" s="41">
        <f>+F20</f>
        <v>64</v>
      </c>
      <c r="M20" s="33">
        <v>1</v>
      </c>
      <c r="N20" s="13"/>
      <c r="O20" s="13"/>
      <c r="P20" s="13"/>
      <c r="Q20" s="13"/>
      <c r="R20" s="41">
        <f>+L20</f>
        <v>64</v>
      </c>
    </row>
    <row r="21" spans="1:18" x14ac:dyDescent="0.3">
      <c r="A21" s="33">
        <v>2</v>
      </c>
      <c r="B21" s="39">
        <v>1000</v>
      </c>
      <c r="C21" s="7"/>
      <c r="D21" s="7"/>
      <c r="E21" s="7"/>
      <c r="F21" s="7"/>
      <c r="G21" s="33">
        <v>2</v>
      </c>
      <c r="H21" s="38">
        <v>1000</v>
      </c>
      <c r="I21" s="38">
        <v>10</v>
      </c>
      <c r="J21" s="38">
        <f>-H21*I$26</f>
        <v>-18.5</v>
      </c>
      <c r="K21" s="38">
        <f>-(+I20+J21+I21)*(1-N22/H22)</f>
        <v>-16.650000000000002</v>
      </c>
      <c r="L21" s="17">
        <f>SUM(I21:K21)+L20</f>
        <v>38.849999999999994</v>
      </c>
      <c r="M21" s="33">
        <v>2</v>
      </c>
      <c r="N21" s="13"/>
      <c r="O21" s="38">
        <f>+L21</f>
        <v>38.849999999999994</v>
      </c>
      <c r="P21" s="13"/>
      <c r="Q21" s="11"/>
      <c r="R21" s="41">
        <f>+L21</f>
        <v>38.849999999999994</v>
      </c>
    </row>
    <row r="22" spans="1:18" x14ac:dyDescent="0.3">
      <c r="A22" s="33">
        <v>3</v>
      </c>
      <c r="B22" s="39">
        <v>1000</v>
      </c>
      <c r="C22" s="7"/>
      <c r="D22" s="7"/>
      <c r="E22" s="7"/>
      <c r="F22" s="7"/>
      <c r="G22" s="33">
        <v>3</v>
      </c>
      <c r="H22" s="39">
        <v>1000</v>
      </c>
      <c r="I22" s="7"/>
      <c r="J22" s="7"/>
      <c r="K22" s="7"/>
      <c r="L22" s="7"/>
      <c r="M22" s="33">
        <v>3</v>
      </c>
      <c r="N22" s="38">
        <v>700</v>
      </c>
      <c r="O22" s="38">
        <v>0</v>
      </c>
      <c r="P22" s="38">
        <f>-N22*O$26</f>
        <v>-20.919230769230765</v>
      </c>
      <c r="Q22" s="38">
        <f>-(+O21+P22+O22)*(1-N23/N23)</f>
        <v>0</v>
      </c>
      <c r="R22" s="17">
        <f>SUM(O22:Q22)+R21</f>
        <v>17.930769230769229</v>
      </c>
    </row>
    <row r="23" spans="1:18" x14ac:dyDescent="0.3">
      <c r="A23" s="33">
        <v>4</v>
      </c>
      <c r="B23" s="39">
        <v>1000</v>
      </c>
      <c r="C23" s="7"/>
      <c r="D23" s="7"/>
      <c r="E23" s="7"/>
      <c r="F23" s="7"/>
      <c r="G23" s="33">
        <v>4</v>
      </c>
      <c r="H23" s="39">
        <v>1000</v>
      </c>
      <c r="I23" s="7"/>
      <c r="J23" s="7"/>
      <c r="K23" s="7"/>
      <c r="L23" s="7"/>
      <c r="M23" s="33">
        <v>4</v>
      </c>
      <c r="N23" s="39">
        <v>400</v>
      </c>
      <c r="O23" s="7"/>
      <c r="P23" s="39">
        <f t="shared" ref="P23:P24" si="2">-N23*O$26</f>
        <v>-11.953846153846152</v>
      </c>
      <c r="Q23" s="7"/>
      <c r="R23" s="17">
        <f t="shared" ref="R23:R24" si="3">SUM(O23:Q23)+R22</f>
        <v>5.976923076923077</v>
      </c>
    </row>
    <row r="24" spans="1:18" x14ac:dyDescent="0.3">
      <c r="A24" s="33">
        <v>5</v>
      </c>
      <c r="B24" s="40">
        <v>1000</v>
      </c>
      <c r="C24" s="15"/>
      <c r="D24" s="15"/>
      <c r="E24" s="15"/>
      <c r="F24" s="15"/>
      <c r="G24" s="33">
        <v>5</v>
      </c>
      <c r="H24" s="40">
        <v>1000</v>
      </c>
      <c r="I24" s="15"/>
      <c r="J24" s="15"/>
      <c r="K24" s="15"/>
      <c r="L24" s="15"/>
      <c r="M24" s="33">
        <v>5</v>
      </c>
      <c r="N24" s="40">
        <v>200</v>
      </c>
      <c r="O24" s="15"/>
      <c r="P24" s="40">
        <f t="shared" si="2"/>
        <v>-5.9769230769230761</v>
      </c>
      <c r="Q24" s="15"/>
      <c r="R24" s="12">
        <f t="shared" si="3"/>
        <v>0</v>
      </c>
    </row>
    <row r="25" spans="1:18" ht="24.75" customHeight="1" x14ac:dyDescent="0.3">
      <c r="A25" s="33" t="s">
        <v>1</v>
      </c>
      <c r="B25" s="13">
        <f>SUM(B20:B24)</f>
        <v>5000</v>
      </c>
      <c r="C25" s="13">
        <f>SUM(C20:C24)</f>
        <v>80</v>
      </c>
      <c r="D25" s="7"/>
      <c r="E25" s="7"/>
      <c r="F25" s="7"/>
      <c r="G25" s="33" t="s">
        <v>1</v>
      </c>
      <c r="H25" s="13">
        <f>SUM(H20:H24)</f>
        <v>4000</v>
      </c>
      <c r="I25" s="13">
        <f>SUM(I20:I24)</f>
        <v>74</v>
      </c>
      <c r="J25" s="7"/>
      <c r="K25" s="7"/>
      <c r="L25" s="7"/>
      <c r="M25" s="33" t="s">
        <v>1</v>
      </c>
      <c r="N25" s="13">
        <f>SUM(N20:N24)</f>
        <v>1300</v>
      </c>
      <c r="O25" s="13">
        <f>SUM(O20:O24)</f>
        <v>38.849999999999994</v>
      </c>
      <c r="P25" s="7"/>
      <c r="Q25" s="7"/>
      <c r="R25" s="7"/>
    </row>
    <row r="26" spans="1:18" ht="38.25" customHeight="1" x14ac:dyDescent="0.3">
      <c r="A26" s="44" t="s">
        <v>17</v>
      </c>
      <c r="B26" s="2"/>
      <c r="C26" s="43">
        <f>+C25/B25</f>
        <v>1.6E-2</v>
      </c>
      <c r="D26" s="6"/>
      <c r="E26" s="2"/>
      <c r="F26" s="2"/>
      <c r="G26" s="44" t="s">
        <v>17</v>
      </c>
      <c r="H26" s="2"/>
      <c r="I26" s="43">
        <f>(+I25)/H25</f>
        <v>1.8499999999999999E-2</v>
      </c>
      <c r="J26" s="6"/>
      <c r="K26" s="6"/>
      <c r="L26" s="2"/>
      <c r="M26" s="44" t="s">
        <v>17</v>
      </c>
      <c r="N26" s="2"/>
      <c r="O26" s="43">
        <f>(+O25)/N25</f>
        <v>2.9884615384615381E-2</v>
      </c>
      <c r="P26" s="6"/>
      <c r="Q26" s="6"/>
      <c r="R26" s="2"/>
    </row>
    <row r="27" spans="1:18" ht="166.65" customHeight="1" x14ac:dyDescent="0.3">
      <c r="A27" s="2"/>
      <c r="B27" s="235" t="s">
        <v>18</v>
      </c>
      <c r="C27" s="236"/>
      <c r="D27" s="236"/>
      <c r="E27" s="236"/>
      <c r="F27" s="236"/>
      <c r="G27" s="2"/>
      <c r="H27" s="235" t="s">
        <v>133</v>
      </c>
      <c r="I27" s="236"/>
      <c r="J27" s="236"/>
      <c r="K27" s="236"/>
      <c r="L27" s="236"/>
    </row>
    <row r="28" spans="1:18" x14ac:dyDescent="0.3">
      <c r="A28" s="2"/>
      <c r="B28" s="5"/>
      <c r="C28" s="1"/>
      <c r="D28" s="1"/>
      <c r="E28" s="1"/>
      <c r="F28" s="1"/>
      <c r="G28" s="2"/>
      <c r="H28" s="5"/>
      <c r="I28" s="1"/>
      <c r="J28" s="1"/>
      <c r="K28" s="1"/>
      <c r="L28" s="1"/>
    </row>
    <row r="29" spans="1:18" x14ac:dyDescent="0.3">
      <c r="A29" s="2"/>
      <c r="B29" s="5"/>
      <c r="C29" s="1"/>
      <c r="D29" s="1"/>
      <c r="E29" s="1"/>
      <c r="F29" s="1"/>
      <c r="G29" s="2"/>
      <c r="H29" s="5"/>
      <c r="I29" s="1"/>
      <c r="J29" s="1"/>
      <c r="K29" s="1"/>
      <c r="L29" s="1"/>
    </row>
    <row r="30" spans="1:18" x14ac:dyDescent="0.3">
      <c r="A30" s="2"/>
      <c r="B30" s="6"/>
      <c r="C30" s="2"/>
      <c r="D30" s="2"/>
      <c r="E30" s="8"/>
      <c r="F30" s="8"/>
      <c r="G30" s="2"/>
      <c r="H30" s="5"/>
      <c r="I30" s="1"/>
      <c r="J30" s="1"/>
      <c r="K30" s="1"/>
      <c r="L30" s="1"/>
    </row>
    <row r="31" spans="1:18" x14ac:dyDescent="0.3">
      <c r="A31" s="2"/>
      <c r="B31" s="2"/>
      <c r="C31" s="2"/>
      <c r="D31" s="2"/>
      <c r="E31" s="2"/>
      <c r="F31" s="2"/>
      <c r="G31" s="2"/>
      <c r="H31" s="2"/>
    </row>
    <row r="32" spans="1:18" x14ac:dyDescent="0.3">
      <c r="A32" s="2"/>
      <c r="B32" s="2"/>
      <c r="C32" s="2"/>
      <c r="D32" s="2"/>
      <c r="E32" s="2"/>
      <c r="F32" s="2"/>
      <c r="G32" s="2"/>
      <c r="H32" s="2"/>
      <c r="I32" s="2"/>
    </row>
    <row r="33" spans="1:9" x14ac:dyDescent="0.3">
      <c r="A33" s="30"/>
      <c r="B33" s="5"/>
      <c r="C33" s="5"/>
      <c r="D33" s="5"/>
      <c r="E33" s="2"/>
      <c r="F33" s="2"/>
      <c r="G33" s="2"/>
      <c r="H33" s="2"/>
      <c r="I33" s="2"/>
    </row>
    <row r="34" spans="1:9" x14ac:dyDescent="0.3">
      <c r="A34" s="2"/>
      <c r="B34" s="2"/>
      <c r="C34" s="2"/>
      <c r="D34" s="2"/>
      <c r="E34" s="2"/>
      <c r="F34" s="2"/>
      <c r="G34" s="2"/>
      <c r="H34" s="2"/>
      <c r="I34" s="2"/>
    </row>
    <row r="35" spans="1:9" x14ac:dyDescent="0.3">
      <c r="A35" s="31"/>
      <c r="B35" s="2"/>
      <c r="C35" s="2"/>
      <c r="D35" s="2"/>
      <c r="F35" s="2"/>
      <c r="G35" s="2"/>
      <c r="H35" s="2"/>
      <c r="I35" s="2"/>
    </row>
    <row r="36" spans="1:9" x14ac:dyDescent="0.3">
      <c r="A36" s="2"/>
      <c r="B36" s="3"/>
      <c r="C36" s="2"/>
      <c r="D36" s="2"/>
      <c r="F36" s="2"/>
      <c r="G36" s="2"/>
      <c r="H36" s="2"/>
      <c r="I36" s="2"/>
    </row>
    <row r="37" spans="1:9" x14ac:dyDescent="0.3">
      <c r="A37" s="4"/>
      <c r="B37" s="2"/>
      <c r="C37" s="2"/>
      <c r="D37" s="2"/>
      <c r="F37" s="2"/>
      <c r="G37" s="2"/>
      <c r="H37" s="2"/>
      <c r="I37" s="2"/>
    </row>
    <row r="38" spans="1:9" x14ac:dyDescent="0.3">
      <c r="A38" s="2"/>
      <c r="B38" s="2"/>
      <c r="C38" s="2"/>
      <c r="D38" s="2"/>
      <c r="F38" s="2"/>
      <c r="G38" s="2"/>
      <c r="H38" s="2"/>
      <c r="I38" s="2"/>
    </row>
    <row r="39" spans="1:9" x14ac:dyDescent="0.3">
      <c r="A39" s="2"/>
      <c r="B39" s="2"/>
      <c r="C39" s="2"/>
      <c r="D39" s="2"/>
      <c r="F39" s="2"/>
      <c r="G39" s="2"/>
      <c r="H39" s="2"/>
      <c r="I39" s="2"/>
    </row>
    <row r="40" spans="1:9" x14ac:dyDescent="0.3">
      <c r="A40" s="2"/>
      <c r="B40" s="2"/>
      <c r="C40" s="2"/>
      <c r="D40" s="2"/>
      <c r="F40" s="2"/>
      <c r="G40" s="2"/>
      <c r="H40" s="2"/>
      <c r="I40" s="2"/>
    </row>
    <row r="41" spans="1:9" ht="32.25" customHeight="1" x14ac:dyDescent="0.3">
      <c r="A41" s="4"/>
      <c r="B41" s="2"/>
      <c r="C41" s="2"/>
      <c r="D41" s="2"/>
      <c r="E41" s="9"/>
      <c r="F41" s="2"/>
      <c r="G41" s="2"/>
      <c r="H41" s="2"/>
      <c r="I41" s="2"/>
    </row>
    <row r="42" spans="1:9" ht="32.25" customHeight="1" x14ac:dyDescent="0.3">
      <c r="A42" s="4"/>
      <c r="B42" s="2"/>
      <c r="C42" s="2"/>
      <c r="D42" s="2"/>
      <c r="E42" s="2"/>
      <c r="F42" s="2"/>
      <c r="G42" s="2"/>
      <c r="H42" s="2"/>
      <c r="I42" s="2"/>
    </row>
    <row r="43" spans="1:9" ht="32.25" customHeight="1" x14ac:dyDescent="0.3">
      <c r="A43" s="2"/>
      <c r="B43" s="6"/>
      <c r="C43" s="2"/>
      <c r="D43" s="2"/>
      <c r="E43" s="2"/>
      <c r="F43" s="2"/>
      <c r="G43" s="2"/>
      <c r="H43" s="2"/>
      <c r="I43" s="2"/>
    </row>
    <row r="44" spans="1:9" x14ac:dyDescent="0.3">
      <c r="A44" s="2"/>
      <c r="B44" s="2"/>
      <c r="C44" s="2"/>
      <c r="D44" s="2"/>
      <c r="E44" s="2"/>
      <c r="F44" s="2"/>
      <c r="G44" s="2"/>
      <c r="H44" s="2"/>
      <c r="I44" s="2"/>
    </row>
    <row r="45" spans="1:9" x14ac:dyDescent="0.3">
      <c r="A45" s="2"/>
      <c r="B45" s="2"/>
      <c r="C45" s="2"/>
      <c r="D45" s="2"/>
      <c r="E45" s="2"/>
      <c r="F45" s="2"/>
      <c r="G45" s="2"/>
      <c r="H45" s="2"/>
      <c r="I45" s="2"/>
    </row>
    <row r="46" spans="1:9" x14ac:dyDescent="0.3">
      <c r="A46" s="2"/>
      <c r="B46" s="2"/>
      <c r="C46" s="2"/>
      <c r="D46" s="2"/>
      <c r="E46" s="2"/>
      <c r="F46" s="2"/>
      <c r="G46" s="2"/>
      <c r="H46" s="2"/>
      <c r="I46" s="2"/>
    </row>
    <row r="47" spans="1:9" x14ac:dyDescent="0.3">
      <c r="A47" s="2"/>
      <c r="B47" s="2"/>
      <c r="C47" s="2"/>
      <c r="D47" s="2"/>
      <c r="E47" s="2"/>
      <c r="F47" s="2"/>
      <c r="G47" s="2"/>
      <c r="H47" s="2"/>
      <c r="I47" s="2"/>
    </row>
    <row r="48" spans="1:9" x14ac:dyDescent="0.3">
      <c r="A48" s="2"/>
      <c r="B48" s="2"/>
      <c r="C48" s="2"/>
      <c r="D48" s="2"/>
      <c r="E48" s="2"/>
      <c r="F48" s="2"/>
      <c r="G48" s="2"/>
      <c r="H48" s="2"/>
    </row>
    <row r="49" spans="1:8" x14ac:dyDescent="0.3">
      <c r="A49" s="2"/>
      <c r="B49" s="2"/>
      <c r="C49" s="2"/>
      <c r="D49" s="2"/>
      <c r="E49" s="2"/>
      <c r="F49" s="2"/>
      <c r="G49" s="2"/>
      <c r="H49" s="2"/>
    </row>
  </sheetData>
  <mergeCells count="5">
    <mergeCell ref="B17:F17"/>
    <mergeCell ref="H17:L17"/>
    <mergeCell ref="N17:R17"/>
    <mergeCell ref="B27:F27"/>
    <mergeCell ref="H27:L27"/>
  </mergeCells>
  <pageMargins left="0.2" right="0.2"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Q41"/>
  <sheetViews>
    <sheetView showGridLines="0" zoomScale="90" zoomScaleNormal="90" workbookViewId="0">
      <selection activeCell="B1" sqref="B1"/>
    </sheetView>
  </sheetViews>
  <sheetFormatPr defaultRowHeight="14.4" x14ac:dyDescent="0.3"/>
  <cols>
    <col min="1" max="1" width="1.109375" customWidth="1"/>
    <col min="3" max="3" width="23" customWidth="1"/>
    <col min="4" max="7" width="15.44140625" customWidth="1"/>
    <col min="8" max="8" width="12.44140625" customWidth="1"/>
    <col min="9" max="9" width="17.88671875" customWidth="1"/>
    <col min="10" max="10" width="16.21875" customWidth="1"/>
    <col min="11" max="11" width="17.77734375" customWidth="1"/>
    <col min="12" max="12" width="15.88671875" customWidth="1"/>
    <col min="13" max="15" width="18" customWidth="1"/>
  </cols>
  <sheetData>
    <row r="1" spans="2:16" ht="21" x14ac:dyDescent="0.4">
      <c r="C1" s="103" t="s">
        <v>132</v>
      </c>
    </row>
    <row r="2" spans="2:16" x14ac:dyDescent="0.3">
      <c r="C2" t="s">
        <v>20</v>
      </c>
    </row>
    <row r="3" spans="2:16" x14ac:dyDescent="0.3">
      <c r="C3" t="s">
        <v>113</v>
      </c>
    </row>
    <row r="4" spans="2:16" x14ac:dyDescent="0.3">
      <c r="C4" t="s">
        <v>119</v>
      </c>
    </row>
    <row r="5" spans="2:16" x14ac:dyDescent="0.3">
      <c r="C5" t="s">
        <v>120</v>
      </c>
    </row>
    <row r="6" spans="2:16" x14ac:dyDescent="0.3">
      <c r="C6" s="95">
        <v>12</v>
      </c>
      <c r="D6" t="s">
        <v>19</v>
      </c>
    </row>
    <row r="7" spans="2:16" x14ac:dyDescent="0.3">
      <c r="C7" s="96">
        <v>0</v>
      </c>
      <c r="D7" t="s">
        <v>24</v>
      </c>
      <c r="G7" s="47"/>
    </row>
    <row r="8" spans="2:16" x14ac:dyDescent="0.3">
      <c r="C8" s="96">
        <v>0</v>
      </c>
      <c r="D8" t="s">
        <v>28</v>
      </c>
    </row>
    <row r="9" spans="2:16" ht="15" thickBot="1" x14ac:dyDescent="0.35">
      <c r="C9" s="10"/>
    </row>
    <row r="10" spans="2:16" ht="15" thickBot="1" x14ac:dyDescent="0.35">
      <c r="C10" s="187" t="s">
        <v>26</v>
      </c>
      <c r="D10" s="53"/>
      <c r="E10" s="53"/>
      <c r="F10" s="53"/>
      <c r="G10" s="54"/>
      <c r="I10" s="188" t="s">
        <v>30</v>
      </c>
      <c r="J10" s="55"/>
      <c r="K10" s="55"/>
      <c r="L10" s="55"/>
      <c r="M10" s="55"/>
      <c r="N10" s="56"/>
    </row>
    <row r="11" spans="2:16" ht="58.2" thickBot="1" x14ac:dyDescent="0.35">
      <c r="B11" s="189" t="s">
        <v>0</v>
      </c>
      <c r="C11" s="49" t="s">
        <v>25</v>
      </c>
      <c r="D11" s="48" t="s">
        <v>2</v>
      </c>
      <c r="E11" s="48" t="s">
        <v>10</v>
      </c>
      <c r="F11" s="48" t="s">
        <v>5</v>
      </c>
      <c r="G11" s="50" t="s">
        <v>23</v>
      </c>
      <c r="H11" s="97" t="s">
        <v>27</v>
      </c>
      <c r="I11" s="57" t="s">
        <v>22</v>
      </c>
      <c r="J11" s="42" t="s">
        <v>21</v>
      </c>
      <c r="K11" s="42" t="s">
        <v>29</v>
      </c>
      <c r="L11" s="42" t="s">
        <v>117</v>
      </c>
      <c r="M11" s="42" t="s">
        <v>116</v>
      </c>
      <c r="N11" s="58" t="s">
        <v>118</v>
      </c>
    </row>
    <row r="12" spans="2:16" ht="28.5" customHeight="1" thickTop="1" x14ac:dyDescent="0.3">
      <c r="B12" s="189">
        <v>0</v>
      </c>
      <c r="C12" s="51"/>
      <c r="D12" s="46"/>
      <c r="E12" s="164"/>
      <c r="F12" s="164"/>
      <c r="G12" s="165">
        <v>0</v>
      </c>
      <c r="H12" s="134"/>
      <c r="I12" s="166">
        <v>1</v>
      </c>
      <c r="J12" s="46"/>
      <c r="K12" s="167"/>
      <c r="L12" s="164"/>
      <c r="M12" s="164"/>
      <c r="N12" s="168"/>
    </row>
    <row r="13" spans="2:16" x14ac:dyDescent="0.3">
      <c r="B13" s="189">
        <v>1</v>
      </c>
      <c r="C13" s="169">
        <f>+G12</f>
        <v>0</v>
      </c>
      <c r="D13" s="170">
        <v>100</v>
      </c>
      <c r="E13" s="171">
        <f t="shared" ref="E13:E32" si="0">-IF(B13&lt;=$C$6,K13,M13)*H13</f>
        <v>-11.384032599155281</v>
      </c>
      <c r="F13" s="172">
        <f t="shared" ref="F13:F31" si="1">MIN(0,-(B13=$C$6)*(G12+D13+E13)*(K14-M14)/(K14+0.000000000000001))</f>
        <v>0</v>
      </c>
      <c r="G13" s="173">
        <f t="shared" ref="G13:G18" si="2">+C13+D13+F13-IF(B13&lt;=$C$6,K13,M13)*H13</f>
        <v>88.615967400844724</v>
      </c>
      <c r="H13" s="198">
        <f t="shared" ref="H13:H18" si="3">+IFERROR((D13+C13)/IF(B13&lt;=$C$6,L13,N13),0)</f>
        <v>1.1384032599155281E-2</v>
      </c>
      <c r="I13" s="174">
        <v>0.9</v>
      </c>
      <c r="J13" s="175">
        <f t="shared" ref="J13:J31" si="4">MIN(I12,(B13=$C$6)*$C$7+(B13&gt;$C$6)*$C$8)</f>
        <v>0</v>
      </c>
      <c r="K13" s="191">
        <v>1000</v>
      </c>
      <c r="L13" s="171">
        <f t="shared" ref="L13:L31" si="5">+L14+K13</f>
        <v>8784.2334540943084</v>
      </c>
      <c r="M13" s="171">
        <f t="shared" ref="M13:M32" si="6">IF(B13&lt;=$C$6,K13,M12*(I12-J12))</f>
        <v>1000</v>
      </c>
      <c r="N13" s="173">
        <f t="shared" ref="N13:N31" si="7">(+N14+M13)*(B13&gt;$C$6)</f>
        <v>0</v>
      </c>
      <c r="O13" s="47"/>
      <c r="P13" s="47"/>
    </row>
    <row r="14" spans="2:16" x14ac:dyDescent="0.3">
      <c r="B14" s="189">
        <f>1+B13</f>
        <v>2</v>
      </c>
      <c r="C14" s="176">
        <f t="shared" ref="C14:C32" si="8">+G13</f>
        <v>88.615967400844724</v>
      </c>
      <c r="D14" s="167">
        <v>15</v>
      </c>
      <c r="E14" s="177">
        <f t="shared" si="0"/>
        <v>-11.9799041499341</v>
      </c>
      <c r="F14" s="178">
        <f t="shared" si="1"/>
        <v>0</v>
      </c>
      <c r="G14" s="165">
        <f t="shared" si="2"/>
        <v>91.636063250910624</v>
      </c>
      <c r="H14" s="198">
        <f t="shared" si="3"/>
        <v>1.3311004611037888E-2</v>
      </c>
      <c r="I14" s="166">
        <v>0.9</v>
      </c>
      <c r="J14" s="179">
        <f t="shared" si="4"/>
        <v>0</v>
      </c>
      <c r="K14" s="192">
        <f t="shared" ref="K14:K32" si="9">+K13*I13</f>
        <v>900</v>
      </c>
      <c r="L14" s="177">
        <f t="shared" si="5"/>
        <v>7784.2334540943084</v>
      </c>
      <c r="M14" s="177">
        <f t="shared" si="6"/>
        <v>900</v>
      </c>
      <c r="N14" s="165">
        <f t="shared" si="7"/>
        <v>0</v>
      </c>
      <c r="O14" s="47"/>
      <c r="P14" s="47"/>
    </row>
    <row r="15" spans="2:16" x14ac:dyDescent="0.3">
      <c r="B15" s="189">
        <f t="shared" ref="B15:B32" si="10">1+B14</f>
        <v>3</v>
      </c>
      <c r="C15" s="169">
        <f t="shared" si="8"/>
        <v>91.636063250910624</v>
      </c>
      <c r="D15" s="170">
        <v>10</v>
      </c>
      <c r="E15" s="171">
        <f t="shared" si="0"/>
        <v>-11.958515320870728</v>
      </c>
      <c r="F15" s="172">
        <f t="shared" si="1"/>
        <v>0</v>
      </c>
      <c r="G15" s="173">
        <f t="shared" si="2"/>
        <v>89.677547930039893</v>
      </c>
      <c r="H15" s="198">
        <f t="shared" si="3"/>
        <v>1.4763599161568801E-2</v>
      </c>
      <c r="I15" s="174">
        <v>0.9</v>
      </c>
      <c r="J15" s="175">
        <f t="shared" si="4"/>
        <v>0</v>
      </c>
      <c r="K15" s="191">
        <f t="shared" si="9"/>
        <v>810</v>
      </c>
      <c r="L15" s="171">
        <f t="shared" si="5"/>
        <v>6884.2334540943084</v>
      </c>
      <c r="M15" s="171">
        <f t="shared" si="6"/>
        <v>810</v>
      </c>
      <c r="N15" s="173">
        <f t="shared" si="7"/>
        <v>0</v>
      </c>
      <c r="O15" s="47"/>
      <c r="P15" s="47"/>
    </row>
    <row r="16" spans="2:16" x14ac:dyDescent="0.3">
      <c r="B16" s="189">
        <f t="shared" si="10"/>
        <v>4</v>
      </c>
      <c r="C16" s="176">
        <f t="shared" si="8"/>
        <v>89.677547930039893</v>
      </c>
      <c r="D16" s="167">
        <v>10</v>
      </c>
      <c r="E16" s="177">
        <f t="shared" si="0"/>
        <v>-11.962815224367057</v>
      </c>
      <c r="F16" s="178">
        <f t="shared" si="1"/>
        <v>0</v>
      </c>
      <c r="G16" s="165">
        <f t="shared" si="2"/>
        <v>87.71473270567283</v>
      </c>
      <c r="H16" s="198">
        <f t="shared" si="3"/>
        <v>1.6409897427115305E-2</v>
      </c>
      <c r="I16" s="166">
        <v>0.9</v>
      </c>
      <c r="J16" s="179">
        <f t="shared" si="4"/>
        <v>0</v>
      </c>
      <c r="K16" s="192">
        <f t="shared" si="9"/>
        <v>729</v>
      </c>
      <c r="L16" s="177">
        <f t="shared" si="5"/>
        <v>6074.2334540943084</v>
      </c>
      <c r="M16" s="177">
        <f t="shared" si="6"/>
        <v>729</v>
      </c>
      <c r="N16" s="165">
        <f t="shared" si="7"/>
        <v>0</v>
      </c>
      <c r="O16" s="47"/>
      <c r="P16" s="47"/>
    </row>
    <row r="17" spans="2:17" x14ac:dyDescent="0.3">
      <c r="B17" s="189">
        <f t="shared" si="10"/>
        <v>5</v>
      </c>
      <c r="C17" s="169">
        <f t="shared" si="8"/>
        <v>87.71473270567283</v>
      </c>
      <c r="D17" s="170">
        <v>10</v>
      </c>
      <c r="E17" s="171">
        <f t="shared" si="0"/>
        <v>-11.993982429164976</v>
      </c>
      <c r="F17" s="172">
        <f t="shared" si="1"/>
        <v>0</v>
      </c>
      <c r="G17" s="173">
        <f t="shared" si="2"/>
        <v>85.720750276507857</v>
      </c>
      <c r="H17" s="198">
        <f t="shared" si="3"/>
        <v>1.8280723104961098E-2</v>
      </c>
      <c r="I17" s="174">
        <v>0.9</v>
      </c>
      <c r="J17" s="175">
        <f t="shared" si="4"/>
        <v>0</v>
      </c>
      <c r="K17" s="191">
        <f t="shared" si="9"/>
        <v>656.1</v>
      </c>
      <c r="L17" s="171">
        <f t="shared" si="5"/>
        <v>5345.2334540943084</v>
      </c>
      <c r="M17" s="171">
        <f t="shared" si="6"/>
        <v>656.1</v>
      </c>
      <c r="N17" s="173">
        <f t="shared" si="7"/>
        <v>0</v>
      </c>
      <c r="O17" s="47"/>
      <c r="P17" s="47"/>
    </row>
    <row r="18" spans="2:17" x14ac:dyDescent="0.3">
      <c r="B18" s="189">
        <f t="shared" si="10"/>
        <v>6</v>
      </c>
      <c r="C18" s="176">
        <f t="shared" si="8"/>
        <v>85.720750276507857</v>
      </c>
      <c r="D18" s="167">
        <v>10</v>
      </c>
      <c r="E18" s="177">
        <f t="shared" si="0"/>
        <v>-12.053857367062761</v>
      </c>
      <c r="F18" s="178">
        <f t="shared" si="1"/>
        <v>0</v>
      </c>
      <c r="G18" s="165">
        <f t="shared" si="2"/>
        <v>83.666892909445096</v>
      </c>
      <c r="H18" s="198">
        <f t="shared" si="3"/>
        <v>2.0413313294150217E-2</v>
      </c>
      <c r="I18" s="166">
        <v>0.9</v>
      </c>
      <c r="J18" s="179">
        <f t="shared" si="4"/>
        <v>0</v>
      </c>
      <c r="K18" s="192">
        <f t="shared" si="9"/>
        <v>590.49</v>
      </c>
      <c r="L18" s="177">
        <f t="shared" si="5"/>
        <v>4689.133454094308</v>
      </c>
      <c r="M18" s="177">
        <f t="shared" si="6"/>
        <v>590.49</v>
      </c>
      <c r="N18" s="165">
        <f t="shared" si="7"/>
        <v>0</v>
      </c>
      <c r="O18" s="197"/>
      <c r="P18" s="47"/>
    </row>
    <row r="19" spans="2:17" x14ac:dyDescent="0.3">
      <c r="B19" s="189">
        <f t="shared" si="10"/>
        <v>7</v>
      </c>
      <c r="C19" s="169">
        <f t="shared" si="8"/>
        <v>83.666892909445096</v>
      </c>
      <c r="D19" s="170">
        <v>10</v>
      </c>
      <c r="E19" s="171">
        <f t="shared" si="0"/>
        <v>-12.145098199493942</v>
      </c>
      <c r="F19" s="172">
        <f t="shared" si="1"/>
        <v>0</v>
      </c>
      <c r="G19" s="173">
        <f>+C19+D19+F19-IF(B19&lt;=$C$6,K19,M19)*H19</f>
        <v>81.521794709951152</v>
      </c>
      <c r="H19" s="198">
        <f>+IFERROR((D19+C19)/IF(B19&lt;=$C$6,L19,N19),0)</f>
        <v>2.2853144938937607E-2</v>
      </c>
      <c r="I19" s="174">
        <v>0.9</v>
      </c>
      <c r="J19" s="175">
        <f t="shared" si="4"/>
        <v>0</v>
      </c>
      <c r="K19" s="191">
        <f t="shared" si="9"/>
        <v>531.44100000000003</v>
      </c>
      <c r="L19" s="171">
        <f t="shared" si="5"/>
        <v>4098.6434540943083</v>
      </c>
      <c r="M19" s="171">
        <f t="shared" si="6"/>
        <v>531.44100000000003</v>
      </c>
      <c r="N19" s="173">
        <f t="shared" si="7"/>
        <v>0</v>
      </c>
      <c r="O19" s="197"/>
      <c r="P19" s="47"/>
      <c r="Q19" s="47"/>
    </row>
    <row r="20" spans="2:17" x14ac:dyDescent="0.3">
      <c r="B20" s="189">
        <f t="shared" si="10"/>
        <v>8</v>
      </c>
      <c r="C20" s="176">
        <f t="shared" si="8"/>
        <v>81.521794709951152</v>
      </c>
      <c r="D20" s="167">
        <v>10</v>
      </c>
      <c r="E20" s="177">
        <f t="shared" si="0"/>
        <v>-12.271406306631999</v>
      </c>
      <c r="F20" s="178">
        <f t="shared" si="1"/>
        <v>0</v>
      </c>
      <c r="G20" s="165">
        <f t="shared" ref="G20:G32" si="11">+C20+D20+F20-IF(B20&lt;=$C$6,K20,M20)*H20</f>
        <v>79.25038840331915</v>
      </c>
      <c r="H20" s="198">
        <f t="shared" ref="H20:H32" si="12">+IFERROR((D20+C20)/IF(B20&lt;=$C$6,L20,N20),0)</f>
        <v>2.5656462140214577E-2</v>
      </c>
      <c r="I20" s="166">
        <v>0.9</v>
      </c>
      <c r="J20" s="179">
        <f t="shared" si="4"/>
        <v>0</v>
      </c>
      <c r="K20" s="192">
        <f t="shared" si="9"/>
        <v>478.29690000000005</v>
      </c>
      <c r="L20" s="177">
        <f t="shared" si="5"/>
        <v>3567.2024540943085</v>
      </c>
      <c r="M20" s="177">
        <f t="shared" si="6"/>
        <v>478.29690000000005</v>
      </c>
      <c r="N20" s="165">
        <f t="shared" si="7"/>
        <v>0</v>
      </c>
      <c r="O20" s="197"/>
      <c r="P20" s="47"/>
      <c r="Q20" s="47"/>
    </row>
    <row r="21" spans="2:17" x14ac:dyDescent="0.3">
      <c r="B21" s="189">
        <f t="shared" si="10"/>
        <v>9</v>
      </c>
      <c r="C21" s="169">
        <f t="shared" si="8"/>
        <v>79.25038840331915</v>
      </c>
      <c r="D21" s="170">
        <v>10</v>
      </c>
      <c r="E21" s="171">
        <f t="shared" si="0"/>
        <v>-12.437857038545166</v>
      </c>
      <c r="F21" s="172">
        <f t="shared" si="1"/>
        <v>0</v>
      </c>
      <c r="G21" s="173">
        <f t="shared" si="11"/>
        <v>76.812531364773989</v>
      </c>
      <c r="H21" s="198">
        <f t="shared" si="12"/>
        <v>2.8893854745742804E-2</v>
      </c>
      <c r="I21" s="174">
        <v>0.9</v>
      </c>
      <c r="J21" s="175">
        <f t="shared" si="4"/>
        <v>0</v>
      </c>
      <c r="K21" s="191">
        <f t="shared" si="9"/>
        <v>430.46721000000008</v>
      </c>
      <c r="L21" s="171">
        <f t="shared" si="5"/>
        <v>3088.9055540943086</v>
      </c>
      <c r="M21" s="171">
        <f t="shared" si="6"/>
        <v>430.46721000000008</v>
      </c>
      <c r="N21" s="173">
        <f t="shared" si="7"/>
        <v>0</v>
      </c>
      <c r="O21" s="197"/>
      <c r="P21" s="47"/>
    </row>
    <row r="22" spans="2:17" x14ac:dyDescent="0.3">
      <c r="B22" s="189">
        <f t="shared" si="10"/>
        <v>10</v>
      </c>
      <c r="C22" s="176">
        <f t="shared" si="8"/>
        <v>76.812531364773989</v>
      </c>
      <c r="D22" s="167">
        <v>10</v>
      </c>
      <c r="E22" s="177">
        <f t="shared" si="0"/>
        <v>-12.651394916637365</v>
      </c>
      <c r="F22" s="178">
        <f t="shared" si="1"/>
        <v>0</v>
      </c>
      <c r="G22" s="165">
        <f t="shared" si="11"/>
        <v>74.161136448136631</v>
      </c>
      <c r="H22" s="198">
        <f t="shared" si="12"/>
        <v>3.2655461638832844E-2</v>
      </c>
      <c r="I22" s="166">
        <v>0.9</v>
      </c>
      <c r="J22" s="179">
        <f t="shared" si="4"/>
        <v>0</v>
      </c>
      <c r="K22" s="192">
        <f t="shared" si="9"/>
        <v>387.42048900000009</v>
      </c>
      <c r="L22" s="177">
        <f t="shared" si="5"/>
        <v>2658.4383440943084</v>
      </c>
      <c r="M22" s="177">
        <f t="shared" si="6"/>
        <v>387.42048900000009</v>
      </c>
      <c r="N22" s="165">
        <f t="shared" si="7"/>
        <v>0</v>
      </c>
      <c r="O22" s="197"/>
      <c r="P22" s="47"/>
    </row>
    <row r="23" spans="2:17" x14ac:dyDescent="0.3">
      <c r="B23" s="189">
        <f t="shared" si="10"/>
        <v>11</v>
      </c>
      <c r="C23" s="169">
        <f t="shared" si="8"/>
        <v>74.161136448136631</v>
      </c>
      <c r="D23" s="170">
        <v>0</v>
      </c>
      <c r="E23" s="171">
        <f t="shared" si="0"/>
        <v>-11.38625542497363</v>
      </c>
      <c r="F23" s="172">
        <f t="shared" si="1"/>
        <v>0</v>
      </c>
      <c r="G23" s="173">
        <f t="shared" si="11"/>
        <v>62.774881023163005</v>
      </c>
      <c r="H23" s="198">
        <f t="shared" si="12"/>
        <v>3.2655461638832844E-2</v>
      </c>
      <c r="I23" s="174">
        <v>0.9</v>
      </c>
      <c r="J23" s="175">
        <f t="shared" si="4"/>
        <v>0</v>
      </c>
      <c r="K23" s="191">
        <f t="shared" si="9"/>
        <v>348.6784401000001</v>
      </c>
      <c r="L23" s="171">
        <f t="shared" si="5"/>
        <v>2271.0178550943083</v>
      </c>
      <c r="M23" s="171">
        <f t="shared" si="6"/>
        <v>348.6784401000001</v>
      </c>
      <c r="N23" s="173">
        <f t="shared" si="7"/>
        <v>0</v>
      </c>
      <c r="O23" s="197"/>
      <c r="P23" s="47"/>
    </row>
    <row r="24" spans="2:17" x14ac:dyDescent="0.3">
      <c r="B24" s="189">
        <f t="shared" si="10"/>
        <v>12</v>
      </c>
      <c r="C24" s="176">
        <f t="shared" si="8"/>
        <v>62.774881023163005</v>
      </c>
      <c r="D24" s="167">
        <v>0</v>
      </c>
      <c r="E24" s="177">
        <f t="shared" si="0"/>
        <v>-10.247629882476266</v>
      </c>
      <c r="F24" s="178">
        <f t="shared" si="1"/>
        <v>0</v>
      </c>
      <c r="G24" s="165">
        <f t="shared" si="11"/>
        <v>52.527251140686737</v>
      </c>
      <c r="H24" s="198">
        <f t="shared" si="12"/>
        <v>3.2655461638832844E-2</v>
      </c>
      <c r="I24" s="166">
        <v>0.9</v>
      </c>
      <c r="J24" s="179">
        <f t="shared" si="4"/>
        <v>0</v>
      </c>
      <c r="K24" s="192">
        <f t="shared" si="9"/>
        <v>313.8105960900001</v>
      </c>
      <c r="L24" s="177">
        <f t="shared" si="5"/>
        <v>1922.3394149943083</v>
      </c>
      <c r="M24" s="177">
        <f t="shared" si="6"/>
        <v>313.8105960900001</v>
      </c>
      <c r="N24" s="165">
        <f t="shared" si="7"/>
        <v>0</v>
      </c>
      <c r="O24" s="197"/>
      <c r="P24" s="47"/>
    </row>
    <row r="25" spans="2:17" x14ac:dyDescent="0.3">
      <c r="B25" s="189">
        <f t="shared" si="10"/>
        <v>13</v>
      </c>
      <c r="C25" s="169">
        <f t="shared" si="8"/>
        <v>52.527251140686737</v>
      </c>
      <c r="D25" s="170">
        <v>0</v>
      </c>
      <c r="E25" s="171">
        <f t="shared" si="0"/>
        <v>-9.2228668942286411</v>
      </c>
      <c r="F25" s="172">
        <f t="shared" si="1"/>
        <v>0</v>
      </c>
      <c r="G25" s="173">
        <f t="shared" si="11"/>
        <v>43.304384246458099</v>
      </c>
      <c r="H25" s="198">
        <f t="shared" si="12"/>
        <v>3.2655461638832844E-2</v>
      </c>
      <c r="I25" s="174">
        <v>0.9</v>
      </c>
      <c r="J25" s="175">
        <f t="shared" si="4"/>
        <v>0</v>
      </c>
      <c r="K25" s="191">
        <f t="shared" si="9"/>
        <v>282.42953648100013</v>
      </c>
      <c r="L25" s="171">
        <f t="shared" si="5"/>
        <v>1608.5288189043081</v>
      </c>
      <c r="M25" s="171">
        <f t="shared" si="6"/>
        <v>282.42953648100013</v>
      </c>
      <c r="N25" s="173">
        <f t="shared" si="7"/>
        <v>1608.5288189043081</v>
      </c>
      <c r="O25" s="197"/>
      <c r="P25" s="47"/>
    </row>
    <row r="26" spans="2:17" x14ac:dyDescent="0.3">
      <c r="B26" s="189">
        <f t="shared" si="10"/>
        <v>14</v>
      </c>
      <c r="C26" s="176">
        <f t="shared" si="8"/>
        <v>43.304384246458099</v>
      </c>
      <c r="D26" s="167">
        <v>0</v>
      </c>
      <c r="E26" s="177">
        <f t="shared" si="0"/>
        <v>-8.3005802048057795</v>
      </c>
      <c r="F26" s="178">
        <f t="shared" si="1"/>
        <v>0</v>
      </c>
      <c r="G26" s="165">
        <f t="shared" si="11"/>
        <v>35.003804041652316</v>
      </c>
      <c r="H26" s="198">
        <f t="shared" si="12"/>
        <v>3.2655461638832851E-2</v>
      </c>
      <c r="I26" s="166">
        <v>0.9</v>
      </c>
      <c r="J26" s="179">
        <f t="shared" si="4"/>
        <v>0</v>
      </c>
      <c r="K26" s="192">
        <f t="shared" si="9"/>
        <v>254.18658283290011</v>
      </c>
      <c r="L26" s="177">
        <f t="shared" si="5"/>
        <v>1326.0992824233078</v>
      </c>
      <c r="M26" s="177">
        <f t="shared" si="6"/>
        <v>254.18658283290011</v>
      </c>
      <c r="N26" s="165">
        <f t="shared" si="7"/>
        <v>1326.0992824233078</v>
      </c>
      <c r="O26" s="197"/>
      <c r="P26" s="47"/>
    </row>
    <row r="27" spans="2:17" x14ac:dyDescent="0.3">
      <c r="B27" s="189">
        <f t="shared" si="10"/>
        <v>15</v>
      </c>
      <c r="C27" s="169">
        <f t="shared" si="8"/>
        <v>35.003804041652316</v>
      </c>
      <c r="D27" s="170">
        <v>0</v>
      </c>
      <c r="E27" s="171">
        <f t="shared" si="0"/>
        <v>-7.4705221843251994</v>
      </c>
      <c r="F27" s="172">
        <f t="shared" si="1"/>
        <v>0</v>
      </c>
      <c r="G27" s="173">
        <f t="shared" si="11"/>
        <v>27.533281857327118</v>
      </c>
      <c r="H27" s="198">
        <f t="shared" si="12"/>
        <v>3.2655461638832844E-2</v>
      </c>
      <c r="I27" s="174">
        <v>0.9</v>
      </c>
      <c r="J27" s="175">
        <f t="shared" si="4"/>
        <v>0</v>
      </c>
      <c r="K27" s="191">
        <f t="shared" si="9"/>
        <v>228.76792454961011</v>
      </c>
      <c r="L27" s="171">
        <f t="shared" si="5"/>
        <v>1071.9126995904078</v>
      </c>
      <c r="M27" s="171">
        <f t="shared" si="6"/>
        <v>228.76792454961011</v>
      </c>
      <c r="N27" s="173">
        <f t="shared" si="7"/>
        <v>1071.9126995904078</v>
      </c>
      <c r="O27" s="197"/>
      <c r="P27" s="47"/>
    </row>
    <row r="28" spans="2:17" x14ac:dyDescent="0.3">
      <c r="B28" s="189">
        <f t="shared" si="10"/>
        <v>16</v>
      </c>
      <c r="C28" s="176">
        <f t="shared" si="8"/>
        <v>27.533281857327118</v>
      </c>
      <c r="D28" s="167">
        <v>0</v>
      </c>
      <c r="E28" s="177">
        <f t="shared" si="0"/>
        <v>-6.7234699658926793</v>
      </c>
      <c r="F28" s="178">
        <f t="shared" si="1"/>
        <v>0</v>
      </c>
      <c r="G28" s="165">
        <f t="shared" si="11"/>
        <v>20.809811891434439</v>
      </c>
      <c r="H28" s="198">
        <f t="shared" si="12"/>
        <v>3.2655461638832844E-2</v>
      </c>
      <c r="I28" s="166">
        <v>0.9</v>
      </c>
      <c r="J28" s="179">
        <f t="shared" si="4"/>
        <v>0</v>
      </c>
      <c r="K28" s="192">
        <f t="shared" si="9"/>
        <v>205.89113209464909</v>
      </c>
      <c r="L28" s="177">
        <f t="shared" si="5"/>
        <v>843.14477504079764</v>
      </c>
      <c r="M28" s="177">
        <f t="shared" si="6"/>
        <v>205.89113209464909</v>
      </c>
      <c r="N28" s="165">
        <f t="shared" si="7"/>
        <v>843.14477504079764</v>
      </c>
      <c r="O28" s="197"/>
      <c r="P28" s="47"/>
    </row>
    <row r="29" spans="2:17" x14ac:dyDescent="0.3">
      <c r="B29" s="189">
        <f t="shared" si="10"/>
        <v>17</v>
      </c>
      <c r="C29" s="169">
        <f t="shared" si="8"/>
        <v>20.809811891434439</v>
      </c>
      <c r="D29" s="170">
        <v>0</v>
      </c>
      <c r="E29" s="171">
        <f t="shared" si="0"/>
        <v>-6.051122969303413</v>
      </c>
      <c r="F29" s="172">
        <f t="shared" si="1"/>
        <v>0</v>
      </c>
      <c r="G29" s="173">
        <f t="shared" si="11"/>
        <v>14.758688922131025</v>
      </c>
      <c r="H29" s="198">
        <f t="shared" si="12"/>
        <v>3.2655461638832851E-2</v>
      </c>
      <c r="I29" s="174">
        <v>0.9</v>
      </c>
      <c r="J29" s="175">
        <f t="shared" si="4"/>
        <v>0</v>
      </c>
      <c r="K29" s="191">
        <f t="shared" si="9"/>
        <v>185.3020188851842</v>
      </c>
      <c r="L29" s="171">
        <f t="shared" si="5"/>
        <v>637.25364294614849</v>
      </c>
      <c r="M29" s="171">
        <f t="shared" si="6"/>
        <v>185.3020188851842</v>
      </c>
      <c r="N29" s="173">
        <f t="shared" si="7"/>
        <v>637.25364294614849</v>
      </c>
      <c r="O29" s="197"/>
      <c r="P29" s="47"/>
    </row>
    <row r="30" spans="2:17" x14ac:dyDescent="0.3">
      <c r="B30" s="189">
        <f t="shared" si="10"/>
        <v>18</v>
      </c>
      <c r="C30" s="176">
        <f t="shared" si="8"/>
        <v>14.758688922131025</v>
      </c>
      <c r="D30" s="167">
        <v>0</v>
      </c>
      <c r="E30" s="177">
        <f t="shared" si="0"/>
        <v>-5.4460106723730721</v>
      </c>
      <c r="F30" s="178">
        <f t="shared" si="1"/>
        <v>0</v>
      </c>
      <c r="G30" s="165">
        <f t="shared" si="11"/>
        <v>9.312678249757953</v>
      </c>
      <c r="H30" s="198">
        <f t="shared" si="12"/>
        <v>3.2655461638832851E-2</v>
      </c>
      <c r="I30" s="166">
        <v>0.9</v>
      </c>
      <c r="J30" s="179">
        <f t="shared" si="4"/>
        <v>0</v>
      </c>
      <c r="K30" s="192">
        <f t="shared" si="9"/>
        <v>166.77181699666579</v>
      </c>
      <c r="L30" s="177">
        <f t="shared" si="5"/>
        <v>451.95162406096432</v>
      </c>
      <c r="M30" s="177">
        <f t="shared" si="6"/>
        <v>166.77181699666579</v>
      </c>
      <c r="N30" s="165">
        <f t="shared" si="7"/>
        <v>451.95162406096432</v>
      </c>
      <c r="O30" s="197"/>
      <c r="P30" s="47"/>
    </row>
    <row r="31" spans="2:17" x14ac:dyDescent="0.3">
      <c r="B31" s="189">
        <f t="shared" si="10"/>
        <v>19</v>
      </c>
      <c r="C31" s="169">
        <f t="shared" si="8"/>
        <v>9.312678249757953</v>
      </c>
      <c r="D31" s="170">
        <v>0</v>
      </c>
      <c r="E31" s="171">
        <f t="shared" si="0"/>
        <v>-4.9014096051357647</v>
      </c>
      <c r="F31" s="172">
        <f t="shared" si="1"/>
        <v>0</v>
      </c>
      <c r="G31" s="173">
        <f t="shared" si="11"/>
        <v>4.4112686446221883</v>
      </c>
      <c r="H31" s="198">
        <f t="shared" si="12"/>
        <v>3.2655461638832844E-2</v>
      </c>
      <c r="I31" s="174">
        <v>0.9</v>
      </c>
      <c r="J31" s="175">
        <f t="shared" si="4"/>
        <v>0</v>
      </c>
      <c r="K31" s="191">
        <f t="shared" si="9"/>
        <v>150.09463529699923</v>
      </c>
      <c r="L31" s="171">
        <f t="shared" si="5"/>
        <v>285.17980706429853</v>
      </c>
      <c r="M31" s="171">
        <f t="shared" si="6"/>
        <v>150.09463529699923</v>
      </c>
      <c r="N31" s="173">
        <f t="shared" si="7"/>
        <v>285.17980706429853</v>
      </c>
      <c r="O31" s="197"/>
      <c r="P31" s="47"/>
    </row>
    <row r="32" spans="2:17" ht="15" thickBot="1" x14ac:dyDescent="0.35">
      <c r="B32" s="189">
        <f t="shared" si="10"/>
        <v>20</v>
      </c>
      <c r="C32" s="180">
        <f t="shared" si="8"/>
        <v>4.4112686446221883</v>
      </c>
      <c r="D32" s="181">
        <v>0</v>
      </c>
      <c r="E32" s="182">
        <f t="shared" si="0"/>
        <v>-4.4112686446221883</v>
      </c>
      <c r="F32" s="183">
        <f>MIN(0,-(B32=$C$6)*(G31+D32+E32)*(K33-M33)/(K33+0.000000000000001))</f>
        <v>0</v>
      </c>
      <c r="G32" s="184">
        <f t="shared" si="11"/>
        <v>0</v>
      </c>
      <c r="H32" s="198">
        <f t="shared" si="12"/>
        <v>3.2655461638832844E-2</v>
      </c>
      <c r="I32" s="185"/>
      <c r="J32" s="186">
        <v>0</v>
      </c>
      <c r="K32" s="193">
        <f t="shared" si="9"/>
        <v>135.0851717672993</v>
      </c>
      <c r="L32" s="182">
        <f>+M33+K32</f>
        <v>135.0851717672993</v>
      </c>
      <c r="M32" s="182">
        <f t="shared" si="6"/>
        <v>135.0851717672993</v>
      </c>
      <c r="N32" s="184">
        <f>(+O33+M32)*(B32&gt;$C$6)</f>
        <v>135.0851717672993</v>
      </c>
      <c r="O32" s="197"/>
      <c r="P32" s="47"/>
    </row>
    <row r="34" spans="3:6" x14ac:dyDescent="0.3">
      <c r="F34" s="52"/>
    </row>
    <row r="35" spans="3:6" x14ac:dyDescent="0.3">
      <c r="F35" s="47"/>
    </row>
    <row r="41" spans="3:6" ht="36" customHeight="1" x14ac:dyDescent="0.3">
      <c r="C41" s="190" t="s">
        <v>115</v>
      </c>
      <c r="D41" s="190" t="s">
        <v>114</v>
      </c>
    </row>
  </sheetData>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J49"/>
  <sheetViews>
    <sheetView showGridLines="0" topLeftCell="A34" zoomScale="80" zoomScaleNormal="80" workbookViewId="0">
      <selection activeCell="M10" sqref="M10"/>
    </sheetView>
  </sheetViews>
  <sheetFormatPr defaultRowHeight="14.4" x14ac:dyDescent="0.3"/>
  <cols>
    <col min="1" max="1" width="5" customWidth="1"/>
    <col min="2" max="7" width="12.44140625" customWidth="1"/>
    <col min="8" max="8" width="9.44140625" customWidth="1"/>
    <col min="9" max="9" width="12.44140625" customWidth="1"/>
    <col min="10" max="10" width="4.21875" customWidth="1"/>
    <col min="11" max="11" width="4.44140625" customWidth="1"/>
    <col min="13" max="13" width="10.77734375" customWidth="1"/>
    <col min="14" max="14" width="12.44140625" customWidth="1"/>
    <col min="15" max="15" width="11.77734375" customWidth="1"/>
    <col min="16" max="16" width="12.44140625" customWidth="1"/>
    <col min="17" max="17" width="9.88671875" customWidth="1"/>
  </cols>
  <sheetData>
    <row r="1" spans="1:10" ht="21" x14ac:dyDescent="0.4">
      <c r="A1" s="45" t="s">
        <v>75</v>
      </c>
      <c r="B1" s="14"/>
      <c r="C1" s="14"/>
      <c r="D1" s="14"/>
      <c r="E1" s="14"/>
      <c r="F1" s="14"/>
      <c r="G1" s="14"/>
      <c r="H1" s="14"/>
      <c r="I1" s="14"/>
      <c r="J1" s="14"/>
    </row>
    <row r="2" spans="1:10" x14ac:dyDescent="0.3">
      <c r="A2" s="1"/>
      <c r="B2" s="1"/>
    </row>
    <row r="3" spans="1:10" x14ac:dyDescent="0.3">
      <c r="A3" s="1"/>
      <c r="B3" s="1"/>
    </row>
    <row r="4" spans="1:10" x14ac:dyDescent="0.3">
      <c r="C4" s="2"/>
      <c r="D4" s="2"/>
      <c r="E4" s="2"/>
    </row>
    <row r="5" spans="1:10" x14ac:dyDescent="0.3">
      <c r="C5" s="2"/>
      <c r="D5" s="2"/>
      <c r="E5" s="2"/>
    </row>
    <row r="6" spans="1:10" x14ac:dyDescent="0.3">
      <c r="C6" s="2"/>
      <c r="D6" s="2"/>
      <c r="E6" s="2"/>
    </row>
    <row r="7" spans="1:10" x14ac:dyDescent="0.3">
      <c r="C7" s="2"/>
      <c r="D7" s="2"/>
      <c r="E7" s="2"/>
    </row>
    <row r="8" spans="1:10" x14ac:dyDescent="0.3">
      <c r="C8" s="2"/>
      <c r="D8" s="2"/>
      <c r="E8" s="2"/>
    </row>
    <row r="9" spans="1:10" x14ac:dyDescent="0.3">
      <c r="C9" s="2"/>
      <c r="D9" s="2"/>
      <c r="E9" s="2"/>
    </row>
    <row r="10" spans="1:10" x14ac:dyDescent="0.3">
      <c r="C10" s="2"/>
      <c r="D10" s="2"/>
      <c r="E10" s="2"/>
    </row>
    <row r="11" spans="1:10" ht="34.5" customHeight="1" x14ac:dyDescent="0.3">
      <c r="C11" s="2"/>
      <c r="D11" s="2"/>
      <c r="E11" s="2"/>
    </row>
    <row r="12" spans="1:10" ht="33" customHeight="1" x14ac:dyDescent="0.3">
      <c r="C12" s="2"/>
      <c r="D12" s="2"/>
      <c r="E12" s="2"/>
    </row>
    <row r="25" ht="42.75" customHeight="1" x14ac:dyDescent="0.3"/>
    <row r="26" ht="27.75" customHeight="1" x14ac:dyDescent="0.3"/>
    <row r="33" spans="1:5" x14ac:dyDescent="0.3">
      <c r="A33" s="5"/>
      <c r="B33" s="2"/>
      <c r="C33" s="2"/>
      <c r="D33" s="2"/>
      <c r="E33" s="2"/>
    </row>
    <row r="34" spans="1:5" x14ac:dyDescent="0.3">
      <c r="A34" s="2"/>
      <c r="B34" s="2"/>
      <c r="C34" s="2"/>
      <c r="D34" s="2"/>
      <c r="E34" s="2"/>
    </row>
    <row r="35" spans="1:5" x14ac:dyDescent="0.3">
      <c r="A35" s="2"/>
      <c r="B35" s="2"/>
      <c r="C35" s="2"/>
      <c r="D35" s="2"/>
      <c r="E35" s="2"/>
    </row>
    <row r="36" spans="1:5" x14ac:dyDescent="0.3">
      <c r="A36" s="3"/>
      <c r="B36" s="2"/>
      <c r="C36" s="2"/>
      <c r="D36" s="2"/>
      <c r="E36" s="2"/>
    </row>
    <row r="37" spans="1:5" x14ac:dyDescent="0.3">
      <c r="A37" s="2"/>
      <c r="B37" s="2"/>
      <c r="C37" s="2"/>
      <c r="D37" s="2"/>
      <c r="E37" s="2"/>
    </row>
    <row r="38" spans="1:5" x14ac:dyDescent="0.3">
      <c r="A38" s="2"/>
      <c r="B38" s="2"/>
      <c r="C38" s="2"/>
      <c r="D38" s="2"/>
      <c r="E38" s="2"/>
    </row>
    <row r="39" spans="1:5" x14ac:dyDescent="0.3">
      <c r="A39" s="2"/>
      <c r="B39" s="2"/>
      <c r="C39" s="2"/>
      <c r="D39" s="2"/>
      <c r="E39" s="2"/>
    </row>
    <row r="40" spans="1:5" x14ac:dyDescent="0.3">
      <c r="A40" s="2"/>
      <c r="B40" s="2"/>
      <c r="C40" s="2"/>
      <c r="D40" s="2"/>
      <c r="E40" s="2"/>
    </row>
    <row r="41" spans="1:5" ht="32.25" customHeight="1" x14ac:dyDescent="0.3">
      <c r="A41" s="2"/>
      <c r="B41" s="2"/>
      <c r="C41" s="2"/>
      <c r="D41" s="2"/>
      <c r="E41" s="2"/>
    </row>
    <row r="42" spans="1:5" ht="32.25" customHeight="1" x14ac:dyDescent="0.3">
      <c r="A42" s="2"/>
      <c r="B42" s="2"/>
      <c r="C42" s="2"/>
      <c r="D42" s="2"/>
      <c r="E42" s="2"/>
    </row>
    <row r="43" spans="1:5" ht="32.25" customHeight="1" x14ac:dyDescent="0.3">
      <c r="A43" s="6"/>
      <c r="B43" s="2"/>
      <c r="C43" s="2"/>
      <c r="D43" s="2"/>
      <c r="E43" s="2"/>
    </row>
    <row r="44" spans="1:5" x14ac:dyDescent="0.3">
      <c r="A44" s="2"/>
      <c r="B44" s="2"/>
      <c r="C44" s="2"/>
      <c r="D44" s="2"/>
      <c r="E44" s="2"/>
    </row>
    <row r="45" spans="1:5" x14ac:dyDescent="0.3">
      <c r="A45" s="2"/>
      <c r="B45" s="2"/>
      <c r="C45" s="2"/>
      <c r="D45" s="2"/>
      <c r="E45" s="2"/>
    </row>
    <row r="46" spans="1:5" x14ac:dyDescent="0.3">
      <c r="A46" s="2"/>
      <c r="B46" s="2"/>
      <c r="C46" s="2"/>
      <c r="D46" s="2"/>
      <c r="E46" s="2"/>
    </row>
    <row r="47" spans="1:5" x14ac:dyDescent="0.3">
      <c r="A47" s="2"/>
      <c r="B47" s="2"/>
      <c r="C47" s="2"/>
      <c r="D47" s="2"/>
      <c r="E47" s="2"/>
    </row>
    <row r="48" spans="1:5" x14ac:dyDescent="0.3">
      <c r="A48" s="2"/>
      <c r="B48" s="2"/>
      <c r="C48" s="2"/>
      <c r="D48" s="2"/>
    </row>
    <row r="49" spans="1:4" x14ac:dyDescent="0.3">
      <c r="A49" s="2"/>
      <c r="B49" s="2"/>
      <c r="C49" s="2"/>
      <c r="D49" s="2"/>
    </row>
  </sheetData>
  <pageMargins left="0.2" right="0.2" top="0.75" bottom="0.75" header="0.3" footer="0.3"/>
  <pageSetup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Y85"/>
  <sheetViews>
    <sheetView showGridLines="0" zoomScale="90" zoomScaleNormal="90" workbookViewId="0">
      <pane xSplit="1" topLeftCell="B1" activePane="topRight" state="frozen"/>
      <selection activeCell="M10" sqref="M10"/>
      <selection pane="topRight" activeCell="M19" sqref="M19"/>
    </sheetView>
  </sheetViews>
  <sheetFormatPr defaultRowHeight="14.4" x14ac:dyDescent="0.3"/>
  <cols>
    <col min="1" max="1" width="6.88671875" customWidth="1"/>
    <col min="4" max="4" width="16.21875" bestFit="1" customWidth="1"/>
    <col min="8" max="8" width="3.77734375" customWidth="1"/>
    <col min="9" max="13" width="13.88671875" customWidth="1"/>
    <col min="14" max="14" width="3.77734375" customWidth="1"/>
    <col min="20" max="20" width="3.77734375" customWidth="1"/>
    <col min="21" max="25" width="15.44140625" customWidth="1"/>
  </cols>
  <sheetData>
    <row r="1" spans="2:3" ht="15.6" x14ac:dyDescent="0.3">
      <c r="B1" s="59" t="s">
        <v>121</v>
      </c>
    </row>
    <row r="2" spans="2:3" ht="15.6" x14ac:dyDescent="0.3">
      <c r="B2" s="59"/>
    </row>
    <row r="3" spans="2:3" ht="15.6" x14ac:dyDescent="0.3">
      <c r="B3" s="59"/>
    </row>
    <row r="4" spans="2:3" ht="15.6" x14ac:dyDescent="0.3">
      <c r="B4" s="59"/>
    </row>
    <row r="5" spans="2:3" ht="15.6" x14ac:dyDescent="0.3">
      <c r="B5" s="59"/>
    </row>
    <row r="6" spans="2:3" ht="15.6" x14ac:dyDescent="0.3">
      <c r="B6" s="59"/>
    </row>
    <row r="7" spans="2:3" ht="15.6" x14ac:dyDescent="0.3">
      <c r="B7" s="59"/>
    </row>
    <row r="8" spans="2:3" ht="15.6" x14ac:dyDescent="0.3">
      <c r="B8" s="59"/>
    </row>
    <row r="9" spans="2:3" ht="15.6" x14ac:dyDescent="0.3">
      <c r="B9" s="59"/>
    </row>
    <row r="10" spans="2:3" ht="15.6" x14ac:dyDescent="0.3">
      <c r="B10" s="59"/>
    </row>
    <row r="11" spans="2:3" ht="15.6" x14ac:dyDescent="0.3">
      <c r="B11" s="59"/>
    </row>
    <row r="12" spans="2:3" ht="15.6" x14ac:dyDescent="0.3">
      <c r="B12" s="59"/>
    </row>
    <row r="13" spans="2:3" ht="15.6" x14ac:dyDescent="0.3">
      <c r="B13" s="59"/>
    </row>
    <row r="14" spans="2:3" ht="15.6" x14ac:dyDescent="0.3">
      <c r="B14" s="59"/>
    </row>
    <row r="15" spans="2:3" ht="15.6" x14ac:dyDescent="0.3">
      <c r="B15" s="59"/>
    </row>
    <row r="16" spans="2:3" x14ac:dyDescent="0.3">
      <c r="B16" s="60">
        <v>1000</v>
      </c>
      <c r="C16" t="s">
        <v>31</v>
      </c>
    </row>
    <row r="17" spans="1:25" x14ac:dyDescent="0.3">
      <c r="B17" s="60">
        <v>200000</v>
      </c>
      <c r="C17" t="s">
        <v>32</v>
      </c>
    </row>
    <row r="18" spans="1:25" x14ac:dyDescent="0.3">
      <c r="B18" s="60">
        <v>500</v>
      </c>
      <c r="C18" t="s">
        <v>33</v>
      </c>
    </row>
    <row r="19" spans="1:25" x14ac:dyDescent="0.3">
      <c r="B19" t="s">
        <v>34</v>
      </c>
    </row>
    <row r="20" spans="1:25" x14ac:dyDescent="0.3">
      <c r="B20" t="s">
        <v>35</v>
      </c>
    </row>
    <row r="21" spans="1:25" x14ac:dyDescent="0.3">
      <c r="B21" s="61">
        <v>0.05</v>
      </c>
      <c r="C21" t="s">
        <v>36</v>
      </c>
      <c r="I21" s="27"/>
      <c r="O21" s="27"/>
    </row>
    <row r="22" spans="1:25" x14ac:dyDescent="0.3">
      <c r="B22" s="61">
        <v>0</v>
      </c>
      <c r="C22" t="s">
        <v>107</v>
      </c>
      <c r="I22" s="27"/>
      <c r="O22" s="27"/>
    </row>
    <row r="23" spans="1:25" x14ac:dyDescent="0.3">
      <c r="B23" s="62"/>
      <c r="I23" s="27"/>
      <c r="O23" s="27"/>
    </row>
    <row r="24" spans="1:25" x14ac:dyDescent="0.3">
      <c r="B24" s="63" t="s">
        <v>134</v>
      </c>
      <c r="I24" s="63" t="s">
        <v>135</v>
      </c>
      <c r="O24" s="63" t="s">
        <v>137</v>
      </c>
      <c r="U24" s="63" t="s">
        <v>136</v>
      </c>
    </row>
    <row r="25" spans="1:25" ht="159.75" customHeight="1" x14ac:dyDescent="0.3"/>
    <row r="26" spans="1:25" ht="7.5" customHeight="1" x14ac:dyDescent="0.3">
      <c r="A26" s="65"/>
      <c r="B26" s="62"/>
      <c r="C26" s="66"/>
      <c r="D26" s="67"/>
      <c r="E26" s="68"/>
      <c r="F26" s="68"/>
      <c r="G26" s="69"/>
      <c r="I26" s="66"/>
      <c r="J26" s="67"/>
      <c r="K26" s="68"/>
      <c r="L26" s="68"/>
      <c r="M26" s="68"/>
      <c r="O26" s="66"/>
      <c r="P26" s="67"/>
      <c r="Q26" s="68"/>
      <c r="R26" s="68"/>
      <c r="S26" s="68"/>
      <c r="U26" s="66"/>
      <c r="V26" s="67"/>
      <c r="W26" s="68"/>
      <c r="X26" s="68"/>
      <c r="Y26" s="68"/>
    </row>
    <row r="27" spans="1:25" s="64" customFormat="1" ht="28.8" x14ac:dyDescent="0.3">
      <c r="A27" s="121" t="s">
        <v>0</v>
      </c>
      <c r="B27" s="121" t="s">
        <v>37</v>
      </c>
      <c r="C27" s="121" t="s">
        <v>38</v>
      </c>
      <c r="D27" s="121" t="s">
        <v>39</v>
      </c>
      <c r="E27" s="121" t="s">
        <v>40</v>
      </c>
      <c r="F27" s="121" t="s">
        <v>41</v>
      </c>
      <c r="G27" s="121" t="s">
        <v>42</v>
      </c>
      <c r="H27" s="122"/>
      <c r="I27" s="121" t="s">
        <v>43</v>
      </c>
      <c r="J27" s="121" t="s">
        <v>39</v>
      </c>
      <c r="K27" s="121" t="s">
        <v>40</v>
      </c>
      <c r="L27" s="121" t="s">
        <v>41</v>
      </c>
      <c r="M27" s="121" t="s">
        <v>42</v>
      </c>
      <c r="N27" s="122"/>
      <c r="O27" s="121" t="s">
        <v>44</v>
      </c>
      <c r="P27" s="121" t="s">
        <v>39</v>
      </c>
      <c r="Q27" s="121" t="s">
        <v>40</v>
      </c>
      <c r="R27" s="121" t="s">
        <v>41</v>
      </c>
      <c r="S27" s="121" t="s">
        <v>42</v>
      </c>
      <c r="T27" s="122"/>
      <c r="U27" s="121" t="s">
        <v>45</v>
      </c>
      <c r="V27" s="121" t="s">
        <v>39</v>
      </c>
      <c r="W27" s="121" t="s">
        <v>40</v>
      </c>
      <c r="X27" s="121" t="s">
        <v>41</v>
      </c>
      <c r="Y27" s="121" t="s">
        <v>42</v>
      </c>
    </row>
    <row r="28" spans="1:25" x14ac:dyDescent="0.3">
      <c r="A28" s="65">
        <v>1</v>
      </c>
      <c r="B28" s="123">
        <v>0.05</v>
      </c>
      <c r="C28" s="124">
        <v>1E-3</v>
      </c>
      <c r="D28" s="125">
        <f>1000*200000</f>
        <v>200000000</v>
      </c>
      <c r="E28" s="126">
        <f t="shared" ref="E28:E47" si="0">D28/$B$17*$B$18</f>
        <v>500000</v>
      </c>
      <c r="F28" s="126">
        <f t="shared" ref="F28:F47" si="1">D28*C28</f>
        <v>200000</v>
      </c>
      <c r="G28" s="126">
        <f>SUM(F29:F$47)-F$50*SUM(E29:E$47)</f>
        <v>155321.00396750355</v>
      </c>
      <c r="H28" s="65"/>
      <c r="I28" s="124">
        <f>$C28</f>
        <v>1E-3</v>
      </c>
      <c r="J28" s="125">
        <f>1000*200000</f>
        <v>200000000</v>
      </c>
      <c r="K28" s="126">
        <f t="shared" ref="K28:K47" si="2">J28/$B$17*$B$18</f>
        <v>500000</v>
      </c>
      <c r="L28" s="126">
        <f t="shared" ref="L28:L47" si="3">J28*I28</f>
        <v>200000</v>
      </c>
      <c r="M28" s="194"/>
      <c r="N28" s="65"/>
      <c r="O28" s="124">
        <f>$C28</f>
        <v>1E-3</v>
      </c>
      <c r="P28" s="125">
        <f>1000*200000</f>
        <v>200000000</v>
      </c>
      <c r="Q28" s="126">
        <f t="shared" ref="Q28:Q47" si="4">P28/$B$17*$B$18</f>
        <v>500000</v>
      </c>
      <c r="R28" s="126">
        <f t="shared" ref="R28:R47" si="5">P28*O28</f>
        <v>200000</v>
      </c>
      <c r="S28" s="126"/>
      <c r="T28" s="65"/>
      <c r="U28" s="124">
        <f>$C28</f>
        <v>1E-3</v>
      </c>
      <c r="V28" s="125">
        <f>1000*200000</f>
        <v>200000000</v>
      </c>
      <c r="W28" s="126">
        <f t="shared" ref="W28:W47" si="6">V28/$B$17*$B$18</f>
        <v>500000</v>
      </c>
      <c r="X28" s="126">
        <f t="shared" ref="X28:X47" si="7">V28*U28</f>
        <v>200000</v>
      </c>
      <c r="Y28" s="126"/>
    </row>
    <row r="29" spans="1:25" x14ac:dyDescent="0.3">
      <c r="A29" s="132">
        <v>2</v>
      </c>
      <c r="B29" s="135">
        <f t="shared" ref="B29:B47" si="8">B28</f>
        <v>0.05</v>
      </c>
      <c r="C29" s="136">
        <f t="shared" ref="C29:C47" si="9">C28+0.0001</f>
        <v>1.1000000000000001E-3</v>
      </c>
      <c r="D29" s="137">
        <f>D28*(1-$B28)*(1-C28)</f>
        <v>189810000</v>
      </c>
      <c r="E29" s="138">
        <f t="shared" si="0"/>
        <v>474525</v>
      </c>
      <c r="F29" s="138">
        <f t="shared" si="1"/>
        <v>208791</v>
      </c>
      <c r="G29" s="138">
        <f>SUM(F30:F$47)-F$50*SUM(E30:E$47)</f>
        <v>283747.40278286347</v>
      </c>
      <c r="H29" s="65"/>
      <c r="I29" s="136">
        <f>$C29</f>
        <v>1.1000000000000001E-3</v>
      </c>
      <c r="J29" s="137">
        <f t="shared" ref="J29:J47" si="10">J28*(1-$B28)*(1-I28)</f>
        <v>189810000</v>
      </c>
      <c r="K29" s="138">
        <f t="shared" si="2"/>
        <v>474525</v>
      </c>
      <c r="L29" s="138">
        <f t="shared" si="3"/>
        <v>208791</v>
      </c>
      <c r="M29" s="194"/>
      <c r="N29" s="65"/>
      <c r="O29" s="136">
        <f>$C29</f>
        <v>1.1000000000000001E-3</v>
      </c>
      <c r="P29" s="137">
        <f t="shared" ref="P29:P47" si="11">P28*(1-$B28)*(1-O28)</f>
        <v>189810000</v>
      </c>
      <c r="Q29" s="138">
        <f t="shared" si="4"/>
        <v>474525</v>
      </c>
      <c r="R29" s="138">
        <f t="shared" si="5"/>
        <v>208791</v>
      </c>
      <c r="S29" s="138"/>
      <c r="T29" s="65"/>
      <c r="U29" s="136">
        <f>$C29</f>
        <v>1.1000000000000001E-3</v>
      </c>
      <c r="V29" s="137">
        <f t="shared" ref="V29:V47" si="12">V28*(1-$B28)*(1-U28)</f>
        <v>189810000</v>
      </c>
      <c r="W29" s="138">
        <f t="shared" si="6"/>
        <v>474525</v>
      </c>
      <c r="X29" s="138">
        <f t="shared" si="7"/>
        <v>208791</v>
      </c>
      <c r="Y29" s="138"/>
    </row>
    <row r="30" spans="1:25" x14ac:dyDescent="0.3">
      <c r="A30" s="65">
        <v>3</v>
      </c>
      <c r="B30" s="123">
        <f t="shared" si="8"/>
        <v>0.05</v>
      </c>
      <c r="C30" s="124">
        <f t="shared" si="9"/>
        <v>1.2000000000000001E-3</v>
      </c>
      <c r="D30" s="125">
        <f t="shared" ref="D30:D47" si="13">D29*(1-B29)*(1-C29)</f>
        <v>180121148.55000001</v>
      </c>
      <c r="E30" s="126">
        <f t="shared" si="0"/>
        <v>450302.87137500005</v>
      </c>
      <c r="F30" s="126">
        <f t="shared" si="1"/>
        <v>216145.37826000003</v>
      </c>
      <c r="G30" s="126">
        <f>SUM(F31:F$47)-F$50*SUM(E31:E$47)</f>
        <v>387606.16121569276</v>
      </c>
      <c r="H30" s="65"/>
      <c r="I30" s="124">
        <f>$C30</f>
        <v>1.2000000000000001E-3</v>
      </c>
      <c r="J30" s="125">
        <f t="shared" si="10"/>
        <v>180121148.55000001</v>
      </c>
      <c r="K30" s="126">
        <f t="shared" si="2"/>
        <v>450302.87137500005</v>
      </c>
      <c r="L30" s="126">
        <f t="shared" si="3"/>
        <v>216145.37826000003</v>
      </c>
      <c r="M30" s="194"/>
      <c r="N30" s="65"/>
      <c r="O30" s="124">
        <f>$C30</f>
        <v>1.2000000000000001E-3</v>
      </c>
      <c r="P30" s="125">
        <f t="shared" si="11"/>
        <v>180121148.55000001</v>
      </c>
      <c r="Q30" s="126">
        <f t="shared" si="4"/>
        <v>450302.87137500005</v>
      </c>
      <c r="R30" s="126">
        <f t="shared" si="5"/>
        <v>216145.37826000003</v>
      </c>
      <c r="S30" s="126"/>
      <c r="T30" s="65"/>
      <c r="U30" s="124">
        <f>$C30</f>
        <v>1.2000000000000001E-3</v>
      </c>
      <c r="V30" s="125">
        <f t="shared" si="12"/>
        <v>180121148.55000001</v>
      </c>
      <c r="W30" s="126">
        <f t="shared" si="6"/>
        <v>450302.87137500005</v>
      </c>
      <c r="X30" s="126">
        <f t="shared" si="7"/>
        <v>216145.37826000003</v>
      </c>
      <c r="Y30" s="65"/>
    </row>
    <row r="31" spans="1:25" x14ac:dyDescent="0.3">
      <c r="A31" s="132">
        <v>4</v>
      </c>
      <c r="B31" s="135">
        <f t="shared" si="8"/>
        <v>0.05</v>
      </c>
      <c r="C31" s="136">
        <f t="shared" si="9"/>
        <v>1.3000000000000002E-3</v>
      </c>
      <c r="D31" s="137">
        <f t="shared" si="13"/>
        <v>170909753.01315302</v>
      </c>
      <c r="E31" s="138">
        <f t="shared" si="0"/>
        <v>427274.38253288256</v>
      </c>
      <c r="F31" s="138">
        <f t="shared" si="1"/>
        <v>222182.67891709894</v>
      </c>
      <c r="G31" s="138">
        <f>SUM(F32:F$47)-F$50*SUM(E32:E$47)</f>
        <v>469062.60744095314</v>
      </c>
      <c r="H31" s="65"/>
      <c r="I31" s="136">
        <f>$C31</f>
        <v>1.3000000000000002E-3</v>
      </c>
      <c r="J31" s="137">
        <f t="shared" si="10"/>
        <v>170909753.01315302</v>
      </c>
      <c r="K31" s="138">
        <f t="shared" si="2"/>
        <v>427274.38253288256</v>
      </c>
      <c r="L31" s="138">
        <f t="shared" si="3"/>
        <v>222182.67891709894</v>
      </c>
      <c r="M31" s="194"/>
      <c r="N31" s="65"/>
      <c r="O31" s="136">
        <f>$C31</f>
        <v>1.3000000000000002E-3</v>
      </c>
      <c r="P31" s="137">
        <f t="shared" si="11"/>
        <v>170909753.01315302</v>
      </c>
      <c r="Q31" s="138">
        <f t="shared" si="4"/>
        <v>427274.38253288256</v>
      </c>
      <c r="R31" s="138">
        <f t="shared" si="5"/>
        <v>222182.67891709894</v>
      </c>
      <c r="S31" s="138"/>
      <c r="T31" s="65"/>
      <c r="U31" s="136">
        <f>$C31</f>
        <v>1.3000000000000002E-3</v>
      </c>
      <c r="V31" s="137">
        <f t="shared" si="12"/>
        <v>170909753.01315302</v>
      </c>
      <c r="W31" s="138">
        <f t="shared" si="6"/>
        <v>427274.38253288256</v>
      </c>
      <c r="X31" s="138">
        <f t="shared" si="7"/>
        <v>222182.67891709894</v>
      </c>
      <c r="Y31" s="138"/>
    </row>
    <row r="32" spans="1:25" x14ac:dyDescent="0.3">
      <c r="A32" s="65">
        <v>5</v>
      </c>
      <c r="B32" s="123">
        <f t="shared" si="8"/>
        <v>0.05</v>
      </c>
      <c r="C32" s="124">
        <f t="shared" si="9"/>
        <v>1.4000000000000002E-3</v>
      </c>
      <c r="D32" s="125">
        <f t="shared" si="13"/>
        <v>162153191.81752414</v>
      </c>
      <c r="E32" s="126">
        <f t="shared" si="0"/>
        <v>405382.97954381036</v>
      </c>
      <c r="F32" s="126">
        <f t="shared" si="1"/>
        <v>227014.46854453383</v>
      </c>
      <c r="G32" s="126">
        <f>SUM(F33:F$47)-F$50*SUM(E33:E$47)</f>
        <v>530130.3134621093</v>
      </c>
      <c r="H32" s="65"/>
      <c r="I32" s="124">
        <f>$C32</f>
        <v>1.4000000000000002E-3</v>
      </c>
      <c r="J32" s="125">
        <f t="shared" si="10"/>
        <v>162153191.81752414</v>
      </c>
      <c r="K32" s="126">
        <f t="shared" si="2"/>
        <v>405382.97954381036</v>
      </c>
      <c r="L32" s="126">
        <f t="shared" si="3"/>
        <v>227014.46854453383</v>
      </c>
      <c r="M32" s="194">
        <f>SUM(L33:L$47)-L$50*SUM(K33:K$47)</f>
        <v>546508.20512988046</v>
      </c>
      <c r="N32" s="65"/>
      <c r="O32" s="124">
        <f>$C32</f>
        <v>1.4000000000000002E-3</v>
      </c>
      <c r="P32" s="125">
        <f t="shared" si="11"/>
        <v>162153191.81752414</v>
      </c>
      <c r="Q32" s="126">
        <f t="shared" si="4"/>
        <v>405382.97954381036</v>
      </c>
      <c r="R32" s="126">
        <f t="shared" si="5"/>
        <v>227014.46854453383</v>
      </c>
      <c r="S32" s="126"/>
      <c r="T32" s="65"/>
      <c r="U32" s="124">
        <f>$C32</f>
        <v>1.4000000000000002E-3</v>
      </c>
      <c r="V32" s="125">
        <f t="shared" si="12"/>
        <v>162153191.81752414</v>
      </c>
      <c r="W32" s="126">
        <f t="shared" si="6"/>
        <v>405382.97954381036</v>
      </c>
      <c r="X32" s="126">
        <f t="shared" si="7"/>
        <v>227014.46854453383</v>
      </c>
      <c r="Y32" s="65"/>
    </row>
    <row r="33" spans="1:25" x14ac:dyDescent="0.3">
      <c r="A33" s="132">
        <v>6</v>
      </c>
      <c r="B33" s="135">
        <f t="shared" si="8"/>
        <v>0.05</v>
      </c>
      <c r="C33" s="136">
        <f t="shared" si="9"/>
        <v>1.5000000000000002E-3</v>
      </c>
      <c r="D33" s="137">
        <f t="shared" si="13"/>
        <v>153829868.48153061</v>
      </c>
      <c r="E33" s="138">
        <f t="shared" si="0"/>
        <v>384574.67120382655</v>
      </c>
      <c r="F33" s="138">
        <f t="shared" si="1"/>
        <v>230744.80272229595</v>
      </c>
      <c r="G33" s="138">
        <f>SUM(F34:F$47)-F$50*SUM(E34:E$47)</f>
        <v>572680.42728504585</v>
      </c>
      <c r="H33" s="65"/>
      <c r="I33" s="139">
        <f>$C33*1.2</f>
        <v>1.8000000000000002E-3</v>
      </c>
      <c r="J33" s="137">
        <f t="shared" si="10"/>
        <v>153829868.48153061</v>
      </c>
      <c r="K33" s="138">
        <f t="shared" si="2"/>
        <v>384574.67120382655</v>
      </c>
      <c r="L33" s="138">
        <f t="shared" si="3"/>
        <v>276893.76326675509</v>
      </c>
      <c r="M33" s="194">
        <f>SUM(L34:L$47)-L$50*SUM(K34:K$47)</f>
        <v>545699.4197606151</v>
      </c>
      <c r="N33" s="65"/>
      <c r="O33" s="140">
        <f>$C33*1.2</f>
        <v>1.8000000000000002E-3</v>
      </c>
      <c r="P33" s="137">
        <f t="shared" si="11"/>
        <v>153829868.48153061</v>
      </c>
      <c r="Q33" s="138">
        <f t="shared" si="4"/>
        <v>384574.67120382655</v>
      </c>
      <c r="R33" s="138">
        <f t="shared" si="5"/>
        <v>276893.76326675509</v>
      </c>
      <c r="S33" s="138"/>
      <c r="T33" s="65"/>
      <c r="U33" s="140">
        <f t="shared" ref="U33:U47" si="14">$C33*1.2</f>
        <v>1.8000000000000002E-3</v>
      </c>
      <c r="V33" s="137">
        <f t="shared" si="12"/>
        <v>153829868.48153061</v>
      </c>
      <c r="W33" s="138">
        <f t="shared" si="6"/>
        <v>384574.67120382655</v>
      </c>
      <c r="X33" s="138">
        <f t="shared" si="7"/>
        <v>276893.76326675509</v>
      </c>
      <c r="Y33" s="132"/>
    </row>
    <row r="34" spans="1:25" x14ac:dyDescent="0.3">
      <c r="A34" s="65">
        <v>7</v>
      </c>
      <c r="B34" s="123">
        <f t="shared" si="8"/>
        <v>0.05</v>
      </c>
      <c r="C34" s="124">
        <f t="shared" si="9"/>
        <v>1.6000000000000003E-3</v>
      </c>
      <c r="D34" s="125">
        <f t="shared" si="13"/>
        <v>145919167.49486792</v>
      </c>
      <c r="E34" s="126">
        <f t="shared" si="0"/>
        <v>364797.91873716982</v>
      </c>
      <c r="F34" s="126">
        <f t="shared" si="1"/>
        <v>233470.66799178871</v>
      </c>
      <c r="G34" s="126">
        <f>SUM(F35:F$47)-F$50*SUM(E35:E$47)</f>
        <v>598450.48475515191</v>
      </c>
      <c r="H34" s="65"/>
      <c r="I34" s="124">
        <f t="shared" ref="I34:I47" si="15">$C34</f>
        <v>1.6000000000000003E-3</v>
      </c>
      <c r="J34" s="125">
        <f t="shared" si="10"/>
        <v>145875325.98235065</v>
      </c>
      <c r="K34" s="126">
        <f t="shared" si="2"/>
        <v>364688.31495587662</v>
      </c>
      <c r="L34" s="126">
        <f t="shared" si="3"/>
        <v>233400.52157176108</v>
      </c>
      <c r="M34" s="126">
        <f>SUM(L35:L$47)-L$50*SUM(K35:K$47)</f>
        <v>574107.52187926462</v>
      </c>
      <c r="N34" s="65"/>
      <c r="O34" s="140">
        <f>$C34*1.2</f>
        <v>1.9200000000000003E-3</v>
      </c>
      <c r="P34" s="125">
        <f t="shared" si="11"/>
        <v>145875325.98235065</v>
      </c>
      <c r="Q34" s="126">
        <f t="shared" si="4"/>
        <v>364688.31495587662</v>
      </c>
      <c r="R34" s="126">
        <f t="shared" si="5"/>
        <v>280080.62588611327</v>
      </c>
      <c r="S34" s="194">
        <f>SUM(R35:R$47)-R$50*SUM(Q35:Q$47)</f>
        <v>571719.28391883988</v>
      </c>
      <c r="T34" s="65"/>
      <c r="U34" s="140">
        <f t="shared" si="14"/>
        <v>1.9200000000000003E-3</v>
      </c>
      <c r="V34" s="125">
        <f t="shared" si="12"/>
        <v>145875325.98235065</v>
      </c>
      <c r="W34" s="126">
        <f t="shared" si="6"/>
        <v>364688.31495587662</v>
      </c>
      <c r="X34" s="126">
        <f t="shared" si="7"/>
        <v>280080.62588611327</v>
      </c>
      <c r="Y34" s="65"/>
    </row>
    <row r="35" spans="1:25" x14ac:dyDescent="0.3">
      <c r="A35" s="132">
        <v>8</v>
      </c>
      <c r="B35" s="135">
        <f t="shared" si="8"/>
        <v>0.05</v>
      </c>
      <c r="C35" s="136">
        <f t="shared" si="9"/>
        <v>1.7000000000000003E-3</v>
      </c>
      <c r="D35" s="137">
        <f t="shared" si="13"/>
        <v>138401411.98553231</v>
      </c>
      <c r="E35" s="138">
        <f t="shared" si="0"/>
        <v>346003.52996383078</v>
      </c>
      <c r="F35" s="138">
        <f t="shared" si="1"/>
        <v>235282.40037540498</v>
      </c>
      <c r="G35" s="138">
        <f>SUM(F36:F$47)-F$50*SUM(E36:E$47)</f>
        <v>609052.72766584437</v>
      </c>
      <c r="H35" s="65"/>
      <c r="I35" s="136">
        <f t="shared" si="15"/>
        <v>1.7000000000000003E-3</v>
      </c>
      <c r="J35" s="137">
        <f t="shared" si="10"/>
        <v>138359829.18773994</v>
      </c>
      <c r="K35" s="138">
        <f t="shared" si="2"/>
        <v>345899.57296934986</v>
      </c>
      <c r="L35" s="138">
        <f t="shared" si="3"/>
        <v>235211.70961915795</v>
      </c>
      <c r="M35" s="138">
        <f>SUM(L36:L$47)-L$50*SUM(K36:K$47)</f>
        <v>587216.05565798702</v>
      </c>
      <c r="N35" s="65"/>
      <c r="O35" s="140">
        <f>$C35*1.2</f>
        <v>2.0400000000000001E-3</v>
      </c>
      <c r="P35" s="137">
        <f t="shared" si="11"/>
        <v>138315483.08864129</v>
      </c>
      <c r="Q35" s="138">
        <f t="shared" si="4"/>
        <v>345788.70772160322</v>
      </c>
      <c r="R35" s="138">
        <f t="shared" si="5"/>
        <v>282163.58550082822</v>
      </c>
      <c r="S35" s="194">
        <f>SUM(R36:R$47)-R$50*SUM(Q36:Q$47)</f>
        <v>542890.1031535021</v>
      </c>
      <c r="T35" s="65"/>
      <c r="U35" s="140">
        <f t="shared" si="14"/>
        <v>2.0400000000000001E-3</v>
      </c>
      <c r="V35" s="137">
        <f t="shared" si="12"/>
        <v>138315483.08864129</v>
      </c>
      <c r="W35" s="138">
        <f t="shared" si="6"/>
        <v>345788.70772160322</v>
      </c>
      <c r="X35" s="138">
        <f t="shared" si="7"/>
        <v>282163.58550082822</v>
      </c>
      <c r="Y35" s="159">
        <f>SUM(X36:X$47)-X$50*SUM(W36:W$47)</f>
        <v>830317.17135951156</v>
      </c>
    </row>
    <row r="36" spans="1:25" x14ac:dyDescent="0.3">
      <c r="A36" s="65">
        <v>9</v>
      </c>
      <c r="B36" s="123">
        <f t="shared" si="8"/>
        <v>0.05</v>
      </c>
      <c r="C36" s="124">
        <f t="shared" si="9"/>
        <v>1.8000000000000004E-3</v>
      </c>
      <c r="D36" s="125">
        <f t="shared" si="13"/>
        <v>131257823.10589905</v>
      </c>
      <c r="E36" s="126">
        <f t="shared" si="0"/>
        <v>328144.55776474765</v>
      </c>
      <c r="F36" s="126">
        <f t="shared" si="1"/>
        <v>236264.08159061836</v>
      </c>
      <c r="G36" s="126">
        <f>SUM(F37:F$47)-F$50*SUM(E37:E$47)</f>
        <v>605981.95349811134</v>
      </c>
      <c r="H36" s="65"/>
      <c r="I36" s="124">
        <f t="shared" si="15"/>
        <v>1.8000000000000004E-3</v>
      </c>
      <c r="J36" s="125">
        <f t="shared" si="10"/>
        <v>131218386.60421473</v>
      </c>
      <c r="K36" s="126">
        <f t="shared" si="2"/>
        <v>328045.96651053679</v>
      </c>
      <c r="L36" s="126">
        <f t="shared" si="3"/>
        <v>236193.09588758656</v>
      </c>
      <c r="M36" s="126">
        <f>SUM(L37:L$47)-L$50*SUM(K37:K$47)</f>
        <v>586526.15380530013</v>
      </c>
      <c r="N36" s="65"/>
      <c r="O36" s="124">
        <f t="shared" ref="O36:O47" si="16">$C36</f>
        <v>1.8000000000000004E-3</v>
      </c>
      <c r="P36" s="125">
        <f t="shared" si="11"/>
        <v>131131653.52798343</v>
      </c>
      <c r="Q36" s="126">
        <f t="shared" si="4"/>
        <v>327829.13381995854</v>
      </c>
      <c r="R36" s="126">
        <f t="shared" si="5"/>
        <v>236036.97635037021</v>
      </c>
      <c r="S36" s="126">
        <f>SUM(R37:R$47)-R$50*SUM(Q37:Q$47)</f>
        <v>547029.8492254708</v>
      </c>
      <c r="T36" s="65"/>
      <c r="U36" s="140">
        <f t="shared" si="14"/>
        <v>2.1600000000000005E-3</v>
      </c>
      <c r="V36" s="125">
        <f t="shared" si="12"/>
        <v>131131653.52798343</v>
      </c>
      <c r="W36" s="126">
        <f t="shared" si="6"/>
        <v>327829.13381995854</v>
      </c>
      <c r="X36" s="126">
        <f t="shared" si="7"/>
        <v>283244.37162044429</v>
      </c>
      <c r="Y36" s="159">
        <f>SUM(X37:X$47)-X$50*SUM(W37:W$47)</f>
        <v>815355.69037037063</v>
      </c>
    </row>
    <row r="37" spans="1:25" x14ac:dyDescent="0.3">
      <c r="A37" s="132">
        <v>10</v>
      </c>
      <c r="B37" s="135">
        <f t="shared" si="8"/>
        <v>0.05</v>
      </c>
      <c r="C37" s="136">
        <f t="shared" si="9"/>
        <v>1.9000000000000004E-3</v>
      </c>
      <c r="D37" s="137">
        <f t="shared" si="13"/>
        <v>124470481.07309301</v>
      </c>
      <c r="E37" s="138">
        <f t="shared" si="0"/>
        <v>311176.20268273255</v>
      </c>
      <c r="F37" s="138">
        <f t="shared" si="1"/>
        <v>236493.91403887677</v>
      </c>
      <c r="G37" s="138">
        <f>SUM(F38:F$47)-F$50*SUM(E38:E$47)</f>
        <v>590622.92095528264</v>
      </c>
      <c r="H37" s="65"/>
      <c r="I37" s="136">
        <f t="shared" si="15"/>
        <v>1.9000000000000004E-3</v>
      </c>
      <c r="J37" s="137">
        <f t="shared" si="10"/>
        <v>124433083.83291078</v>
      </c>
      <c r="K37" s="138">
        <f t="shared" si="2"/>
        <v>311082.70958227693</v>
      </c>
      <c r="L37" s="138">
        <f t="shared" si="3"/>
        <v>236422.85928253052</v>
      </c>
      <c r="M37" s="138">
        <f>SUM(L38:L$47)-L$50*SUM(K38:K$47)</f>
        <v>573428.61839412386</v>
      </c>
      <c r="N37" s="65"/>
      <c r="O37" s="136">
        <f t="shared" si="16"/>
        <v>1.9000000000000004E-3</v>
      </c>
      <c r="P37" s="137">
        <f t="shared" si="11"/>
        <v>124350835.7240514</v>
      </c>
      <c r="Q37" s="138">
        <f t="shared" si="4"/>
        <v>310877.08931012847</v>
      </c>
      <c r="R37" s="138">
        <f t="shared" si="5"/>
        <v>236266.5878756977</v>
      </c>
      <c r="S37" s="138">
        <f>SUM(R38:R$47)-R$50*SUM(Q38:Q$47)</f>
        <v>538520.44545565313</v>
      </c>
      <c r="T37" s="65"/>
      <c r="U37" s="140">
        <f t="shared" si="14"/>
        <v>2.2800000000000003E-3</v>
      </c>
      <c r="V37" s="137">
        <f t="shared" si="12"/>
        <v>124305988.69854483</v>
      </c>
      <c r="W37" s="138">
        <f t="shared" si="6"/>
        <v>310764.97174636205</v>
      </c>
      <c r="X37" s="138">
        <f t="shared" si="7"/>
        <v>283417.65423268225</v>
      </c>
      <c r="Y37" s="138">
        <f>SUM(X38:X$47)-X$50*SUM(W38:W$47)</f>
        <v>786256.26574585075</v>
      </c>
    </row>
    <row r="38" spans="1:25" x14ac:dyDescent="0.3">
      <c r="A38" s="65">
        <v>11</v>
      </c>
      <c r="B38" s="123">
        <f t="shared" si="8"/>
        <v>0.05</v>
      </c>
      <c r="C38" s="124">
        <f t="shared" si="9"/>
        <v>2.0000000000000005E-3</v>
      </c>
      <c r="D38" s="125">
        <f t="shared" si="13"/>
        <v>118022287.80110142</v>
      </c>
      <c r="E38" s="126">
        <f t="shared" si="0"/>
        <v>295055.71950275358</v>
      </c>
      <c r="F38" s="126">
        <f t="shared" si="1"/>
        <v>236044.57560220288</v>
      </c>
      <c r="G38" s="126">
        <f>SUM(F39:F$47)-F$50*SUM(E39:E$47)</f>
        <v>564257.33431322547</v>
      </c>
      <c r="H38" s="65"/>
      <c r="I38" s="124">
        <f t="shared" si="15"/>
        <v>2.0000000000000005E-3</v>
      </c>
      <c r="J38" s="125">
        <f t="shared" si="10"/>
        <v>117986827.92494683</v>
      </c>
      <c r="K38" s="126">
        <f t="shared" si="2"/>
        <v>294967.06981236709</v>
      </c>
      <c r="L38" s="126">
        <f t="shared" si="3"/>
        <v>235973.65584989372</v>
      </c>
      <c r="M38" s="126">
        <f>SUM(L39:L$47)-L$50*SUM(K39:K$47)</f>
        <v>549210.91801242949</v>
      </c>
      <c r="N38" s="65"/>
      <c r="O38" s="124">
        <f t="shared" si="16"/>
        <v>2.0000000000000005E-3</v>
      </c>
      <c r="P38" s="125">
        <f t="shared" si="11"/>
        <v>117908840.6793669</v>
      </c>
      <c r="Q38" s="126">
        <f t="shared" si="4"/>
        <v>294772.10169841727</v>
      </c>
      <c r="R38" s="126">
        <f t="shared" si="5"/>
        <v>235817.68135873385</v>
      </c>
      <c r="S38" s="126">
        <f>SUM(R39:R$47)-R$50*SUM(Q39:Q$47)</f>
        <v>518660.98728019325</v>
      </c>
      <c r="T38" s="65"/>
      <c r="U38" s="140">
        <f t="shared" si="14"/>
        <v>2.4000000000000007E-3</v>
      </c>
      <c r="V38" s="160">
        <f t="shared" si="12"/>
        <v>117821442.49209654</v>
      </c>
      <c r="W38" s="161">
        <f t="shared" si="6"/>
        <v>294553.60623024136</v>
      </c>
      <c r="X38" s="161">
        <f t="shared" si="7"/>
        <v>282771.46198103175</v>
      </c>
      <c r="Y38" s="161">
        <f>SUM(X39:X$47)-X$50*SUM(W39:W$47)</f>
        <v>744536.26860724203</v>
      </c>
    </row>
    <row r="39" spans="1:25" x14ac:dyDescent="0.3">
      <c r="A39" s="132">
        <v>12</v>
      </c>
      <c r="B39" s="135">
        <f t="shared" si="8"/>
        <v>0.05</v>
      </c>
      <c r="C39" s="136">
        <f t="shared" si="9"/>
        <v>2.1000000000000003E-3</v>
      </c>
      <c r="D39" s="137">
        <f t="shared" si="13"/>
        <v>111896931.06422424</v>
      </c>
      <c r="E39" s="138">
        <f t="shared" si="0"/>
        <v>279742.32766056061</v>
      </c>
      <c r="F39" s="138">
        <f t="shared" si="1"/>
        <v>234983.55523487093</v>
      </c>
      <c r="G39" s="138">
        <f>SUM(F40:F$47)-F$50*SUM(E40:E$47)</f>
        <v>528070.42851146846</v>
      </c>
      <c r="H39" s="65"/>
      <c r="I39" s="136">
        <f t="shared" si="15"/>
        <v>2.1000000000000003E-3</v>
      </c>
      <c r="J39" s="137">
        <f t="shared" si="10"/>
        <v>111863311.55564208</v>
      </c>
      <c r="K39" s="138">
        <f t="shared" si="2"/>
        <v>279658.27888910519</v>
      </c>
      <c r="L39" s="138">
        <f t="shared" si="3"/>
        <v>234912.95426684842</v>
      </c>
      <c r="M39" s="138">
        <f>SUM(L40:L$47)-L$50*SUM(K40:K$47)</f>
        <v>515063.78512498061</v>
      </c>
      <c r="N39" s="65"/>
      <c r="O39" s="136">
        <f t="shared" si="16"/>
        <v>2.1000000000000003E-3</v>
      </c>
      <c r="P39" s="137">
        <f t="shared" si="11"/>
        <v>111789371.84810776</v>
      </c>
      <c r="Q39" s="138">
        <f t="shared" si="4"/>
        <v>279473.42962026939</v>
      </c>
      <c r="R39" s="138">
        <f t="shared" si="5"/>
        <v>234757.68088102632</v>
      </c>
      <c r="S39" s="138">
        <f>SUM(R40:R$47)-R$50*SUM(Q40:Q$47)</f>
        <v>488653.29779922916</v>
      </c>
      <c r="T39" s="65"/>
      <c r="U39" s="140">
        <f t="shared" si="14"/>
        <v>2.5200000000000001E-3</v>
      </c>
      <c r="V39" s="137">
        <f t="shared" si="12"/>
        <v>111661737.47860973</v>
      </c>
      <c r="W39" s="138">
        <f t="shared" si="6"/>
        <v>279154.34369652433</v>
      </c>
      <c r="X39" s="138">
        <f t="shared" si="7"/>
        <v>281387.57844609651</v>
      </c>
      <c r="Y39" s="138">
        <f>SUM(X40:X$47)-X$50*SUM(W40:W$47)</f>
        <v>691597.98442160687</v>
      </c>
    </row>
    <row r="40" spans="1:25" x14ac:dyDescent="0.3">
      <c r="A40" s="65">
        <v>13</v>
      </c>
      <c r="B40" s="123">
        <f t="shared" si="8"/>
        <v>0.05</v>
      </c>
      <c r="C40" s="124">
        <f t="shared" si="9"/>
        <v>2.2000000000000001E-3</v>
      </c>
      <c r="D40" s="125">
        <f t="shared" si="13"/>
        <v>106078850.1335399</v>
      </c>
      <c r="E40" s="126">
        <f t="shared" si="0"/>
        <v>265197.12533384975</v>
      </c>
      <c r="F40" s="126">
        <f t="shared" si="1"/>
        <v>233373.4702937878</v>
      </c>
      <c r="G40" s="126">
        <f>SUM(F41:F$47)-F$50*SUM(E41:E$47)</f>
        <v>483157.17586351978</v>
      </c>
      <c r="H40" s="65"/>
      <c r="I40" s="124">
        <f t="shared" si="15"/>
        <v>2.2000000000000001E-3</v>
      </c>
      <c r="J40" s="125">
        <f t="shared" si="10"/>
        <v>106046978.67130648</v>
      </c>
      <c r="K40" s="126">
        <f t="shared" si="2"/>
        <v>265117.44667826616</v>
      </c>
      <c r="L40" s="126">
        <f t="shared" si="3"/>
        <v>233303.35307687425</v>
      </c>
      <c r="M40" s="126">
        <f>SUM(L41:L$47)-L$50*SUM(K41:K$47)</f>
        <v>472087.4345448839</v>
      </c>
      <c r="N40" s="65"/>
      <c r="O40" s="124">
        <f t="shared" si="16"/>
        <v>2.2000000000000001E-3</v>
      </c>
      <c r="P40" s="125">
        <f t="shared" si="11"/>
        <v>105976883.45886539</v>
      </c>
      <c r="Q40" s="126">
        <f t="shared" si="4"/>
        <v>264942.20864716347</v>
      </c>
      <c r="R40" s="126">
        <f t="shared" si="5"/>
        <v>233149.14360950387</v>
      </c>
      <c r="S40" s="126">
        <f>SUM(R41:R$47)-R$50*SUM(Q41:Q$47)</f>
        <v>449608.16978694149</v>
      </c>
      <c r="T40" s="65"/>
      <c r="U40" s="140">
        <f t="shared" si="14"/>
        <v>2.64E-3</v>
      </c>
      <c r="V40" s="160">
        <f t="shared" si="12"/>
        <v>105811332.40515545</v>
      </c>
      <c r="W40" s="161">
        <f t="shared" si="6"/>
        <v>264528.33101288858</v>
      </c>
      <c r="X40" s="161">
        <f t="shared" si="7"/>
        <v>279341.91754961037</v>
      </c>
      <c r="Y40" s="161">
        <f>SUM(X41:X$47)-X$50*SUM(W41:W$47)</f>
        <v>628735.98880897462</v>
      </c>
    </row>
    <row r="41" spans="1:25" x14ac:dyDescent="0.3">
      <c r="A41" s="132">
        <v>14</v>
      </c>
      <c r="B41" s="135">
        <f t="shared" si="8"/>
        <v>0.05</v>
      </c>
      <c r="C41" s="136">
        <f t="shared" si="9"/>
        <v>2.3E-3</v>
      </c>
      <c r="D41" s="137">
        <f t="shared" si="13"/>
        <v>100553202.8300838</v>
      </c>
      <c r="E41" s="138">
        <f t="shared" si="0"/>
        <v>251383.00707520952</v>
      </c>
      <c r="F41" s="138">
        <f t="shared" si="1"/>
        <v>231272.36650919274</v>
      </c>
      <c r="G41" s="138">
        <f>SUM(F42:F$47)-F$50*SUM(E42:E$47)</f>
        <v>430528.13426299463</v>
      </c>
      <c r="H41" s="65"/>
      <c r="I41" s="136">
        <f t="shared" si="15"/>
        <v>2.3E-3</v>
      </c>
      <c r="J41" s="137">
        <f t="shared" si="10"/>
        <v>100522991.55231811</v>
      </c>
      <c r="K41" s="138">
        <f t="shared" si="2"/>
        <v>251307.4788807953</v>
      </c>
      <c r="L41" s="138">
        <f t="shared" si="3"/>
        <v>231202.88057033165</v>
      </c>
      <c r="M41" s="138">
        <f>SUM(L42:L$47)-L$50*SUM(K42:K$47)</f>
        <v>421297.42291127285</v>
      </c>
      <c r="N41" s="65"/>
      <c r="O41" s="136">
        <f t="shared" si="16"/>
        <v>2.3E-3</v>
      </c>
      <c r="P41" s="137">
        <f t="shared" si="11"/>
        <v>100456547.59949309</v>
      </c>
      <c r="Q41" s="138">
        <f t="shared" si="4"/>
        <v>251141.36899873271</v>
      </c>
      <c r="R41" s="138">
        <f t="shared" si="5"/>
        <v>231050.0594788341</v>
      </c>
      <c r="S41" s="138">
        <f>SUM(R42:R$47)-R$50*SUM(Q42:Q$47)</f>
        <v>402551.24773286434</v>
      </c>
      <c r="T41" s="65"/>
      <c r="U41" s="140">
        <f t="shared" si="14"/>
        <v>2.7599999999999999E-3</v>
      </c>
      <c r="V41" s="137">
        <f t="shared" si="12"/>
        <v>100255390.96322554</v>
      </c>
      <c r="W41" s="138">
        <f t="shared" si="6"/>
        <v>250638.47740806386</v>
      </c>
      <c r="X41" s="138">
        <f t="shared" si="7"/>
        <v>276704.8790585025</v>
      </c>
      <c r="Y41" s="138">
        <f>SUM(X42:X$47)-X$50*SUM(W42:W$47)</f>
        <v>557144.10394638346</v>
      </c>
    </row>
    <row r="42" spans="1:25" x14ac:dyDescent="0.3">
      <c r="A42" s="65">
        <v>15</v>
      </c>
      <c r="B42" s="123">
        <f t="shared" si="8"/>
        <v>0.05</v>
      </c>
      <c r="C42" s="124">
        <f t="shared" si="9"/>
        <v>2.3999999999999998E-3</v>
      </c>
      <c r="D42" s="125">
        <f t="shared" si="13"/>
        <v>95305833.940395877</v>
      </c>
      <c r="E42" s="126">
        <f t="shared" si="0"/>
        <v>238264.58485098969</v>
      </c>
      <c r="F42" s="126">
        <f t="shared" si="1"/>
        <v>228734.00145695009</v>
      </c>
      <c r="G42" s="126">
        <f>SUM(F43:F$47)-F$50*SUM(E43:E$47)</f>
        <v>371114.955804353</v>
      </c>
      <c r="H42" s="65"/>
      <c r="I42" s="124">
        <f t="shared" si="15"/>
        <v>2.3999999999999998E-3</v>
      </c>
      <c r="J42" s="125">
        <f t="shared" si="10"/>
        <v>95277199.238160387</v>
      </c>
      <c r="K42" s="126">
        <f t="shared" si="2"/>
        <v>238192.99809540098</v>
      </c>
      <c r="L42" s="126">
        <f t="shared" si="3"/>
        <v>228665.27817158491</v>
      </c>
      <c r="M42" s="126">
        <f>SUM(L43:L$47)-L$50*SUM(K43:K$47)</f>
        <v>363630.16811094573</v>
      </c>
      <c r="N42" s="65"/>
      <c r="O42" s="124">
        <f t="shared" si="16"/>
        <v>2.3999999999999998E-3</v>
      </c>
      <c r="P42" s="125">
        <f t="shared" si="11"/>
        <v>95214222.663013533</v>
      </c>
      <c r="Q42" s="126">
        <f t="shared" si="4"/>
        <v>238035.55665753386</v>
      </c>
      <c r="R42" s="126">
        <f t="shared" si="5"/>
        <v>228514.13439123245</v>
      </c>
      <c r="S42" s="126">
        <f>SUM(R43:R$47)-R$50*SUM(Q43:Q$47)</f>
        <v>348428.56888987811</v>
      </c>
      <c r="T42" s="65"/>
      <c r="U42" s="140">
        <f t="shared" si="14"/>
        <v>2.8799999999999997E-3</v>
      </c>
      <c r="V42" s="160">
        <f t="shared" si="12"/>
        <v>94979751.77995868</v>
      </c>
      <c r="W42" s="161">
        <f t="shared" si="6"/>
        <v>237449.37944989669</v>
      </c>
      <c r="X42" s="161">
        <f t="shared" si="7"/>
        <v>273541.68512628099</v>
      </c>
      <c r="Y42" s="161">
        <f>SUM(X43:X$47)-X$50*SUM(W43:W$47)</f>
        <v>477921.95703543688</v>
      </c>
    </row>
    <row r="43" spans="1:25" x14ac:dyDescent="0.3">
      <c r="A43" s="132">
        <v>16</v>
      </c>
      <c r="B43" s="135">
        <f t="shared" si="8"/>
        <v>0.05</v>
      </c>
      <c r="C43" s="136">
        <f t="shared" si="9"/>
        <v>2.4999999999999996E-3</v>
      </c>
      <c r="D43" s="137">
        <f t="shared" si="13"/>
        <v>90323244.941991985</v>
      </c>
      <c r="E43" s="138">
        <f t="shared" si="0"/>
        <v>225808.11235497997</v>
      </c>
      <c r="F43" s="138">
        <f t="shared" si="1"/>
        <v>225808.11235497994</v>
      </c>
      <c r="G43" s="138">
        <f>SUM(F44:F$47)-F$50*SUM(E44:E$47)</f>
        <v>305775.57382132986</v>
      </c>
      <c r="H43" s="65"/>
      <c r="I43" s="136">
        <f t="shared" si="15"/>
        <v>2.4999999999999996E-3</v>
      </c>
      <c r="J43" s="137">
        <f t="shared" si="10"/>
        <v>90296107.261989355</v>
      </c>
      <c r="K43" s="138">
        <f t="shared" si="2"/>
        <v>225740.2681549734</v>
      </c>
      <c r="L43" s="138">
        <f t="shared" si="3"/>
        <v>225740.26815497334</v>
      </c>
      <c r="M43" s="138">
        <f>SUM(L44:L$47)-L$50*SUM(K44:K$47)</f>
        <v>299948.1466653808</v>
      </c>
      <c r="N43" s="65"/>
      <c r="O43" s="136">
        <f t="shared" si="16"/>
        <v>2.4999999999999996E-3</v>
      </c>
      <c r="P43" s="137">
        <f t="shared" si="11"/>
        <v>90236423.10219118</v>
      </c>
      <c r="Q43" s="138">
        <f t="shared" si="4"/>
        <v>225591.05775547796</v>
      </c>
      <c r="R43" s="138">
        <f t="shared" si="5"/>
        <v>225591.0577554779</v>
      </c>
      <c r="S43" s="138">
        <f>SUM(R44:R$47)-R$50*SUM(Q44:Q$47)</f>
        <v>288111.78138658393</v>
      </c>
      <c r="T43" s="65"/>
      <c r="U43" s="140">
        <f t="shared" si="14"/>
        <v>2.9999999999999996E-3</v>
      </c>
      <c r="V43" s="137">
        <f t="shared" si="12"/>
        <v>89970899.590090767</v>
      </c>
      <c r="W43" s="138">
        <f t="shared" si="6"/>
        <v>224927.24897522692</v>
      </c>
      <c r="X43" s="138">
        <f t="shared" si="7"/>
        <v>269912.69877027225</v>
      </c>
      <c r="Y43" s="138">
        <f>SUM(X44:X$47)-X$50*SUM(W44:W$47)</f>
        <v>392081.16131317511</v>
      </c>
    </row>
    <row r="44" spans="1:25" x14ac:dyDescent="0.3">
      <c r="A44" s="65">
        <v>17</v>
      </c>
      <c r="B44" s="123">
        <f t="shared" si="8"/>
        <v>0.05</v>
      </c>
      <c r="C44" s="124">
        <f t="shared" si="9"/>
        <v>2.5999999999999994E-3</v>
      </c>
      <c r="D44" s="125">
        <f t="shared" si="13"/>
        <v>85592564.988155156</v>
      </c>
      <c r="E44" s="126">
        <f t="shared" si="0"/>
        <v>213981.41247038788</v>
      </c>
      <c r="F44" s="126">
        <f t="shared" si="1"/>
        <v>222540.66896920337</v>
      </c>
      <c r="G44" s="126">
        <f>SUM(F45:F$47)-F$50*SUM(E45:E$47)</f>
        <v>235299.08547085215</v>
      </c>
      <c r="H44" s="65"/>
      <c r="I44" s="124">
        <f t="shared" si="15"/>
        <v>2.5999999999999994E-3</v>
      </c>
      <c r="J44" s="125">
        <f t="shared" si="10"/>
        <v>85566848.644142658</v>
      </c>
      <c r="K44" s="126">
        <f t="shared" si="2"/>
        <v>213917.12161035664</v>
      </c>
      <c r="L44" s="126">
        <f t="shared" si="3"/>
        <v>222473.80647477086</v>
      </c>
      <c r="M44" s="126">
        <f>SUM(L45:L$47)-L$50*SUM(K45:K$47)</f>
        <v>231044.78622861305</v>
      </c>
      <c r="N44" s="65"/>
      <c r="O44" s="124">
        <f t="shared" si="16"/>
        <v>2.5999999999999994E-3</v>
      </c>
      <c r="P44" s="125">
        <f t="shared" si="11"/>
        <v>85510290.442213908</v>
      </c>
      <c r="Q44" s="126">
        <f t="shared" si="4"/>
        <v>213775.72610553476</v>
      </c>
      <c r="R44" s="126">
        <f t="shared" si="5"/>
        <v>222326.75514975612</v>
      </c>
      <c r="S44" s="126">
        <f>SUM(R45:R$47)-R$50*SUM(Q45:Q$47)</f>
        <v>222403.05658455344</v>
      </c>
      <c r="T44" s="65"/>
      <c r="U44" s="140">
        <f t="shared" si="14"/>
        <v>3.1199999999999991E-3</v>
      </c>
      <c r="V44" s="160">
        <f t="shared" si="12"/>
        <v>85215937.546754465</v>
      </c>
      <c r="W44" s="161">
        <f t="shared" si="6"/>
        <v>213039.84386688616</v>
      </c>
      <c r="X44" s="161">
        <f t="shared" si="7"/>
        <v>265873.72514587385</v>
      </c>
      <c r="Y44" s="161">
        <f>SUM(X45:X$47)-X$50*SUM(W45:W$47)</f>
        <v>300551.13913922425</v>
      </c>
    </row>
    <row r="45" spans="1:25" x14ac:dyDescent="0.3">
      <c r="A45" s="132">
        <v>18</v>
      </c>
      <c r="B45" s="135">
        <f t="shared" si="8"/>
        <v>0.05</v>
      </c>
      <c r="C45" s="136">
        <f t="shared" si="9"/>
        <v>2.6999999999999993E-3</v>
      </c>
      <c r="D45" s="137">
        <f t="shared" si="13"/>
        <v>81101523.103226647</v>
      </c>
      <c r="E45" s="138">
        <f t="shared" si="0"/>
        <v>202753.80775806663</v>
      </c>
      <c r="F45" s="138">
        <f t="shared" si="1"/>
        <v>218974.1123787119</v>
      </c>
      <c r="G45" s="138">
        <f>SUM(F46:F$47)-F$50*SUM(E46:E$47)</f>
        <v>160410.34615380137</v>
      </c>
      <c r="H45" s="65"/>
      <c r="I45" s="136">
        <f t="shared" si="15"/>
        <v>2.6999999999999993E-3</v>
      </c>
      <c r="J45" s="137">
        <f t="shared" si="10"/>
        <v>81077156.095784485</v>
      </c>
      <c r="K45" s="138">
        <f t="shared" si="2"/>
        <v>202692.89023946121</v>
      </c>
      <c r="L45" s="138">
        <f t="shared" si="3"/>
        <v>218908.32145861804</v>
      </c>
      <c r="M45" s="138">
        <f>SUM(L46:L$47)-L$50*SUM(K46:K$47)</f>
        <v>157649.06950438395</v>
      </c>
      <c r="N45" s="65"/>
      <c r="O45" s="136">
        <f t="shared" si="16"/>
        <v>2.6999999999999993E-3</v>
      </c>
      <c r="P45" s="137">
        <f t="shared" si="11"/>
        <v>81023565.502710938</v>
      </c>
      <c r="Q45" s="138">
        <f t="shared" si="4"/>
        <v>202558.91375677736</v>
      </c>
      <c r="R45" s="138">
        <f t="shared" si="5"/>
        <v>218763.62685731947</v>
      </c>
      <c r="S45" s="138">
        <f>SUM(R46:R$47)-R$50*SUM(Q46:Q$47)</f>
        <v>152039.71202261455</v>
      </c>
      <c r="T45" s="65"/>
      <c r="U45" s="140">
        <f t="shared" si="14"/>
        <v>3.239999999999999E-3</v>
      </c>
      <c r="V45" s="137">
        <f t="shared" si="12"/>
        <v>80702560.630528152</v>
      </c>
      <c r="W45" s="138">
        <f t="shared" si="6"/>
        <v>201756.40157632038</v>
      </c>
      <c r="X45" s="138">
        <f t="shared" si="7"/>
        <v>261476.29644291112</v>
      </c>
      <c r="Y45" s="138">
        <f>SUM(X46:X$47)-X$50*SUM(W46:W$47)</f>
        <v>204184.60578403121</v>
      </c>
    </row>
    <row r="46" spans="1:25" x14ac:dyDescent="0.3">
      <c r="A46" s="65">
        <v>19</v>
      </c>
      <c r="B46" s="123">
        <f t="shared" si="8"/>
        <v>0.05</v>
      </c>
      <c r="C46" s="124">
        <f t="shared" si="9"/>
        <v>2.7999999999999991E-3</v>
      </c>
      <c r="D46" s="125">
        <f t="shared" si="13"/>
        <v>76838421.541305527</v>
      </c>
      <c r="E46" s="126">
        <f t="shared" si="0"/>
        <v>192096.05385326382</v>
      </c>
      <c r="F46" s="126">
        <f t="shared" si="1"/>
        <v>215147.58031565542</v>
      </c>
      <c r="G46" s="126">
        <f>SUM(F47:F$47)-F$50*SUM(E47:E$47)</f>
        <v>81774.291264820829</v>
      </c>
      <c r="H46" s="65"/>
      <c r="I46" s="124">
        <f t="shared" si="15"/>
        <v>2.7999999999999991E-3</v>
      </c>
      <c r="J46" s="125">
        <f t="shared" si="10"/>
        <v>76815335.385609567</v>
      </c>
      <c r="K46" s="126">
        <f t="shared" si="2"/>
        <v>192038.33846402392</v>
      </c>
      <c r="L46" s="126">
        <f t="shared" si="3"/>
        <v>215082.93907970673</v>
      </c>
      <c r="M46" s="126">
        <f>SUM(L47:L$47)-L$50*SUM(K47:K$47)</f>
        <v>80429.865091203101</v>
      </c>
      <c r="N46" s="65"/>
      <c r="O46" s="124">
        <f t="shared" si="16"/>
        <v>2.7999999999999991E-3</v>
      </c>
      <c r="P46" s="125">
        <f t="shared" si="11"/>
        <v>76764561.782060936</v>
      </c>
      <c r="Q46" s="126">
        <f t="shared" si="4"/>
        <v>191911.40445515234</v>
      </c>
      <c r="R46" s="126">
        <f t="shared" si="5"/>
        <v>214940.77298977054</v>
      </c>
      <c r="S46" s="126">
        <f>SUM(R47:R$47)-R$50*SUM(Q47:Q$47)</f>
        <v>77698.560489367752</v>
      </c>
      <c r="T46" s="65"/>
      <c r="U46" s="140">
        <f t="shared" si="14"/>
        <v>3.3599999999999988E-3</v>
      </c>
      <c r="V46" s="160">
        <f t="shared" si="12"/>
        <v>76419030.117380962</v>
      </c>
      <c r="W46" s="161">
        <f t="shared" si="6"/>
        <v>191047.57529345242</v>
      </c>
      <c r="X46" s="161">
        <f t="shared" si="7"/>
        <v>256767.94119439993</v>
      </c>
      <c r="Y46" s="161">
        <f>SUM(X47:X$47)-X$50*SUM(W47:W$47)</f>
        <v>103762.73167217945</v>
      </c>
    </row>
    <row r="47" spans="1:25" x14ac:dyDescent="0.3">
      <c r="A47" s="132">
        <v>20</v>
      </c>
      <c r="B47" s="135">
        <f t="shared" si="8"/>
        <v>0.05</v>
      </c>
      <c r="C47" s="136">
        <f t="shared" si="9"/>
        <v>2.8999999999999989E-3</v>
      </c>
      <c r="D47" s="137">
        <f t="shared" si="13"/>
        <v>72792110.262940377</v>
      </c>
      <c r="E47" s="138">
        <f t="shared" si="0"/>
        <v>181980.27565735095</v>
      </c>
      <c r="F47" s="138">
        <f t="shared" si="1"/>
        <v>211097.11976252703</v>
      </c>
      <c r="G47" s="138">
        <v>0</v>
      </c>
      <c r="H47" s="65"/>
      <c r="I47" s="136">
        <f t="shared" si="15"/>
        <v>2.8999999999999989E-3</v>
      </c>
      <c r="J47" s="137">
        <f t="shared" si="10"/>
        <v>72770239.824203372</v>
      </c>
      <c r="K47" s="138">
        <f t="shared" si="2"/>
        <v>181925.59956050842</v>
      </c>
      <c r="L47" s="138">
        <f t="shared" si="3"/>
        <v>211033.69549018971</v>
      </c>
      <c r="M47" s="138">
        <v>0</v>
      </c>
      <c r="N47" s="65"/>
      <c r="O47" s="136">
        <f t="shared" si="16"/>
        <v>2.8999999999999989E-3</v>
      </c>
      <c r="P47" s="137">
        <f t="shared" si="11"/>
        <v>72722139.958617613</v>
      </c>
      <c r="Q47" s="138">
        <f t="shared" si="4"/>
        <v>181805.34989654404</v>
      </c>
      <c r="R47" s="138">
        <f t="shared" si="5"/>
        <v>210894.205879991</v>
      </c>
      <c r="S47" s="138"/>
      <c r="T47" s="65"/>
      <c r="U47" s="140">
        <f t="shared" si="14"/>
        <v>3.4799999999999987E-3</v>
      </c>
      <c r="V47" s="137">
        <f t="shared" si="12"/>
        <v>72354149.067377239</v>
      </c>
      <c r="W47" s="138">
        <f t="shared" si="6"/>
        <v>180885.3726684431</v>
      </c>
      <c r="X47" s="138">
        <f t="shared" si="7"/>
        <v>251792.43875447271</v>
      </c>
      <c r="Y47" s="138">
        <v>0</v>
      </c>
    </row>
    <row r="48" spans="1:25" s="27" customFormat="1" ht="15" thickBot="1" x14ac:dyDescent="0.35">
      <c r="A48" s="98" t="s">
        <v>1</v>
      </c>
      <c r="B48" s="98"/>
      <c r="C48" s="98"/>
      <c r="D48" s="98"/>
      <c r="E48" s="133">
        <f>SUM(E28:E47)</f>
        <v>6338444.5403214125</v>
      </c>
      <c r="F48" s="133">
        <f>SUM(F28:F47)</f>
        <v>4504364.9553186996</v>
      </c>
      <c r="G48" s="98"/>
      <c r="H48" s="130"/>
      <c r="I48" s="98"/>
      <c r="J48" s="98"/>
      <c r="K48" s="133">
        <f>SUM(K28:K47)</f>
        <v>6337333.9590588175</v>
      </c>
      <c r="L48" s="133">
        <f>SUM(L28:L47)</f>
        <v>4549552.6279432159</v>
      </c>
      <c r="M48" s="98"/>
      <c r="N48" s="130"/>
      <c r="O48" s="98"/>
      <c r="P48" s="98"/>
      <c r="Q48" s="133">
        <f>SUM(Q28:Q47)</f>
        <v>6335250.2680546893</v>
      </c>
      <c r="R48" s="133">
        <f>SUM(R28:R47)</f>
        <v>4641380.182953042</v>
      </c>
      <c r="S48" s="98"/>
      <c r="T48" s="130"/>
      <c r="U48" s="98"/>
      <c r="V48" s="98"/>
      <c r="W48" s="133">
        <f>SUM(W28:W47)</f>
        <v>6329111.6130772643</v>
      </c>
      <c r="X48" s="133">
        <f>SUM(X28:X47)</f>
        <v>5179504.1486979071</v>
      </c>
      <c r="Y48" s="98"/>
    </row>
    <row r="49" spans="1:25" s="27" customFormat="1" ht="6" customHeight="1" thickTop="1" x14ac:dyDescent="0.3">
      <c r="A49" s="29"/>
      <c r="B49" s="29"/>
      <c r="C49" s="29"/>
      <c r="D49" s="99"/>
      <c r="E49" s="141"/>
      <c r="F49" s="141"/>
      <c r="G49" s="29"/>
      <c r="H49" s="130"/>
      <c r="I49" s="29"/>
      <c r="J49" s="99"/>
      <c r="K49" s="141"/>
      <c r="L49" s="141"/>
      <c r="M49" s="29"/>
      <c r="N49" s="130"/>
      <c r="O49" s="29"/>
      <c r="P49" s="99"/>
      <c r="Q49" s="141"/>
      <c r="R49" s="141"/>
      <c r="S49" s="29"/>
      <c r="T49" s="130"/>
      <c r="U49" s="29"/>
      <c r="V49" s="99"/>
      <c r="W49" s="141"/>
      <c r="X49" s="141"/>
      <c r="Y49" s="29"/>
    </row>
    <row r="50" spans="1:25" x14ac:dyDescent="0.3">
      <c r="D50" s="100" t="s">
        <v>46</v>
      </c>
      <c r="E50" s="102"/>
      <c r="F50" s="71">
        <f>F48/E48</f>
        <v>0.71064200793500831</v>
      </c>
      <c r="J50" s="100" t="s">
        <v>46</v>
      </c>
      <c r="K50" s="102"/>
      <c r="L50" s="71">
        <f>L48/K48</f>
        <v>0.71789693542028321</v>
      </c>
      <c r="P50" s="100" t="s">
        <v>46</v>
      </c>
      <c r="Q50" s="102"/>
      <c r="R50" s="71">
        <f>R48/Q48</f>
        <v>0.73262775526912693</v>
      </c>
      <c r="V50" s="100" t="s">
        <v>46</v>
      </c>
      <c r="W50" s="102"/>
      <c r="X50" s="71">
        <f>X48/W48</f>
        <v>0.81836195430587311</v>
      </c>
    </row>
    <row r="52" spans="1:25" x14ac:dyDescent="0.3">
      <c r="I52" s="195" t="s">
        <v>122</v>
      </c>
    </row>
    <row r="53" spans="1:25" x14ac:dyDescent="0.3">
      <c r="I53" s="195" t="s">
        <v>123</v>
      </c>
    </row>
    <row r="55" spans="1:25" x14ac:dyDescent="0.3">
      <c r="C55" s="142" t="s">
        <v>47</v>
      </c>
      <c r="D55" s="143"/>
      <c r="E55" s="143"/>
      <c r="F55" s="143"/>
      <c r="G55" s="144">
        <v>0</v>
      </c>
      <c r="I55" s="142" t="s">
        <v>47</v>
      </c>
      <c r="J55" s="143"/>
      <c r="K55" s="143"/>
      <c r="L55" s="143"/>
      <c r="M55" s="144">
        <f>+G32</f>
        <v>530130.3134621093</v>
      </c>
      <c r="U55" s="142" t="s">
        <v>47</v>
      </c>
      <c r="V55" s="143"/>
      <c r="W55" s="143"/>
      <c r="X55" s="143"/>
      <c r="Y55" s="144">
        <f>+S35</f>
        <v>542890.1031535021</v>
      </c>
    </row>
    <row r="56" spans="1:25" x14ac:dyDescent="0.3">
      <c r="C56" s="145" t="s">
        <v>168</v>
      </c>
      <c r="D56" s="146"/>
      <c r="E56" s="146"/>
      <c r="F56" s="146"/>
      <c r="G56" s="208">
        <v>0</v>
      </c>
      <c r="I56" s="145" t="s">
        <v>168</v>
      </c>
      <c r="J56" s="146"/>
      <c r="K56" s="146"/>
      <c r="L56" s="146"/>
      <c r="M56" s="147">
        <f>+M32</f>
        <v>546508.20512988046</v>
      </c>
      <c r="U56" s="145" t="s">
        <v>168</v>
      </c>
      <c r="V56" s="146"/>
      <c r="W56" s="146"/>
      <c r="X56" s="146"/>
      <c r="Y56" s="147">
        <f>+Y35</f>
        <v>830317.17135951156</v>
      </c>
    </row>
    <row r="57" spans="1:25" x14ac:dyDescent="0.3">
      <c r="C57" s="145" t="s">
        <v>48</v>
      </c>
      <c r="D57" s="146"/>
      <c r="E57" s="146"/>
      <c r="F57" s="146"/>
      <c r="G57" s="147">
        <f>+G28</f>
        <v>155321.00396750355</v>
      </c>
      <c r="I57" s="145" t="s">
        <v>49</v>
      </c>
      <c r="J57" s="146"/>
      <c r="K57" s="146"/>
      <c r="L57" s="146"/>
      <c r="M57" s="147">
        <f>+M33</f>
        <v>545699.4197606151</v>
      </c>
      <c r="U57" s="145" t="s">
        <v>50</v>
      </c>
      <c r="V57" s="146"/>
      <c r="W57" s="146"/>
      <c r="X57" s="146"/>
      <c r="Y57" s="147">
        <f>+Y36</f>
        <v>815355.69037037063</v>
      </c>
    </row>
    <row r="58" spans="1:25" x14ac:dyDescent="0.3">
      <c r="C58" s="145"/>
      <c r="D58" s="146"/>
      <c r="E58" s="146"/>
      <c r="F58" s="146"/>
      <c r="G58" s="148"/>
      <c r="I58" s="145"/>
      <c r="J58" s="146"/>
      <c r="K58" s="146"/>
      <c r="L58" s="146"/>
      <c r="M58" s="148"/>
      <c r="U58" s="145"/>
      <c r="V58" s="146"/>
      <c r="W58" s="146"/>
      <c r="X58" s="146"/>
      <c r="Y58" s="148"/>
    </row>
    <row r="59" spans="1:25" x14ac:dyDescent="0.3">
      <c r="C59" s="145" t="s">
        <v>51</v>
      </c>
      <c r="D59" s="146"/>
      <c r="E59" s="146"/>
      <c r="F59" s="146"/>
      <c r="G59" s="148"/>
      <c r="I59" s="145" t="s">
        <v>52</v>
      </c>
      <c r="J59" s="146"/>
      <c r="K59" s="146"/>
      <c r="L59" s="146"/>
      <c r="M59" s="148"/>
      <c r="U59" s="145" t="s">
        <v>53</v>
      </c>
      <c r="V59" s="146"/>
      <c r="W59" s="146"/>
      <c r="X59" s="146"/>
      <c r="Y59" s="148"/>
    </row>
    <row r="60" spans="1:25" x14ac:dyDescent="0.3">
      <c r="C60" s="145"/>
      <c r="D60" s="146"/>
      <c r="E60" s="146"/>
      <c r="F60" s="146"/>
      <c r="G60" s="148"/>
      <c r="I60" s="145"/>
      <c r="J60" s="146"/>
      <c r="K60" s="146"/>
      <c r="L60" s="146"/>
      <c r="M60" s="148"/>
      <c r="U60" s="145"/>
      <c r="V60" s="146"/>
      <c r="W60" s="146"/>
      <c r="X60" s="146"/>
      <c r="Y60" s="148"/>
    </row>
    <row r="61" spans="1:25" x14ac:dyDescent="0.3">
      <c r="C61" s="145" t="s">
        <v>54</v>
      </c>
      <c r="D61" s="146"/>
      <c r="E61" s="146"/>
      <c r="F61" s="146"/>
      <c r="G61" s="149">
        <f>+E28</f>
        <v>500000</v>
      </c>
      <c r="I61" s="145" t="s">
        <v>54</v>
      </c>
      <c r="J61" s="146"/>
      <c r="K61" s="146"/>
      <c r="L61" s="146"/>
      <c r="M61" s="149">
        <f>+K33</f>
        <v>384574.67120382655</v>
      </c>
      <c r="U61" s="145" t="s">
        <v>54</v>
      </c>
      <c r="V61" s="146"/>
      <c r="W61" s="146"/>
      <c r="X61" s="146"/>
      <c r="Y61" s="149">
        <f>+W36</f>
        <v>327829.13381995854</v>
      </c>
    </row>
    <row r="62" spans="1:25" x14ac:dyDescent="0.3">
      <c r="A62" s="64"/>
      <c r="C62" s="145" t="s">
        <v>55</v>
      </c>
      <c r="D62" s="146"/>
      <c r="E62" s="146"/>
      <c r="F62" s="146"/>
      <c r="G62" s="149">
        <f>-F28</f>
        <v>-200000</v>
      </c>
      <c r="I62" s="145" t="s">
        <v>55</v>
      </c>
      <c r="J62" s="146"/>
      <c r="K62" s="146"/>
      <c r="L62" s="146"/>
      <c r="M62" s="149">
        <f>-L33</f>
        <v>-276893.76326675509</v>
      </c>
      <c r="U62" s="145" t="s">
        <v>55</v>
      </c>
      <c r="V62" s="146"/>
      <c r="W62" s="146"/>
      <c r="X62" s="146"/>
      <c r="Y62" s="149">
        <f>-X36</f>
        <v>-283244.37162044429</v>
      </c>
    </row>
    <row r="63" spans="1:25" x14ac:dyDescent="0.3">
      <c r="A63" s="64"/>
      <c r="C63" s="145" t="s">
        <v>167</v>
      </c>
      <c r="D63" s="146"/>
      <c r="E63" s="146"/>
      <c r="F63" s="146"/>
      <c r="G63" s="149">
        <f>G55-G56</f>
        <v>0</v>
      </c>
      <c r="I63" s="145" t="s">
        <v>167</v>
      </c>
      <c r="J63" s="146"/>
      <c r="K63" s="146"/>
      <c r="L63" s="146"/>
      <c r="M63" s="149">
        <f>M55-M56</f>
        <v>-16377.891667771153</v>
      </c>
      <c r="U63" s="145" t="s">
        <v>167</v>
      </c>
      <c r="V63" s="146"/>
      <c r="W63" s="146"/>
      <c r="X63" s="146"/>
      <c r="Y63" s="149">
        <f>Y55-Y56</f>
        <v>-287427.06820600946</v>
      </c>
    </row>
    <row r="64" spans="1:25" x14ac:dyDescent="0.3">
      <c r="A64" s="65"/>
      <c r="B64" s="68"/>
      <c r="C64" s="150" t="s">
        <v>56</v>
      </c>
      <c r="D64" s="92"/>
      <c r="E64" s="92"/>
      <c r="F64" s="92"/>
      <c r="G64" s="151">
        <f>G56-G57</f>
        <v>-155321.00396750355</v>
      </c>
      <c r="I64" s="150" t="s">
        <v>56</v>
      </c>
      <c r="J64" s="92"/>
      <c r="K64" s="92"/>
      <c r="L64" s="92"/>
      <c r="M64" s="151">
        <f>M56-M57</f>
        <v>808.7853692653589</v>
      </c>
      <c r="U64" s="150" t="s">
        <v>56</v>
      </c>
      <c r="V64" s="92"/>
      <c r="W64" s="92"/>
      <c r="X64" s="92"/>
      <c r="Y64" s="151">
        <f>Y56-Y57</f>
        <v>14961.480989140924</v>
      </c>
    </row>
    <row r="65" spans="1:25" x14ac:dyDescent="0.3">
      <c r="A65" s="65"/>
      <c r="B65" s="68"/>
      <c r="C65" s="152" t="s">
        <v>57</v>
      </c>
      <c r="D65" s="153"/>
      <c r="E65" s="153"/>
      <c r="F65" s="153"/>
      <c r="G65" s="154">
        <f>SUM(G61:G64)</f>
        <v>144678.99603249645</v>
      </c>
      <c r="I65" s="152" t="s">
        <v>57</v>
      </c>
      <c r="J65" s="153"/>
      <c r="K65" s="153"/>
      <c r="L65" s="153"/>
      <c r="M65" s="154">
        <f>SUM(M61:M64)</f>
        <v>92111.801638565667</v>
      </c>
      <c r="U65" s="152" t="s">
        <v>57</v>
      </c>
      <c r="V65" s="153"/>
      <c r="W65" s="153"/>
      <c r="X65" s="153"/>
      <c r="Y65" s="154">
        <f>SUM(Y61:Y64)</f>
        <v>-227880.82501735428</v>
      </c>
    </row>
    <row r="66" spans="1:25" x14ac:dyDescent="0.3">
      <c r="A66" s="65"/>
      <c r="B66" s="68"/>
      <c r="C66" s="68"/>
      <c r="D66" s="68"/>
      <c r="F66" s="68"/>
      <c r="G66" s="68"/>
    </row>
    <row r="67" spans="1:25" x14ac:dyDescent="0.3">
      <c r="A67" s="65"/>
      <c r="B67" s="68"/>
      <c r="C67" s="68"/>
      <c r="D67" s="68"/>
      <c r="F67" s="68"/>
      <c r="G67" s="68"/>
    </row>
    <row r="68" spans="1:25" x14ac:dyDescent="0.3">
      <c r="A68" s="65"/>
      <c r="B68" s="68"/>
      <c r="C68" s="68"/>
      <c r="D68" s="68"/>
      <c r="F68" s="68"/>
      <c r="G68" s="68"/>
      <c r="I68" s="142" t="s">
        <v>58</v>
      </c>
      <c r="J68" s="143"/>
      <c r="K68" s="143"/>
      <c r="L68" s="143"/>
      <c r="M68" s="155"/>
      <c r="U68" s="142" t="s">
        <v>58</v>
      </c>
      <c r="V68" s="143"/>
      <c r="W68" s="143"/>
      <c r="X68" s="143"/>
      <c r="Y68" s="155"/>
    </row>
    <row r="69" spans="1:25" x14ac:dyDescent="0.3">
      <c r="A69" s="65"/>
      <c r="B69" s="68"/>
      <c r="C69" s="68"/>
      <c r="D69" s="68"/>
      <c r="F69" s="68"/>
      <c r="G69" s="68"/>
      <c r="I69" s="145" t="s">
        <v>124</v>
      </c>
      <c r="J69" s="146"/>
      <c r="K69" s="146"/>
      <c r="L69" s="146"/>
      <c r="M69" s="148"/>
      <c r="U69" s="145" t="s">
        <v>125</v>
      </c>
      <c r="V69" s="146"/>
      <c r="W69" s="146"/>
      <c r="X69" s="146"/>
      <c r="Y69" s="148"/>
    </row>
    <row r="70" spans="1:25" x14ac:dyDescent="0.3">
      <c r="A70" s="65"/>
      <c r="B70" s="68"/>
      <c r="C70" s="68"/>
      <c r="G70" s="68"/>
      <c r="I70" s="152" t="s">
        <v>59</v>
      </c>
      <c r="J70" s="156">
        <f>+M80</f>
        <v>-19167.953020028392</v>
      </c>
      <c r="K70" s="153"/>
      <c r="L70" s="153"/>
      <c r="M70" s="157"/>
      <c r="U70" s="152" t="s">
        <v>59</v>
      </c>
      <c r="V70" s="156">
        <f>+Y80</f>
        <v>-315533.23641497392</v>
      </c>
      <c r="W70" s="153"/>
      <c r="X70" s="153"/>
      <c r="Y70" s="157"/>
    </row>
    <row r="71" spans="1:25" ht="138.15" customHeight="1" x14ac:dyDescent="0.3">
      <c r="A71" s="65"/>
      <c r="B71" s="68"/>
      <c r="C71" s="68"/>
      <c r="G71" s="68"/>
      <c r="J71" s="68"/>
      <c r="V71" s="68"/>
    </row>
    <row r="72" spans="1:25" x14ac:dyDescent="0.3">
      <c r="A72" s="65"/>
      <c r="B72" s="68"/>
      <c r="C72" s="68"/>
      <c r="G72" s="68"/>
      <c r="I72" s="142"/>
      <c r="J72" s="143"/>
      <c r="K72" s="209" t="s">
        <v>60</v>
      </c>
      <c r="L72" s="209" t="s">
        <v>61</v>
      </c>
      <c r="M72" s="210" t="s">
        <v>62</v>
      </c>
      <c r="U72" s="142"/>
      <c r="V72" s="143"/>
      <c r="W72" s="209" t="s">
        <v>60</v>
      </c>
      <c r="X72" s="209" t="s">
        <v>61</v>
      </c>
      <c r="Y72" s="210" t="s">
        <v>62</v>
      </c>
    </row>
    <row r="73" spans="1:25" x14ac:dyDescent="0.3">
      <c r="A73" s="65"/>
      <c r="I73" s="145" t="s">
        <v>47</v>
      </c>
      <c r="J73" s="146"/>
      <c r="K73" s="158">
        <f>+G32</f>
        <v>530130.3134621093</v>
      </c>
      <c r="L73" s="158">
        <f>+M55</f>
        <v>530130.3134621093</v>
      </c>
      <c r="M73" s="149">
        <f>+L73-K73</f>
        <v>0</v>
      </c>
      <c r="U73" s="145" t="s">
        <v>47</v>
      </c>
      <c r="V73" s="146"/>
      <c r="W73" s="158">
        <f>+S35</f>
        <v>542890.1031535021</v>
      </c>
      <c r="X73" s="158">
        <f>+Y55</f>
        <v>542890.1031535021</v>
      </c>
      <c r="Y73" s="149">
        <f>+X73-W73</f>
        <v>0</v>
      </c>
    </row>
    <row r="74" spans="1:25" x14ac:dyDescent="0.3">
      <c r="A74" s="65"/>
      <c r="I74" s="145" t="s">
        <v>49</v>
      </c>
      <c r="J74" s="146"/>
      <c r="K74" s="158">
        <f>+G33</f>
        <v>572680.42728504585</v>
      </c>
      <c r="L74" s="158">
        <f>+M57</f>
        <v>545699.4197606151</v>
      </c>
      <c r="M74" s="149">
        <f>+L74-K74</f>
        <v>-26981.007524430752</v>
      </c>
      <c r="U74" s="145" t="s">
        <v>50</v>
      </c>
      <c r="V74" s="146"/>
      <c r="W74" s="158">
        <f>+S36</f>
        <v>547029.8492254708</v>
      </c>
      <c r="X74" s="158">
        <f>+Y57</f>
        <v>815355.69037037063</v>
      </c>
      <c r="Y74" s="149">
        <f>+X74-W74</f>
        <v>268325.84114489984</v>
      </c>
    </row>
    <row r="75" spans="1:25" x14ac:dyDescent="0.3">
      <c r="A75" s="65"/>
      <c r="I75" s="145"/>
      <c r="J75" s="146"/>
      <c r="K75" s="146"/>
      <c r="L75" s="146"/>
      <c r="M75" s="148"/>
      <c r="U75" s="145"/>
      <c r="V75" s="146"/>
      <c r="W75" s="146"/>
      <c r="X75" s="146"/>
      <c r="Y75" s="148"/>
    </row>
    <row r="76" spans="1:25" x14ac:dyDescent="0.3">
      <c r="A76" s="65"/>
      <c r="I76" s="145" t="s">
        <v>54</v>
      </c>
      <c r="J76" s="146"/>
      <c r="K76" s="158">
        <f>+E33</f>
        <v>384574.67120382655</v>
      </c>
      <c r="L76" s="158">
        <f>+K33</f>
        <v>384574.67120382655</v>
      </c>
      <c r="M76" s="149">
        <f>+L76-K76</f>
        <v>0</v>
      </c>
      <c r="U76" s="145" t="s">
        <v>54</v>
      </c>
      <c r="V76" s="146"/>
      <c r="W76" s="158">
        <f>+Q36</f>
        <v>327829.13381995854</v>
      </c>
      <c r="X76" s="158">
        <f>+Y61</f>
        <v>327829.13381995854</v>
      </c>
      <c r="Y76" s="149">
        <f>+X76-W76</f>
        <v>0</v>
      </c>
    </row>
    <row r="77" spans="1:25" x14ac:dyDescent="0.3">
      <c r="A77" s="65"/>
      <c r="I77" s="145" t="s">
        <v>55</v>
      </c>
      <c r="J77" s="146"/>
      <c r="K77" s="158">
        <f>-+F33</f>
        <v>-230744.80272229595</v>
      </c>
      <c r="L77" s="158">
        <f>-L33</f>
        <v>-276893.76326675509</v>
      </c>
      <c r="M77" s="149">
        <f>+L77-K77</f>
        <v>-46148.960544459143</v>
      </c>
      <c r="U77" s="145" t="s">
        <v>55</v>
      </c>
      <c r="V77" s="146"/>
      <c r="W77" s="158">
        <f>-R36</f>
        <v>-236036.97635037021</v>
      </c>
      <c r="X77" s="158">
        <f>+Y62</f>
        <v>-283244.37162044429</v>
      </c>
      <c r="Y77" s="149">
        <f>+X77-W77</f>
        <v>-47207.395270074077</v>
      </c>
    </row>
    <row r="78" spans="1:25" x14ac:dyDescent="0.3">
      <c r="A78" s="65"/>
      <c r="I78" s="145" t="s">
        <v>167</v>
      </c>
      <c r="J78" s="146"/>
      <c r="K78" s="158">
        <v>0</v>
      </c>
      <c r="L78" s="158">
        <f>+M63</f>
        <v>-16377.891667771153</v>
      </c>
      <c r="M78" s="149">
        <f>+L78-K78</f>
        <v>-16377.891667771153</v>
      </c>
      <c r="U78" s="145" t="s">
        <v>167</v>
      </c>
      <c r="V78" s="146"/>
      <c r="W78" s="158">
        <v>0</v>
      </c>
      <c r="X78" s="158">
        <f>+Y63</f>
        <v>-287427.06820600946</v>
      </c>
      <c r="Y78" s="149">
        <f>+X78-W78</f>
        <v>-287427.06820600946</v>
      </c>
    </row>
    <row r="79" spans="1:25" x14ac:dyDescent="0.3">
      <c r="A79" s="65"/>
      <c r="I79" s="150" t="s">
        <v>56</v>
      </c>
      <c r="J79" s="92"/>
      <c r="K79" s="91">
        <f>+K73-K74</f>
        <v>-42550.113822936546</v>
      </c>
      <c r="L79" s="91">
        <f>+M64</f>
        <v>808.7853692653589</v>
      </c>
      <c r="M79" s="151">
        <f>+L79-K79</f>
        <v>43358.899192201905</v>
      </c>
      <c r="U79" s="150" t="s">
        <v>56</v>
      </c>
      <c r="V79" s="92"/>
      <c r="W79" s="91">
        <f>+W73-W74</f>
        <v>-4139.7460719686933</v>
      </c>
      <c r="X79" s="91">
        <f>+Y64</f>
        <v>14961.480989140924</v>
      </c>
      <c r="Y79" s="151">
        <f>+X79-W79</f>
        <v>19101.227061109617</v>
      </c>
    </row>
    <row r="80" spans="1:25" x14ac:dyDescent="0.3">
      <c r="A80" s="65"/>
      <c r="I80" s="152" t="s">
        <v>57</v>
      </c>
      <c r="J80" s="153"/>
      <c r="K80" s="156">
        <f>SUM(K76:K79)</f>
        <v>111279.75465859406</v>
      </c>
      <c r="L80" s="156">
        <f>SUM(L76:L79)</f>
        <v>92111.801638565667</v>
      </c>
      <c r="M80" s="154">
        <f>SUM(M76:M79)</f>
        <v>-19167.953020028392</v>
      </c>
      <c r="U80" s="152" t="s">
        <v>57</v>
      </c>
      <c r="V80" s="153"/>
      <c r="W80" s="156">
        <f>SUM(W76:W79)</f>
        <v>87652.411397619639</v>
      </c>
      <c r="X80" s="156">
        <f>SUM(X76:X79)</f>
        <v>-227880.82501735428</v>
      </c>
      <c r="Y80" s="154">
        <f>SUM(Y76:Y79)</f>
        <v>-315533.23641497392</v>
      </c>
    </row>
    <row r="81" spans="1:1" x14ac:dyDescent="0.3">
      <c r="A81" s="65"/>
    </row>
    <row r="82" spans="1:1" x14ac:dyDescent="0.3">
      <c r="A82" s="65"/>
    </row>
    <row r="83" spans="1:1" x14ac:dyDescent="0.3">
      <c r="A83" s="65"/>
    </row>
    <row r="84" spans="1:1" ht="15" thickBot="1" x14ac:dyDescent="0.35">
      <c r="A84" s="70"/>
    </row>
    <row r="85" spans="1:1" ht="15" thickTop="1" x14ac:dyDescent="0.3"/>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T71"/>
  <sheetViews>
    <sheetView showGridLines="0" topLeftCell="A4" zoomScale="90" zoomScaleNormal="90" workbookViewId="0">
      <pane xSplit="1" topLeftCell="B1" activePane="topRight" state="frozen"/>
      <selection activeCell="M10" sqref="M10"/>
      <selection pane="topRight" activeCell="J13" sqref="J13"/>
    </sheetView>
  </sheetViews>
  <sheetFormatPr defaultRowHeight="14.4" x14ac:dyDescent="0.3"/>
  <cols>
    <col min="1" max="1" width="6.88671875" customWidth="1"/>
    <col min="3" max="7" width="15.77734375" customWidth="1"/>
    <col min="8" max="8" width="3.77734375" customWidth="1"/>
    <col min="9" max="9" width="5.44140625" bestFit="1" customWidth="1"/>
    <col min="10" max="10" width="9.44140625" customWidth="1"/>
    <col min="11" max="11" width="8" customWidth="1"/>
    <col min="12" max="16" width="15.77734375" customWidth="1"/>
    <col min="17" max="17" width="2.21875" customWidth="1"/>
    <col min="18" max="18" width="17.44140625" customWidth="1"/>
  </cols>
  <sheetData>
    <row r="1" spans="1:16" ht="21" x14ac:dyDescent="0.4">
      <c r="B1" s="103" t="s">
        <v>131</v>
      </c>
    </row>
    <row r="2" spans="1:16" ht="15.6" x14ac:dyDescent="0.3">
      <c r="B2" s="59"/>
    </row>
    <row r="3" spans="1:16" ht="15.6" x14ac:dyDescent="0.3">
      <c r="B3" s="105" t="s">
        <v>74</v>
      </c>
      <c r="C3" s="106"/>
      <c r="D3" s="107"/>
    </row>
    <row r="4" spans="1:16" x14ac:dyDescent="0.3">
      <c r="B4" s="108">
        <v>1000</v>
      </c>
      <c r="C4" s="104" t="s">
        <v>130</v>
      </c>
      <c r="D4" s="109"/>
    </row>
    <row r="5" spans="1:16" x14ac:dyDescent="0.3">
      <c r="B5" s="108">
        <v>200000</v>
      </c>
      <c r="C5" s="104" t="s">
        <v>32</v>
      </c>
      <c r="D5" s="109"/>
      <c r="J5" s="60"/>
    </row>
    <row r="6" spans="1:16" x14ac:dyDescent="0.3">
      <c r="B6" s="108">
        <v>500</v>
      </c>
      <c r="C6" s="104" t="s">
        <v>33</v>
      </c>
      <c r="D6" s="109"/>
      <c r="J6" s="60"/>
    </row>
    <row r="7" spans="1:16" x14ac:dyDescent="0.3">
      <c r="B7" s="110" t="s">
        <v>126</v>
      </c>
      <c r="C7" s="104"/>
      <c r="D7" s="109"/>
      <c r="J7" s="115">
        <v>12</v>
      </c>
      <c r="K7" s="116" t="s">
        <v>85</v>
      </c>
      <c r="L7" s="106"/>
      <c r="M7" s="106"/>
      <c r="N7" s="106"/>
      <c r="O7" s="106"/>
      <c r="P7" s="107"/>
    </row>
    <row r="8" spans="1:16" x14ac:dyDescent="0.3">
      <c r="B8" s="110" t="s">
        <v>127</v>
      </c>
      <c r="C8" s="104"/>
      <c r="D8" s="109"/>
      <c r="J8" s="117">
        <v>12</v>
      </c>
      <c r="K8" s="104" t="s">
        <v>78</v>
      </c>
      <c r="L8" s="104"/>
      <c r="M8" s="104"/>
      <c r="N8" s="104"/>
      <c r="O8" s="104"/>
      <c r="P8" s="109"/>
    </row>
    <row r="9" spans="1:16" x14ac:dyDescent="0.3">
      <c r="B9" s="111">
        <v>0.05</v>
      </c>
      <c r="C9" s="104" t="s">
        <v>79</v>
      </c>
      <c r="D9" s="109"/>
      <c r="J9" s="118">
        <v>0</v>
      </c>
      <c r="K9" s="104" t="s">
        <v>81</v>
      </c>
      <c r="L9" s="104"/>
      <c r="M9" s="104"/>
      <c r="N9" s="104"/>
      <c r="O9" s="104"/>
      <c r="P9" s="109"/>
    </row>
    <row r="10" spans="1:16" x14ac:dyDescent="0.3">
      <c r="B10" s="112">
        <v>0</v>
      </c>
      <c r="C10" s="113" t="s">
        <v>97</v>
      </c>
      <c r="D10" s="114"/>
      <c r="J10" s="118">
        <v>0</v>
      </c>
      <c r="K10" s="104" t="s">
        <v>82</v>
      </c>
      <c r="L10" s="104"/>
      <c r="M10" s="104"/>
      <c r="N10" s="104"/>
      <c r="O10" s="104"/>
      <c r="P10" s="109"/>
    </row>
    <row r="11" spans="1:16" x14ac:dyDescent="0.3">
      <c r="J11" s="118">
        <v>0</v>
      </c>
      <c r="K11" s="104" t="s">
        <v>83</v>
      </c>
      <c r="L11" s="119"/>
      <c r="M11" s="104"/>
      <c r="N11" s="104"/>
      <c r="O11" s="104"/>
      <c r="P11" s="109"/>
    </row>
    <row r="12" spans="1:16" x14ac:dyDescent="0.3">
      <c r="J12" s="120">
        <v>0</v>
      </c>
      <c r="K12" s="113" t="s">
        <v>84</v>
      </c>
      <c r="L12" s="113"/>
      <c r="M12" s="113"/>
      <c r="N12" s="113"/>
      <c r="O12" s="113"/>
      <c r="P12" s="114"/>
    </row>
    <row r="13" spans="1:16" x14ac:dyDescent="0.3">
      <c r="J13" s="94"/>
    </row>
    <row r="14" spans="1:16" ht="15.6" x14ac:dyDescent="0.3">
      <c r="B14" s="131" t="s">
        <v>108</v>
      </c>
      <c r="J14" s="131" t="str">
        <f>"B.  Valuation Year Y = "&amp;$J$8</f>
        <v>B.  Valuation Year Y = 12</v>
      </c>
    </row>
    <row r="15" spans="1:16" x14ac:dyDescent="0.3">
      <c r="J15" s="94"/>
    </row>
    <row r="16" spans="1:16" s="64" customFormat="1" ht="43.2" x14ac:dyDescent="0.3">
      <c r="A16" s="121" t="s">
        <v>0</v>
      </c>
      <c r="B16" s="121" t="s">
        <v>37</v>
      </c>
      <c r="C16" s="121" t="s">
        <v>80</v>
      </c>
      <c r="D16" s="121" t="s">
        <v>128</v>
      </c>
      <c r="E16" s="121" t="s">
        <v>54</v>
      </c>
      <c r="F16" s="121" t="s">
        <v>55</v>
      </c>
      <c r="G16" s="121" t="s">
        <v>129</v>
      </c>
      <c r="H16" s="122"/>
      <c r="I16" s="121" t="s">
        <v>0</v>
      </c>
      <c r="J16" s="121" t="s">
        <v>76</v>
      </c>
      <c r="K16" s="121" t="s">
        <v>77</v>
      </c>
      <c r="L16" s="121" t="s">
        <v>45</v>
      </c>
      <c r="M16" s="121" t="s">
        <v>128</v>
      </c>
      <c r="N16" s="121" t="s">
        <v>54</v>
      </c>
      <c r="O16" s="121" t="s">
        <v>55</v>
      </c>
      <c r="P16" s="121" t="s">
        <v>129</v>
      </c>
    </row>
    <row r="17" spans="1:20" x14ac:dyDescent="0.3">
      <c r="A17" s="65">
        <v>1</v>
      </c>
      <c r="B17" s="123">
        <v>0.05</v>
      </c>
      <c r="C17" s="124">
        <v>1E-3</v>
      </c>
      <c r="D17" s="125">
        <f>1000*200000</f>
        <v>200000000</v>
      </c>
      <c r="E17" s="126">
        <f t="shared" ref="E17:E36" si="0">D17/$B$5*$B$6</f>
        <v>500000</v>
      </c>
      <c r="F17" s="126">
        <f t="shared" ref="F17:F36" si="1">D17*C17</f>
        <v>200000</v>
      </c>
      <c r="G17" s="127">
        <f>SUM(F18:F$36)-F$39*SUM(E18:E$36)</f>
        <v>155321.00396750355</v>
      </c>
      <c r="H17" s="65"/>
      <c r="I17" s="65">
        <v>1</v>
      </c>
      <c r="J17" s="128">
        <f>+$J$9*($A17&gt;=$J$7)*($A17&lt;=$J$8)+$J$11*($A17&gt;$J$8)</f>
        <v>0</v>
      </c>
      <c r="K17" s="128">
        <f>+$J$10*($A17&gt;=$J$7)*($A17&lt;=$J$8)+$J$12*($A17&gt;$J$8)</f>
        <v>0</v>
      </c>
      <c r="L17" s="124">
        <f>$C17*(1+J17)</f>
        <v>1E-3</v>
      </c>
      <c r="M17" s="125">
        <f>1000*200000</f>
        <v>200000000</v>
      </c>
      <c r="N17" s="126">
        <f t="shared" ref="N17:N36" si="2">M17/$B$5*$B$6</f>
        <v>500000</v>
      </c>
      <c r="O17" s="126">
        <f t="shared" ref="O17:O36" si="3">M17*L17</f>
        <v>200000</v>
      </c>
      <c r="P17" s="126">
        <f>SUM(O18:O$36)-O$39*SUM(N18:N$36)</f>
        <v>155321.00396750355</v>
      </c>
      <c r="R17" t="str">
        <f t="shared" ref="R17:R27" si="4">IF(A17=$J$8,"Year "&amp;$J$8&amp;"= Val Year","")</f>
        <v/>
      </c>
    </row>
    <row r="18" spans="1:20" x14ac:dyDescent="0.3">
      <c r="A18" s="65">
        <v>2</v>
      </c>
      <c r="B18" s="123">
        <f t="shared" ref="B18:B36" si="5">B17</f>
        <v>0.05</v>
      </c>
      <c r="C18" s="124">
        <f t="shared" ref="C18:C36" si="6">C17+0.0001</f>
        <v>1.1000000000000001E-3</v>
      </c>
      <c r="D18" s="125">
        <f>D17*(1-$B17)*(1-C17)</f>
        <v>189810000</v>
      </c>
      <c r="E18" s="126">
        <f t="shared" si="0"/>
        <v>474525</v>
      </c>
      <c r="F18" s="126">
        <f t="shared" si="1"/>
        <v>208791</v>
      </c>
      <c r="G18" s="129">
        <f>SUM(F19:F$36)-F$39*SUM(E19:E$36)</f>
        <v>283747.40278286347</v>
      </c>
      <c r="H18" s="65"/>
      <c r="I18" s="65">
        <v>2</v>
      </c>
      <c r="J18" s="128">
        <f t="shared" ref="J18:J36" si="7">+$J$9*($A18&gt;=$J$7)*($A18&lt;=$J$8)+$J$11*($A18&gt;$J$8)</f>
        <v>0</v>
      </c>
      <c r="K18" s="128">
        <f t="shared" ref="K18:K36" si="8">+$J$10*($A18&gt;=$J$7)*($A18&lt;=$J$8)+$J$12*($A18&gt;$J$8)</f>
        <v>0</v>
      </c>
      <c r="L18" s="124">
        <f t="shared" ref="L18:L36" si="9">$C18*(1+J18)</f>
        <v>1.1000000000000001E-3</v>
      </c>
      <c r="M18" s="125">
        <f>M17*(1-$B17-$K17)*(1-L17)</f>
        <v>189810000</v>
      </c>
      <c r="N18" s="126">
        <f t="shared" si="2"/>
        <v>474525</v>
      </c>
      <c r="O18" s="126">
        <f t="shared" si="3"/>
        <v>208791</v>
      </c>
      <c r="P18" s="126">
        <f>SUM(O19:O$36)-O$39*SUM(N19:N$36)</f>
        <v>283747.40278286347</v>
      </c>
      <c r="R18" t="str">
        <f t="shared" si="4"/>
        <v/>
      </c>
    </row>
    <row r="19" spans="1:20" x14ac:dyDescent="0.3">
      <c r="A19" s="65">
        <v>3</v>
      </c>
      <c r="B19" s="123">
        <f t="shared" si="5"/>
        <v>0.05</v>
      </c>
      <c r="C19" s="124">
        <f t="shared" si="6"/>
        <v>1.2000000000000001E-3</v>
      </c>
      <c r="D19" s="125">
        <f t="shared" ref="D19:D36" si="10">D18*(1-B18)*(1-C18)</f>
        <v>180121148.55000001</v>
      </c>
      <c r="E19" s="126">
        <f t="shared" si="0"/>
        <v>450302.87137500005</v>
      </c>
      <c r="F19" s="126">
        <f t="shared" si="1"/>
        <v>216145.37826000003</v>
      </c>
      <c r="G19" s="129">
        <f>SUM(F20:F$36)-F$39*SUM(E20:E$36)</f>
        <v>387606.16121569276</v>
      </c>
      <c r="H19" s="65"/>
      <c r="I19" s="65">
        <v>3</v>
      </c>
      <c r="J19" s="128">
        <f t="shared" si="7"/>
        <v>0</v>
      </c>
      <c r="K19" s="128">
        <f t="shared" si="8"/>
        <v>0</v>
      </c>
      <c r="L19" s="124">
        <f t="shared" si="9"/>
        <v>1.2000000000000001E-3</v>
      </c>
      <c r="M19" s="125">
        <f>M18*(1-$B18-$K18)*(1-L18)</f>
        <v>180121148.55000001</v>
      </c>
      <c r="N19" s="126">
        <f t="shared" si="2"/>
        <v>450302.87137500005</v>
      </c>
      <c r="O19" s="126">
        <f t="shared" si="3"/>
        <v>216145.37826000003</v>
      </c>
      <c r="P19" s="126">
        <f>SUM(O20:O$36)-O$39*SUM(N20:N$36)</f>
        <v>387606.16121569276</v>
      </c>
      <c r="R19" t="str">
        <f t="shared" si="4"/>
        <v/>
      </c>
    </row>
    <row r="20" spans="1:20" x14ac:dyDescent="0.3">
      <c r="A20" s="65">
        <v>4</v>
      </c>
      <c r="B20" s="123">
        <f t="shared" si="5"/>
        <v>0.05</v>
      </c>
      <c r="C20" s="124">
        <f t="shared" si="6"/>
        <v>1.3000000000000002E-3</v>
      </c>
      <c r="D20" s="125">
        <f t="shared" si="10"/>
        <v>170909753.01315302</v>
      </c>
      <c r="E20" s="126">
        <f t="shared" si="0"/>
        <v>427274.38253288256</v>
      </c>
      <c r="F20" s="126">
        <f t="shared" si="1"/>
        <v>222182.67891709894</v>
      </c>
      <c r="G20" s="129">
        <f>SUM(F21:F$36)-F$39*SUM(E21:E$36)</f>
        <v>469062.60744095314</v>
      </c>
      <c r="H20" s="65"/>
      <c r="I20" s="65">
        <v>4</v>
      </c>
      <c r="J20" s="128">
        <f t="shared" si="7"/>
        <v>0</v>
      </c>
      <c r="K20" s="128">
        <f t="shared" si="8"/>
        <v>0</v>
      </c>
      <c r="L20" s="124">
        <f t="shared" si="9"/>
        <v>1.3000000000000002E-3</v>
      </c>
      <c r="M20" s="125">
        <f t="shared" ref="M20:M36" si="11">M19*(1-$B19-$K19)*(1-L19)</f>
        <v>170909753.01315302</v>
      </c>
      <c r="N20" s="126">
        <f t="shared" si="2"/>
        <v>427274.38253288256</v>
      </c>
      <c r="O20" s="126">
        <f t="shared" si="3"/>
        <v>222182.67891709894</v>
      </c>
      <c r="P20" s="126">
        <f>SUM(O21:O$36)-O$39*SUM(N21:N$36)</f>
        <v>469062.60744095314</v>
      </c>
      <c r="R20" t="str">
        <f t="shared" si="4"/>
        <v/>
      </c>
    </row>
    <row r="21" spans="1:20" x14ac:dyDescent="0.3">
      <c r="A21" s="65">
        <v>5</v>
      </c>
      <c r="B21" s="123">
        <f t="shared" si="5"/>
        <v>0.05</v>
      </c>
      <c r="C21" s="124">
        <f t="shared" si="6"/>
        <v>1.4000000000000002E-3</v>
      </c>
      <c r="D21" s="125">
        <f t="shared" si="10"/>
        <v>162153191.81752414</v>
      </c>
      <c r="E21" s="126">
        <f t="shared" si="0"/>
        <v>405382.97954381036</v>
      </c>
      <c r="F21" s="126">
        <f t="shared" si="1"/>
        <v>227014.46854453383</v>
      </c>
      <c r="G21" s="129">
        <f>SUM(F22:F$36)-F$39*SUM(E22:E$36)</f>
        <v>530130.3134621093</v>
      </c>
      <c r="H21" s="65"/>
      <c r="I21" s="65">
        <v>5</v>
      </c>
      <c r="J21" s="128">
        <f t="shared" si="7"/>
        <v>0</v>
      </c>
      <c r="K21" s="128">
        <f t="shared" si="8"/>
        <v>0</v>
      </c>
      <c r="L21" s="124">
        <f t="shared" si="9"/>
        <v>1.4000000000000002E-3</v>
      </c>
      <c r="M21" s="125">
        <f t="shared" si="11"/>
        <v>162153191.81752414</v>
      </c>
      <c r="N21" s="126">
        <f t="shared" si="2"/>
        <v>405382.97954381036</v>
      </c>
      <c r="O21" s="126">
        <f t="shared" si="3"/>
        <v>227014.46854453383</v>
      </c>
      <c r="P21" s="126">
        <f>SUM(O22:O$36)-O$39*SUM(N22:N$36)</f>
        <v>530130.3134621093</v>
      </c>
      <c r="R21" t="str">
        <f t="shared" si="4"/>
        <v/>
      </c>
    </row>
    <row r="22" spans="1:20" x14ac:dyDescent="0.3">
      <c r="A22" s="65">
        <v>6</v>
      </c>
      <c r="B22" s="123">
        <f t="shared" si="5"/>
        <v>0.05</v>
      </c>
      <c r="C22" s="124">
        <f t="shared" si="6"/>
        <v>1.5000000000000002E-3</v>
      </c>
      <c r="D22" s="125">
        <f t="shared" si="10"/>
        <v>153829868.48153061</v>
      </c>
      <c r="E22" s="126">
        <f t="shared" si="0"/>
        <v>384574.67120382655</v>
      </c>
      <c r="F22" s="126">
        <f t="shared" si="1"/>
        <v>230744.80272229595</v>
      </c>
      <c r="G22" s="126">
        <f>SUM(F23:F$36)-F$39*SUM(E23:E$36)</f>
        <v>572680.42728504585</v>
      </c>
      <c r="H22" s="65"/>
      <c r="I22" s="65">
        <v>6</v>
      </c>
      <c r="J22" s="128">
        <f t="shared" si="7"/>
        <v>0</v>
      </c>
      <c r="K22" s="128">
        <f t="shared" si="8"/>
        <v>0</v>
      </c>
      <c r="L22" s="124">
        <f t="shared" si="9"/>
        <v>1.5000000000000002E-3</v>
      </c>
      <c r="M22" s="125">
        <f t="shared" si="11"/>
        <v>153829868.48153061</v>
      </c>
      <c r="N22" s="126">
        <f t="shared" si="2"/>
        <v>384574.67120382655</v>
      </c>
      <c r="O22" s="126">
        <f t="shared" si="3"/>
        <v>230744.80272229595</v>
      </c>
      <c r="P22" s="126">
        <f>SUM(O23:O$36)-O$39*SUM(N23:N$36)</f>
        <v>572680.42728504585</v>
      </c>
      <c r="R22" t="str">
        <f t="shared" si="4"/>
        <v/>
      </c>
    </row>
    <row r="23" spans="1:20" x14ac:dyDescent="0.3">
      <c r="A23" s="65">
        <v>7</v>
      </c>
      <c r="B23" s="123">
        <f t="shared" si="5"/>
        <v>0.05</v>
      </c>
      <c r="C23" s="124">
        <f t="shared" si="6"/>
        <v>1.6000000000000003E-3</v>
      </c>
      <c r="D23" s="125">
        <f t="shared" si="10"/>
        <v>145919167.49486792</v>
      </c>
      <c r="E23" s="126">
        <f t="shared" si="0"/>
        <v>364797.91873716982</v>
      </c>
      <c r="F23" s="126">
        <f t="shared" si="1"/>
        <v>233470.66799178871</v>
      </c>
      <c r="G23" s="126">
        <f>SUM(F24:F$36)-F$39*SUM(E24:E$36)</f>
        <v>598450.48475515191</v>
      </c>
      <c r="H23" s="65"/>
      <c r="I23" s="65">
        <v>7</v>
      </c>
      <c r="J23" s="128">
        <f t="shared" si="7"/>
        <v>0</v>
      </c>
      <c r="K23" s="128">
        <f t="shared" si="8"/>
        <v>0</v>
      </c>
      <c r="L23" s="124">
        <f t="shared" si="9"/>
        <v>1.6000000000000003E-3</v>
      </c>
      <c r="M23" s="125">
        <f t="shared" si="11"/>
        <v>145919167.49486792</v>
      </c>
      <c r="N23" s="126">
        <f t="shared" si="2"/>
        <v>364797.91873716982</v>
      </c>
      <c r="O23" s="126">
        <f t="shared" si="3"/>
        <v>233470.66799178871</v>
      </c>
      <c r="P23" s="126">
        <f>SUM(O24:O$36)-O$39*SUM(N24:N$36)</f>
        <v>598450.48475515191</v>
      </c>
      <c r="R23" t="str">
        <f t="shared" si="4"/>
        <v/>
      </c>
    </row>
    <row r="24" spans="1:20" x14ac:dyDescent="0.3">
      <c r="A24" s="65">
        <v>8</v>
      </c>
      <c r="B24" s="123">
        <f t="shared" si="5"/>
        <v>0.05</v>
      </c>
      <c r="C24" s="124">
        <f t="shared" si="6"/>
        <v>1.7000000000000003E-3</v>
      </c>
      <c r="D24" s="125">
        <f t="shared" si="10"/>
        <v>138401411.98553231</v>
      </c>
      <c r="E24" s="126">
        <f t="shared" si="0"/>
        <v>346003.52996383078</v>
      </c>
      <c r="F24" s="126">
        <f t="shared" si="1"/>
        <v>235282.40037540498</v>
      </c>
      <c r="G24" s="126">
        <f>SUM(F25:F$36)-F$39*SUM(E25:E$36)</f>
        <v>609052.72766584437</v>
      </c>
      <c r="H24" s="65"/>
      <c r="I24" s="65">
        <v>8</v>
      </c>
      <c r="J24" s="128">
        <f t="shared" si="7"/>
        <v>0</v>
      </c>
      <c r="K24" s="128">
        <f t="shared" si="8"/>
        <v>0</v>
      </c>
      <c r="L24" s="124">
        <f t="shared" si="9"/>
        <v>1.7000000000000003E-3</v>
      </c>
      <c r="M24" s="125">
        <f t="shared" si="11"/>
        <v>138401411.98553231</v>
      </c>
      <c r="N24" s="126">
        <f t="shared" si="2"/>
        <v>346003.52996383078</v>
      </c>
      <c r="O24" s="126">
        <f t="shared" si="3"/>
        <v>235282.40037540498</v>
      </c>
      <c r="P24" s="126">
        <f>SUM(O25:O$36)-O$39*SUM(N25:N$36)</f>
        <v>609052.72766584437</v>
      </c>
      <c r="R24" t="str">
        <f t="shared" si="4"/>
        <v/>
      </c>
    </row>
    <row r="25" spans="1:20" x14ac:dyDescent="0.3">
      <c r="A25" s="65">
        <v>9</v>
      </c>
      <c r="B25" s="123">
        <f t="shared" si="5"/>
        <v>0.05</v>
      </c>
      <c r="C25" s="124">
        <f t="shared" si="6"/>
        <v>1.8000000000000004E-3</v>
      </c>
      <c r="D25" s="125">
        <f t="shared" si="10"/>
        <v>131257823.10589905</v>
      </c>
      <c r="E25" s="126">
        <f t="shared" si="0"/>
        <v>328144.55776474765</v>
      </c>
      <c r="F25" s="126">
        <f t="shared" si="1"/>
        <v>236264.08159061836</v>
      </c>
      <c r="G25" s="126">
        <f>SUM(F26:F$36)-F$39*SUM(E26:E$36)</f>
        <v>605981.95349811134</v>
      </c>
      <c r="H25" s="65"/>
      <c r="I25" s="65">
        <v>9</v>
      </c>
      <c r="J25" s="128">
        <f t="shared" si="7"/>
        <v>0</v>
      </c>
      <c r="K25" s="128">
        <f t="shared" si="8"/>
        <v>0</v>
      </c>
      <c r="L25" s="124">
        <f t="shared" si="9"/>
        <v>1.8000000000000004E-3</v>
      </c>
      <c r="M25" s="125">
        <f t="shared" si="11"/>
        <v>131257823.10589905</v>
      </c>
      <c r="N25" s="126">
        <f t="shared" si="2"/>
        <v>328144.55776474765</v>
      </c>
      <c r="O25" s="126">
        <f t="shared" si="3"/>
        <v>236264.08159061836</v>
      </c>
      <c r="P25" s="127">
        <f>SUM(O26:O$36)-O$39*SUM(N26:N$36)</f>
        <v>605981.95349811134</v>
      </c>
      <c r="R25" t="str">
        <f t="shared" si="4"/>
        <v/>
      </c>
    </row>
    <row r="26" spans="1:20" x14ac:dyDescent="0.3">
      <c r="A26" s="65">
        <v>10</v>
      </c>
      <c r="B26" s="123">
        <f t="shared" si="5"/>
        <v>0.05</v>
      </c>
      <c r="C26" s="124">
        <f t="shared" si="6"/>
        <v>1.9000000000000004E-3</v>
      </c>
      <c r="D26" s="125">
        <f t="shared" si="10"/>
        <v>124470481.07309301</v>
      </c>
      <c r="E26" s="126">
        <f t="shared" si="0"/>
        <v>311176.20268273255</v>
      </c>
      <c r="F26" s="126">
        <f t="shared" si="1"/>
        <v>236493.91403887677</v>
      </c>
      <c r="G26" s="126">
        <f>SUM(F27:F$36)-F$39*SUM(E27:E$36)</f>
        <v>590622.92095528264</v>
      </c>
      <c r="H26" s="65"/>
      <c r="I26" s="65">
        <v>10</v>
      </c>
      <c r="J26" s="128">
        <f t="shared" si="7"/>
        <v>0</v>
      </c>
      <c r="K26" s="128">
        <f t="shared" si="8"/>
        <v>0</v>
      </c>
      <c r="L26" s="124">
        <f t="shared" si="9"/>
        <v>1.9000000000000004E-3</v>
      </c>
      <c r="M26" s="125">
        <f t="shared" si="11"/>
        <v>124470481.07309301</v>
      </c>
      <c r="N26" s="126">
        <f t="shared" si="2"/>
        <v>311176.20268273255</v>
      </c>
      <c r="O26" s="126">
        <f t="shared" si="3"/>
        <v>236493.91403887677</v>
      </c>
      <c r="P26" s="126">
        <f>SUM(O27:O$36)-O$39*SUM(N27:N$36)</f>
        <v>590622.92095528264</v>
      </c>
      <c r="R26" t="str">
        <f t="shared" si="4"/>
        <v/>
      </c>
    </row>
    <row r="27" spans="1:20" x14ac:dyDescent="0.3">
      <c r="A27" s="65">
        <v>11</v>
      </c>
      <c r="B27" s="123">
        <f t="shared" si="5"/>
        <v>0.05</v>
      </c>
      <c r="C27" s="124">
        <f t="shared" si="6"/>
        <v>2.0000000000000005E-3</v>
      </c>
      <c r="D27" s="125">
        <f t="shared" si="10"/>
        <v>118022287.80110142</v>
      </c>
      <c r="E27" s="126">
        <f t="shared" si="0"/>
        <v>295055.71950275358</v>
      </c>
      <c r="F27" s="126">
        <f t="shared" si="1"/>
        <v>236044.57560220288</v>
      </c>
      <c r="G27" s="126">
        <f>SUM(F28:F$36)-F$39*SUM(E28:E$36)</f>
        <v>564257.33431322547</v>
      </c>
      <c r="H27" s="65"/>
      <c r="I27" s="65">
        <v>11</v>
      </c>
      <c r="J27" s="128">
        <f t="shared" si="7"/>
        <v>0</v>
      </c>
      <c r="K27" s="128">
        <f t="shared" si="8"/>
        <v>0</v>
      </c>
      <c r="L27" s="124">
        <f t="shared" si="9"/>
        <v>2.0000000000000005E-3</v>
      </c>
      <c r="M27" s="125">
        <f t="shared" si="11"/>
        <v>118022287.80110142</v>
      </c>
      <c r="N27" s="126">
        <f t="shared" si="2"/>
        <v>295055.71950275358</v>
      </c>
      <c r="O27" s="126">
        <f t="shared" si="3"/>
        <v>236044.57560220288</v>
      </c>
      <c r="P27" s="126">
        <f>SUM(O28:O$36)-O$39*SUM(N28:N$36)</f>
        <v>564257.33431322547</v>
      </c>
      <c r="R27" s="130" t="str">
        <f t="shared" si="4"/>
        <v/>
      </c>
    </row>
    <row r="28" spans="1:20" x14ac:dyDescent="0.3">
      <c r="A28" s="65">
        <v>12</v>
      </c>
      <c r="B28" s="123">
        <f t="shared" si="5"/>
        <v>0.05</v>
      </c>
      <c r="C28" s="124">
        <f t="shared" si="6"/>
        <v>2.1000000000000003E-3</v>
      </c>
      <c r="D28" s="125">
        <f t="shared" si="10"/>
        <v>111896931.06422424</v>
      </c>
      <c r="E28" s="126">
        <f t="shared" si="0"/>
        <v>279742.32766056061</v>
      </c>
      <c r="F28" s="126">
        <f t="shared" si="1"/>
        <v>234983.55523487093</v>
      </c>
      <c r="G28" s="126">
        <f>SUM(F29:F$36)-F$39*SUM(E29:E$36)</f>
        <v>528070.42851146846</v>
      </c>
      <c r="H28" s="65"/>
      <c r="I28" s="65">
        <v>12</v>
      </c>
      <c r="J28" s="128">
        <f t="shared" si="7"/>
        <v>0</v>
      </c>
      <c r="K28" s="128">
        <f t="shared" si="8"/>
        <v>0</v>
      </c>
      <c r="L28" s="124">
        <f t="shared" si="9"/>
        <v>2.1000000000000003E-3</v>
      </c>
      <c r="M28" s="125">
        <f t="shared" si="11"/>
        <v>111896931.06422424</v>
      </c>
      <c r="N28" s="126">
        <f t="shared" si="2"/>
        <v>279742.32766056061</v>
      </c>
      <c r="O28" s="126">
        <f t="shared" si="3"/>
        <v>234983.55523487093</v>
      </c>
      <c r="P28" s="126">
        <f>SUM(O29:O$36)-O$39*SUM(N29:N$36)</f>
        <v>528070.42851146846</v>
      </c>
      <c r="R28" t="str">
        <f>IF(A28=$J$8,"&lt;---Year "&amp;$J$8&amp;"= Val Year","")</f>
        <v>&lt;---Year 12= Val Year</v>
      </c>
      <c r="T28" s="68"/>
    </row>
    <row r="29" spans="1:20" x14ac:dyDescent="0.3">
      <c r="A29" s="65">
        <v>13</v>
      </c>
      <c r="B29" s="123">
        <f t="shared" si="5"/>
        <v>0.05</v>
      </c>
      <c r="C29" s="124">
        <f t="shared" si="6"/>
        <v>2.2000000000000001E-3</v>
      </c>
      <c r="D29" s="125">
        <f t="shared" si="10"/>
        <v>106078850.1335399</v>
      </c>
      <c r="E29" s="126">
        <f t="shared" si="0"/>
        <v>265197.12533384975</v>
      </c>
      <c r="F29" s="126">
        <f t="shared" si="1"/>
        <v>233373.4702937878</v>
      </c>
      <c r="G29" s="126">
        <f>SUM(F30:F$36)-F$39*SUM(E30:E$36)</f>
        <v>483157.17586351978</v>
      </c>
      <c r="H29" s="65"/>
      <c r="I29" s="65">
        <v>13</v>
      </c>
      <c r="J29" s="128">
        <f t="shared" si="7"/>
        <v>0</v>
      </c>
      <c r="K29" s="128">
        <f t="shared" si="8"/>
        <v>0</v>
      </c>
      <c r="L29" s="124">
        <f t="shared" si="9"/>
        <v>2.2000000000000001E-3</v>
      </c>
      <c r="M29" s="125">
        <f t="shared" si="11"/>
        <v>106078850.1335399</v>
      </c>
      <c r="N29" s="126">
        <f t="shared" si="2"/>
        <v>265197.12533384975</v>
      </c>
      <c r="O29" s="126">
        <f t="shared" si="3"/>
        <v>233373.4702937878</v>
      </c>
      <c r="P29" s="126">
        <f>SUM(O30:O$36)-O$39*SUM(N30:N$36)</f>
        <v>483157.17586351978</v>
      </c>
      <c r="R29" t="str">
        <f t="shared" ref="R29:R35" si="12">IF(A29=$J$8,"Year "&amp;$J$8&amp;"= Val Year","")</f>
        <v/>
      </c>
    </row>
    <row r="30" spans="1:20" x14ac:dyDescent="0.3">
      <c r="A30" s="65">
        <v>14</v>
      </c>
      <c r="B30" s="123">
        <f t="shared" si="5"/>
        <v>0.05</v>
      </c>
      <c r="C30" s="124">
        <f t="shared" si="6"/>
        <v>2.3E-3</v>
      </c>
      <c r="D30" s="125">
        <f t="shared" si="10"/>
        <v>100553202.8300838</v>
      </c>
      <c r="E30" s="126">
        <f t="shared" si="0"/>
        <v>251383.00707520952</v>
      </c>
      <c r="F30" s="126">
        <f t="shared" si="1"/>
        <v>231272.36650919274</v>
      </c>
      <c r="G30" s="126">
        <f>SUM(F31:F$36)-F$39*SUM(E31:E$36)</f>
        <v>430528.13426299463</v>
      </c>
      <c r="H30" s="65"/>
      <c r="I30" s="65">
        <v>14</v>
      </c>
      <c r="J30" s="128">
        <f t="shared" si="7"/>
        <v>0</v>
      </c>
      <c r="K30" s="128">
        <f t="shared" si="8"/>
        <v>0</v>
      </c>
      <c r="L30" s="124">
        <f t="shared" si="9"/>
        <v>2.3E-3</v>
      </c>
      <c r="M30" s="125">
        <f t="shared" si="11"/>
        <v>100553202.8300838</v>
      </c>
      <c r="N30" s="126">
        <f t="shared" si="2"/>
        <v>251383.00707520952</v>
      </c>
      <c r="O30" s="126">
        <f t="shared" si="3"/>
        <v>231272.36650919274</v>
      </c>
      <c r="P30" s="126">
        <f>SUM(O31:O$36)-O$39*SUM(N31:N$36)</f>
        <v>430528.13426299463</v>
      </c>
      <c r="R30" t="str">
        <f t="shared" si="12"/>
        <v/>
      </c>
    </row>
    <row r="31" spans="1:20" x14ac:dyDescent="0.3">
      <c r="A31" s="65">
        <v>15</v>
      </c>
      <c r="B31" s="123">
        <f t="shared" si="5"/>
        <v>0.05</v>
      </c>
      <c r="C31" s="124">
        <f t="shared" si="6"/>
        <v>2.3999999999999998E-3</v>
      </c>
      <c r="D31" s="125">
        <f t="shared" si="10"/>
        <v>95305833.940395877</v>
      </c>
      <c r="E31" s="126">
        <f t="shared" si="0"/>
        <v>238264.58485098969</v>
      </c>
      <c r="F31" s="126">
        <f t="shared" si="1"/>
        <v>228734.00145695009</v>
      </c>
      <c r="G31" s="126">
        <f>SUM(F32:F$36)-F$39*SUM(E32:E$36)</f>
        <v>371114.955804353</v>
      </c>
      <c r="H31" s="65"/>
      <c r="I31" s="65">
        <v>15</v>
      </c>
      <c r="J31" s="128">
        <f t="shared" si="7"/>
        <v>0</v>
      </c>
      <c r="K31" s="128">
        <f t="shared" si="8"/>
        <v>0</v>
      </c>
      <c r="L31" s="124">
        <f t="shared" si="9"/>
        <v>2.3999999999999998E-3</v>
      </c>
      <c r="M31" s="125">
        <f t="shared" si="11"/>
        <v>95305833.940395877</v>
      </c>
      <c r="N31" s="126">
        <f t="shared" si="2"/>
        <v>238264.58485098969</v>
      </c>
      <c r="O31" s="126">
        <f t="shared" si="3"/>
        <v>228734.00145695009</v>
      </c>
      <c r="P31" s="126">
        <f>SUM(O32:O$36)-O$39*SUM(N32:N$36)</f>
        <v>371114.955804353</v>
      </c>
      <c r="R31" t="str">
        <f t="shared" si="12"/>
        <v/>
      </c>
    </row>
    <row r="32" spans="1:20" x14ac:dyDescent="0.3">
      <c r="A32" s="65">
        <v>16</v>
      </c>
      <c r="B32" s="123">
        <f t="shared" si="5"/>
        <v>0.05</v>
      </c>
      <c r="C32" s="124">
        <f t="shared" si="6"/>
        <v>2.4999999999999996E-3</v>
      </c>
      <c r="D32" s="125">
        <f t="shared" si="10"/>
        <v>90323244.941991985</v>
      </c>
      <c r="E32" s="126">
        <f t="shared" si="0"/>
        <v>225808.11235497997</v>
      </c>
      <c r="F32" s="126">
        <f t="shared" si="1"/>
        <v>225808.11235497994</v>
      </c>
      <c r="G32" s="126">
        <f>SUM(F33:F$36)-F$39*SUM(E33:E$36)</f>
        <v>305775.57382132986</v>
      </c>
      <c r="H32" s="65"/>
      <c r="I32" s="65">
        <v>16</v>
      </c>
      <c r="J32" s="128">
        <f t="shared" si="7"/>
        <v>0</v>
      </c>
      <c r="K32" s="128">
        <f t="shared" si="8"/>
        <v>0</v>
      </c>
      <c r="L32" s="124">
        <f t="shared" si="9"/>
        <v>2.4999999999999996E-3</v>
      </c>
      <c r="M32" s="125">
        <f t="shared" si="11"/>
        <v>90323244.941991985</v>
      </c>
      <c r="N32" s="126">
        <f t="shared" si="2"/>
        <v>225808.11235497997</v>
      </c>
      <c r="O32" s="126">
        <f t="shared" si="3"/>
        <v>225808.11235497994</v>
      </c>
      <c r="P32" s="126">
        <f>SUM(O33:O$36)-O$39*SUM(N33:N$36)</f>
        <v>305775.57382132986</v>
      </c>
      <c r="R32" t="str">
        <f t="shared" si="12"/>
        <v/>
      </c>
    </row>
    <row r="33" spans="1:18" x14ac:dyDescent="0.3">
      <c r="A33" s="65">
        <v>17</v>
      </c>
      <c r="B33" s="123">
        <f t="shared" si="5"/>
        <v>0.05</v>
      </c>
      <c r="C33" s="124">
        <f t="shared" si="6"/>
        <v>2.5999999999999994E-3</v>
      </c>
      <c r="D33" s="125">
        <f t="shared" si="10"/>
        <v>85592564.988155156</v>
      </c>
      <c r="E33" s="126">
        <f t="shared" si="0"/>
        <v>213981.41247038788</v>
      </c>
      <c r="F33" s="126">
        <f t="shared" si="1"/>
        <v>222540.66896920337</v>
      </c>
      <c r="G33" s="126">
        <f>SUM(F34:F$36)-F$39*SUM(E34:E$36)</f>
        <v>235299.08547085215</v>
      </c>
      <c r="H33" s="65"/>
      <c r="I33" s="65">
        <v>17</v>
      </c>
      <c r="J33" s="128">
        <f t="shared" si="7"/>
        <v>0</v>
      </c>
      <c r="K33" s="128">
        <f t="shared" si="8"/>
        <v>0</v>
      </c>
      <c r="L33" s="124">
        <f t="shared" si="9"/>
        <v>2.5999999999999994E-3</v>
      </c>
      <c r="M33" s="125">
        <f t="shared" si="11"/>
        <v>85592564.988155156</v>
      </c>
      <c r="N33" s="126">
        <f t="shared" si="2"/>
        <v>213981.41247038788</v>
      </c>
      <c r="O33" s="126">
        <f t="shared" si="3"/>
        <v>222540.66896920337</v>
      </c>
      <c r="P33" s="126">
        <f>SUM(O34:O$36)-O$39*SUM(N34:N$36)</f>
        <v>235299.08547085215</v>
      </c>
      <c r="R33" t="str">
        <f t="shared" si="12"/>
        <v/>
      </c>
    </row>
    <row r="34" spans="1:18" x14ac:dyDescent="0.3">
      <c r="A34" s="65">
        <v>18</v>
      </c>
      <c r="B34" s="123">
        <f t="shared" si="5"/>
        <v>0.05</v>
      </c>
      <c r="C34" s="124">
        <f t="shared" si="6"/>
        <v>2.6999999999999993E-3</v>
      </c>
      <c r="D34" s="125">
        <f t="shared" si="10"/>
        <v>81101523.103226647</v>
      </c>
      <c r="E34" s="126">
        <f t="shared" si="0"/>
        <v>202753.80775806663</v>
      </c>
      <c r="F34" s="126">
        <f t="shared" si="1"/>
        <v>218974.1123787119</v>
      </c>
      <c r="G34" s="126">
        <f>SUM(F35:F$36)-F$39*SUM(E35:E$36)</f>
        <v>160410.34615380137</v>
      </c>
      <c r="H34" s="65"/>
      <c r="I34" s="65">
        <v>18</v>
      </c>
      <c r="J34" s="128">
        <f t="shared" si="7"/>
        <v>0</v>
      </c>
      <c r="K34" s="128">
        <f t="shared" si="8"/>
        <v>0</v>
      </c>
      <c r="L34" s="124">
        <f t="shared" si="9"/>
        <v>2.6999999999999993E-3</v>
      </c>
      <c r="M34" s="125">
        <f t="shared" si="11"/>
        <v>81101523.103226647</v>
      </c>
      <c r="N34" s="126">
        <f t="shared" si="2"/>
        <v>202753.80775806663</v>
      </c>
      <c r="O34" s="126">
        <f t="shared" si="3"/>
        <v>218974.1123787119</v>
      </c>
      <c r="P34" s="126">
        <f>SUM(O35:O$36)-O$39*SUM(N35:N$36)</f>
        <v>160410.34615380137</v>
      </c>
      <c r="R34" t="str">
        <f t="shared" si="12"/>
        <v/>
      </c>
    </row>
    <row r="35" spans="1:18" x14ac:dyDescent="0.3">
      <c r="A35" s="65">
        <v>19</v>
      </c>
      <c r="B35" s="123">
        <f t="shared" si="5"/>
        <v>0.05</v>
      </c>
      <c r="C35" s="124">
        <f t="shared" si="6"/>
        <v>2.7999999999999991E-3</v>
      </c>
      <c r="D35" s="125">
        <f t="shared" si="10"/>
        <v>76838421.541305527</v>
      </c>
      <c r="E35" s="126">
        <f t="shared" si="0"/>
        <v>192096.05385326382</v>
      </c>
      <c r="F35" s="126">
        <f t="shared" si="1"/>
        <v>215147.58031565542</v>
      </c>
      <c r="G35" s="126">
        <f>SUM(F36:F$36)-F$39*SUM(E36:E$36)</f>
        <v>81774.291264820829</v>
      </c>
      <c r="H35" s="65"/>
      <c r="I35" s="65">
        <v>19</v>
      </c>
      <c r="J35" s="128">
        <f t="shared" si="7"/>
        <v>0</v>
      </c>
      <c r="K35" s="128">
        <f t="shared" si="8"/>
        <v>0</v>
      </c>
      <c r="L35" s="124">
        <f t="shared" si="9"/>
        <v>2.7999999999999991E-3</v>
      </c>
      <c r="M35" s="125">
        <f t="shared" si="11"/>
        <v>76838421.541305527</v>
      </c>
      <c r="N35" s="126">
        <f t="shared" si="2"/>
        <v>192096.05385326382</v>
      </c>
      <c r="O35" s="126">
        <f t="shared" si="3"/>
        <v>215147.58031565542</v>
      </c>
      <c r="P35" s="126">
        <f>SUM(O36:O$36)-O$39*SUM(N36:N$36)</f>
        <v>81774.291264820829</v>
      </c>
      <c r="R35" t="str">
        <f t="shared" si="12"/>
        <v/>
      </c>
    </row>
    <row r="36" spans="1:18" x14ac:dyDescent="0.3">
      <c r="A36" s="65">
        <v>20</v>
      </c>
      <c r="B36" s="123">
        <f t="shared" si="5"/>
        <v>0.05</v>
      </c>
      <c r="C36" s="124">
        <f t="shared" si="6"/>
        <v>2.8999999999999989E-3</v>
      </c>
      <c r="D36" s="125">
        <f t="shared" si="10"/>
        <v>72792110.262940377</v>
      </c>
      <c r="E36" s="126">
        <f t="shared" si="0"/>
        <v>181980.27565735095</v>
      </c>
      <c r="F36" s="126">
        <f t="shared" si="1"/>
        <v>211097.11976252703</v>
      </c>
      <c r="G36" s="126">
        <v>0</v>
      </c>
      <c r="H36" s="65"/>
      <c r="I36" s="65">
        <v>20</v>
      </c>
      <c r="J36" s="128">
        <f t="shared" si="7"/>
        <v>0</v>
      </c>
      <c r="K36" s="128">
        <f t="shared" si="8"/>
        <v>0</v>
      </c>
      <c r="L36" s="124">
        <f t="shared" si="9"/>
        <v>2.8999999999999989E-3</v>
      </c>
      <c r="M36" s="125">
        <f t="shared" si="11"/>
        <v>72792110.262940377</v>
      </c>
      <c r="N36" s="126">
        <f t="shared" si="2"/>
        <v>181980.27565735095</v>
      </c>
      <c r="O36" s="126">
        <f t="shared" si="3"/>
        <v>211097.11976252703</v>
      </c>
      <c r="P36" s="126">
        <v>0</v>
      </c>
    </row>
    <row r="37" spans="1:18" s="27" customFormat="1" ht="15" thickBot="1" x14ac:dyDescent="0.35">
      <c r="A37" s="98" t="s">
        <v>1</v>
      </c>
      <c r="B37" s="98"/>
      <c r="C37" s="98"/>
      <c r="D37" s="98"/>
      <c r="E37" s="133">
        <f>NPV($B$10,E$17:E$36)</f>
        <v>6338444.5403214125</v>
      </c>
      <c r="F37" s="133">
        <f>NPV($B$10,F$17:F$36)</f>
        <v>4504364.9553186996</v>
      </c>
      <c r="G37" s="98"/>
      <c r="H37" s="130"/>
      <c r="I37" s="98" t="s">
        <v>1</v>
      </c>
      <c r="J37" s="98"/>
      <c r="K37" s="98"/>
      <c r="L37" s="98"/>
      <c r="M37" s="98"/>
      <c r="N37" s="133">
        <f>NPV($B$10,N$17:N$36)</f>
        <v>6338444.5403214125</v>
      </c>
      <c r="O37" s="133">
        <f>NPV($B$10,O$17:O$36)</f>
        <v>4504364.9553186996</v>
      </c>
      <c r="P37" s="98"/>
    </row>
    <row r="38" spans="1:18" s="27" customFormat="1" ht="7.5" customHeight="1" thickTop="1" x14ac:dyDescent="0.3">
      <c r="A38" s="29"/>
      <c r="B38" s="29"/>
      <c r="C38" s="29"/>
      <c r="D38" s="99"/>
      <c r="E38" s="99"/>
      <c r="F38" s="99"/>
      <c r="G38" s="29"/>
      <c r="I38" s="29"/>
      <c r="J38" s="29"/>
      <c r="K38" s="29"/>
      <c r="L38" s="29"/>
      <c r="M38" s="99"/>
      <c r="N38" s="99"/>
      <c r="O38" s="99"/>
      <c r="P38" s="29"/>
    </row>
    <row r="39" spans="1:18" x14ac:dyDescent="0.3">
      <c r="D39" s="196" t="s">
        <v>46</v>
      </c>
      <c r="E39" s="101"/>
      <c r="F39" s="71">
        <f>F37/E37</f>
        <v>0.71064200793500831</v>
      </c>
      <c r="L39" s="93"/>
      <c r="M39" s="196" t="s">
        <v>46</v>
      </c>
      <c r="N39" s="102"/>
      <c r="O39" s="71">
        <f>O37/N37</f>
        <v>0.71064200793500831</v>
      </c>
    </row>
    <row r="50" spans="1:7" x14ac:dyDescent="0.3">
      <c r="A50" s="64"/>
    </row>
    <row r="51" spans="1:7" x14ac:dyDescent="0.3">
      <c r="A51" s="65"/>
      <c r="B51" s="68"/>
    </row>
    <row r="52" spans="1:7" x14ac:dyDescent="0.3">
      <c r="A52" s="65"/>
      <c r="B52" s="68"/>
    </row>
    <row r="53" spans="1:7" x14ac:dyDescent="0.3">
      <c r="A53" s="65"/>
      <c r="B53" s="68"/>
      <c r="C53" s="68"/>
      <c r="D53" s="68"/>
      <c r="F53" s="68"/>
      <c r="G53" s="68"/>
    </row>
    <row r="54" spans="1:7" x14ac:dyDescent="0.3">
      <c r="A54" s="65"/>
      <c r="B54" s="68"/>
      <c r="C54" s="68"/>
      <c r="D54" s="68"/>
      <c r="F54" s="68"/>
      <c r="G54" s="68"/>
    </row>
    <row r="55" spans="1:7" x14ac:dyDescent="0.3">
      <c r="A55" s="65"/>
      <c r="B55" s="68"/>
      <c r="C55" s="68"/>
      <c r="D55" s="68"/>
      <c r="F55" s="68"/>
      <c r="G55" s="68"/>
    </row>
    <row r="56" spans="1:7" x14ac:dyDescent="0.3">
      <c r="A56" s="65"/>
      <c r="B56" s="68"/>
      <c r="C56" s="68"/>
      <c r="D56" s="68"/>
      <c r="F56" s="68"/>
      <c r="G56" s="68"/>
    </row>
    <row r="57" spans="1:7" x14ac:dyDescent="0.3">
      <c r="A57" s="65"/>
      <c r="B57" s="68"/>
      <c r="C57" s="68"/>
      <c r="G57" s="68"/>
    </row>
    <row r="58" spans="1:7" x14ac:dyDescent="0.3">
      <c r="A58" s="65"/>
      <c r="B58" s="68"/>
      <c r="C58" s="68"/>
      <c r="G58" s="68"/>
    </row>
    <row r="59" spans="1:7" x14ac:dyDescent="0.3">
      <c r="A59" s="65"/>
      <c r="B59" s="68"/>
      <c r="C59" s="68"/>
      <c r="G59" s="68"/>
    </row>
    <row r="60" spans="1:7" x14ac:dyDescent="0.3">
      <c r="A60" s="65"/>
    </row>
    <row r="61" spans="1:7" x14ac:dyDescent="0.3">
      <c r="A61" s="65"/>
    </row>
    <row r="62" spans="1:7" x14ac:dyDescent="0.3">
      <c r="A62" s="65"/>
    </row>
    <row r="63" spans="1:7" x14ac:dyDescent="0.3">
      <c r="A63" s="65"/>
    </row>
    <row r="64" spans="1:7" x14ac:dyDescent="0.3">
      <c r="A64" s="65"/>
    </row>
    <row r="65" spans="1:1" x14ac:dyDescent="0.3">
      <c r="A65" s="65"/>
    </row>
    <row r="66" spans="1:1" x14ac:dyDescent="0.3">
      <c r="A66" s="65"/>
    </row>
    <row r="67" spans="1:1" x14ac:dyDescent="0.3">
      <c r="A67" s="65"/>
    </row>
    <row r="68" spans="1:1" x14ac:dyDescent="0.3">
      <c r="A68" s="65"/>
    </row>
    <row r="69" spans="1:1" x14ac:dyDescent="0.3">
      <c r="A69" s="65"/>
    </row>
    <row r="70" spans="1:1" ht="15" thickBot="1" x14ac:dyDescent="0.35">
      <c r="A70" s="70"/>
    </row>
    <row r="71" spans="1:1" ht="15" thickTop="1" x14ac:dyDescent="0.3"/>
  </sheetData>
  <conditionalFormatting sqref="A17:G36 I17:P36">
    <cfRule type="expression" dxfId="1" priority="1">
      <formula>MOD(ROW(),2)=1</formula>
    </cfRule>
    <cfRule type="expression" dxfId="0" priority="2">
      <formula>MOD(ROW(),2)=0</formula>
    </cfRule>
  </conditionalFormatting>
  <pageMargins left="0.7" right="0.7" top="0.75" bottom="0.75" header="0.3" footer="0.3"/>
  <pageSetup orientation="portrait" r:id="rId1"/>
  <ignoredErrors>
    <ignoredError sqref="R2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C0D8"/>
  </sheetPr>
  <dimension ref="B1:F12"/>
  <sheetViews>
    <sheetView showGridLines="0" zoomScale="80" zoomScaleNormal="80" workbookViewId="0">
      <selection activeCell="B2" sqref="B2"/>
    </sheetView>
  </sheetViews>
  <sheetFormatPr defaultRowHeight="14.4" x14ac:dyDescent="0.3"/>
  <cols>
    <col min="1" max="1" width="1.109375" customWidth="1"/>
    <col min="2" max="2" width="21" customWidth="1"/>
    <col min="3" max="3" width="79.88671875" style="86" customWidth="1"/>
    <col min="7" max="7" width="4.44140625" customWidth="1"/>
    <col min="15" max="15" width="4.21875" customWidth="1"/>
  </cols>
  <sheetData>
    <row r="1" spans="2:6" ht="8.4" customHeight="1" x14ac:dyDescent="0.3">
      <c r="B1" s="72"/>
      <c r="C1" s="72"/>
      <c r="D1" s="72"/>
      <c r="E1" s="72"/>
      <c r="F1" s="72"/>
    </row>
    <row r="2" spans="2:6" ht="25.5" customHeight="1" x14ac:dyDescent="0.4">
      <c r="B2" s="205" t="s">
        <v>152</v>
      </c>
      <c r="C2" s="72"/>
      <c r="D2" s="72"/>
      <c r="E2" s="72"/>
      <c r="F2" s="72"/>
    </row>
    <row r="3" spans="2:6" ht="8.4" customHeight="1" x14ac:dyDescent="0.3">
      <c r="B3" s="72"/>
      <c r="C3" s="72"/>
      <c r="D3" s="72"/>
      <c r="E3" s="72"/>
      <c r="F3" s="72"/>
    </row>
    <row r="4" spans="2:6" ht="27" customHeight="1" x14ac:dyDescent="0.3">
      <c r="B4" s="83" t="s">
        <v>67</v>
      </c>
      <c r="C4" s="227" t="s">
        <v>153</v>
      </c>
      <c r="D4" s="228"/>
      <c r="E4" s="228"/>
      <c r="F4" s="228"/>
    </row>
    <row r="5" spans="2:6" ht="9" customHeight="1" x14ac:dyDescent="0.3">
      <c r="C5"/>
    </row>
    <row r="6" spans="2:6" s="85" customFormat="1" ht="54" customHeight="1" x14ac:dyDescent="0.3">
      <c r="B6" s="84" t="s">
        <v>154</v>
      </c>
      <c r="C6" s="217" t="s">
        <v>160</v>
      </c>
      <c r="D6" s="217"/>
      <c r="E6" s="217"/>
      <c r="F6" s="217"/>
    </row>
    <row r="7" spans="2:6" s="85" customFormat="1" ht="99" customHeight="1" x14ac:dyDescent="0.3">
      <c r="B7" s="84" t="s">
        <v>155</v>
      </c>
      <c r="C7" s="217" t="s">
        <v>161</v>
      </c>
      <c r="D7" s="217"/>
      <c r="E7" s="217"/>
      <c r="F7" s="217"/>
    </row>
    <row r="8" spans="2:6" s="85" customFormat="1" ht="72" customHeight="1" x14ac:dyDescent="0.3">
      <c r="B8" s="84" t="s">
        <v>156</v>
      </c>
      <c r="C8" s="217" t="s">
        <v>162</v>
      </c>
      <c r="D8" s="217"/>
      <c r="E8" s="217"/>
      <c r="F8" s="217"/>
    </row>
    <row r="9" spans="2:6" ht="9" customHeight="1" x14ac:dyDescent="0.3">
      <c r="C9"/>
    </row>
    <row r="10" spans="2:6" s="85" customFormat="1" ht="54.75" customHeight="1" x14ac:dyDescent="0.3">
      <c r="B10" s="84" t="s">
        <v>157</v>
      </c>
      <c r="C10" s="217" t="s">
        <v>163</v>
      </c>
      <c r="D10" s="217"/>
      <c r="E10" s="217"/>
      <c r="F10" s="217"/>
    </row>
    <row r="11" spans="2:6" s="85" customFormat="1" ht="54.75" customHeight="1" x14ac:dyDescent="0.3">
      <c r="B11" s="84" t="s">
        <v>158</v>
      </c>
      <c r="C11" s="217" t="s">
        <v>164</v>
      </c>
      <c r="D11" s="217"/>
      <c r="E11" s="217"/>
      <c r="F11" s="217"/>
    </row>
    <row r="12" spans="2:6" s="85" customFormat="1" ht="54.75" customHeight="1" x14ac:dyDescent="0.3">
      <c r="B12" s="84" t="s">
        <v>159</v>
      </c>
      <c r="C12" s="217" t="s">
        <v>165</v>
      </c>
      <c r="D12" s="217"/>
      <c r="E12" s="217"/>
      <c r="F12" s="217"/>
    </row>
  </sheetData>
  <mergeCells count="7">
    <mergeCell ref="C10:F10"/>
    <mergeCell ref="C11:F11"/>
    <mergeCell ref="C12:F12"/>
    <mergeCell ref="C4:F4"/>
    <mergeCell ref="C6:F6"/>
    <mergeCell ref="C7:F7"/>
    <mergeCell ref="C8:F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FASB DAC Guidance</vt:lpstr>
      <vt:lpstr>DAC Example</vt:lpstr>
      <vt:lpstr>20 YT DAC</vt:lpstr>
      <vt:lpstr>FASB Reserve Guidance</vt:lpstr>
      <vt:lpstr>Reserve Example</vt:lpstr>
      <vt:lpstr>20 YT Reserve</vt:lpstr>
      <vt:lpstr>Answer Key</vt:lpstr>
      <vt:lpstr>'DAC Example'!Print_Area</vt:lpstr>
      <vt:lpstr>'FASB DAC Guidance'!Print_Area</vt:lpstr>
      <vt:lpstr>'FASB Reserve 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2021-11-16T20:53:01Z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