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leshia\Fall 2021 solutions\"/>
    </mc:Choice>
  </mc:AlternateContent>
  <xr:revisionPtr revIDLastSave="0" documentId="8_{6D40ADB9-355D-4C17-9156-053550EFD0F2}" xr6:coauthVersionLast="47" xr6:coauthVersionMax="47" xr10:uidLastSave="{00000000-0000-0000-0000-000000000000}"/>
  <bookViews>
    <workbookView xWindow="384" yWindow="384" windowWidth="17280" windowHeight="8964" tabRatio="635" firstSheet="5" activeTab="7" xr2:uid="{0199C817-F298-4D02-B47D-6B508A1177A0}"/>
  </bookViews>
  <sheets>
    <sheet name="Q3 (a)(ii) Credit" sheetId="157" r:id="rId1"/>
    <sheet name="Q3 (a)(ii) Interest Rate" sheetId="158" r:id="rId2"/>
    <sheet name="Q3 (b)(i) Aggregation" sheetId="159" r:id="rId3"/>
    <sheet name="Q3 (c)(i) Credit" sheetId="164" r:id="rId4"/>
    <sheet name="Q3 (c)(i) Interest Rate" sheetId="165" r:id="rId5"/>
    <sheet name="Q3 (c)(i) Aggregation" sheetId="166" r:id="rId6"/>
    <sheet name="Q4 (b)(i), (b)(ii)" sheetId="167" r:id="rId7"/>
    <sheet name="8 (c)" sheetId="168" r:id="rId8"/>
  </sheets>
  <definedNames>
    <definedName name="CognitiveLevels">#REF!</definedName>
    <definedName name="CommonGuidance">#REF!</definedName>
    <definedName name="LO_1">#REF!</definedName>
    <definedName name="LO_2">#REF!</definedName>
    <definedName name="LOList">#REF!</definedName>
    <definedName name="Q_sources">#REF!</definedName>
    <definedName name="SyllabusListing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2" i="168" l="1"/>
  <c r="I32" i="168"/>
  <c r="J32" i="168" s="1"/>
  <c r="M32" i="168"/>
  <c r="N32" i="168"/>
  <c r="P32" i="168"/>
  <c r="K32" i="168" s="1"/>
  <c r="Q32" i="168"/>
  <c r="R32" i="168"/>
  <c r="G33" i="168"/>
  <c r="N33" i="168" s="1"/>
  <c r="I33" i="168"/>
  <c r="M33" i="168"/>
  <c r="P33" i="168"/>
  <c r="G34" i="168"/>
  <c r="N34" i="168" s="1"/>
  <c r="I34" i="168"/>
  <c r="M34" i="168"/>
  <c r="P34" i="168"/>
  <c r="G35" i="168"/>
  <c r="N35" i="168" s="1"/>
  <c r="I35" i="168"/>
  <c r="J35" i="168"/>
  <c r="M35" i="168"/>
  <c r="P35" i="168"/>
  <c r="G36" i="168"/>
  <c r="N36" i="168" s="1"/>
  <c r="I36" i="168"/>
  <c r="M36" i="168"/>
  <c r="P36" i="168"/>
  <c r="G37" i="168"/>
  <c r="N37" i="168" s="1"/>
  <c r="I37" i="168"/>
  <c r="M37" i="168"/>
  <c r="P37" i="168"/>
  <c r="G38" i="168"/>
  <c r="N38" i="168" s="1"/>
  <c r="I38" i="168"/>
  <c r="M38" i="168"/>
  <c r="P38" i="168"/>
  <c r="G39" i="168"/>
  <c r="I39" i="168"/>
  <c r="M39" i="168"/>
  <c r="N39" i="168"/>
  <c r="P39" i="168"/>
  <c r="G40" i="168"/>
  <c r="N40" i="168" s="1"/>
  <c r="I40" i="168"/>
  <c r="M40" i="168"/>
  <c r="P40" i="168"/>
  <c r="G41" i="168"/>
  <c r="N41" i="168" s="1"/>
  <c r="I41" i="168"/>
  <c r="M41" i="168"/>
  <c r="P41" i="168"/>
  <c r="K33" i="168" l="1"/>
  <c r="L32" i="168"/>
  <c r="N42" i="168"/>
  <c r="J33" i="168"/>
  <c r="Q33" i="168"/>
  <c r="R33" i="168" s="1"/>
  <c r="J38" i="168"/>
  <c r="J41" i="168"/>
  <c r="J36" i="168"/>
  <c r="J39" i="168"/>
  <c r="J34" i="168"/>
  <c r="C44" i="168"/>
  <c r="J37" i="168"/>
  <c r="S32" i="168"/>
  <c r="H32" i="168" s="1"/>
  <c r="O32" i="168" s="1"/>
  <c r="J40" i="168"/>
  <c r="E14" i="167"/>
  <c r="F14" i="167" s="1"/>
  <c r="F15" i="167" s="1"/>
  <c r="F16" i="167" s="1"/>
  <c r="F17" i="167" s="1"/>
  <c r="F18" i="167" s="1"/>
  <c r="F19" i="167" s="1"/>
  <c r="F20" i="167" s="1"/>
  <c r="F21" i="167" s="1"/>
  <c r="G14" i="167"/>
  <c r="C15" i="167"/>
  <c r="D15" i="167"/>
  <c r="E15" i="167"/>
  <c r="G15" i="167" s="1"/>
  <c r="C16" i="167"/>
  <c r="D16" i="167"/>
  <c r="G16" i="167" s="1"/>
  <c r="E16" i="167"/>
  <c r="C17" i="167"/>
  <c r="D17" i="167"/>
  <c r="G17" i="167" s="1"/>
  <c r="E17" i="167"/>
  <c r="C18" i="167"/>
  <c r="D18" i="167"/>
  <c r="E18" i="167"/>
  <c r="G18" i="167"/>
  <c r="C19" i="167"/>
  <c r="D19" i="167"/>
  <c r="E19" i="167"/>
  <c r="G19" i="167"/>
  <c r="C20" i="167"/>
  <c r="D20" i="167"/>
  <c r="G20" i="167" s="1"/>
  <c r="E20" i="167"/>
  <c r="C21" i="167"/>
  <c r="D21" i="167"/>
  <c r="G21" i="167" s="1"/>
  <c r="E21" i="167"/>
  <c r="S33" i="168" l="1"/>
  <c r="H33" i="168" s="1"/>
  <c r="O33" i="168" s="1"/>
  <c r="Q34" i="168"/>
  <c r="R34" i="168" s="1"/>
  <c r="L33" i="168"/>
  <c r="K34" i="168"/>
  <c r="G24" i="167"/>
  <c r="H20" i="167" s="1"/>
  <c r="D10" i="165"/>
  <c r="J14" i="165" s="1"/>
  <c r="C24" i="164"/>
  <c r="D24" i="164" s="1"/>
  <c r="E24" i="164" s="1"/>
  <c r="C23" i="164"/>
  <c r="D23" i="164" s="1"/>
  <c r="E23" i="164" s="1"/>
  <c r="D22" i="164"/>
  <c r="E22" i="164" s="1"/>
  <c r="C22" i="164"/>
  <c r="C21" i="164"/>
  <c r="D21" i="164" s="1"/>
  <c r="E21" i="164" s="1"/>
  <c r="H17" i="159" a="1"/>
  <c r="H17" i="159" s="1"/>
  <c r="D24" i="157"/>
  <c r="E24" i="157" s="1"/>
  <c r="D22" i="157"/>
  <c r="E22" i="157" s="1"/>
  <c r="D23" i="157"/>
  <c r="E23" i="157" s="1"/>
  <c r="E21" i="157"/>
  <c r="D21" i="157"/>
  <c r="K35" i="168" l="1"/>
  <c r="L34" i="168"/>
  <c r="S34" i="168"/>
  <c r="H34" i="168" s="1"/>
  <c r="O34" i="168" s="1"/>
  <c r="Q35" i="168"/>
  <c r="R35" i="168" s="1"/>
  <c r="H17" i="167"/>
  <c r="H21" i="167"/>
  <c r="H16" i="167"/>
  <c r="H15" i="167"/>
  <c r="H19" i="167"/>
  <c r="H14" i="167"/>
  <c r="H24" i="167" s="1"/>
  <c r="G26" i="167" s="1"/>
  <c r="H18" i="167"/>
  <c r="J15" i="165"/>
  <c r="J16" i="165" s="1"/>
  <c r="J17" i="165" s="1"/>
  <c r="J18" i="165" s="1"/>
  <c r="J19" i="165" s="1"/>
  <c r="J20" i="165" s="1"/>
  <c r="J21" i="165" s="1"/>
  <c r="J22" i="165" s="1"/>
  <c r="J23" i="165" s="1"/>
  <c r="J24" i="165" s="1"/>
  <c r="J25" i="165" s="1"/>
  <c r="J26" i="165" s="1"/>
  <c r="J27" i="165" s="1"/>
  <c r="J28" i="165" s="1"/>
  <c r="J29" i="165" s="1"/>
  <c r="J30" i="165" s="1"/>
  <c r="J31" i="165" s="1"/>
  <c r="J32" i="165" s="1"/>
  <c r="J33" i="165" s="1"/>
  <c r="J34" i="165" s="1"/>
  <c r="J35" i="165" s="1"/>
  <c r="J36" i="165" s="1"/>
  <c r="J37" i="165" s="1"/>
  <c r="J38" i="165" s="1"/>
  <c r="J39" i="165" s="1"/>
  <c r="J40" i="165" s="1"/>
  <c r="J41" i="165" s="1"/>
  <c r="J42" i="165" s="1"/>
  <c r="J43" i="165" s="1"/>
  <c r="S35" i="168" l="1"/>
  <c r="H35" i="168" s="1"/>
  <c r="O35" i="168" s="1"/>
  <c r="Q36" i="168"/>
  <c r="R36" i="168" s="1"/>
  <c r="L35" i="168"/>
  <c r="K36" i="168"/>
  <c r="H13" i="166"/>
  <c r="N44" i="158"/>
  <c r="L14" i="158"/>
  <c r="J14" i="158"/>
  <c r="I14" i="158"/>
  <c r="Q37" i="168" l="1"/>
  <c r="R37" i="168" s="1"/>
  <c r="S36" i="168"/>
  <c r="H36" i="168" s="1"/>
  <c r="O36" i="168" s="1"/>
  <c r="L36" i="168"/>
  <c r="K37" i="168"/>
  <c r="I14" i="165"/>
  <c r="F19" i="158"/>
  <c r="F14" i="158"/>
  <c r="F16" i="158"/>
  <c r="G14" i="158"/>
  <c r="F15" i="158"/>
  <c r="E43" i="165"/>
  <c r="E42" i="165"/>
  <c r="E41" i="165"/>
  <c r="E40" i="165"/>
  <c r="E39" i="165"/>
  <c r="E38" i="165"/>
  <c r="E37" i="165"/>
  <c r="E36" i="165"/>
  <c r="E35" i="165"/>
  <c r="E34" i="165"/>
  <c r="E33" i="165"/>
  <c r="E32" i="165"/>
  <c r="E31" i="165"/>
  <c r="E30" i="165"/>
  <c r="E29" i="165"/>
  <c r="E28" i="165"/>
  <c r="E27" i="165"/>
  <c r="E26" i="165"/>
  <c r="E25" i="165"/>
  <c r="E24" i="165"/>
  <c r="E23" i="165"/>
  <c r="E22" i="165"/>
  <c r="E21" i="165"/>
  <c r="E20" i="165"/>
  <c r="E19" i="165"/>
  <c r="E18" i="165"/>
  <c r="E17" i="165"/>
  <c r="E16" i="165"/>
  <c r="E15" i="165"/>
  <c r="E14" i="165"/>
  <c r="H43" i="165"/>
  <c r="G43" i="165"/>
  <c r="F43" i="165"/>
  <c r="I43" i="165" s="1"/>
  <c r="I42" i="165"/>
  <c r="H42" i="165"/>
  <c r="G42" i="165"/>
  <c r="F42" i="165"/>
  <c r="H41" i="165"/>
  <c r="I41" i="165" s="1"/>
  <c r="G41" i="165"/>
  <c r="F41" i="165"/>
  <c r="H40" i="165"/>
  <c r="G40" i="165"/>
  <c r="F40" i="165"/>
  <c r="I40" i="165" s="1"/>
  <c r="H39" i="165"/>
  <c r="I39" i="165" s="1"/>
  <c r="G39" i="165"/>
  <c r="F39" i="165"/>
  <c r="H38" i="165"/>
  <c r="G38" i="165"/>
  <c r="F38" i="165"/>
  <c r="I38" i="165" s="1"/>
  <c r="H37" i="165"/>
  <c r="G37" i="165"/>
  <c r="F37" i="165"/>
  <c r="I37" i="165" s="1"/>
  <c r="I36" i="165"/>
  <c r="H36" i="165"/>
  <c r="G36" i="165"/>
  <c r="F36" i="165"/>
  <c r="H35" i="165"/>
  <c r="I35" i="165" s="1"/>
  <c r="G35" i="165"/>
  <c r="F35" i="165"/>
  <c r="H34" i="165"/>
  <c r="G34" i="165"/>
  <c r="F34" i="165"/>
  <c r="I34" i="165" s="1"/>
  <c r="H33" i="165"/>
  <c r="I33" i="165" s="1"/>
  <c r="G33" i="165"/>
  <c r="F33" i="165"/>
  <c r="H32" i="165"/>
  <c r="G32" i="165"/>
  <c r="F32" i="165"/>
  <c r="I32" i="165" s="1"/>
  <c r="H31" i="165"/>
  <c r="G31" i="165"/>
  <c r="F31" i="165"/>
  <c r="I31" i="165" s="1"/>
  <c r="I30" i="165"/>
  <c r="H30" i="165"/>
  <c r="G30" i="165"/>
  <c r="F30" i="165"/>
  <c r="H29" i="165"/>
  <c r="I29" i="165" s="1"/>
  <c r="G29" i="165"/>
  <c r="F29" i="165"/>
  <c r="H28" i="165"/>
  <c r="G28" i="165"/>
  <c r="F28" i="165"/>
  <c r="I28" i="165" s="1"/>
  <c r="H27" i="165"/>
  <c r="I27" i="165" s="1"/>
  <c r="G27" i="165"/>
  <c r="F27" i="165"/>
  <c r="H26" i="165"/>
  <c r="G26" i="165"/>
  <c r="F26" i="165"/>
  <c r="I26" i="165" s="1"/>
  <c r="H25" i="165"/>
  <c r="G25" i="165"/>
  <c r="F25" i="165"/>
  <c r="I25" i="165" s="1"/>
  <c r="I24" i="165"/>
  <c r="H24" i="165"/>
  <c r="G24" i="165"/>
  <c r="F24" i="165"/>
  <c r="H23" i="165"/>
  <c r="I23" i="165" s="1"/>
  <c r="G23" i="165"/>
  <c r="F23" i="165"/>
  <c r="H22" i="165"/>
  <c r="G22" i="165"/>
  <c r="F22" i="165"/>
  <c r="I22" i="165" s="1"/>
  <c r="H21" i="165"/>
  <c r="I21" i="165" s="1"/>
  <c r="G21" i="165"/>
  <c r="F21" i="165"/>
  <c r="H20" i="165"/>
  <c r="G20" i="165"/>
  <c r="F20" i="165"/>
  <c r="I20" i="165" s="1"/>
  <c r="H19" i="165"/>
  <c r="G19" i="165"/>
  <c r="F19" i="165"/>
  <c r="I19" i="165" s="1"/>
  <c r="I18" i="165"/>
  <c r="H18" i="165"/>
  <c r="G18" i="165"/>
  <c r="F18" i="165"/>
  <c r="H17" i="165"/>
  <c r="I17" i="165" s="1"/>
  <c r="G17" i="165"/>
  <c r="F17" i="165"/>
  <c r="H16" i="165"/>
  <c r="G16" i="165"/>
  <c r="F16" i="165"/>
  <c r="I16" i="165" s="1"/>
  <c r="H15" i="165"/>
  <c r="I15" i="165" s="1"/>
  <c r="G15" i="165"/>
  <c r="F15" i="165"/>
  <c r="H14" i="165"/>
  <c r="G14" i="165"/>
  <c r="F14" i="165"/>
  <c r="C35" i="164"/>
  <c r="C34" i="164"/>
  <c r="C33" i="164"/>
  <c r="C32" i="164"/>
  <c r="D35" i="164"/>
  <c r="D34" i="164"/>
  <c r="D33" i="164"/>
  <c r="D32" i="164"/>
  <c r="E32" i="164" s="1"/>
  <c r="H13" i="159"/>
  <c r="G42" i="158"/>
  <c r="I42" i="158" s="1"/>
  <c r="G41" i="158"/>
  <c r="I41" i="158" s="1"/>
  <c r="G40" i="158"/>
  <c r="I40" i="158" s="1"/>
  <c r="G39" i="158"/>
  <c r="I39" i="158" s="1"/>
  <c r="G37" i="158"/>
  <c r="I37" i="158" s="1"/>
  <c r="G30" i="158"/>
  <c r="I30" i="158" s="1"/>
  <c r="G29" i="158"/>
  <c r="I29" i="158" s="1"/>
  <c r="G28" i="158"/>
  <c r="I28" i="158" s="1"/>
  <c r="G27" i="158"/>
  <c r="I27" i="158" s="1"/>
  <c r="G25" i="158"/>
  <c r="I25" i="158" s="1"/>
  <c r="G18" i="158"/>
  <c r="I18" i="158" s="1"/>
  <c r="G17" i="158"/>
  <c r="I17" i="158" s="1"/>
  <c r="G16" i="158"/>
  <c r="I16" i="158" s="1"/>
  <c r="G15" i="158"/>
  <c r="I15" i="158" s="1"/>
  <c r="I36" i="158"/>
  <c r="I35" i="158"/>
  <c r="H43" i="158"/>
  <c r="H42" i="158"/>
  <c r="H41" i="158"/>
  <c r="H40" i="158"/>
  <c r="H39" i="158"/>
  <c r="H38" i="158"/>
  <c r="H37" i="158"/>
  <c r="H36" i="158"/>
  <c r="H35" i="158"/>
  <c r="H34" i="158"/>
  <c r="H33" i="158"/>
  <c r="H32" i="158"/>
  <c r="H31" i="158"/>
  <c r="H30" i="158"/>
  <c r="H29" i="158"/>
  <c r="H28" i="158"/>
  <c r="H27" i="158"/>
  <c r="H26" i="158"/>
  <c r="H25" i="158"/>
  <c r="H24" i="158"/>
  <c r="H23" i="158"/>
  <c r="H22" i="158"/>
  <c r="H21" i="158"/>
  <c r="H20" i="158"/>
  <c r="H19" i="158"/>
  <c r="H18" i="158"/>
  <c r="H17" i="158"/>
  <c r="H16" i="158"/>
  <c r="H15" i="158"/>
  <c r="H14" i="158"/>
  <c r="G43" i="158"/>
  <c r="I43" i="158" s="1"/>
  <c r="G38" i="158"/>
  <c r="I38" i="158" s="1"/>
  <c r="G36" i="158"/>
  <c r="G35" i="158"/>
  <c r="G34" i="158"/>
  <c r="I34" i="158" s="1"/>
  <c r="G33" i="158"/>
  <c r="I33" i="158" s="1"/>
  <c r="G32" i="158"/>
  <c r="I32" i="158" s="1"/>
  <c r="G31" i="158"/>
  <c r="I31" i="158" s="1"/>
  <c r="G26" i="158"/>
  <c r="I26" i="158" s="1"/>
  <c r="G24" i="158"/>
  <c r="I24" i="158" s="1"/>
  <c r="G23" i="158"/>
  <c r="I23" i="158" s="1"/>
  <c r="G22" i="158"/>
  <c r="I22" i="158" s="1"/>
  <c r="G21" i="158"/>
  <c r="I21" i="158" s="1"/>
  <c r="G20" i="158"/>
  <c r="I20" i="158" s="1"/>
  <c r="G19" i="158"/>
  <c r="I19" i="158" s="1"/>
  <c r="F17" i="158"/>
  <c r="F18" i="158"/>
  <c r="F20" i="158"/>
  <c r="F21" i="158"/>
  <c r="F22" i="158"/>
  <c r="F23" i="158"/>
  <c r="F24" i="158"/>
  <c r="F25" i="158"/>
  <c r="F26" i="158"/>
  <c r="F27" i="158"/>
  <c r="F28" i="158"/>
  <c r="F29" i="158"/>
  <c r="F30" i="158"/>
  <c r="F31" i="158"/>
  <c r="F32" i="158"/>
  <c r="F33" i="158"/>
  <c r="F34" i="158"/>
  <c r="F35" i="158"/>
  <c r="F36" i="158"/>
  <c r="F37" i="158"/>
  <c r="F38" i="158"/>
  <c r="F39" i="158"/>
  <c r="F40" i="158"/>
  <c r="F41" i="158"/>
  <c r="F42" i="158"/>
  <c r="F43" i="158"/>
  <c r="D34" i="157"/>
  <c r="E34" i="157" s="1"/>
  <c r="D35" i="157"/>
  <c r="E35" i="157" s="1"/>
  <c r="D32" i="157"/>
  <c r="E32" i="157" s="1"/>
  <c r="D33" i="157"/>
  <c r="E33" i="157" s="1"/>
  <c r="C33" i="157"/>
  <c r="C34" i="157"/>
  <c r="C35" i="157"/>
  <c r="C32" i="157"/>
  <c r="C24" i="157"/>
  <c r="C23" i="157"/>
  <c r="C22" i="157"/>
  <c r="C21" i="157"/>
  <c r="D10" i="158"/>
  <c r="L37" i="168" l="1"/>
  <c r="K38" i="168"/>
  <c r="Q38" i="168"/>
  <c r="R38" i="168" s="1"/>
  <c r="S37" i="168"/>
  <c r="H37" i="168" s="1"/>
  <c r="O37" i="168" s="1"/>
  <c r="E36" i="164"/>
  <c r="H12" i="166" s="1"/>
  <c r="E36" i="157"/>
  <c r="H12" i="159" s="1"/>
  <c r="K14" i="158"/>
  <c r="M14" i="158" s="1"/>
  <c r="L14" i="165"/>
  <c r="K14" i="165"/>
  <c r="M14" i="165" s="1"/>
  <c r="E33" i="164"/>
  <c r="E34" i="164"/>
  <c r="E35" i="164"/>
  <c r="J15" i="158"/>
  <c r="S38" i="168" l="1"/>
  <c r="H38" i="168" s="1"/>
  <c r="O38" i="168" s="1"/>
  <c r="Q39" i="168"/>
  <c r="R39" i="168" s="1"/>
  <c r="L38" i="168"/>
  <c r="K39" i="168"/>
  <c r="N14" i="158"/>
  <c r="L15" i="158"/>
  <c r="O14" i="158"/>
  <c r="J16" i="158"/>
  <c r="K15" i="158"/>
  <c r="M15" i="158" s="1"/>
  <c r="L15" i="165"/>
  <c r="N14" i="165"/>
  <c r="O14" i="165"/>
  <c r="K15" i="165"/>
  <c r="M15" i="165" s="1"/>
  <c r="K40" i="168" l="1"/>
  <c r="L39" i="168"/>
  <c r="Q40" i="168"/>
  <c r="R40" i="168" s="1"/>
  <c r="S39" i="168"/>
  <c r="H39" i="168" s="1"/>
  <c r="O39" i="168" s="1"/>
  <c r="O15" i="158"/>
  <c r="L16" i="158"/>
  <c r="N15" i="158"/>
  <c r="J17" i="158"/>
  <c r="K16" i="158"/>
  <c r="M16" i="158" s="1"/>
  <c r="O15" i="165"/>
  <c r="N15" i="165"/>
  <c r="L16" i="165"/>
  <c r="K16" i="165"/>
  <c r="M16" i="165" s="1"/>
  <c r="K41" i="168" l="1"/>
  <c r="L41" i="168" s="1"/>
  <c r="L40" i="168"/>
  <c r="S40" i="168"/>
  <c r="H40" i="168" s="1"/>
  <c r="O40" i="168" s="1"/>
  <c r="Q41" i="168"/>
  <c r="R41" i="168" s="1"/>
  <c r="S41" i="168" s="1"/>
  <c r="H41" i="168" s="1"/>
  <c r="O41" i="168" s="1"/>
  <c r="M17" i="158"/>
  <c r="O16" i="158"/>
  <c r="L17" i="158"/>
  <c r="N16" i="158"/>
  <c r="J18" i="158"/>
  <c r="K17" i="158"/>
  <c r="O16" i="165"/>
  <c r="L17" i="165"/>
  <c r="N16" i="165"/>
  <c r="K17" i="165"/>
  <c r="M17" i="165" s="1"/>
  <c r="O42" i="168" l="1"/>
  <c r="C45" i="168"/>
  <c r="C46" i="168" s="1"/>
  <c r="L18" i="158"/>
  <c r="N17" i="158"/>
  <c r="M18" i="158"/>
  <c r="O17" i="158"/>
  <c r="J19" i="158"/>
  <c r="K18" i="158"/>
  <c r="O17" i="165"/>
  <c r="K18" i="165"/>
  <c r="M18" i="165" s="1"/>
  <c r="N17" i="165"/>
  <c r="L18" i="165"/>
  <c r="J20" i="158" l="1"/>
  <c r="K19" i="158"/>
  <c r="M19" i="158"/>
  <c r="O18" i="158"/>
  <c r="L19" i="158"/>
  <c r="N18" i="158"/>
  <c r="O18" i="165"/>
  <c r="L19" i="165"/>
  <c r="N18" i="165"/>
  <c r="K19" i="165"/>
  <c r="M19" i="165" s="1"/>
  <c r="L20" i="158" l="1"/>
  <c r="N19" i="158"/>
  <c r="J21" i="158"/>
  <c r="K20" i="158"/>
  <c r="M20" i="158"/>
  <c r="O19" i="158"/>
  <c r="O19" i="165"/>
  <c r="K20" i="165"/>
  <c r="M20" i="165" s="1"/>
  <c r="L20" i="165"/>
  <c r="N19" i="165"/>
  <c r="J22" i="158" l="1"/>
  <c r="K21" i="158"/>
  <c r="M21" i="158"/>
  <c r="O20" i="158"/>
  <c r="L21" i="158"/>
  <c r="N20" i="158"/>
  <c r="O20" i="165"/>
  <c r="N20" i="165"/>
  <c r="L21" i="165"/>
  <c r="K21" i="165"/>
  <c r="M21" i="165" s="1"/>
  <c r="L22" i="158" l="1"/>
  <c r="N21" i="158"/>
  <c r="O21" i="158"/>
  <c r="J23" i="158"/>
  <c r="K22" i="158"/>
  <c r="M22" i="158" s="1"/>
  <c r="K22" i="165"/>
  <c r="M22" i="165" s="1"/>
  <c r="N21" i="165"/>
  <c r="L22" i="165"/>
  <c r="O21" i="165"/>
  <c r="O22" i="158" l="1"/>
  <c r="J24" i="158"/>
  <c r="K23" i="158"/>
  <c r="M23" i="158" s="1"/>
  <c r="L23" i="158"/>
  <c r="N22" i="158"/>
  <c r="O22" i="165"/>
  <c r="N22" i="165"/>
  <c r="L23" i="165"/>
  <c r="K23" i="165"/>
  <c r="M23" i="165" s="1"/>
  <c r="O23" i="158" l="1"/>
  <c r="L24" i="158"/>
  <c r="N23" i="158"/>
  <c r="J25" i="158"/>
  <c r="K24" i="158"/>
  <c r="M24" i="158" s="1"/>
  <c r="O23" i="165"/>
  <c r="K24" i="165"/>
  <c r="M24" i="165" s="1"/>
  <c r="N23" i="165"/>
  <c r="L24" i="165"/>
  <c r="O24" i="158" l="1"/>
  <c r="J26" i="158"/>
  <c r="K25" i="158"/>
  <c r="M25" i="158" s="1"/>
  <c r="L25" i="158"/>
  <c r="N24" i="158"/>
  <c r="O24" i="165"/>
  <c r="N24" i="165"/>
  <c r="L25" i="165"/>
  <c r="K25" i="165"/>
  <c r="M25" i="165" s="1"/>
  <c r="O25" i="158" l="1"/>
  <c r="L26" i="158"/>
  <c r="N25" i="158"/>
  <c r="J27" i="158"/>
  <c r="K26" i="158"/>
  <c r="M26" i="158" s="1"/>
  <c r="O25" i="165"/>
  <c r="K26" i="165"/>
  <c r="M26" i="165" s="1"/>
  <c r="L26" i="165"/>
  <c r="N25" i="165"/>
  <c r="O26" i="158" l="1"/>
  <c r="J28" i="158"/>
  <c r="K27" i="158"/>
  <c r="M27" i="158" s="1"/>
  <c r="L27" i="158"/>
  <c r="N26" i="158"/>
  <c r="L27" i="165"/>
  <c r="N26" i="165"/>
  <c r="O26" i="165"/>
  <c r="K27" i="165"/>
  <c r="M27" i="165" s="1"/>
  <c r="O27" i="158" l="1"/>
  <c r="L28" i="158"/>
  <c r="N27" i="158"/>
  <c r="J29" i="158"/>
  <c r="K28" i="158"/>
  <c r="M28" i="158" s="1"/>
  <c r="O27" i="165"/>
  <c r="K28" i="165"/>
  <c r="M28" i="165" s="1"/>
  <c r="N27" i="165"/>
  <c r="L28" i="165"/>
  <c r="O28" i="158" l="1"/>
  <c r="J30" i="158"/>
  <c r="K29" i="158"/>
  <c r="M29" i="158" s="1"/>
  <c r="L29" i="158"/>
  <c r="N28" i="158"/>
  <c r="O28" i="165"/>
  <c r="K29" i="165"/>
  <c r="M29" i="165" s="1"/>
  <c r="L29" i="165"/>
  <c r="N28" i="165"/>
  <c r="O29" i="158" l="1"/>
  <c r="L30" i="158"/>
  <c r="N29" i="158"/>
  <c r="J31" i="158"/>
  <c r="K30" i="158"/>
  <c r="M30" i="158" s="1"/>
  <c r="O29" i="165"/>
  <c r="N29" i="165"/>
  <c r="L30" i="165"/>
  <c r="K30" i="165"/>
  <c r="M30" i="165" s="1"/>
  <c r="O30" i="158" l="1"/>
  <c r="J32" i="158"/>
  <c r="K31" i="158"/>
  <c r="M31" i="158" s="1"/>
  <c r="L31" i="158"/>
  <c r="N30" i="158"/>
  <c r="O30" i="165"/>
  <c r="L31" i="165"/>
  <c r="N30" i="165"/>
  <c r="K31" i="165"/>
  <c r="M31" i="165" s="1"/>
  <c r="O31" i="158" l="1"/>
  <c r="L32" i="158"/>
  <c r="N31" i="158"/>
  <c r="J33" i="158"/>
  <c r="K32" i="158"/>
  <c r="M32" i="158" s="1"/>
  <c r="O31" i="165"/>
  <c r="K32" i="165"/>
  <c r="M32" i="165" s="1"/>
  <c r="L32" i="165"/>
  <c r="N31" i="165"/>
  <c r="O32" i="158" l="1"/>
  <c r="J34" i="158"/>
  <c r="K33" i="158"/>
  <c r="M33" i="158" s="1"/>
  <c r="L33" i="158"/>
  <c r="N32" i="158"/>
  <c r="O32" i="165"/>
  <c r="N32" i="165"/>
  <c r="L33" i="165"/>
  <c r="K33" i="165"/>
  <c r="M33" i="165" s="1"/>
  <c r="O33" i="158" l="1"/>
  <c r="L34" i="158"/>
  <c r="N33" i="158"/>
  <c r="J35" i="158"/>
  <c r="K34" i="158"/>
  <c r="M34" i="158" s="1"/>
  <c r="O33" i="165"/>
  <c r="N33" i="165"/>
  <c r="L34" i="165"/>
  <c r="K34" i="165"/>
  <c r="M34" i="165" s="1"/>
  <c r="O34" i="158" l="1"/>
  <c r="J36" i="158"/>
  <c r="K35" i="158"/>
  <c r="M35" i="158" s="1"/>
  <c r="L35" i="158"/>
  <c r="N34" i="158"/>
  <c r="O34" i="165"/>
  <c r="K35" i="165"/>
  <c r="M35" i="165" s="1"/>
  <c r="N34" i="165"/>
  <c r="L35" i="165"/>
  <c r="O35" i="158" l="1"/>
  <c r="J37" i="158"/>
  <c r="K36" i="158"/>
  <c r="M36" i="158" s="1"/>
  <c r="L36" i="158"/>
  <c r="N35" i="158"/>
  <c r="O35" i="165"/>
  <c r="N35" i="165"/>
  <c r="L36" i="165"/>
  <c r="K36" i="165"/>
  <c r="M36" i="165" s="1"/>
  <c r="O36" i="158" l="1"/>
  <c r="J38" i="158"/>
  <c r="K37" i="158"/>
  <c r="M37" i="158" s="1"/>
  <c r="L37" i="158"/>
  <c r="N36" i="158"/>
  <c r="O36" i="165"/>
  <c r="N36" i="165"/>
  <c r="L37" i="165"/>
  <c r="K37" i="165"/>
  <c r="M37" i="165" s="1"/>
  <c r="O37" i="158" l="1"/>
  <c r="L38" i="158"/>
  <c r="N37" i="158"/>
  <c r="J39" i="158"/>
  <c r="K38" i="158"/>
  <c r="M38" i="158" s="1"/>
  <c r="O37" i="165"/>
  <c r="L38" i="165"/>
  <c r="N37" i="165"/>
  <c r="K38" i="165"/>
  <c r="M38" i="165" s="1"/>
  <c r="O38" i="158" l="1"/>
  <c r="J40" i="158"/>
  <c r="K39" i="158"/>
  <c r="M39" i="158" s="1"/>
  <c r="L39" i="158"/>
  <c r="N38" i="158"/>
  <c r="O38" i="165"/>
  <c r="K39" i="165"/>
  <c r="M39" i="165" s="1"/>
  <c r="L39" i="165"/>
  <c r="N38" i="165"/>
  <c r="O39" i="158" l="1"/>
  <c r="L40" i="158"/>
  <c r="N39" i="158"/>
  <c r="J41" i="158"/>
  <c r="K40" i="158"/>
  <c r="M40" i="158" s="1"/>
  <c r="O39" i="165"/>
  <c r="N39" i="165"/>
  <c r="L40" i="165"/>
  <c r="K40" i="165"/>
  <c r="M40" i="165" s="1"/>
  <c r="O40" i="158" l="1"/>
  <c r="L41" i="158"/>
  <c r="N40" i="158"/>
  <c r="J42" i="158"/>
  <c r="K41" i="158"/>
  <c r="M41" i="158" s="1"/>
  <c r="O40" i="165"/>
  <c r="K41" i="165"/>
  <c r="M41" i="165" s="1"/>
  <c r="L41" i="165"/>
  <c r="N40" i="165"/>
  <c r="O41" i="158" l="1"/>
  <c r="J43" i="158"/>
  <c r="K43" i="158" s="1"/>
  <c r="K42" i="158"/>
  <c r="M42" i="158" s="1"/>
  <c r="L42" i="158"/>
  <c r="N41" i="158"/>
  <c r="O41" i="165"/>
  <c r="K43" i="165"/>
  <c r="K42" i="165"/>
  <c r="M42" i="165" s="1"/>
  <c r="N41" i="165"/>
  <c r="L42" i="165"/>
  <c r="M43" i="158" l="1"/>
  <c r="O43" i="158" s="1"/>
  <c r="O42" i="158"/>
  <c r="L43" i="158"/>
  <c r="N43" i="158" s="1"/>
  <c r="N42" i="158"/>
  <c r="O42" i="165"/>
  <c r="M43" i="165"/>
  <c r="O43" i="165" s="1"/>
  <c r="L43" i="165"/>
  <c r="N43" i="165" s="1"/>
  <c r="N42" i="165"/>
  <c r="O44" i="158" l="1"/>
  <c r="O46" i="158" s="1"/>
  <c r="H14" i="159" s="1"/>
  <c r="N44" i="165"/>
  <c r="O44" i="165"/>
  <c r="O46" i="165" l="1"/>
  <c r="H14" i="166" s="1"/>
  <c r="H17" i="166" s="1" a="1"/>
  <c r="H17" i="16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<sst xmlns="http://schemas.openxmlformats.org/spreadsheetml/2006/main" count="280" uniqueCount="154">
  <si>
    <t>Mean</t>
  </si>
  <si>
    <t>Standard deviation</t>
  </si>
  <si>
    <t>Bond price</t>
  </si>
  <si>
    <t>Simulated U (0,1)</t>
  </si>
  <si>
    <t>Estimated forward rate (calibrated At)</t>
  </si>
  <si>
    <t>Et simulated value</t>
  </si>
  <si>
    <t>Delta T</t>
  </si>
  <si>
    <t>Delta Rt</t>
  </si>
  <si>
    <t>Base Liability Discount Rates</t>
  </si>
  <si>
    <t>Shocked Liability Discount Rates</t>
  </si>
  <si>
    <t>Discounting (Base Liability Discount Rates)</t>
  </si>
  <si>
    <t>Discounting  (Shocked Liability Discount Rates)</t>
  </si>
  <si>
    <t>Base Cashflows</t>
  </si>
  <si>
    <t>Shocked Cashflows</t>
  </si>
  <si>
    <t>Year</t>
  </si>
  <si>
    <t>Exposure (thousand$)</t>
  </si>
  <si>
    <t>Rating</t>
  </si>
  <si>
    <t>AAA</t>
  </si>
  <si>
    <t>AA</t>
  </si>
  <si>
    <t>A</t>
  </si>
  <si>
    <t>Exposure $000</t>
  </si>
  <si>
    <t xml:space="preserve"> Cumulative Probability of default</t>
  </si>
  <si>
    <t>Loss Given Default</t>
  </si>
  <si>
    <t>Data</t>
  </si>
  <si>
    <t xml:space="preserve">Credit </t>
  </si>
  <si>
    <t>Mortality</t>
  </si>
  <si>
    <t xml:space="preserve">Interest </t>
  </si>
  <si>
    <t>Correlation Matrix</t>
  </si>
  <si>
    <t>Credit</t>
  </si>
  <si>
    <t>Interest</t>
  </si>
  <si>
    <t>Risk</t>
  </si>
  <si>
    <t>EC</t>
  </si>
  <si>
    <t xml:space="preserve">Instructions: For each question part requiring an answer in Excel, (1) clearly identify the inputs to the calculations, </t>
  </si>
  <si>
    <t xml:space="preserve">                  (2) show the necessary interim calculations, adding rows and / or columns, if necessary, and </t>
  </si>
  <si>
    <t xml:space="preserve">                  (3) enter the final answer in some or all of the cells highlighted in yellow, as applicable in each circumstance.  </t>
  </si>
  <si>
    <t xml:space="preserve">                   These cells should contain formulas with links to other calculations in the worksheet.  Minimize the use of   </t>
  </si>
  <si>
    <t xml:space="preserve">                   hard-coded figures and maximize the number of interim steps in the calculations that would demonstrate </t>
  </si>
  <si>
    <t xml:space="preserve">                   your line of thinking.</t>
  </si>
  <si>
    <t>Annual Default Rates</t>
  </si>
  <si>
    <t>Recovery Rate</t>
  </si>
  <si>
    <r>
      <t>BBB</t>
    </r>
    <r>
      <rPr>
        <sz val="8"/>
        <color theme="1"/>
        <rFont val="Times New Roman"/>
        <family val="1"/>
      </rPr>
      <t> </t>
    </r>
  </si>
  <si>
    <t>Step 2 - Calculate the loss given default for each rating</t>
  </si>
  <si>
    <t>Credit EC:</t>
  </si>
  <si>
    <t>Parameters</t>
  </si>
  <si>
    <t>Time</t>
  </si>
  <si>
    <t>Liability CFs ($000)</t>
  </si>
  <si>
    <t>PVCF:</t>
  </si>
  <si>
    <t>Interest Rate EC:</t>
  </si>
  <si>
    <t>R0</t>
  </si>
  <si>
    <t>Step 1 - Calculate the cumulative default rates for each asset each year</t>
  </si>
  <si>
    <t>Aggregate EC:</t>
  </si>
  <si>
    <t>&lt;- permanent decrease in base rates was modeled by reducing the starting rate</t>
  </si>
  <si>
    <t>VaR 95:</t>
  </si>
  <si>
    <t>(ii)</t>
  </si>
  <si>
    <t>Total:</t>
  </si>
  <si>
    <t>(i)</t>
  </si>
  <si>
    <t>Variance</t>
  </si>
  <si>
    <t>Expected Loss (Net)</t>
  </si>
  <si>
    <t>A, B, C</t>
  </si>
  <si>
    <t>B, C</t>
  </si>
  <si>
    <t>A, C</t>
  </si>
  <si>
    <t>A, B</t>
  </si>
  <si>
    <t>C</t>
  </si>
  <si>
    <t>B</t>
  </si>
  <si>
    <t>None</t>
  </si>
  <si>
    <t>(L - EL)^2*p(L)</t>
  </si>
  <si>
    <t>Cumulative Prob</t>
  </si>
  <si>
    <t>Prob of Loss</t>
  </si>
  <si>
    <t>Loss (Net of Recovery)</t>
  </si>
  <si>
    <t>Loss (Gross)</t>
  </si>
  <si>
    <t>Default Scenario</t>
  </si>
  <si>
    <t>Default Probability (1 year)</t>
  </si>
  <si>
    <t>Exposure ($ million)</t>
  </si>
  <si>
    <t>Yield</t>
  </si>
  <si>
    <t>Asset</t>
  </si>
  <si>
    <t>pv charge - pv claims</t>
  </si>
  <si>
    <t>guarantee cost</t>
  </si>
  <si>
    <t>sum of entries in (O)</t>
  </si>
  <si>
    <t>PV claims</t>
  </si>
  <si>
    <t>sum of entries in (N)</t>
  </si>
  <si>
    <t>pv charge</t>
  </si>
  <si>
    <t xml:space="preserve">GMDB EOY - AV EOY </t>
  </si>
  <si>
    <t>S</t>
  </si>
  <si>
    <t>=Col(Q)</t>
  </si>
  <si>
    <t>R</t>
  </si>
  <si>
    <t>In year 1 = $1,000,000; thereafter = max(Col(R) prior year * Px(prior year)*1.05), BOY AV)</t>
  </si>
  <si>
    <t>Q</t>
  </si>
  <si>
    <t>col(D)*(1 + col(F)) ; this represents the amount of account value at the end of the year before applying any deaths or lapses</t>
  </si>
  <si>
    <t>P</t>
  </si>
  <si>
    <t>col(H)*col(M)</t>
  </si>
  <si>
    <t>O</t>
  </si>
  <si>
    <t>col(G)*col(M)</t>
  </si>
  <si>
    <t>N</t>
  </si>
  <si>
    <t>charge based on BOY AV</t>
  </si>
  <si>
    <t>(1.04)^year</t>
  </si>
  <si>
    <t>M</t>
  </si>
  <si>
    <t>1/(1+i) discounting</t>
  </si>
  <si>
    <t>GMDB(t)*tPx</t>
  </si>
  <si>
    <t>L</t>
  </si>
  <si>
    <t>all investments in separate account</t>
  </si>
  <si>
    <t>max(GMDB EOY, EOY AV)</t>
  </si>
  <si>
    <t>K</t>
  </si>
  <si>
    <t>no withdrawals</t>
  </si>
  <si>
    <t>[(t-1)P(x)]*P(x)</t>
  </si>
  <si>
    <t>J</t>
  </si>
  <si>
    <t>Assumptions:</t>
  </si>
  <si>
    <t>(1 - q(x))*(1 - .03) or (1 - q(x) - .03)</t>
  </si>
  <si>
    <t>I</t>
  </si>
  <si>
    <t>q(x) * col(S)</t>
  </si>
  <si>
    <t>H</t>
  </si>
  <si>
    <t>.005* BOY AV</t>
  </si>
  <si>
    <t>G</t>
  </si>
  <si>
    <t>Given - Return on the fund for each year including deductions for the GMDB rider fee</t>
  </si>
  <si>
    <t>F</t>
  </si>
  <si>
    <t>Given - mortality rate each year</t>
  </si>
  <si>
    <t>E</t>
  </si>
  <si>
    <t>Given - account value after reflecting fund returns, fees for the GMDB rider, and decrements for lapses and mortality</t>
  </si>
  <si>
    <t>D</t>
  </si>
  <si>
    <t>Method of calculation</t>
  </si>
  <si>
    <t>Col</t>
  </si>
  <si>
    <t>PV charge</t>
  </si>
  <si>
    <t>GMDB In the money</t>
  </si>
  <si>
    <t>GMDB EOY</t>
  </si>
  <si>
    <t>GMDB BOY</t>
  </si>
  <si>
    <t>EOY AV</t>
  </si>
  <si>
    <t>discount factor</t>
  </si>
  <si>
    <t>GMDB benefit base (after decrements)</t>
  </si>
  <si>
    <t>GMDB benefit base (before decrements)</t>
  </si>
  <si>
    <t>tPx</t>
  </si>
  <si>
    <t>Px</t>
  </si>
  <si>
    <t>claims</t>
  </si>
  <si>
    <t>charge</t>
  </si>
  <si>
    <t>Fund return after policy and rider fees</t>
  </si>
  <si>
    <t>qx</t>
  </si>
  <si>
    <t>BOY  AV</t>
  </si>
  <si>
    <t>Annual lapse rate</t>
  </si>
  <si>
    <t>Fee</t>
  </si>
  <si>
    <t>Initial Premium</t>
  </si>
  <si>
    <t>Valuation Rate</t>
  </si>
  <si>
    <t>Calculate the guarantee cost for this scenario by completing the table below.  </t>
  </si>
  <si>
    <t xml:space="preserve">        -    Annual lapse rate is assumed to be 3%</t>
  </si>
  <si>
    <t>        -    Initial premium is assumed to be $1 million</t>
  </si>
  <si>
    <t xml:space="preserve">        -    All cash flows occur at the end of the year</t>
  </si>
  <si>
    <t xml:space="preserve">        -    Present values are discounted at 4% per annum</t>
  </si>
  <si>
    <t xml:space="preserve">        -    The GMDB benefit is based on the beginning-of-year account value</t>
  </si>
  <si>
    <t xml:space="preserve">        -    The GMDB charge of 0.50% is assessed against beginning-of-year account value</t>
  </si>
  <si>
    <t xml:space="preserve">        -    Projections of account value have been provided using the lapse and mortality rates provided in the Excel workbook</t>
  </si>
  <si>
    <t xml:space="preserve">        -    All investments are in the separate account</t>
  </si>
  <si>
    <t>ERM has supplied you with the first ten years of projections for a single scenario of the simplified model and  the following assumptions:</t>
  </si>
  <si>
    <t>of the cost of the GMDB guarantee. You have been asked to review the calculation to support their simplified model.</t>
  </si>
  <si>
    <t xml:space="preserve">by the time the product would be launched. The ERM team has developed a simplified spreadsheet model to calculate an initial estimate </t>
  </si>
  <si>
    <t xml:space="preserve">(4 points) Due to competing priorities, the ERM team does not have time to implement VA Plus into their economic capital models </t>
  </si>
  <si>
    <t>Part (c)</t>
  </si>
  <si>
    <t>Question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</si>
</sst>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0000"/>
    <numFmt numFmtId="166" formatCode="0.0000"/>
    <numFmt numFmtId="167" formatCode="0.000"/>
    <numFmt numFmtId="168" formatCode="0.0"/>
    <numFmt numFmtId="169" formatCode="_(* #,##0_);_(* \(#,##0\);_(* &quot;-&quot;??_);_(@_)"/>
    <numFmt numFmtId="170" formatCode="_(* #,##0.00000_);_(* \(#,##0.00000\);_(* &quot;-&quot;??_);_(@_)"/>
    <numFmt numFmtId="171" formatCode="_(* #,##0.0000_);_(* \(#,##0.0000\);_(* &quot;-&quot;??_);_(@_)"/>
    <numFmt numFmtId="172" formatCode="0.0%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FF"/>
      <name val="Times New Roman"/>
      <family val="1"/>
    </font>
    <font>
      <b/>
      <sz val="14"/>
      <color theme="1"/>
      <name val="Times New Roman"/>
      <family val="1"/>
    </font>
    <font>
      <b/>
      <sz val="14"/>
      <color theme="9" tint="-0.499984740745262"/>
      <name val="Times New Roman"/>
      <family val="1"/>
    </font>
    <font>
      <b/>
      <sz val="11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rgb="FF000000"/>
      <name val="Times New Roman"/>
      <family val="1"/>
    </font>
    <font>
      <sz val="8"/>
      <color theme="1"/>
      <name val="Times New Roman"/>
      <family val="1"/>
    </font>
    <font>
      <sz val="11"/>
      <color rgb="FF0000FF"/>
      <name val="Times New Roman"/>
      <family val="1"/>
    </font>
    <font>
      <b/>
      <u/>
      <sz val="12"/>
      <color theme="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</borders>
  <cellStyleXfs count="129">
    <xf numFmtId="0" fontId="0" fillId="0" borderId="0"/>
    <xf numFmtId="0" fontId="27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1" fillId="21" borderId="2" applyNumberFormat="0" applyAlignment="0" applyProtection="0"/>
    <xf numFmtId="164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20" fillId="23" borderId="7" applyNumberFormat="0" applyFont="0" applyAlignment="0" applyProtection="0"/>
    <xf numFmtId="0" fontId="6" fillId="23" borderId="7" applyNumberFormat="0" applyFon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/>
    <xf numFmtId="9" fontId="6" fillId="0" borderId="0" applyFont="0" applyFill="0" applyBorder="0" applyAlignment="0" applyProtection="0"/>
    <xf numFmtId="0" fontId="5" fillId="0" borderId="0"/>
    <xf numFmtId="0" fontId="4" fillId="0" borderId="0"/>
    <xf numFmtId="43" fontId="4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52" fillId="35" borderId="27" applyNumberFormat="0" applyAlignment="0" applyProtection="0"/>
    <xf numFmtId="0" fontId="53" fillId="36" borderId="0" applyNumberFormat="0" applyBorder="0" applyAlignment="0" applyProtection="0"/>
    <xf numFmtId="0" fontId="54" fillId="37" borderId="0" applyNumberFormat="0" applyBorder="0" applyAlignment="0" applyProtection="0"/>
    <xf numFmtId="9" fontId="1" fillId="0" borderId="0" applyFont="0" applyFill="0" applyBorder="0" applyAlignment="0" applyProtection="0"/>
  </cellStyleXfs>
  <cellXfs count="160">
    <xf numFmtId="0" fontId="0" fillId="0" borderId="0" xfId="0"/>
    <xf numFmtId="0" fontId="31" fillId="0" borderId="0" xfId="106" applyFont="1"/>
    <xf numFmtId="0" fontId="32" fillId="0" borderId="0" xfId="106" applyFont="1"/>
    <xf numFmtId="0" fontId="33" fillId="0" borderId="0" xfId="106" applyFont="1"/>
    <xf numFmtId="9" fontId="34" fillId="0" borderId="0" xfId="106" applyNumberFormat="1" applyFont="1"/>
    <xf numFmtId="10" fontId="34" fillId="0" borderId="0" xfId="106" applyNumberFormat="1" applyFont="1"/>
    <xf numFmtId="0" fontId="35" fillId="0" borderId="0" xfId="106" applyFont="1"/>
    <xf numFmtId="3" fontId="36" fillId="0" borderId="0" xfId="106" applyNumberFormat="1" applyFont="1"/>
    <xf numFmtId="3" fontId="38" fillId="0" borderId="0" xfId="106" applyNumberFormat="1" applyFont="1"/>
    <xf numFmtId="0" fontId="37" fillId="0" borderId="14" xfId="106" applyFont="1" applyBorder="1" applyAlignment="1">
      <alignment horizontal="center" vertical="center"/>
    </xf>
    <xf numFmtId="0" fontId="37" fillId="32" borderId="19" xfId="106" applyFont="1" applyFill="1" applyBorder="1" applyAlignment="1">
      <alignment horizontal="center" vertical="center"/>
    </xf>
    <xf numFmtId="0" fontId="37" fillId="33" borderId="14" xfId="106" applyFont="1" applyFill="1" applyBorder="1" applyAlignment="1">
      <alignment horizontal="center" vertical="center" wrapText="1"/>
    </xf>
    <xf numFmtId="0" fontId="33" fillId="0" borderId="0" xfId="106" applyFont="1" applyAlignment="1">
      <alignment horizontal="center" wrapText="1"/>
    </xf>
    <xf numFmtId="3" fontId="39" fillId="0" borderId="13" xfId="106" applyNumberFormat="1" applyFont="1" applyBorder="1" applyAlignment="1">
      <alignment horizontal="center" vertical="center"/>
    </xf>
    <xf numFmtId="0" fontId="37" fillId="0" borderId="19" xfId="106" applyFont="1" applyBorder="1" applyAlignment="1">
      <alignment horizontal="center" vertical="center"/>
    </xf>
    <xf numFmtId="0" fontId="39" fillId="0" borderId="19" xfId="106" applyFont="1" applyBorder="1" applyAlignment="1">
      <alignment horizontal="center" vertical="center"/>
    </xf>
    <xf numFmtId="9" fontId="39" fillId="0" borderId="13" xfId="106" applyNumberFormat="1" applyFont="1" applyBorder="1" applyAlignment="1">
      <alignment horizontal="center" vertical="center"/>
    </xf>
    <xf numFmtId="10" fontId="32" fillId="0" borderId="0" xfId="106" applyNumberFormat="1" applyFont="1"/>
    <xf numFmtId="0" fontId="39" fillId="0" borderId="16" xfId="106" applyFont="1" applyBorder="1" applyAlignment="1">
      <alignment horizontal="center" vertical="center"/>
    </xf>
    <xf numFmtId="165" fontId="32" fillId="0" borderId="0" xfId="106" applyNumberFormat="1" applyFont="1"/>
    <xf numFmtId="0" fontId="37" fillId="0" borderId="18" xfId="106" applyFont="1" applyBorder="1" applyAlignment="1">
      <alignment horizontal="center" vertical="center"/>
    </xf>
    <xf numFmtId="0" fontId="39" fillId="0" borderId="20" xfId="106" applyFont="1" applyBorder="1" applyAlignment="1">
      <alignment horizontal="center" vertical="center"/>
    </xf>
    <xf numFmtId="0" fontId="39" fillId="0" borderId="14" xfId="106" applyFont="1" applyBorder="1" applyAlignment="1">
      <alignment horizontal="center" vertical="center"/>
    </xf>
    <xf numFmtId="2" fontId="39" fillId="0" borderId="14" xfId="106" applyNumberFormat="1" applyFont="1" applyBorder="1" applyAlignment="1">
      <alignment horizontal="center" vertical="center"/>
    </xf>
    <xf numFmtId="0" fontId="41" fillId="0" borderId="0" xfId="106" applyFont="1" applyAlignment="1">
      <alignment horizontal="center"/>
    </xf>
    <xf numFmtId="10" fontId="32" fillId="0" borderId="0" xfId="106" applyNumberFormat="1" applyFont="1" applyAlignment="1">
      <alignment horizontal="center"/>
    </xf>
    <xf numFmtId="1" fontId="32" fillId="0" borderId="0" xfId="106" applyNumberFormat="1" applyFont="1"/>
    <xf numFmtId="0" fontId="37" fillId="32" borderId="14" xfId="106" applyFont="1" applyFill="1" applyBorder="1" applyAlignment="1">
      <alignment vertical="center"/>
    </xf>
    <xf numFmtId="0" fontId="37" fillId="32" borderId="10" xfId="106" applyFont="1" applyFill="1" applyBorder="1" applyAlignment="1">
      <alignment horizontal="center" vertical="center"/>
    </xf>
    <xf numFmtId="0" fontId="37" fillId="0" borderId="13" xfId="106" applyFont="1" applyBorder="1" applyAlignment="1">
      <alignment vertical="center"/>
    </xf>
    <xf numFmtId="166" fontId="39" fillId="0" borderId="19" xfId="106" applyNumberFormat="1" applyFont="1" applyBorder="1" applyAlignment="1">
      <alignment horizontal="right" vertical="center"/>
    </xf>
    <xf numFmtId="166" fontId="39" fillId="0" borderId="16" xfId="106" applyNumberFormat="1" applyFont="1" applyBorder="1" applyAlignment="1">
      <alignment horizontal="right" vertical="center"/>
    </xf>
    <xf numFmtId="0" fontId="37" fillId="0" borderId="17" xfId="106" applyFont="1" applyBorder="1" applyAlignment="1">
      <alignment vertical="center"/>
    </xf>
    <xf numFmtId="166" fontId="39" fillId="0" borderId="14" xfId="106" applyNumberFormat="1" applyFont="1" applyBorder="1" applyAlignment="1">
      <alignment horizontal="right" vertical="center"/>
    </xf>
    <xf numFmtId="0" fontId="37" fillId="27" borderId="14" xfId="106" applyFont="1" applyFill="1" applyBorder="1" applyAlignment="1">
      <alignment horizontal="center" vertical="center" wrapText="1"/>
    </xf>
    <xf numFmtId="0" fontId="37" fillId="27" borderId="11" xfId="106" applyFont="1" applyFill="1" applyBorder="1" applyAlignment="1">
      <alignment horizontal="center" vertical="center" wrapText="1"/>
    </xf>
    <xf numFmtId="3" fontId="39" fillId="0" borderId="13" xfId="106" applyNumberFormat="1" applyFont="1" applyBorder="1" applyAlignment="1">
      <alignment horizontal="right" vertical="center"/>
    </xf>
    <xf numFmtId="10" fontId="39" fillId="0" borderId="20" xfId="106" applyNumberFormat="1" applyFont="1" applyBorder="1" applyAlignment="1">
      <alignment horizontal="right" vertical="center"/>
    </xf>
    <xf numFmtId="4" fontId="43" fillId="0" borderId="14" xfId="106" applyNumberFormat="1" applyFont="1" applyBorder="1" applyAlignment="1">
      <alignment horizontal="center"/>
    </xf>
    <xf numFmtId="0" fontId="44" fillId="32" borderId="14" xfId="106" applyFont="1" applyFill="1" applyBorder="1" applyAlignment="1">
      <alignment horizontal="center"/>
    </xf>
    <xf numFmtId="3" fontId="44" fillId="24" borderId="14" xfId="106" applyNumberFormat="1" applyFont="1" applyFill="1" applyBorder="1" applyAlignment="1">
      <alignment horizontal="center"/>
    </xf>
    <xf numFmtId="0" fontId="33" fillId="0" borderId="20" xfId="106" applyFont="1" applyBorder="1"/>
    <xf numFmtId="9" fontId="41" fillId="0" borderId="14" xfId="106" applyNumberFormat="1" applyFont="1" applyBorder="1"/>
    <xf numFmtId="10" fontId="41" fillId="0" borderId="14" xfId="106" applyNumberFormat="1" applyFont="1" applyBorder="1"/>
    <xf numFmtId="0" fontId="33" fillId="27" borderId="15" xfId="106" applyFont="1" applyFill="1" applyBorder="1" applyAlignment="1">
      <alignment horizontal="center" wrapText="1"/>
    </xf>
    <xf numFmtId="0" fontId="33" fillId="28" borderId="15" xfId="106" applyFont="1" applyFill="1" applyBorder="1" applyAlignment="1">
      <alignment horizontal="center" wrapText="1"/>
    </xf>
    <xf numFmtId="0" fontId="33" fillId="29" borderId="15" xfId="106" applyFont="1" applyFill="1" applyBorder="1" applyAlignment="1">
      <alignment horizontal="center" wrapText="1"/>
    </xf>
    <xf numFmtId="0" fontId="41" fillId="0" borderId="15" xfId="106" applyFont="1" applyBorder="1" applyAlignment="1">
      <alignment horizontal="center"/>
    </xf>
    <xf numFmtId="3" fontId="41" fillId="0" borderId="15" xfId="106" applyNumberFormat="1" applyFont="1" applyBorder="1" applyAlignment="1">
      <alignment horizontal="center"/>
    </xf>
    <xf numFmtId="167" fontId="41" fillId="0" borderId="15" xfId="106" applyNumberFormat="1" applyFont="1" applyBorder="1" applyAlignment="1">
      <alignment horizontal="center"/>
    </xf>
    <xf numFmtId="10" fontId="32" fillId="0" borderId="15" xfId="106" applyNumberFormat="1" applyFont="1" applyBorder="1" applyAlignment="1">
      <alignment horizontal="center"/>
    </xf>
    <xf numFmtId="10" fontId="32" fillId="0" borderId="15" xfId="106" applyNumberFormat="1" applyFont="1" applyBorder="1"/>
    <xf numFmtId="1" fontId="32" fillId="0" borderId="15" xfId="106" applyNumberFormat="1" applyFont="1" applyBorder="1"/>
    <xf numFmtId="165" fontId="32" fillId="0" borderId="15" xfId="106" applyNumberFormat="1" applyFont="1" applyBorder="1"/>
    <xf numFmtId="3" fontId="38" fillId="0" borderId="14" xfId="106" applyNumberFormat="1" applyFont="1" applyBorder="1" applyAlignment="1">
      <alignment horizontal="right"/>
    </xf>
    <xf numFmtId="3" fontId="38" fillId="0" borderId="14" xfId="106" applyNumberFormat="1" applyFont="1" applyBorder="1"/>
    <xf numFmtId="3" fontId="38" fillId="26" borderId="14" xfId="106" applyNumberFormat="1" applyFont="1" applyFill="1" applyBorder="1" applyAlignment="1">
      <alignment horizontal="right"/>
    </xf>
    <xf numFmtId="0" fontId="45" fillId="0" borderId="0" xfId="106" applyFont="1"/>
    <xf numFmtId="0" fontId="33" fillId="32" borderId="24" xfId="106" applyFont="1" applyFill="1" applyBorder="1" applyAlignment="1">
      <alignment horizontal="center"/>
    </xf>
    <xf numFmtId="0" fontId="33" fillId="32" borderId="25" xfId="106" applyFont="1" applyFill="1" applyBorder="1" applyAlignment="1">
      <alignment horizontal="center"/>
    </xf>
    <xf numFmtId="0" fontId="33" fillId="32" borderId="26" xfId="106" applyFont="1" applyFill="1" applyBorder="1" applyAlignment="1">
      <alignment horizontal="center"/>
    </xf>
    <xf numFmtId="0" fontId="33" fillId="32" borderId="14" xfId="106" applyFont="1" applyFill="1" applyBorder="1" applyAlignment="1">
      <alignment horizontal="center"/>
    </xf>
    <xf numFmtId="3" fontId="32" fillId="0" borderId="0" xfId="106" applyNumberFormat="1" applyFont="1"/>
    <xf numFmtId="0" fontId="33" fillId="0" borderId="15" xfId="106" applyFont="1" applyBorder="1"/>
    <xf numFmtId="2" fontId="32" fillId="0" borderId="22" xfId="106" applyNumberFormat="1" applyFont="1" applyBorder="1"/>
    <xf numFmtId="0" fontId="33" fillId="0" borderId="22" xfId="106" applyFont="1" applyBorder="1"/>
    <xf numFmtId="2" fontId="32" fillId="0" borderId="15" xfId="106" applyNumberFormat="1" applyFont="1" applyBorder="1"/>
    <xf numFmtId="10" fontId="46" fillId="0" borderId="15" xfId="105" applyNumberFormat="1" applyFont="1" applyBorder="1"/>
    <xf numFmtId="3" fontId="44" fillId="24" borderId="14" xfId="106" applyNumberFormat="1" applyFont="1" applyFill="1" applyBorder="1"/>
    <xf numFmtId="43" fontId="32" fillId="0" borderId="0" xfId="107" applyFont="1"/>
    <xf numFmtId="3" fontId="32" fillId="0" borderId="22" xfId="106" applyNumberFormat="1" applyFont="1" applyFill="1" applyBorder="1"/>
    <xf numFmtId="0" fontId="32" fillId="0" borderId="0" xfId="0" applyFont="1"/>
    <xf numFmtId="43" fontId="32" fillId="24" borderId="15" xfId="107" applyFont="1" applyFill="1" applyBorder="1"/>
    <xf numFmtId="0" fontId="41" fillId="34" borderId="15" xfId="106" applyFont="1" applyFill="1" applyBorder="1" applyAlignment="1">
      <alignment horizontal="center"/>
    </xf>
    <xf numFmtId="0" fontId="32" fillId="0" borderId="0" xfId="106" applyFont="1" applyAlignment="1">
      <alignment horizontal="center"/>
    </xf>
    <xf numFmtId="9" fontId="48" fillId="0" borderId="13" xfId="106" applyNumberFormat="1" applyFont="1" applyBorder="1" applyAlignment="1">
      <alignment horizontal="center" vertical="center"/>
    </xf>
    <xf numFmtId="3" fontId="48" fillId="0" borderId="22" xfId="106" applyNumberFormat="1" applyFont="1" applyFill="1" applyBorder="1"/>
    <xf numFmtId="10" fontId="43" fillId="0" borderId="15" xfId="106" applyNumberFormat="1" applyFont="1" applyBorder="1"/>
    <xf numFmtId="10" fontId="48" fillId="0" borderId="14" xfId="106" applyNumberFormat="1" applyFont="1" applyBorder="1"/>
    <xf numFmtId="0" fontId="48" fillId="0" borderId="0" xfId="106" applyFont="1"/>
    <xf numFmtId="0" fontId="2" fillId="0" borderId="0" xfId="121"/>
    <xf numFmtId="0" fontId="2" fillId="0" borderId="0" xfId="121" applyAlignment="1">
      <alignment horizontal="center"/>
    </xf>
    <xf numFmtId="0" fontId="2" fillId="0" borderId="0" xfId="121" applyAlignment="1">
      <alignment horizontal="right"/>
    </xf>
    <xf numFmtId="168" fontId="2" fillId="24" borderId="15" xfId="122" applyNumberFormat="1" applyFill="1" applyBorder="1" applyAlignment="1">
      <alignment horizontal="center"/>
    </xf>
    <xf numFmtId="2" fontId="2" fillId="24" borderId="15" xfId="122" applyNumberFormat="1" applyFill="1" applyBorder="1" applyAlignment="1">
      <alignment horizontal="center"/>
    </xf>
    <xf numFmtId="0" fontId="2" fillId="0" borderId="15" xfId="121" applyBorder="1" applyAlignment="1">
      <alignment horizontal="center"/>
    </xf>
    <xf numFmtId="166" fontId="2" fillId="0" borderId="0" xfId="121" applyNumberFormat="1" applyAlignment="1">
      <alignment horizontal="center"/>
    </xf>
    <xf numFmtId="2" fontId="2" fillId="0" borderId="0" xfId="121" applyNumberFormat="1" applyAlignment="1">
      <alignment horizontal="center"/>
    </xf>
    <xf numFmtId="2" fontId="2" fillId="0" borderId="0" xfId="122" applyNumberFormat="1" applyAlignment="1">
      <alignment horizontal="center"/>
    </xf>
    <xf numFmtId="2" fontId="2" fillId="0" borderId="15" xfId="122" applyNumberFormat="1" applyBorder="1" applyAlignment="1">
      <alignment horizontal="center"/>
    </xf>
    <xf numFmtId="166" fontId="2" fillId="0" borderId="15" xfId="122" applyNumberFormat="1" applyBorder="1" applyAlignment="1">
      <alignment horizontal="center"/>
    </xf>
    <xf numFmtId="0" fontId="2" fillId="0" borderId="15" xfId="122" applyBorder="1" applyAlignment="1">
      <alignment horizontal="center"/>
    </xf>
    <xf numFmtId="9" fontId="2" fillId="0" borderId="0" xfId="121" applyNumberFormat="1" applyAlignment="1">
      <alignment horizontal="center"/>
    </xf>
    <xf numFmtId="9" fontId="0" fillId="0" borderId="0" xfId="123" applyFont="1" applyAlignment="1">
      <alignment horizontal="center"/>
    </xf>
    <xf numFmtId="0" fontId="49" fillId="0" borderId="0" xfId="121" applyFont="1" applyAlignment="1">
      <alignment horizontal="center"/>
    </xf>
    <xf numFmtId="0" fontId="49" fillId="0" borderId="0" xfId="121" applyFont="1" applyAlignment="1">
      <alignment horizontal="center" wrapText="1"/>
    </xf>
    <xf numFmtId="0" fontId="32" fillId="0" borderId="0" xfId="121" applyFont="1"/>
    <xf numFmtId="0" fontId="31" fillId="0" borderId="0" xfId="121" applyFont="1"/>
    <xf numFmtId="0" fontId="1" fillId="0" borderId="0" xfId="124"/>
    <xf numFmtId="0" fontId="1" fillId="0" borderId="0" xfId="124" applyAlignment="1">
      <alignment horizontal="left" vertical="center"/>
    </xf>
    <xf numFmtId="0" fontId="1" fillId="0" borderId="0" xfId="124" applyAlignment="1">
      <alignment vertical="center" wrapText="1"/>
    </xf>
    <xf numFmtId="0" fontId="1" fillId="0" borderId="0" xfId="124" applyAlignment="1">
      <alignment vertical="center"/>
    </xf>
    <xf numFmtId="0" fontId="1" fillId="0" borderId="0" xfId="124" applyAlignment="1">
      <alignment horizontal="left" indent="2"/>
    </xf>
    <xf numFmtId="0" fontId="1" fillId="0" borderId="0" xfId="124" applyAlignment="1">
      <alignment horizontal="center"/>
    </xf>
    <xf numFmtId="0" fontId="1" fillId="0" borderId="0" xfId="124" quotePrefix="1"/>
    <xf numFmtId="0" fontId="50" fillId="0" borderId="0" xfId="124" applyFont="1" applyAlignment="1">
      <alignment horizontal="center"/>
    </xf>
    <xf numFmtId="0" fontId="51" fillId="0" borderId="0" xfId="124" applyFont="1"/>
    <xf numFmtId="0" fontId="0" fillId="0" borderId="0" xfId="124" applyFont="1"/>
    <xf numFmtId="0" fontId="1" fillId="25" borderId="0" xfId="124" applyFill="1"/>
    <xf numFmtId="0" fontId="1" fillId="25" borderId="0" xfId="124" applyFill="1" applyAlignment="1">
      <alignment horizontal="center"/>
    </xf>
    <xf numFmtId="43" fontId="52" fillId="35" borderId="27" xfId="125" applyNumberFormat="1"/>
    <xf numFmtId="0" fontId="53" fillId="36" borderId="0" xfId="126"/>
    <xf numFmtId="169" fontId="1" fillId="0" borderId="0" xfId="124" applyNumberFormat="1"/>
    <xf numFmtId="0" fontId="54" fillId="37" borderId="0" xfId="127"/>
    <xf numFmtId="43" fontId="1" fillId="0" borderId="0" xfId="124" applyNumberFormat="1"/>
    <xf numFmtId="0" fontId="1" fillId="0" borderId="0" xfId="124" applyAlignment="1">
      <alignment horizontal="right"/>
    </xf>
    <xf numFmtId="43" fontId="1" fillId="38" borderId="15" xfId="124" applyNumberFormat="1" applyFill="1" applyBorder="1"/>
    <xf numFmtId="43" fontId="52" fillId="35" borderId="28" xfId="125" applyNumberFormat="1" applyBorder="1"/>
    <xf numFmtId="166" fontId="52" fillId="35" borderId="27" xfId="125" applyNumberFormat="1"/>
    <xf numFmtId="170" fontId="52" fillId="35" borderId="27" xfId="125" applyNumberFormat="1"/>
    <xf numFmtId="10" fontId="53" fillId="36" borderId="27" xfId="128" applyNumberFormat="1" applyFont="1" applyFill="1" applyBorder="1"/>
    <xf numFmtId="171" fontId="53" fillId="36" borderId="27" xfId="126" applyNumberFormat="1" applyBorder="1"/>
    <xf numFmtId="43" fontId="53" fillId="36" borderId="27" xfId="126" applyNumberFormat="1" applyBorder="1"/>
    <xf numFmtId="0" fontId="1" fillId="38" borderId="15" xfId="124" applyFill="1" applyBorder="1"/>
    <xf numFmtId="43" fontId="52" fillId="35" borderId="29" xfId="125" applyNumberFormat="1" applyBorder="1"/>
    <xf numFmtId="43" fontId="52" fillId="35" borderId="30" xfId="125" applyNumberFormat="1" applyBorder="1"/>
    <xf numFmtId="166" fontId="52" fillId="35" borderId="30" xfId="125" applyNumberFormat="1" applyBorder="1"/>
    <xf numFmtId="170" fontId="52" fillId="35" borderId="30" xfId="125" applyNumberFormat="1" applyBorder="1"/>
    <xf numFmtId="43" fontId="53" fillId="36" borderId="30" xfId="126" applyNumberFormat="1" applyBorder="1"/>
    <xf numFmtId="171" fontId="53" fillId="36" borderId="30" xfId="126" applyNumberFormat="1" applyBorder="1"/>
    <xf numFmtId="0" fontId="1" fillId="38" borderId="0" xfId="124" applyFill="1" applyAlignment="1">
      <alignment horizontal="center" wrapText="1"/>
    </xf>
    <xf numFmtId="0" fontId="1" fillId="38" borderId="0" xfId="124" applyFill="1" applyAlignment="1">
      <alignment horizontal="center"/>
    </xf>
    <xf numFmtId="0" fontId="53" fillId="36" borderId="0" xfId="126" applyAlignment="1">
      <alignment wrapText="1"/>
    </xf>
    <xf numFmtId="0" fontId="53" fillId="36" borderId="0" xfId="126" applyAlignment="1">
      <alignment horizontal="center"/>
    </xf>
    <xf numFmtId="0" fontId="53" fillId="36" borderId="0" xfId="126" applyAlignment="1">
      <alignment horizontal="center" wrapText="1"/>
    </xf>
    <xf numFmtId="0" fontId="53" fillId="36" borderId="0" xfId="126" applyAlignment="1">
      <alignment horizontal="right"/>
    </xf>
    <xf numFmtId="0" fontId="55" fillId="0" borderId="0" xfId="124" applyFont="1"/>
    <xf numFmtId="172" fontId="53" fillId="36" borderId="0" xfId="126" applyNumberFormat="1"/>
    <xf numFmtId="10" fontId="53" fillId="36" borderId="0" xfId="126" applyNumberFormat="1"/>
    <xf numFmtId="169" fontId="53" fillId="36" borderId="0" xfId="126" applyNumberFormat="1"/>
    <xf numFmtId="0" fontId="56" fillId="0" borderId="0" xfId="124" applyFont="1"/>
    <xf numFmtId="0" fontId="31" fillId="0" borderId="0" xfId="124" applyFont="1"/>
    <xf numFmtId="0" fontId="56" fillId="0" borderId="0" xfId="124" applyFont="1" applyAlignment="1">
      <alignment horizontal="left"/>
    </xf>
    <xf numFmtId="0" fontId="49" fillId="0" borderId="0" xfId="124" applyFont="1"/>
    <xf numFmtId="0" fontId="57" fillId="0" borderId="0" xfId="124" applyFont="1"/>
    <xf numFmtId="0" fontId="58" fillId="0" borderId="0" xfId="124" applyFont="1"/>
    <xf numFmtId="0" fontId="37" fillId="30" borderId="20" xfId="106" applyFont="1" applyFill="1" applyBorder="1" applyAlignment="1">
      <alignment horizontal="center" vertical="center"/>
    </xf>
    <xf numFmtId="0" fontId="37" fillId="30" borderId="21" xfId="106" applyFont="1" applyFill="1" applyBorder="1" applyAlignment="1">
      <alignment horizontal="center" vertical="center"/>
    </xf>
    <xf numFmtId="0" fontId="37" fillId="30" borderId="23" xfId="106" applyFont="1" applyFill="1" applyBorder="1" applyAlignment="1">
      <alignment horizontal="center" vertical="center"/>
    </xf>
    <xf numFmtId="0" fontId="37" fillId="31" borderId="20" xfId="106" applyFont="1" applyFill="1" applyBorder="1" applyAlignment="1">
      <alignment horizontal="center" vertical="center"/>
    </xf>
    <xf numFmtId="0" fontId="37" fillId="31" borderId="21" xfId="106" applyFont="1" applyFill="1" applyBorder="1" applyAlignment="1">
      <alignment horizontal="center" vertical="center"/>
    </xf>
    <xf numFmtId="0" fontId="37" fillId="31" borderId="23" xfId="106" applyFont="1" applyFill="1" applyBorder="1" applyAlignment="1">
      <alignment horizontal="center" vertical="center"/>
    </xf>
    <xf numFmtId="0" fontId="42" fillId="25" borderId="0" xfId="106" applyFont="1" applyFill="1" applyAlignment="1">
      <alignment horizontal="center"/>
    </xf>
    <xf numFmtId="0" fontId="33" fillId="0" borderId="11" xfId="106" applyFont="1" applyBorder="1" applyAlignment="1">
      <alignment horizontal="center" vertical="center" wrapText="1"/>
    </xf>
    <xf numFmtId="0" fontId="33" fillId="0" borderId="12" xfId="106" applyFont="1" applyBorder="1" applyAlignment="1">
      <alignment horizontal="center" vertical="center" wrapText="1"/>
    </xf>
    <xf numFmtId="0" fontId="33" fillId="0" borderId="13" xfId="106" applyFont="1" applyBorder="1" applyAlignment="1">
      <alignment horizontal="center" vertical="center" wrapText="1"/>
    </xf>
    <xf numFmtId="0" fontId="33" fillId="32" borderId="20" xfId="106" applyFont="1" applyFill="1" applyBorder="1" applyAlignment="1">
      <alignment horizontal="center"/>
    </xf>
    <xf numFmtId="0" fontId="33" fillId="32" borderId="21" xfId="106" applyFont="1" applyFill="1" applyBorder="1" applyAlignment="1">
      <alignment horizontal="center"/>
    </xf>
    <xf numFmtId="0" fontId="33" fillId="32" borderId="10" xfId="106" applyFont="1" applyFill="1" applyBorder="1" applyAlignment="1">
      <alignment horizontal="center"/>
    </xf>
    <xf numFmtId="0" fontId="1" fillId="0" borderId="0" xfId="124" applyAlignment="1">
      <alignment horizontal="left" wrapText="1"/>
    </xf>
  </cellXfs>
  <cellStyles count="129">
    <cellStyle name="=C:\WINDOWS\SYSTEM32\COMMAND.COM" xfId="1" xr:uid="{00000000-0005-0000-0000-000000000000}"/>
    <cellStyle name="=C:\WINDOWS\SYSTEM32\COMMAND.COM 2" xfId="103" xr:uid="{00000000-0005-0000-0000-000001000000}"/>
    <cellStyle name="20% - Accent1" xfId="2" builtinId="30" customBuiltin="1"/>
    <cellStyle name="20% - Accent1 2" xfId="3" xr:uid="{00000000-0005-0000-0000-000003000000}"/>
    <cellStyle name="20% - Accent2" xfId="4" builtinId="34" customBuiltin="1"/>
    <cellStyle name="20% - Accent2 2" xfId="5" xr:uid="{00000000-0005-0000-0000-000005000000}"/>
    <cellStyle name="20% - Accent3" xfId="6" builtinId="38" customBuiltin="1"/>
    <cellStyle name="20% - Accent3 2" xfId="7" xr:uid="{00000000-0005-0000-0000-000007000000}"/>
    <cellStyle name="20% - Accent4" xfId="8" builtinId="42" customBuiltin="1"/>
    <cellStyle name="20% - Accent4 2" xfId="9" xr:uid="{00000000-0005-0000-0000-000009000000}"/>
    <cellStyle name="20% - Accent5" xfId="10" builtinId="46" customBuiltin="1"/>
    <cellStyle name="20% - Accent5 2" xfId="11" xr:uid="{00000000-0005-0000-0000-00000B000000}"/>
    <cellStyle name="20% - Accent6" xfId="12" builtinId="50" customBuiltin="1"/>
    <cellStyle name="20% - Accent6 2" xfId="13" xr:uid="{00000000-0005-0000-0000-00000D000000}"/>
    <cellStyle name="40% - Accent1" xfId="14" builtinId="31" customBuiltin="1"/>
    <cellStyle name="40% - Accent1 2" xfId="15" xr:uid="{00000000-0005-0000-0000-00000F000000}"/>
    <cellStyle name="40% - Accent2" xfId="16" builtinId="35" customBuiltin="1"/>
    <cellStyle name="40% - Accent2 2" xfId="17" xr:uid="{00000000-0005-0000-0000-000011000000}"/>
    <cellStyle name="40% - Accent3" xfId="18" builtinId="39" customBuiltin="1"/>
    <cellStyle name="40% - Accent3 2" xfId="19" xr:uid="{00000000-0005-0000-0000-000013000000}"/>
    <cellStyle name="40% - Accent4" xfId="20" builtinId="43" customBuiltin="1"/>
    <cellStyle name="40% - Accent4 2" xfId="21" xr:uid="{00000000-0005-0000-0000-000015000000}"/>
    <cellStyle name="40% - Accent5" xfId="22" builtinId="47" customBuiltin="1"/>
    <cellStyle name="40% - Accent5 2" xfId="23" xr:uid="{00000000-0005-0000-0000-000017000000}"/>
    <cellStyle name="40% - Accent6" xfId="24" builtinId="51" customBuiltin="1"/>
    <cellStyle name="40% - Accent6 2" xfId="25" xr:uid="{00000000-0005-0000-0000-000019000000}"/>
    <cellStyle name="60% - Accent1" xfId="26" builtinId="32" customBuiltin="1"/>
    <cellStyle name="60% - Accent1 2" xfId="27" xr:uid="{00000000-0005-0000-0000-00001B000000}"/>
    <cellStyle name="60% - Accent2" xfId="28" builtinId="36" customBuiltin="1"/>
    <cellStyle name="60% - Accent2 2" xfId="29" xr:uid="{00000000-0005-0000-0000-00001D000000}"/>
    <cellStyle name="60% - Accent3" xfId="30" builtinId="40" customBuiltin="1"/>
    <cellStyle name="60% - Accent3 2" xfId="31" xr:uid="{00000000-0005-0000-0000-00001F000000}"/>
    <cellStyle name="60% - Accent4" xfId="32" builtinId="44" customBuiltin="1"/>
    <cellStyle name="60% - Accent4 2" xfId="33" xr:uid="{00000000-0005-0000-0000-000021000000}"/>
    <cellStyle name="60% - Accent5" xfId="34" builtinId="48" customBuiltin="1"/>
    <cellStyle name="60% - Accent5 2" xfId="35" xr:uid="{00000000-0005-0000-0000-000023000000}"/>
    <cellStyle name="60% - Accent6" xfId="36" builtinId="52" customBuiltin="1"/>
    <cellStyle name="60% - Accent6 2" xfId="37" xr:uid="{00000000-0005-0000-0000-000025000000}"/>
    <cellStyle name="Accent1" xfId="38" builtinId="29" customBuiltin="1"/>
    <cellStyle name="Accent1 2" xfId="39" xr:uid="{00000000-0005-0000-0000-000027000000}"/>
    <cellStyle name="Accent2" xfId="40" builtinId="33" customBuiltin="1"/>
    <cellStyle name="Accent2 2" xfId="41" xr:uid="{00000000-0005-0000-0000-000029000000}"/>
    <cellStyle name="Accent3" xfId="42" builtinId="37" customBuiltin="1"/>
    <cellStyle name="Accent3 2" xfId="43" xr:uid="{00000000-0005-0000-0000-00002B000000}"/>
    <cellStyle name="Accent4" xfId="44" builtinId="41" customBuiltin="1"/>
    <cellStyle name="Accent4 2" xfId="45" xr:uid="{00000000-0005-0000-0000-00002D000000}"/>
    <cellStyle name="Accent5" xfId="46" builtinId="45" customBuiltin="1"/>
    <cellStyle name="Accent5 2" xfId="47" xr:uid="{00000000-0005-0000-0000-00002F000000}"/>
    <cellStyle name="Accent6" xfId="48" builtinId="49" customBuiltin="1"/>
    <cellStyle name="Accent6 2" xfId="49" xr:uid="{00000000-0005-0000-0000-000031000000}"/>
    <cellStyle name="Bad" xfId="50" builtinId="27" customBuiltin="1"/>
    <cellStyle name="Bad 2" xfId="51" xr:uid="{00000000-0005-0000-0000-000033000000}"/>
    <cellStyle name="Calculation" xfId="52" builtinId="22" customBuiltin="1"/>
    <cellStyle name="Calculation 2" xfId="53" xr:uid="{00000000-0005-0000-0000-000035000000}"/>
    <cellStyle name="Calculation 3" xfId="125" xr:uid="{FD1143DF-A951-4AEC-9258-EBFB76A0D63B}"/>
    <cellStyle name="Check Cell" xfId="54" builtinId="23" customBuiltin="1"/>
    <cellStyle name="Check Cell 2" xfId="55" xr:uid="{00000000-0005-0000-0000-000037000000}"/>
    <cellStyle name="Comma" xfId="107" builtinId="3"/>
    <cellStyle name="Comma 2" xfId="56" xr:uid="{00000000-0005-0000-0000-000038000000}"/>
    <cellStyle name="Comma 3" xfId="57" xr:uid="{00000000-0005-0000-0000-000039000000}"/>
    <cellStyle name="Comma 3 2" xfId="108" xr:uid="{7621AEE5-1D9C-4F74-BB73-0EAC57868B5D}"/>
    <cellStyle name="Comma 4" xfId="58" xr:uid="{00000000-0005-0000-0000-00003A000000}"/>
    <cellStyle name="Comma 4 2" xfId="109" xr:uid="{202CAE3B-4518-4CD5-8002-CF0DB5380660}"/>
    <cellStyle name="Comma 5" xfId="59" xr:uid="{00000000-0005-0000-0000-00003B000000}"/>
    <cellStyle name="Comma 5 2" xfId="110" xr:uid="{82584A29-87C4-43BA-B3CA-B4B54945BBBA}"/>
    <cellStyle name="Comma 6" xfId="60" xr:uid="{00000000-0005-0000-0000-00003C000000}"/>
    <cellStyle name="Comma 6 2" xfId="111" xr:uid="{87465DE6-8918-489C-8C81-CBBFE44ABA6B}"/>
    <cellStyle name="Comma 7" xfId="61" xr:uid="{00000000-0005-0000-0000-00003D000000}"/>
    <cellStyle name="Currency 2" xfId="62" xr:uid="{00000000-0005-0000-0000-00003E000000}"/>
    <cellStyle name="Currency 2 2" xfId="112" xr:uid="{52C4EC86-5E40-4ECD-9824-A974A5EEBD51}"/>
    <cellStyle name="Currency 3" xfId="63" xr:uid="{00000000-0005-0000-0000-00003F000000}"/>
    <cellStyle name="Currency 3 2" xfId="113" xr:uid="{83DBC15D-3057-447C-89F5-26616D93B02F}"/>
    <cellStyle name="Currency 4" xfId="64" xr:uid="{00000000-0005-0000-0000-000040000000}"/>
    <cellStyle name="Currency 4 2" xfId="114" xr:uid="{5481448A-E3AF-4E4F-9976-893B483FF9E1}"/>
    <cellStyle name="Explanatory Text" xfId="65" builtinId="53" customBuiltin="1"/>
    <cellStyle name="Explanatory Text 2" xfId="66" xr:uid="{00000000-0005-0000-0000-000042000000}"/>
    <cellStyle name="Good" xfId="67" builtinId="26" customBuiltin="1"/>
    <cellStyle name="Good 2" xfId="68" xr:uid="{00000000-0005-0000-0000-000044000000}"/>
    <cellStyle name="Good 3" xfId="126" xr:uid="{87D7C5C6-FE30-4C7C-A27B-68D70328ECA6}"/>
    <cellStyle name="Heading 1" xfId="69" builtinId="16" customBuiltin="1"/>
    <cellStyle name="Heading 1 2" xfId="70" xr:uid="{00000000-0005-0000-0000-000046000000}"/>
    <cellStyle name="Heading 2" xfId="71" builtinId="17" customBuiltin="1"/>
    <cellStyle name="Heading 2 2" xfId="72" xr:uid="{00000000-0005-0000-0000-000048000000}"/>
    <cellStyle name="Heading 3" xfId="73" builtinId="18" customBuiltin="1"/>
    <cellStyle name="Heading 3 2" xfId="74" xr:uid="{00000000-0005-0000-0000-00004A000000}"/>
    <cellStyle name="Heading 4" xfId="75" builtinId="19" customBuiltin="1"/>
    <cellStyle name="Heading 4 2" xfId="76" xr:uid="{00000000-0005-0000-0000-00004C000000}"/>
    <cellStyle name="Input" xfId="77" builtinId="20" customBuiltin="1"/>
    <cellStyle name="Input 2" xfId="78" xr:uid="{00000000-0005-0000-0000-00004E000000}"/>
    <cellStyle name="Linked Cell" xfId="79" builtinId="24" customBuiltin="1"/>
    <cellStyle name="Linked Cell 2" xfId="80" xr:uid="{00000000-0005-0000-0000-000050000000}"/>
    <cellStyle name="Neutral" xfId="81" builtinId="28" customBuiltin="1"/>
    <cellStyle name="Neutral 2" xfId="82" xr:uid="{00000000-0005-0000-0000-000052000000}"/>
    <cellStyle name="Neutral 3" xfId="127" xr:uid="{99264B00-CF6F-4E03-8AC6-076E99FD5E27}"/>
    <cellStyle name="Normal" xfId="0" builtinId="0"/>
    <cellStyle name="Normal 2" xfId="83" xr:uid="{00000000-0005-0000-0000-000054000000}"/>
    <cellStyle name="Normal 2 2" xfId="84" xr:uid="{00000000-0005-0000-0000-000055000000}"/>
    <cellStyle name="Normal 2_AFE201112_LO3_JZH_1_GO_v2" xfId="85" xr:uid="{00000000-0005-0000-0000-000056000000}"/>
    <cellStyle name="Normal 3" xfId="86" xr:uid="{00000000-0005-0000-0000-000057000000}"/>
    <cellStyle name="Normal 4" xfId="87" xr:uid="{00000000-0005-0000-0000-000058000000}"/>
    <cellStyle name="Normal 5" xfId="105" xr:uid="{AA942E21-827A-4DB0-82AF-44538EDEAB00}"/>
    <cellStyle name="Normal 5 2" xfId="119" xr:uid="{62E6BF57-E42A-401C-ADA0-009B81EA7EFE}"/>
    <cellStyle name="Normal 5 3" xfId="122" xr:uid="{D2054E9D-ABE3-4B11-AEB5-FC289969F285}"/>
    <cellStyle name="Normal 5 4" xfId="124" xr:uid="{375D6B53-4A92-4FA4-9D0E-F174FB6BC689}"/>
    <cellStyle name="Normal 6" xfId="106" xr:uid="{04C0CDEB-5123-4201-9032-23340C2F1BB3}"/>
    <cellStyle name="Normal 6 2" xfId="120" xr:uid="{99F3FE95-C814-491C-8991-A46B3C4D8D7F}"/>
    <cellStyle name="Normal 6 3" xfId="121" xr:uid="{FC7A31AF-760A-409E-B64C-247B5857C595}"/>
    <cellStyle name="Note" xfId="88" builtinId="10" customBuiltin="1"/>
    <cellStyle name="Note 2" xfId="89" xr:uid="{00000000-0005-0000-0000-00005A000000}"/>
    <cellStyle name="Output" xfId="90" builtinId="21" customBuiltin="1"/>
    <cellStyle name="Output 2" xfId="91" xr:uid="{00000000-0005-0000-0000-00005C000000}"/>
    <cellStyle name="Percent 2" xfId="92" xr:uid="{00000000-0005-0000-0000-00005D000000}"/>
    <cellStyle name="Percent 3" xfId="93" xr:uid="{00000000-0005-0000-0000-00005E000000}"/>
    <cellStyle name="Percent 3 2" xfId="115" xr:uid="{134A39CE-D492-4F6A-B515-3286B87EAAD1}"/>
    <cellStyle name="Percent 4" xfId="94" xr:uid="{00000000-0005-0000-0000-00005F000000}"/>
    <cellStyle name="Percent 4 2" xfId="116" xr:uid="{FE1AD74E-7C3E-4D3A-8599-DE4F64C9FC66}"/>
    <cellStyle name="Percent 5" xfId="95" xr:uid="{00000000-0005-0000-0000-000060000000}"/>
    <cellStyle name="Percent 5 2" xfId="117" xr:uid="{7BB1490C-3470-4499-9542-06243BCBA1CA}"/>
    <cellStyle name="Percent 6" xfId="96" xr:uid="{00000000-0005-0000-0000-000061000000}"/>
    <cellStyle name="Percent 6 2" xfId="118" xr:uid="{EBBE0127-BAC8-4940-A543-7B275E9DA161}"/>
    <cellStyle name="Percent 7" xfId="104" xr:uid="{00000000-0005-0000-0000-000062000000}"/>
    <cellStyle name="Percent 8" xfId="123" xr:uid="{7BED8E63-C4C0-47F7-BC02-E210DEE5CDB5}"/>
    <cellStyle name="Percent 8 2" xfId="128" xr:uid="{543D0E60-E331-4FE2-8CE4-116B2D1C9706}"/>
    <cellStyle name="Title" xfId="97" builtinId="15" customBuiltin="1"/>
    <cellStyle name="Title 2" xfId="98" xr:uid="{00000000-0005-0000-0000-000064000000}"/>
    <cellStyle name="Total" xfId="99" builtinId="25" customBuiltin="1"/>
    <cellStyle name="Total 2" xfId="100" xr:uid="{00000000-0005-0000-0000-000066000000}"/>
    <cellStyle name="Warning Text" xfId="101" builtinId="11" customBuiltin="1"/>
    <cellStyle name="Warning Text 2" xfId="102" xr:uid="{00000000-0005-0000-0000-000068000000}"/>
  </cellStyles>
  <dxfs count="0"/>
  <tableStyles count="0" defaultTableStyle="TableStyleMedium9" defaultPivotStyle="PivotStyleLight16"/>
  <colors>
    <mruColors>
      <color rgb="FFFF99CC"/>
      <color rgb="FF33CC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0CE33-DA19-4436-9AE1-CF002D051A34}">
  <sheetPr codeName="Sheet2">
    <tabColor rgb="FF0000FF"/>
  </sheetPr>
  <dimension ref="A1:Q52"/>
  <sheetViews>
    <sheetView topLeftCell="A25" workbookViewId="0">
      <selection activeCell="J15" sqref="J15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146" t="s">
        <v>38</v>
      </c>
      <c r="D8" s="147"/>
      <c r="E8" s="147"/>
      <c r="F8" s="148"/>
    </row>
    <row r="9" spans="1:17" ht="21" thickBot="1" x14ac:dyDescent="0.4">
      <c r="C9" s="149" t="s">
        <v>14</v>
      </c>
      <c r="D9" s="150"/>
      <c r="E9" s="150"/>
      <c r="F9" s="151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16">
        <v>0.85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16">
        <v>0.75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16">
        <v>0.6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16">
        <v>0.5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52" t="s">
        <v>49</v>
      </c>
      <c r="C18" s="152"/>
      <c r="D18" s="152"/>
      <c r="E18" s="152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2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ref="D23:E23" si="2">C23+(1-C23)*E13</f>
        <v>0.21800000000000003</v>
      </c>
      <c r="E23" s="30">
        <f t="shared" si="2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52" t="s">
        <v>41</v>
      </c>
      <c r="C28" s="152"/>
      <c r="D28" s="152"/>
      <c r="E28" s="152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174.78600000000003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3">B12</f>
        <v>5000</v>
      </c>
      <c r="D33" s="37">
        <f t="shared" ref="D33:D35" si="4">E22</f>
        <v>0.29008</v>
      </c>
      <c r="E33" s="38">
        <f t="shared" ref="E33:E35" si="5">C33*(1-G12)*D33</f>
        <v>362.6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3"/>
        <v>7500</v>
      </c>
      <c r="D34" s="37">
        <f t="shared" si="4"/>
        <v>0.37440000000000007</v>
      </c>
      <c r="E34" s="38">
        <f t="shared" si="5"/>
        <v>1123.2000000000003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3"/>
        <v>5000</v>
      </c>
      <c r="D35" s="37">
        <f t="shared" si="4"/>
        <v>0.47312000000000004</v>
      </c>
      <c r="E35" s="38">
        <f t="shared" si="5"/>
        <v>1182.8000000000002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3412.0632000000005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A88F-941A-45D9-A110-E6D54A23CDA3}">
  <sheetPr codeName="Sheet4">
    <tabColor rgb="FF0000FF"/>
  </sheetPr>
  <dimension ref="A1:O46"/>
  <sheetViews>
    <sheetView zoomScaleNormal="100" workbookViewId="0"/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53" t="s">
        <v>43</v>
      </c>
      <c r="C8" s="41" t="s">
        <v>0</v>
      </c>
      <c r="D8" s="42">
        <v>0</v>
      </c>
    </row>
    <row r="9" spans="1:15" ht="14.4" thickBot="1" x14ac:dyDescent="0.3">
      <c r="B9" s="154"/>
      <c r="C9" s="41" t="s">
        <v>1</v>
      </c>
      <c r="D9" s="43">
        <v>0.02</v>
      </c>
    </row>
    <row r="10" spans="1:15" ht="14.4" thickBot="1" x14ac:dyDescent="0.3">
      <c r="B10" s="155"/>
      <c r="C10" s="41" t="s">
        <v>48</v>
      </c>
      <c r="D10" s="43">
        <f>3%</f>
        <v>0.03</v>
      </c>
    </row>
    <row r="11" spans="1:15" ht="23.25" customHeight="1" x14ac:dyDescent="0.25">
      <c r="F11" s="74"/>
      <c r="G11" s="74"/>
      <c r="I11" s="74"/>
      <c r="J11" s="74"/>
      <c r="K11" s="74"/>
      <c r="L11" s="74"/>
      <c r="M11" s="74"/>
      <c r="N11" s="74"/>
      <c r="O11" s="74"/>
    </row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51">
        <f>D10+I14</f>
        <v>0.1386109077988526</v>
      </c>
      <c r="K14" s="67">
        <f>J14-0.5%</f>
        <v>0.1336109077988526</v>
      </c>
      <c r="L14" s="53">
        <f>(1+J14)^(-$H14)</f>
        <v>0.87826314779750936</v>
      </c>
      <c r="M14" s="53">
        <f>(1+K14)^(-$H14)</f>
        <v>0.88213688940389023</v>
      </c>
      <c r="N14" s="66">
        <f>L14*$E14</f>
        <v>8782.6314779750937</v>
      </c>
      <c r="O14" s="66">
        <f>M14*$E14</f>
        <v>8821.368894038902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0.15129371499853111</v>
      </c>
      <c r="K15" s="67">
        <f t="shared" ref="K15:K43" si="3">J15-0.5%</f>
        <v>0.14629371499853111</v>
      </c>
      <c r="L15" s="53">
        <f>L14*(1+J15)^(-H15)</f>
        <v>0.76284890324327859</v>
      </c>
      <c r="M15" s="53">
        <f>M14*(1+K15)^(-H15)</f>
        <v>0.76955572368729308</v>
      </c>
      <c r="N15" s="66">
        <f t="shared" ref="N15:N43" si="4">L15*$E15</f>
        <v>7628.4890324327862</v>
      </c>
      <c r="O15" s="66">
        <f t="shared" ref="O15:O43" si="5">M15*$E15</f>
        <v>7695.5572368729308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v>10000</v>
      </c>
      <c r="F16" s="50">
        <f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0.16675986482072286</v>
      </c>
      <c r="K16" s="67">
        <f t="shared" si="3"/>
        <v>0.16175986482072285</v>
      </c>
      <c r="L16" s="53">
        <f t="shared" ref="L16:L43" si="7">L15*(1+J16)^(-H16)</f>
        <v>0.65381825879011812</v>
      </c>
      <c r="M16" s="53">
        <f t="shared" ref="M16:M43" si="8">M15*(1+K16)^(-H16)</f>
        <v>0.66240515530810418</v>
      </c>
      <c r="N16" s="66">
        <f t="shared" si="4"/>
        <v>6538.1825879011813</v>
      </c>
      <c r="O16" s="66">
        <f t="shared" si="5"/>
        <v>6624.0515530810417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v>10000</v>
      </c>
      <c r="F17" s="50">
        <f t="shared" ref="F17:F43" si="9">C17/C16-1</f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0.17527004599763013</v>
      </c>
      <c r="K17" s="67">
        <f t="shared" si="3"/>
        <v>0.17027004599763013</v>
      </c>
      <c r="L17" s="53">
        <f t="shared" si="7"/>
        <v>0.55631321585765703</v>
      </c>
      <c r="M17" s="53">
        <f t="shared" si="8"/>
        <v>0.566027608391376</v>
      </c>
      <c r="N17" s="66">
        <f t="shared" si="4"/>
        <v>5563.13215857657</v>
      </c>
      <c r="O17" s="66">
        <f t="shared" si="5"/>
        <v>5660.27608391376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v>10000</v>
      </c>
      <c r="F18" s="50">
        <f t="shared" si="9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0.17481115483929432</v>
      </c>
      <c r="K18" s="67">
        <f t="shared" si="3"/>
        <v>0.16981115483929432</v>
      </c>
      <c r="L18" s="53">
        <f t="shared" si="7"/>
        <v>0.47353416212136379</v>
      </c>
      <c r="M18" s="53">
        <f t="shared" si="8"/>
        <v>0.48386237902572865</v>
      </c>
      <c r="N18" s="66">
        <f t="shared" si="4"/>
        <v>4735.3416212136381</v>
      </c>
      <c r="O18" s="66">
        <f t="shared" si="5"/>
        <v>4838.6237902572866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v>10000</v>
      </c>
      <c r="F19" s="50">
        <f>C19/C18-1</f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0.21582442581263875</v>
      </c>
      <c r="K19" s="67">
        <f t="shared" si="3"/>
        <v>0.21082442581263874</v>
      </c>
      <c r="L19" s="53">
        <f t="shared" si="7"/>
        <v>0.3894757763275406</v>
      </c>
      <c r="M19" s="53">
        <f t="shared" si="8"/>
        <v>0.39961398920490626</v>
      </c>
      <c r="N19" s="66">
        <f t="shared" si="4"/>
        <v>3894.757763275406</v>
      </c>
      <c r="O19" s="66">
        <f t="shared" si="5"/>
        <v>3996.1398920490628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v>10000</v>
      </c>
      <c r="F20" s="50">
        <f t="shared" si="9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0.2419504012490612</v>
      </c>
      <c r="K20" s="67">
        <f t="shared" si="3"/>
        <v>0.23695040124906119</v>
      </c>
      <c r="L20" s="53">
        <f t="shared" si="7"/>
        <v>0.31360010507330638</v>
      </c>
      <c r="M20" s="53">
        <f t="shared" si="8"/>
        <v>0.32306387451055413</v>
      </c>
      <c r="N20" s="66">
        <f t="shared" si="4"/>
        <v>3136.0010507330639</v>
      </c>
      <c r="O20" s="66">
        <f t="shared" si="5"/>
        <v>3230.6387451055411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v>10000</v>
      </c>
      <c r="F21" s="50">
        <f t="shared" si="9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0.20948293027209386</v>
      </c>
      <c r="K21" s="67">
        <f t="shared" si="3"/>
        <v>0.20448293027209385</v>
      </c>
      <c r="L21" s="53">
        <f t="shared" si="7"/>
        <v>0.25928444066817596</v>
      </c>
      <c r="M21" s="53">
        <f t="shared" si="8"/>
        <v>0.26821789366294602</v>
      </c>
      <c r="N21" s="66">
        <f t="shared" si="4"/>
        <v>2592.8444066817597</v>
      </c>
      <c r="O21" s="66">
        <f t="shared" si="5"/>
        <v>2682.1789366294602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v>10000</v>
      </c>
      <c r="F22" s="50">
        <f t="shared" si="9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0.22660142130689848</v>
      </c>
      <c r="K22" s="67">
        <f t="shared" si="3"/>
        <v>0.22160142130689847</v>
      </c>
      <c r="L22" s="53">
        <f t="shared" si="7"/>
        <v>0.21138442868582197</v>
      </c>
      <c r="M22" s="53">
        <f t="shared" si="8"/>
        <v>0.21956252586543332</v>
      </c>
      <c r="N22" s="66">
        <f t="shared" si="4"/>
        <v>2113.8442868582197</v>
      </c>
      <c r="O22" s="66">
        <f t="shared" si="5"/>
        <v>2195.6252586543333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v>10000</v>
      </c>
      <c r="F23" s="50">
        <f t="shared" si="9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0.25665955990379785</v>
      </c>
      <c r="K23" s="67">
        <f t="shared" si="3"/>
        <v>0.25165955990379785</v>
      </c>
      <c r="L23" s="53">
        <f t="shared" si="7"/>
        <v>0.16821137198208577</v>
      </c>
      <c r="M23" s="53">
        <f t="shared" si="8"/>
        <v>0.17541712850602029</v>
      </c>
      <c r="N23" s="66">
        <f t="shared" si="4"/>
        <v>1682.1137198208578</v>
      </c>
      <c r="O23" s="66">
        <f t="shared" si="5"/>
        <v>1754.1712850602028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v>10000</v>
      </c>
      <c r="F24" s="50">
        <f t="shared" si="9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0.29092336376066286</v>
      </c>
      <c r="K24" s="67">
        <f t="shared" si="3"/>
        <v>0.28592336376066285</v>
      </c>
      <c r="L24" s="53">
        <f t="shared" si="7"/>
        <v>0.1303031432416403</v>
      </c>
      <c r="M24" s="53">
        <f t="shared" si="8"/>
        <v>0.13641336136316526</v>
      </c>
      <c r="N24" s="66">
        <f t="shared" si="4"/>
        <v>1303.031432416403</v>
      </c>
      <c r="O24" s="66">
        <f t="shared" si="5"/>
        <v>1364.1336136316527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v>10000</v>
      </c>
      <c r="F25" s="50">
        <f t="shared" si="9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0.30754594000805291</v>
      </c>
      <c r="K25" s="67">
        <f t="shared" si="3"/>
        <v>0.3025459400080529</v>
      </c>
      <c r="L25" s="53">
        <f t="shared" si="7"/>
        <v>9.9654734303895889E-2</v>
      </c>
      <c r="M25" s="53">
        <f t="shared" si="8"/>
        <v>0.10472825347129167</v>
      </c>
      <c r="N25" s="66">
        <f t="shared" si="4"/>
        <v>996.54734303895884</v>
      </c>
      <c r="O25" s="66">
        <f t="shared" si="5"/>
        <v>1047.2825347129167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v>10000</v>
      </c>
      <c r="F26" s="50">
        <f t="shared" si="9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0.34781276778903503</v>
      </c>
      <c r="K26" s="67">
        <f t="shared" si="3"/>
        <v>0.34281276778903502</v>
      </c>
      <c r="L26" s="53">
        <f t="shared" si="7"/>
        <v>7.3938114169500316E-2</v>
      </c>
      <c r="M26" s="53">
        <f t="shared" si="8"/>
        <v>7.7991702181778186E-2</v>
      </c>
      <c r="N26" s="66">
        <f t="shared" si="4"/>
        <v>739.38114169500318</v>
      </c>
      <c r="O26" s="66">
        <f t="shared" si="5"/>
        <v>779.9170218177818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v>10000</v>
      </c>
      <c r="F27" s="50">
        <f t="shared" si="9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0.38887023055772385</v>
      </c>
      <c r="K27" s="67">
        <f t="shared" si="3"/>
        <v>0.38387023055772385</v>
      </c>
      <c r="L27" s="53">
        <f t="shared" si="7"/>
        <v>5.3236157376495313E-2</v>
      </c>
      <c r="M27" s="53">
        <f t="shared" si="8"/>
        <v>5.6357670292789055E-2</v>
      </c>
      <c r="N27" s="66">
        <f t="shared" si="4"/>
        <v>532.36157376495316</v>
      </c>
      <c r="O27" s="66">
        <f t="shared" si="5"/>
        <v>563.57670292789055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v>10000</v>
      </c>
      <c r="F28" s="50">
        <f t="shared" si="9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0.42415978888275629</v>
      </c>
      <c r="K28" s="67">
        <f t="shared" si="3"/>
        <v>0.41915978888275629</v>
      </c>
      <c r="L28" s="53">
        <f t="shared" si="7"/>
        <v>3.7380747435832827E-2</v>
      </c>
      <c r="M28" s="53">
        <f t="shared" si="8"/>
        <v>3.9711997714617489E-2</v>
      </c>
      <c r="N28" s="66">
        <f t="shared" si="4"/>
        <v>373.80747435832825</v>
      </c>
      <c r="O28" s="66">
        <f t="shared" si="5"/>
        <v>397.1199771461749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v>10000</v>
      </c>
      <c r="F29" s="50">
        <f t="shared" si="9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0.40375266533648857</v>
      </c>
      <c r="K29" s="67">
        <f t="shared" si="3"/>
        <v>0.39875266533648857</v>
      </c>
      <c r="L29" s="53">
        <f t="shared" si="7"/>
        <v>2.6629155091842636E-2</v>
      </c>
      <c r="M29" s="53">
        <f t="shared" si="8"/>
        <v>2.8391007716195658E-2</v>
      </c>
      <c r="N29" s="66">
        <f t="shared" si="4"/>
        <v>266.29155091842637</v>
      </c>
      <c r="O29" s="66">
        <f t="shared" si="5"/>
        <v>283.91007716195656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v>10000</v>
      </c>
      <c r="F30" s="50">
        <f t="shared" si="9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0.40217056531166906</v>
      </c>
      <c r="K30" s="67">
        <f t="shared" si="3"/>
        <v>0.39717056531166905</v>
      </c>
      <c r="L30" s="53">
        <f t="shared" si="7"/>
        <v>1.899138075682227E-2</v>
      </c>
      <c r="M30" s="53">
        <f t="shared" si="8"/>
        <v>2.0320359175232432E-2</v>
      </c>
      <c r="N30" s="66">
        <f t="shared" si="4"/>
        <v>189.91380756822269</v>
      </c>
      <c r="O30" s="66">
        <f t="shared" si="5"/>
        <v>203.20359175232431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v>10000</v>
      </c>
      <c r="F31" s="50">
        <f t="shared" si="9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0.40281912657957675</v>
      </c>
      <c r="K31" s="67">
        <f t="shared" si="3"/>
        <v>0.39781912657957674</v>
      </c>
      <c r="L31" s="53">
        <f t="shared" si="7"/>
        <v>1.3538010992998077E-2</v>
      </c>
      <c r="M31" s="53">
        <f t="shared" si="8"/>
        <v>1.4537187815533592E-2</v>
      </c>
      <c r="N31" s="66">
        <f t="shared" si="4"/>
        <v>135.38010992998076</v>
      </c>
      <c r="O31" s="66">
        <f t="shared" si="5"/>
        <v>145.37187815533593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v>10000</v>
      </c>
      <c r="F32" s="50">
        <f t="shared" si="9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0.4025551531438129</v>
      </c>
      <c r="K32" s="67">
        <f t="shared" si="3"/>
        <v>0.3975551531438129</v>
      </c>
      <c r="L32" s="53">
        <f t="shared" si="7"/>
        <v>9.6523911823736593E-3</v>
      </c>
      <c r="M32" s="53">
        <f t="shared" si="8"/>
        <v>1.0401870568636992E-2</v>
      </c>
      <c r="N32" s="66">
        <f t="shared" si="4"/>
        <v>96.523911823736597</v>
      </c>
      <c r="O32" s="66">
        <f t="shared" si="5"/>
        <v>104.01870568636993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v>10000</v>
      </c>
      <c r="F33" s="50">
        <f t="shared" si="9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0.45717929554261244</v>
      </c>
      <c r="K33" s="67">
        <f t="shared" si="3"/>
        <v>0.45217929554261244</v>
      </c>
      <c r="L33" s="53">
        <f t="shared" si="7"/>
        <v>6.6240243818310503E-3</v>
      </c>
      <c r="M33" s="53">
        <f t="shared" si="8"/>
        <v>7.1629382133218556E-3</v>
      </c>
      <c r="N33" s="66">
        <f t="shared" si="4"/>
        <v>66.240243818310503</v>
      </c>
      <c r="O33" s="66">
        <f t="shared" si="5"/>
        <v>71.629382133218556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v>10000</v>
      </c>
      <c r="F34" s="50">
        <f t="shared" si="9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0.48605565360511249</v>
      </c>
      <c r="K34" s="67">
        <f t="shared" si="3"/>
        <v>0.48105565360511249</v>
      </c>
      <c r="L34" s="53">
        <f t="shared" si="7"/>
        <v>4.4574537741984485E-3</v>
      </c>
      <c r="M34" s="53">
        <f t="shared" si="8"/>
        <v>4.8363734312658578E-3</v>
      </c>
      <c r="N34" s="66">
        <f t="shared" si="4"/>
        <v>44.574537741984486</v>
      </c>
      <c r="O34" s="66">
        <f t="shared" si="5"/>
        <v>48.363734312658579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v>10000</v>
      </c>
      <c r="F35" s="50">
        <f t="shared" si="9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0.5259791149275308</v>
      </c>
      <c r="K35" s="67">
        <f t="shared" si="3"/>
        <v>0.5209791149275308</v>
      </c>
      <c r="L35" s="53">
        <f t="shared" si="7"/>
        <v>2.9210450723699023E-3</v>
      </c>
      <c r="M35" s="53">
        <f t="shared" si="8"/>
        <v>3.1797763583994339E-3</v>
      </c>
      <c r="N35" s="66">
        <f t="shared" si="4"/>
        <v>29.210450723699022</v>
      </c>
      <c r="O35" s="66">
        <f t="shared" si="5"/>
        <v>31.797763583994339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v>10000</v>
      </c>
      <c r="F36" s="50">
        <f t="shared" si="9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0.54919559814263663</v>
      </c>
      <c r="K36" s="67">
        <f t="shared" si="3"/>
        <v>0.54419559814263663</v>
      </c>
      <c r="L36" s="53">
        <f t="shared" si="7"/>
        <v>1.8855237362357632E-3</v>
      </c>
      <c r="M36" s="53">
        <f t="shared" si="8"/>
        <v>2.0591797841051219E-3</v>
      </c>
      <c r="N36" s="66">
        <f t="shared" si="4"/>
        <v>18.855237362357631</v>
      </c>
      <c r="O36" s="66">
        <f t="shared" si="5"/>
        <v>20.591797841051218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v>10000</v>
      </c>
      <c r="F37" s="50">
        <f t="shared" si="9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0.56905678187631736</v>
      </c>
      <c r="K37" s="67">
        <f t="shared" si="3"/>
        <v>0.56405678187631736</v>
      </c>
      <c r="L37" s="53">
        <f t="shared" si="7"/>
        <v>1.2016924804856373E-3</v>
      </c>
      <c r="M37" s="53">
        <f t="shared" si="8"/>
        <v>1.3165633166046767E-3</v>
      </c>
      <c r="N37" s="66">
        <f t="shared" si="4"/>
        <v>12.016924804856373</v>
      </c>
      <c r="O37" s="66">
        <f t="shared" si="5"/>
        <v>13.165633166046767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v>10000</v>
      </c>
      <c r="F38" s="50">
        <f t="shared" si="9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0.59123970283153737</v>
      </c>
      <c r="K38" s="67">
        <f t="shared" si="3"/>
        <v>0.58623970283153737</v>
      </c>
      <c r="L38" s="53">
        <f t="shared" si="7"/>
        <v>7.5519262016104883E-4</v>
      </c>
      <c r="M38" s="53">
        <f t="shared" si="8"/>
        <v>8.2999014225563052E-4</v>
      </c>
      <c r="N38" s="66">
        <f t="shared" si="4"/>
        <v>7.5519262016104882</v>
      </c>
      <c r="O38" s="66">
        <f t="shared" si="5"/>
        <v>8.2999014225563048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v>10000</v>
      </c>
      <c r="F39" s="50">
        <f t="shared" si="9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0.59530961529186077</v>
      </c>
      <c r="K39" s="67">
        <f t="shared" si="3"/>
        <v>0.59030961529186077</v>
      </c>
      <c r="L39" s="53">
        <f t="shared" si="7"/>
        <v>4.7338310565055229E-4</v>
      </c>
      <c r="M39" s="53">
        <f t="shared" si="8"/>
        <v>5.2190475004032912E-4</v>
      </c>
      <c r="N39" s="66">
        <f t="shared" si="4"/>
        <v>4.7338310565055233</v>
      </c>
      <c r="O39" s="66">
        <f t="shared" si="5"/>
        <v>5.219047500403291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v>10000</v>
      </c>
      <c r="F40" s="50">
        <f t="shared" si="9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0.60020729719926991</v>
      </c>
      <c r="K40" s="67">
        <f t="shared" si="3"/>
        <v>0.5952072971992699</v>
      </c>
      <c r="L40" s="53">
        <f t="shared" si="7"/>
        <v>2.9582611357858535E-4</v>
      </c>
      <c r="M40" s="53">
        <f t="shared" si="8"/>
        <v>3.2717048809684192E-4</v>
      </c>
      <c r="N40" s="66">
        <f t="shared" si="4"/>
        <v>2.9582611357858535</v>
      </c>
      <c r="O40" s="66">
        <f t="shared" si="5"/>
        <v>3.2717048809684193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v>10000</v>
      </c>
      <c r="F41" s="50">
        <f t="shared" si="9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0.62711317193813076</v>
      </c>
      <c r="K41" s="67">
        <f t="shared" si="3"/>
        <v>0.62211317193813076</v>
      </c>
      <c r="L41" s="53">
        <f t="shared" si="7"/>
        <v>1.8181041041307101E-4</v>
      </c>
      <c r="M41" s="53">
        <f t="shared" si="8"/>
        <v>2.0169399629862606E-4</v>
      </c>
      <c r="N41" s="66">
        <f t="shared" si="4"/>
        <v>1.81810410413071</v>
      </c>
      <c r="O41" s="66">
        <f t="shared" si="5"/>
        <v>2.0169399629862608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v>10000</v>
      </c>
      <c r="F42" s="50">
        <f t="shared" si="9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0.66075304843981186</v>
      </c>
      <c r="K42" s="67">
        <f t="shared" si="3"/>
        <v>0.65575304843981186</v>
      </c>
      <c r="L42" s="53">
        <f t="shared" si="7"/>
        <v>1.0947468112966712E-4</v>
      </c>
      <c r="M42" s="53">
        <f t="shared" si="8"/>
        <v>1.2181405704714172E-4</v>
      </c>
      <c r="N42" s="66">
        <f t="shared" si="4"/>
        <v>1.0947468112966712</v>
      </c>
      <c r="O42" s="66">
        <f t="shared" si="5"/>
        <v>1.2181405704714172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v>10000</v>
      </c>
      <c r="F43" s="50">
        <f t="shared" si="9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0.67477197908291786</v>
      </c>
      <c r="K43" s="67">
        <f t="shared" si="3"/>
        <v>0.66977197908291786</v>
      </c>
      <c r="L43" s="53">
        <f t="shared" si="7"/>
        <v>6.5366917106897109E-5</v>
      </c>
      <c r="M43" s="53">
        <f t="shared" si="8"/>
        <v>7.295251002717459E-5</v>
      </c>
      <c r="N43" s="66">
        <f t="shared" si="4"/>
        <v>0.65366917106897104</v>
      </c>
      <c r="O43" s="66">
        <f t="shared" si="5"/>
        <v>0.72952510027174589</v>
      </c>
    </row>
    <row r="44" spans="2:15" ht="21" thickBot="1" x14ac:dyDescent="0.4">
      <c r="M44" s="54" t="s">
        <v>46</v>
      </c>
      <c r="N44" s="55">
        <f>SUM(N14:N43)</f>
        <v>51490.284383914208</v>
      </c>
      <c r="O44" s="55">
        <f>SUM(O14:O43)</f>
        <v>52593.469349129569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1103.1849652153614</v>
      </c>
    </row>
  </sheetData>
  <mergeCells count="1">
    <mergeCell ref="B8:B10"/>
  </mergeCells>
  <phoneticPr fontId="25" type="noConversion"/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B3B22-B9AF-48FA-B15A-5192FCC25385}">
  <sheetPr codeName="Sheet5">
    <tabColor rgb="FF0000FF"/>
  </sheetPr>
  <dimension ref="A1:L18"/>
  <sheetViews>
    <sheetView workbookViewId="0">
      <selection activeCell="H17" sqref="H17"/>
    </sheetView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4.33203125" style="2" customWidth="1"/>
    <col min="8" max="10" width="14.44140625" style="2" customWidth="1"/>
    <col min="11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56" t="s">
        <v>27</v>
      </c>
      <c r="D10" s="157"/>
      <c r="E10" s="158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(a)(ii) Credit'!E36</f>
        <v>3412.0632000000005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0">
        <f>1500</f>
        <v>1500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(a)(ii) Interest Rate'!O46</f>
        <v>1103.1849652153614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4208.0703034515345</v>
      </c>
    </row>
    <row r="18" spans="7:8" x14ac:dyDescent="0.25">
      <c r="G18" s="71"/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90FA4-67F3-4698-9347-FAABF4D92E81}">
  <sheetPr codeName="Sheet6">
    <tabColor rgb="FF0000FF"/>
  </sheetPr>
  <dimension ref="A1:Q52"/>
  <sheetViews>
    <sheetView workbookViewId="0">
      <selection activeCell="H14" sqref="H14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146" t="s">
        <v>38</v>
      </c>
      <c r="D8" s="147"/>
      <c r="E8" s="147"/>
      <c r="F8" s="148"/>
    </row>
    <row r="9" spans="1:17" ht="21" thickBot="1" x14ac:dyDescent="0.4">
      <c r="C9" s="149" t="s">
        <v>14</v>
      </c>
      <c r="D9" s="150"/>
      <c r="E9" s="150"/>
      <c r="F9" s="151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75">
        <v>0.75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75">
        <v>0.65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75">
        <v>0.5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75">
        <v>0.4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52" t="s">
        <v>49</v>
      </c>
      <c r="C18" s="152"/>
      <c r="D18" s="152"/>
      <c r="E18" s="152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3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si="1"/>
        <v>0.21800000000000003</v>
      </c>
      <c r="E23" s="30">
        <f t="shared" si="1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52" t="s">
        <v>41</v>
      </c>
      <c r="C28" s="152"/>
      <c r="D28" s="152"/>
      <c r="E28" s="152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291.31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2">B12</f>
        <v>5000</v>
      </c>
      <c r="D33" s="37">
        <f t="shared" ref="D33:D35" si="3">E22</f>
        <v>0.29008</v>
      </c>
      <c r="E33" s="38">
        <f t="shared" ref="E33:E35" si="4">C33*(1-G12)*D33</f>
        <v>507.64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2"/>
        <v>7500</v>
      </c>
      <c r="D34" s="37">
        <f t="shared" si="3"/>
        <v>0.37440000000000007</v>
      </c>
      <c r="E34" s="38">
        <f t="shared" si="4"/>
        <v>1404.0000000000002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2"/>
        <v>5000</v>
      </c>
      <c r="D35" s="37">
        <f t="shared" si="3"/>
        <v>0.47312000000000004</v>
      </c>
      <c r="E35" s="38">
        <f t="shared" si="4"/>
        <v>1419.3600000000001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4346.7719999999999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9733-C52D-4AE9-94C5-96C7300585AB}">
  <sheetPr codeName="Sheet7">
    <tabColor rgb="FF0000FF"/>
  </sheetPr>
  <dimension ref="A1:O48"/>
  <sheetViews>
    <sheetView workbookViewId="0">
      <selection activeCell="E10" sqref="E10"/>
    </sheetView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53" t="s">
        <v>43</v>
      </c>
      <c r="C8" s="41" t="s">
        <v>0</v>
      </c>
      <c r="D8" s="42">
        <v>0</v>
      </c>
    </row>
    <row r="9" spans="1:15" ht="14.4" thickBot="1" x14ac:dyDescent="0.3">
      <c r="B9" s="154"/>
      <c r="C9" s="41" t="s">
        <v>1</v>
      </c>
      <c r="D9" s="43">
        <v>0.02</v>
      </c>
    </row>
    <row r="10" spans="1:15" ht="14.4" thickBot="1" x14ac:dyDescent="0.3">
      <c r="B10" s="155"/>
      <c r="C10" s="41" t="s">
        <v>48</v>
      </c>
      <c r="D10" s="78">
        <f>3%-0.1%</f>
        <v>2.8999999999999998E-2</v>
      </c>
      <c r="E10" s="79" t="s">
        <v>51</v>
      </c>
    </row>
    <row r="11" spans="1:15" ht="23.25" customHeight="1" x14ac:dyDescent="0.25"/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f>10000</f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77">
        <f>D10+I14</f>
        <v>0.1376109077988526</v>
      </c>
      <c r="K14" s="67">
        <f>J14-0.5%</f>
        <v>0.1326109077988526</v>
      </c>
      <c r="L14" s="53">
        <f>(1+J14)^(-$H14)</f>
        <v>0.87903517199469017</v>
      </c>
      <c r="M14" s="53">
        <f>(1+K14)^(-$H14)</f>
        <v>0.8829157419500997</v>
      </c>
      <c r="N14" s="66">
        <f>L14*$E14</f>
        <v>8790.3517199469024</v>
      </c>
      <c r="O14" s="66">
        <f>M14*$E14</f>
        <v>8829.1574195009962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f>10000</f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0.15029371499853111</v>
      </c>
      <c r="K15" s="67">
        <f t="shared" ref="K15:K43" si="3">J15-0.5%</f>
        <v>0.14529371499853111</v>
      </c>
      <c r="L15" s="53">
        <f>L14*(1+J15)^(-H15)</f>
        <v>0.76418323471046057</v>
      </c>
      <c r="M15" s="53">
        <f>M14*(1+K15)^(-H15)</f>
        <v>0.77090769851228258</v>
      </c>
      <c r="N15" s="66">
        <f t="shared" ref="N15:O43" si="4">L15*$E15</f>
        <v>7641.832347104606</v>
      </c>
      <c r="O15" s="66">
        <f t="shared" si="4"/>
        <v>7709.076985122826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f>10000</f>
        <v>10000</v>
      </c>
      <c r="F16" s="50">
        <f t="shared" ref="F16:F43" si="5"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0.16575986482072286</v>
      </c>
      <c r="K16" s="67">
        <f t="shared" si="3"/>
        <v>0.16075986482072285</v>
      </c>
      <c r="L16" s="53">
        <f t="shared" ref="L16:L43" si="7">L15*(1+J16)^(-H16)</f>
        <v>0.65552371270560172</v>
      </c>
      <c r="M16" s="53">
        <f t="shared" ref="M16:M43" si="8">M15*(1+K16)^(-H16)</f>
        <v>0.6641405529914215</v>
      </c>
      <c r="N16" s="66">
        <f t="shared" si="4"/>
        <v>6555.237127056017</v>
      </c>
      <c r="O16" s="66">
        <f t="shared" si="4"/>
        <v>6641.4055299142146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f>10000</f>
        <v>10000</v>
      </c>
      <c r="F17" s="50">
        <f t="shared" si="5"/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0.17427004599763013</v>
      </c>
      <c r="K17" s="67">
        <f t="shared" si="3"/>
        <v>0.16927004599763013</v>
      </c>
      <c r="L17" s="53">
        <f t="shared" si="7"/>
        <v>0.55823932062295378</v>
      </c>
      <c r="M17" s="53">
        <f t="shared" si="8"/>
        <v>0.5679958665363497</v>
      </c>
      <c r="N17" s="66">
        <f t="shared" si="4"/>
        <v>5582.393206229538</v>
      </c>
      <c r="O17" s="66">
        <f t="shared" si="4"/>
        <v>5679.9586653634969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f>10000</f>
        <v>10000</v>
      </c>
      <c r="F18" s="50">
        <f t="shared" si="5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0.17381115483929432</v>
      </c>
      <c r="K18" s="67">
        <f t="shared" si="3"/>
        <v>0.16881115483929432</v>
      </c>
      <c r="L18" s="53">
        <f t="shared" si="7"/>
        <v>0.47557847641972861</v>
      </c>
      <c r="M18" s="53">
        <f t="shared" si="8"/>
        <v>0.48596034028649077</v>
      </c>
      <c r="N18" s="66">
        <f t="shared" si="4"/>
        <v>4755.7847641972858</v>
      </c>
      <c r="O18" s="66">
        <f t="shared" si="4"/>
        <v>4859.6034028649074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f>10000</f>
        <v>10000</v>
      </c>
      <c r="F19" s="50">
        <f t="shared" si="5"/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0.21482442581263875</v>
      </c>
      <c r="K19" s="67">
        <f t="shared" si="3"/>
        <v>0.20982442581263874</v>
      </c>
      <c r="L19" s="53">
        <f t="shared" si="7"/>
        <v>0.39147918523419334</v>
      </c>
      <c r="M19" s="53">
        <f t="shared" si="8"/>
        <v>0.40167840053326032</v>
      </c>
      <c r="N19" s="66">
        <f t="shared" si="4"/>
        <v>3914.7918523419335</v>
      </c>
      <c r="O19" s="66">
        <f t="shared" si="4"/>
        <v>4016.7840053326031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f>10000</f>
        <v>10000</v>
      </c>
      <c r="F20" s="50">
        <f t="shared" si="5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0.2409504012490612</v>
      </c>
      <c r="K20" s="67">
        <f t="shared" si="3"/>
        <v>0.23595040124906119</v>
      </c>
      <c r="L20" s="53">
        <f t="shared" si="7"/>
        <v>0.31546722966538826</v>
      </c>
      <c r="M20" s="53">
        <f t="shared" si="8"/>
        <v>0.32499556626812937</v>
      </c>
      <c r="N20" s="66">
        <f t="shared" si="4"/>
        <v>3154.6722966538828</v>
      </c>
      <c r="O20" s="66">
        <f t="shared" si="4"/>
        <v>3249.9556626812937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f>10000</f>
        <v>10000</v>
      </c>
      <c r="F21" s="50">
        <f t="shared" si="5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0.20848293027209386</v>
      </c>
      <c r="K21" s="67">
        <f t="shared" si="3"/>
        <v>0.20348293027209385</v>
      </c>
      <c r="L21" s="53">
        <f t="shared" si="7"/>
        <v>0.2610440096115878</v>
      </c>
      <c r="M21" s="53">
        <f t="shared" si="8"/>
        <v>0.27004584617968086</v>
      </c>
      <c r="N21" s="66">
        <f t="shared" si="4"/>
        <v>2610.4400961158781</v>
      </c>
      <c r="O21" s="66">
        <f t="shared" si="4"/>
        <v>2700.4584617968085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f>10000</f>
        <v>10000</v>
      </c>
      <c r="F22" s="50">
        <f t="shared" si="5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0.22560142130689848</v>
      </c>
      <c r="K22" s="67">
        <f t="shared" si="3"/>
        <v>0.22060142130689847</v>
      </c>
      <c r="L22" s="53">
        <f t="shared" si="7"/>
        <v>0.21299258068192198</v>
      </c>
      <c r="M22" s="53">
        <f t="shared" si="8"/>
        <v>0.2212399899473676</v>
      </c>
      <c r="N22" s="66">
        <f t="shared" si="4"/>
        <v>2129.9258068192198</v>
      </c>
      <c r="O22" s="66">
        <f t="shared" si="4"/>
        <v>2212.3998994736762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f>10000</f>
        <v>10000</v>
      </c>
      <c r="F23" s="50">
        <f t="shared" si="5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0.25565955990379785</v>
      </c>
      <c r="K23" s="67">
        <f t="shared" si="3"/>
        <v>0.25065955990379785</v>
      </c>
      <c r="L23" s="53">
        <f t="shared" si="7"/>
        <v>0.16962605747870099</v>
      </c>
      <c r="M23" s="53">
        <f t="shared" si="8"/>
        <v>0.17689865175170905</v>
      </c>
      <c r="N23" s="66">
        <f t="shared" si="4"/>
        <v>1696.26057478701</v>
      </c>
      <c r="O23" s="66">
        <f t="shared" si="4"/>
        <v>1768.9865175170905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f>10000</f>
        <v>10000</v>
      </c>
      <c r="F24" s="50">
        <f t="shared" si="5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0.28992336376066286</v>
      </c>
      <c r="K24" s="67">
        <f t="shared" si="3"/>
        <v>0.28492336376066285</v>
      </c>
      <c r="L24" s="53">
        <f t="shared" si="7"/>
        <v>0.13150088000900342</v>
      </c>
      <c r="M24" s="53">
        <f t="shared" si="8"/>
        <v>0.13767253109474878</v>
      </c>
      <c r="N24" s="66">
        <f t="shared" si="4"/>
        <v>1315.0088000900341</v>
      </c>
      <c r="O24" s="66">
        <f t="shared" si="4"/>
        <v>1376.7253109474877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f>10000</f>
        <v>10000</v>
      </c>
      <c r="F25" s="50">
        <f t="shared" si="5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0.30654594000805291</v>
      </c>
      <c r="K25" s="67">
        <f t="shared" si="3"/>
        <v>0.3015459400080529</v>
      </c>
      <c r="L25" s="53">
        <f t="shared" si="7"/>
        <v>0.10064772770882661</v>
      </c>
      <c r="M25" s="53">
        <f t="shared" si="8"/>
        <v>0.10577615961361839</v>
      </c>
      <c r="N25" s="66">
        <f t="shared" si="4"/>
        <v>1006.4772770882662</v>
      </c>
      <c r="O25" s="66">
        <f t="shared" si="4"/>
        <v>1057.7615961361839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f>10000</f>
        <v>10000</v>
      </c>
      <c r="F26" s="50">
        <f t="shared" si="5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0.34681276778903503</v>
      </c>
      <c r="K26" s="67">
        <f t="shared" si="3"/>
        <v>0.34181276778903502</v>
      </c>
      <c r="L26" s="53">
        <f t="shared" si="7"/>
        <v>7.4730304104595552E-2</v>
      </c>
      <c r="M26" s="53">
        <f t="shared" si="8"/>
        <v>7.8830789326822776E-2</v>
      </c>
      <c r="N26" s="66">
        <f t="shared" si="4"/>
        <v>747.30304104595552</v>
      </c>
      <c r="O26" s="66">
        <f t="shared" si="4"/>
        <v>788.30789326822776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f>10000</f>
        <v>10000</v>
      </c>
      <c r="F27" s="50">
        <f t="shared" si="5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0.38787023055772385</v>
      </c>
      <c r="K27" s="67">
        <f t="shared" si="3"/>
        <v>0.38287023055772385</v>
      </c>
      <c r="L27" s="53">
        <f t="shared" si="7"/>
        <v>5.3845310937006508E-2</v>
      </c>
      <c r="M27" s="53">
        <f t="shared" si="8"/>
        <v>5.700519657222617E-2</v>
      </c>
      <c r="N27" s="66">
        <f t="shared" si="4"/>
        <v>538.45310937006502</v>
      </c>
      <c r="O27" s="66">
        <f t="shared" si="4"/>
        <v>570.05196572226168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f>10000</f>
        <v>10000</v>
      </c>
      <c r="F28" s="50">
        <f t="shared" si="5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0.42315978888275629</v>
      </c>
      <c r="K28" s="67">
        <f t="shared" si="3"/>
        <v>0.41815978888275629</v>
      </c>
      <c r="L28" s="53">
        <f t="shared" si="7"/>
        <v>3.7835042387810484E-2</v>
      </c>
      <c r="M28" s="53">
        <f t="shared" si="8"/>
        <v>4.0196596334983924E-2</v>
      </c>
      <c r="N28" s="66">
        <f t="shared" si="4"/>
        <v>378.35042387810483</v>
      </c>
      <c r="O28" s="66">
        <f t="shared" si="4"/>
        <v>401.96596334983923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f>10000</f>
        <v>10000</v>
      </c>
      <c r="F29" s="50">
        <f t="shared" si="5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0.40275266533648857</v>
      </c>
      <c r="K29" s="67">
        <f t="shared" si="3"/>
        <v>0.39775266533648856</v>
      </c>
      <c r="L29" s="53">
        <f t="shared" si="7"/>
        <v>2.6971998216616978E-2</v>
      </c>
      <c r="M29" s="53">
        <f t="shared" si="8"/>
        <v>2.8758018018378937E-2</v>
      </c>
      <c r="N29" s="66">
        <f t="shared" si="4"/>
        <v>269.71998216616976</v>
      </c>
      <c r="O29" s="66">
        <f t="shared" si="4"/>
        <v>287.58018018378937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f>10000</f>
        <v>10000</v>
      </c>
      <c r="F30" s="50">
        <f t="shared" si="5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0.40117056531166906</v>
      </c>
      <c r="K30" s="67">
        <f t="shared" si="3"/>
        <v>0.39617056531166905</v>
      </c>
      <c r="L30" s="53">
        <f t="shared" si="7"/>
        <v>1.9249618058182278E-2</v>
      </c>
      <c r="M30" s="53">
        <f t="shared" si="8"/>
        <v>2.0597782773023324E-2</v>
      </c>
      <c r="N30" s="66">
        <f t="shared" si="4"/>
        <v>192.49618058182278</v>
      </c>
      <c r="O30" s="66">
        <f t="shared" si="4"/>
        <v>205.97782773023326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f>10000</f>
        <v>10000</v>
      </c>
      <c r="F31" s="50">
        <f t="shared" si="5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0.40181912657957675</v>
      </c>
      <c r="K31" s="67">
        <f t="shared" si="3"/>
        <v>0.39681912657957674</v>
      </c>
      <c r="L31" s="53">
        <f t="shared" si="7"/>
        <v>1.3731884301758056E-2</v>
      </c>
      <c r="M31" s="53">
        <f t="shared" si="8"/>
        <v>1.4746206134405955E-2</v>
      </c>
      <c r="N31" s="66">
        <f t="shared" si="4"/>
        <v>137.31884301758055</v>
      </c>
      <c r="O31" s="66">
        <f t="shared" si="4"/>
        <v>147.46206134405955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f>10000</f>
        <v>10000</v>
      </c>
      <c r="F32" s="50">
        <f t="shared" si="5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0.4015551531438129</v>
      </c>
      <c r="K32" s="67">
        <f t="shared" si="3"/>
        <v>0.3965551531438129</v>
      </c>
      <c r="L32" s="53">
        <f t="shared" si="7"/>
        <v>9.7976053749695233E-3</v>
      </c>
      <c r="M32" s="53">
        <f t="shared" si="8"/>
        <v>1.055898587407055E-2</v>
      </c>
      <c r="N32" s="66">
        <f t="shared" si="4"/>
        <v>97.97605374969524</v>
      </c>
      <c r="O32" s="66">
        <f t="shared" si="4"/>
        <v>105.58985874070551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f>10000</f>
        <v>10000</v>
      </c>
      <c r="F33" s="50">
        <f t="shared" si="5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0.45617929554261244</v>
      </c>
      <c r="K33" s="67">
        <f t="shared" si="3"/>
        <v>0.45117929554261244</v>
      </c>
      <c r="L33" s="53">
        <f t="shared" si="7"/>
        <v>6.7282960312374622E-3</v>
      </c>
      <c r="M33" s="53">
        <f t="shared" si="8"/>
        <v>7.2761414847242745E-3</v>
      </c>
      <c r="N33" s="66">
        <f t="shared" si="4"/>
        <v>67.282960312374627</v>
      </c>
      <c r="O33" s="66">
        <f t="shared" si="4"/>
        <v>72.761414847242747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f>10000</f>
        <v>10000</v>
      </c>
      <c r="F34" s="50">
        <f t="shared" si="5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0.48505565360511249</v>
      </c>
      <c r="K34" s="67">
        <f t="shared" si="3"/>
        <v>0.48005565360511249</v>
      </c>
      <c r="L34" s="53">
        <f t="shared" si="7"/>
        <v>4.530669281588128E-3</v>
      </c>
      <c r="M34" s="53">
        <f t="shared" si="8"/>
        <v>4.9161269490110623E-3</v>
      </c>
      <c r="N34" s="66">
        <f t="shared" si="4"/>
        <v>45.306692815881277</v>
      </c>
      <c r="O34" s="66">
        <f t="shared" si="4"/>
        <v>49.16126949011062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f>10000</f>
        <v>10000</v>
      </c>
      <c r="F35" s="50">
        <f t="shared" si="5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0.5249791149275308</v>
      </c>
      <c r="K35" s="67">
        <f t="shared" si="3"/>
        <v>0.51997911492753079</v>
      </c>
      <c r="L35" s="53">
        <f t="shared" si="7"/>
        <v>2.9709713642887708E-3</v>
      </c>
      <c r="M35" s="53">
        <f t="shared" si="8"/>
        <v>3.2343384857925843E-3</v>
      </c>
      <c r="N35" s="66">
        <f t="shared" si="4"/>
        <v>29.709713642887706</v>
      </c>
      <c r="O35" s="66">
        <f t="shared" si="4"/>
        <v>32.343384857925841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f>10000</f>
        <v>10000</v>
      </c>
      <c r="F36" s="50">
        <f t="shared" si="5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0.54819559814263663</v>
      </c>
      <c r="K36" s="67">
        <f t="shared" si="3"/>
        <v>0.54319559814263663</v>
      </c>
      <c r="L36" s="53">
        <f t="shared" si="7"/>
        <v>1.9189896727861983E-3</v>
      </c>
      <c r="M36" s="53">
        <f t="shared" si="8"/>
        <v>2.0958707306354281E-3</v>
      </c>
      <c r="N36" s="66">
        <f t="shared" si="4"/>
        <v>19.189896727861985</v>
      </c>
      <c r="O36" s="66">
        <f t="shared" si="4"/>
        <v>20.958707306354281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f>10000</f>
        <v>10000</v>
      </c>
      <c r="F37" s="50">
        <f t="shared" si="5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0.56805678187631736</v>
      </c>
      <c r="K37" s="67">
        <f t="shared" si="3"/>
        <v>0.56305678187631736</v>
      </c>
      <c r="L37" s="53">
        <f t="shared" si="7"/>
        <v>1.2238011371564995E-3</v>
      </c>
      <c r="M37" s="53">
        <f t="shared" si="8"/>
        <v>1.3408794580830983E-3</v>
      </c>
      <c r="N37" s="66">
        <f t="shared" si="4"/>
        <v>12.238011371564996</v>
      </c>
      <c r="O37" s="66">
        <f t="shared" si="4"/>
        <v>13.408794580830982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f>10000</f>
        <v>10000</v>
      </c>
      <c r="F38" s="50">
        <f t="shared" si="5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0.59023970283153737</v>
      </c>
      <c r="K38" s="67">
        <f t="shared" si="3"/>
        <v>0.58523970283153737</v>
      </c>
      <c r="L38" s="53">
        <f t="shared" si="7"/>
        <v>7.6957023207094668E-4</v>
      </c>
      <c r="M38" s="53">
        <f t="shared" si="8"/>
        <v>8.4585281058002413E-4</v>
      </c>
      <c r="N38" s="66">
        <f t="shared" si="4"/>
        <v>7.6957023207094668</v>
      </c>
      <c r="O38" s="66">
        <f t="shared" si="4"/>
        <v>8.4585281058002408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f>10000</f>
        <v>10000</v>
      </c>
      <c r="F39" s="50">
        <f t="shared" si="5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0.59430961529186077</v>
      </c>
      <c r="K39" s="67">
        <f t="shared" si="3"/>
        <v>0.58930961529186077</v>
      </c>
      <c r="L39" s="53">
        <f t="shared" si="7"/>
        <v>4.8269810624585992E-4</v>
      </c>
      <c r="M39" s="53">
        <f t="shared" si="8"/>
        <v>5.3221398929540354E-4</v>
      </c>
      <c r="N39" s="66">
        <f t="shared" si="4"/>
        <v>4.8269810624585991</v>
      </c>
      <c r="O39" s="66">
        <f t="shared" si="4"/>
        <v>5.3221398929540351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f>10000</f>
        <v>10000</v>
      </c>
      <c r="F40" s="50">
        <f t="shared" si="5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0.59920729719926991</v>
      </c>
      <c r="K40" s="67">
        <f t="shared" si="3"/>
        <v>0.5942072971992699</v>
      </c>
      <c r="L40" s="53">
        <f t="shared" si="7"/>
        <v>3.0183585773477944E-4</v>
      </c>
      <c r="M40" s="53">
        <f t="shared" si="8"/>
        <v>3.3384239943601182E-4</v>
      </c>
      <c r="N40" s="66">
        <f t="shared" si="4"/>
        <v>3.0183585773477946</v>
      </c>
      <c r="O40" s="66">
        <f t="shared" si="4"/>
        <v>3.3384239943601184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f>10000</f>
        <v>10000</v>
      </c>
      <c r="F41" s="50">
        <f t="shared" si="5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0.62611317193813076</v>
      </c>
      <c r="K41" s="67">
        <f t="shared" si="3"/>
        <v>0.62111317193813076</v>
      </c>
      <c r="L41" s="53">
        <f t="shared" si="7"/>
        <v>1.8561798953699359E-4</v>
      </c>
      <c r="M41" s="53">
        <f t="shared" si="8"/>
        <v>2.0593404903180494E-4</v>
      </c>
      <c r="N41" s="66">
        <f t="shared" si="4"/>
        <v>1.8561798953699358</v>
      </c>
      <c r="O41" s="66">
        <f t="shared" si="4"/>
        <v>2.0593404903180494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f>10000</f>
        <v>10000</v>
      </c>
      <c r="F42" s="50">
        <f t="shared" si="5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0.65975304843981186</v>
      </c>
      <c r="K42" s="67">
        <f t="shared" si="3"/>
        <v>0.65475304843981186</v>
      </c>
      <c r="L42" s="53">
        <f t="shared" si="7"/>
        <v>1.1183470318760778E-4</v>
      </c>
      <c r="M42" s="53">
        <f t="shared" si="8"/>
        <v>1.2445001943097816E-4</v>
      </c>
      <c r="N42" s="66">
        <f t="shared" si="4"/>
        <v>1.1183470318760778</v>
      </c>
      <c r="O42" s="66">
        <f t="shared" si="4"/>
        <v>1.2445001943097815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f>10000</f>
        <v>10000</v>
      </c>
      <c r="F43" s="50">
        <f t="shared" si="5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0.67377197908291786</v>
      </c>
      <c r="K43" s="67">
        <f t="shared" si="3"/>
        <v>0.66877197908291786</v>
      </c>
      <c r="L43" s="53">
        <f t="shared" si="7"/>
        <v>6.6815972895473808E-5</v>
      </c>
      <c r="M43" s="53">
        <f t="shared" si="8"/>
        <v>7.4575808433318915E-5</v>
      </c>
      <c r="N43" s="66">
        <f t="shared" si="4"/>
        <v>0.66815972895473807</v>
      </c>
      <c r="O43" s="66">
        <f t="shared" si="4"/>
        <v>0.74575808433318913</v>
      </c>
    </row>
    <row r="44" spans="2:15" ht="21" thickBot="1" x14ac:dyDescent="0.4">
      <c r="M44" s="54" t="s">
        <v>46</v>
      </c>
      <c r="N44" s="55">
        <f>SUM(N14:N43)</f>
        <v>51707.704505727248</v>
      </c>
      <c r="O44" s="55">
        <f>SUM(O14:O43)</f>
        <v>52819.011468835226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1111.3069631079779</v>
      </c>
    </row>
    <row r="48" spans="2:15" x14ac:dyDescent="0.25">
      <c r="O48" s="62"/>
    </row>
  </sheetData>
  <mergeCells count="1">
    <mergeCell ref="B8:B10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D5B39-2AE8-4DE0-AAEA-BA85FB8822D4}">
  <sheetPr codeName="Sheet8">
    <tabColor rgb="FF0000FF"/>
  </sheetPr>
  <dimension ref="A1:L17"/>
  <sheetViews>
    <sheetView workbookViewId="0"/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3.6640625" style="2" customWidth="1"/>
    <col min="8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56" t="s">
        <v>27</v>
      </c>
      <c r="D10" s="157"/>
      <c r="E10" s="158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(c)(i) Credit'!E36</f>
        <v>4346.7719999999999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6">
        <f>1500*1.05</f>
        <v>1575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(c)(i) Interest Rate'!O46</f>
        <v>1111.3069631079779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5094.5254836893155</v>
      </c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569FE-48BA-42B9-82B3-AF828D37AA82}">
  <sheetPr>
    <tabColor theme="3"/>
  </sheetPr>
  <dimension ref="A1:H28"/>
  <sheetViews>
    <sheetView workbookViewId="0">
      <selection activeCell="H8" sqref="H8"/>
    </sheetView>
  </sheetViews>
  <sheetFormatPr defaultColWidth="8.6640625" defaultRowHeight="14.4" x14ac:dyDescent="0.3"/>
  <cols>
    <col min="1" max="1" width="8.6640625" style="80"/>
    <col min="2" max="3" width="19.6640625" style="81" customWidth="1"/>
    <col min="4" max="4" width="24.44140625" style="81" bestFit="1" customWidth="1"/>
    <col min="5" max="13" width="19.6640625" style="80" customWidth="1"/>
    <col min="14" max="16384" width="8.6640625" style="80"/>
  </cols>
  <sheetData>
    <row r="1" spans="1:8" ht="15.6" x14ac:dyDescent="0.3">
      <c r="A1" s="97" t="s">
        <v>32</v>
      </c>
      <c r="B1" s="96"/>
    </row>
    <row r="2" spans="1:8" ht="15.6" x14ac:dyDescent="0.3">
      <c r="A2" s="97" t="s">
        <v>33</v>
      </c>
      <c r="B2" s="96"/>
    </row>
    <row r="3" spans="1:8" ht="15.6" x14ac:dyDescent="0.3">
      <c r="A3" s="97" t="s">
        <v>34</v>
      </c>
      <c r="B3" s="96"/>
    </row>
    <row r="4" spans="1:8" ht="15.6" x14ac:dyDescent="0.3">
      <c r="A4" s="97" t="s">
        <v>35</v>
      </c>
      <c r="B4" s="96"/>
    </row>
    <row r="5" spans="1:8" ht="15.6" x14ac:dyDescent="0.3">
      <c r="A5" s="97" t="s">
        <v>36</v>
      </c>
      <c r="B5" s="96"/>
    </row>
    <row r="6" spans="1:8" ht="15.6" x14ac:dyDescent="0.3">
      <c r="A6" s="97" t="s">
        <v>37</v>
      </c>
      <c r="B6" s="96"/>
    </row>
    <row r="8" spans="1:8" ht="28.8" x14ac:dyDescent="0.3">
      <c r="B8" s="94" t="s">
        <v>74</v>
      </c>
      <c r="C8" s="94" t="s">
        <v>73</v>
      </c>
      <c r="D8" s="94" t="s">
        <v>72</v>
      </c>
      <c r="E8" s="95" t="s">
        <v>71</v>
      </c>
      <c r="F8" s="94" t="s">
        <v>39</v>
      </c>
    </row>
    <row r="9" spans="1:8" x14ac:dyDescent="0.3">
      <c r="B9" s="81" t="s">
        <v>19</v>
      </c>
      <c r="C9" s="92">
        <v>0.04</v>
      </c>
      <c r="D9" s="81">
        <v>20</v>
      </c>
      <c r="E9" s="93">
        <v>0.06</v>
      </c>
      <c r="F9" s="92">
        <v>0.4</v>
      </c>
    </row>
    <row r="10" spans="1:8" x14ac:dyDescent="0.3">
      <c r="B10" s="81" t="s">
        <v>63</v>
      </c>
      <c r="C10" s="92">
        <v>0.06</v>
      </c>
      <c r="D10" s="81">
        <v>50</v>
      </c>
      <c r="E10" s="93">
        <v>0.03</v>
      </c>
      <c r="F10" s="92">
        <v>0.6</v>
      </c>
    </row>
    <row r="11" spans="1:8" x14ac:dyDescent="0.3">
      <c r="B11" s="81" t="s">
        <v>62</v>
      </c>
      <c r="C11" s="92">
        <v>0.08</v>
      </c>
      <c r="D11" s="81">
        <v>30</v>
      </c>
      <c r="E11" s="93">
        <v>0.1</v>
      </c>
      <c r="F11" s="92">
        <v>0.1</v>
      </c>
    </row>
    <row r="13" spans="1:8" x14ac:dyDescent="0.3">
      <c r="B13" s="85" t="s">
        <v>70</v>
      </c>
      <c r="C13" s="85" t="s">
        <v>69</v>
      </c>
      <c r="D13" s="85" t="s">
        <v>68</v>
      </c>
      <c r="E13" s="85" t="s">
        <v>67</v>
      </c>
      <c r="F13" s="85" t="s">
        <v>66</v>
      </c>
      <c r="G13" s="85" t="s">
        <v>57</v>
      </c>
      <c r="H13" s="81" t="s">
        <v>65</v>
      </c>
    </row>
    <row r="14" spans="1:8" x14ac:dyDescent="0.3">
      <c r="B14" s="85" t="s">
        <v>64</v>
      </c>
      <c r="C14" s="91">
        <v>0</v>
      </c>
      <c r="D14" s="91">
        <v>0</v>
      </c>
      <c r="E14" s="90">
        <f>(1-E9)*(1-E10)*(1-E11)</f>
        <v>0.82062000000000002</v>
      </c>
      <c r="F14" s="90">
        <f>E14</f>
        <v>0.82062000000000002</v>
      </c>
      <c r="G14" s="89">
        <f t="shared" ref="G14:G21" si="0">D14*E14</f>
        <v>0</v>
      </c>
      <c r="H14" s="88">
        <f t="shared" ref="H14:H21" si="1">(D14-$G$24)^2*E14</f>
        <v>13.261547447999996</v>
      </c>
    </row>
    <row r="15" spans="1:8" x14ac:dyDescent="0.3">
      <c r="B15" s="85" t="s">
        <v>19</v>
      </c>
      <c r="C15" s="91">
        <f>D9</f>
        <v>20</v>
      </c>
      <c r="D15" s="91">
        <f>D9*(1-F9)</f>
        <v>12</v>
      </c>
      <c r="E15" s="90">
        <f>E9*(1-E10)*(1-E11)</f>
        <v>5.2379999999999996E-2</v>
      </c>
      <c r="F15" s="90">
        <f t="shared" ref="F15:F21" si="2">F14+E15</f>
        <v>0.873</v>
      </c>
      <c r="G15" s="89">
        <f t="shared" si="0"/>
        <v>0.62856000000000001</v>
      </c>
      <c r="H15" s="88">
        <f t="shared" si="1"/>
        <v>3.3355793519999999</v>
      </c>
    </row>
    <row r="16" spans="1:8" x14ac:dyDescent="0.3">
      <c r="B16" s="85" t="s">
        <v>63</v>
      </c>
      <c r="C16" s="91">
        <f>D10</f>
        <v>50</v>
      </c>
      <c r="D16" s="91">
        <f>D10*(1-F10)</f>
        <v>20</v>
      </c>
      <c r="E16" s="90">
        <f>(1-E9)*E10*(1-E11)</f>
        <v>2.5379999999999996E-2</v>
      </c>
      <c r="F16" s="90">
        <f t="shared" si="2"/>
        <v>0.89837999999999996</v>
      </c>
      <c r="G16" s="89">
        <f t="shared" si="0"/>
        <v>0.50759999999999994</v>
      </c>
      <c r="H16" s="88">
        <f t="shared" si="1"/>
        <v>6.4810469519999998</v>
      </c>
    </row>
    <row r="17" spans="2:8" x14ac:dyDescent="0.3">
      <c r="B17" s="85" t="s">
        <v>62</v>
      </c>
      <c r="C17" s="91">
        <f>D11</f>
        <v>30</v>
      </c>
      <c r="D17" s="91">
        <f>D11*(1-F11)</f>
        <v>27</v>
      </c>
      <c r="E17" s="90">
        <f>(1-E9)*(1-E10)*E11</f>
        <v>9.1179999999999997E-2</v>
      </c>
      <c r="F17" s="90">
        <f t="shared" si="2"/>
        <v>0.98956</v>
      </c>
      <c r="G17" s="89">
        <f t="shared" si="0"/>
        <v>2.4618599999999997</v>
      </c>
      <c r="H17" s="88">
        <f t="shared" si="1"/>
        <v>48.150370872000003</v>
      </c>
    </row>
    <row r="18" spans="2:8" x14ac:dyDescent="0.3">
      <c r="B18" s="85" t="s">
        <v>61</v>
      </c>
      <c r="C18" s="91">
        <f>D9+D10</f>
        <v>70</v>
      </c>
      <c r="D18" s="91">
        <f>D9*(1-F9)+D10*(1-F10)</f>
        <v>32</v>
      </c>
      <c r="E18" s="90">
        <f>E9*E10*(1-E11)</f>
        <v>1.6199999999999999E-3</v>
      </c>
      <c r="F18" s="90">
        <f t="shared" si="2"/>
        <v>0.99117999999999995</v>
      </c>
      <c r="G18" s="89">
        <f t="shared" si="0"/>
        <v>5.1839999999999997E-2</v>
      </c>
      <c r="H18" s="88">
        <f t="shared" si="1"/>
        <v>1.268266248</v>
      </c>
    </row>
    <row r="19" spans="2:8" x14ac:dyDescent="0.3">
      <c r="B19" s="85" t="s">
        <v>60</v>
      </c>
      <c r="C19" s="91">
        <f>D9+D11</f>
        <v>50</v>
      </c>
      <c r="D19" s="91">
        <f>D9*(1-F9)+D11*(1-F11)</f>
        <v>39</v>
      </c>
      <c r="E19" s="90">
        <f>E9*(1-E10)*E11</f>
        <v>5.8199999999999997E-3</v>
      </c>
      <c r="F19" s="90">
        <f t="shared" si="2"/>
        <v>0.997</v>
      </c>
      <c r="G19" s="89">
        <f t="shared" si="0"/>
        <v>0.22697999999999999</v>
      </c>
      <c r="H19" s="88">
        <f t="shared" si="1"/>
        <v>7.1213543280000007</v>
      </c>
    </row>
    <row r="20" spans="2:8" x14ac:dyDescent="0.3">
      <c r="B20" s="85" t="s">
        <v>59</v>
      </c>
      <c r="C20" s="91">
        <f>D10+D11</f>
        <v>80</v>
      </c>
      <c r="D20" s="91">
        <f>D10*(1-F10)+D11*(1-F11)</f>
        <v>47</v>
      </c>
      <c r="E20" s="90">
        <f>(1-E9)*E10*E11</f>
        <v>2.8199999999999996E-3</v>
      </c>
      <c r="F20" s="90">
        <f t="shared" si="2"/>
        <v>0.99982000000000004</v>
      </c>
      <c r="G20" s="89">
        <f t="shared" si="0"/>
        <v>0.13253999999999999</v>
      </c>
      <c r="H20" s="88">
        <f t="shared" si="1"/>
        <v>5.2093307280000003</v>
      </c>
    </row>
    <row r="21" spans="2:8" x14ac:dyDescent="0.3">
      <c r="B21" s="85" t="s">
        <v>58</v>
      </c>
      <c r="C21" s="91">
        <f>D9+D10+D11</f>
        <v>100</v>
      </c>
      <c r="D21" s="91">
        <f>D9*(1-F9)+D10*(1-F10)+D11*(1-F11)</f>
        <v>59</v>
      </c>
      <c r="E21" s="90">
        <f>E9*E10*E11</f>
        <v>1.8000000000000001E-4</v>
      </c>
      <c r="F21" s="90">
        <f t="shared" si="2"/>
        <v>1</v>
      </c>
      <c r="G21" s="89">
        <f t="shared" si="0"/>
        <v>1.0620000000000001E-2</v>
      </c>
      <c r="H21" s="88">
        <f t="shared" si="1"/>
        <v>0.54410407200000011</v>
      </c>
    </row>
    <row r="22" spans="2:8" x14ac:dyDescent="0.3">
      <c r="E22" s="86"/>
      <c r="F22" s="86"/>
      <c r="G22" s="87"/>
      <c r="H22" s="87"/>
    </row>
    <row r="23" spans="2:8" x14ac:dyDescent="0.3">
      <c r="B23"/>
      <c r="C23"/>
      <c r="E23" s="86"/>
      <c r="F23" s="86"/>
      <c r="G23" s="85" t="s">
        <v>57</v>
      </c>
      <c r="H23" s="85" t="s">
        <v>56</v>
      </c>
    </row>
    <row r="24" spans="2:8" x14ac:dyDescent="0.3">
      <c r="B24"/>
      <c r="C24"/>
      <c r="E24" s="82" t="s">
        <v>55</v>
      </c>
      <c r="F24" s="81" t="s">
        <v>54</v>
      </c>
      <c r="G24" s="84">
        <f>SUM(G14:G21)</f>
        <v>4.0199999999999996</v>
      </c>
      <c r="H24" s="84">
        <f>SUM(H14:H21)</f>
        <v>85.371599999999987</v>
      </c>
    </row>
    <row r="25" spans="2:8" x14ac:dyDescent="0.3">
      <c r="B25"/>
      <c r="C25"/>
    </row>
    <row r="26" spans="2:8" x14ac:dyDescent="0.3">
      <c r="E26" s="82" t="s">
        <v>53</v>
      </c>
      <c r="F26" s="81" t="s">
        <v>52</v>
      </c>
      <c r="G26" s="83">
        <f>G24+1.645*SQRT(H24)</f>
        <v>19.219265899707132</v>
      </c>
    </row>
    <row r="27" spans="2:8" x14ac:dyDescent="0.3">
      <c r="E27" s="82"/>
    </row>
    <row r="28" spans="2:8" x14ac:dyDescent="0.3">
      <c r="E28" s="82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1D6CE-7857-4086-AAE4-8AB8F922CB74}">
  <dimension ref="A1:S70"/>
  <sheetViews>
    <sheetView tabSelected="1" topLeftCell="B1" workbookViewId="0">
      <selection activeCell="B10" sqref="B10"/>
    </sheetView>
  </sheetViews>
  <sheetFormatPr defaultColWidth="9.109375" defaultRowHeight="14.4" x14ac:dyDescent="0.3"/>
  <cols>
    <col min="1" max="1" width="2.88671875" style="98" customWidth="1"/>
    <col min="2" max="2" width="25.33203125" style="98" bestFit="1" customWidth="1"/>
    <col min="3" max="3" width="13.33203125" style="98" bestFit="1" customWidth="1"/>
    <col min="4" max="4" width="13.33203125" style="98" customWidth="1"/>
    <col min="5" max="5" width="11.5546875" style="98" customWidth="1"/>
    <col min="6" max="6" width="15.33203125" style="98" customWidth="1"/>
    <col min="7" max="7" width="10.5546875" style="98" bestFit="1" customWidth="1"/>
    <col min="8" max="8" width="15.33203125" style="98" bestFit="1" customWidth="1"/>
    <col min="9" max="9" width="10.5546875" style="98" bestFit="1" customWidth="1"/>
    <col min="10" max="10" width="11.5546875" style="98" bestFit="1" customWidth="1"/>
    <col min="11" max="11" width="13.33203125" style="98" bestFit="1" customWidth="1"/>
    <col min="12" max="12" width="15.33203125" style="98" bestFit="1" customWidth="1"/>
    <col min="13" max="13" width="14.33203125" style="98" bestFit="1" customWidth="1"/>
    <col min="14" max="14" width="10.6640625" style="98" bestFit="1" customWidth="1"/>
    <col min="15" max="15" width="10.5546875" style="98" bestFit="1" customWidth="1"/>
    <col min="16" max="16" width="11.5546875" style="98" bestFit="1" customWidth="1"/>
    <col min="17" max="18" width="13.33203125" style="98" bestFit="1" customWidth="1"/>
    <col min="19" max="19" width="11.5546875" style="98" bestFit="1" customWidth="1"/>
    <col min="20" max="16384" width="9.109375" style="98"/>
  </cols>
  <sheetData>
    <row r="1" spans="1:11" ht="15.6" x14ac:dyDescent="0.3">
      <c r="A1" s="141" t="s">
        <v>32</v>
      </c>
    </row>
    <row r="2" spans="1:11" ht="15.6" x14ac:dyDescent="0.3">
      <c r="A2" s="141" t="s">
        <v>33</v>
      </c>
    </row>
    <row r="3" spans="1:11" ht="15.6" x14ac:dyDescent="0.3">
      <c r="A3" s="141" t="s">
        <v>34</v>
      </c>
    </row>
    <row r="4" spans="1:11" ht="15.6" x14ac:dyDescent="0.3">
      <c r="A4" s="141" t="s">
        <v>35</v>
      </c>
      <c r="H4" s="145"/>
    </row>
    <row r="5" spans="1:11" ht="15.6" x14ac:dyDescent="0.3">
      <c r="A5" s="141" t="s">
        <v>36</v>
      </c>
    </row>
    <row r="6" spans="1:11" ht="15.6" x14ac:dyDescent="0.3">
      <c r="A6" s="141" t="s">
        <v>37</v>
      </c>
    </row>
    <row r="8" spans="1:11" ht="15.6" x14ac:dyDescent="0.3">
      <c r="A8" s="144" t="s">
        <v>153</v>
      </c>
      <c r="B8" s="143"/>
      <c r="C8" s="143"/>
      <c r="D8" s="143"/>
      <c r="E8" s="143"/>
      <c r="F8" s="143"/>
      <c r="G8" s="143"/>
      <c r="H8" s="143"/>
      <c r="I8" s="143"/>
      <c r="J8" s="143"/>
      <c r="K8" s="143"/>
    </row>
    <row r="9" spans="1:11" ht="15.6" x14ac:dyDescent="0.3">
      <c r="A9" s="140" t="s">
        <v>152</v>
      </c>
      <c r="B9" s="140" t="s">
        <v>151</v>
      </c>
      <c r="C9" s="140"/>
      <c r="D9" s="140"/>
    </row>
    <row r="10" spans="1:11" ht="15.6" x14ac:dyDescent="0.3">
      <c r="A10" s="140"/>
      <c r="B10" s="140" t="s">
        <v>150</v>
      </c>
      <c r="C10" s="140"/>
      <c r="D10" s="140"/>
    </row>
    <row r="11" spans="1:11" ht="15.6" x14ac:dyDescent="0.3">
      <c r="A11" s="140"/>
      <c r="B11" s="140" t="s">
        <v>149</v>
      </c>
      <c r="C11" s="140"/>
      <c r="D11" s="140"/>
    </row>
    <row r="12" spans="1:11" ht="15.6" x14ac:dyDescent="0.3">
      <c r="A12" s="140"/>
      <c r="B12" s="140"/>
      <c r="C12" s="140"/>
      <c r="D12" s="140"/>
    </row>
    <row r="13" spans="1:11" ht="15.6" x14ac:dyDescent="0.3">
      <c r="A13" s="140"/>
      <c r="B13" s="140" t="s">
        <v>148</v>
      </c>
      <c r="C13" s="140"/>
      <c r="D13" s="140"/>
    </row>
    <row r="14" spans="1:11" ht="15.6" x14ac:dyDescent="0.3">
      <c r="B14" s="140" t="s">
        <v>147</v>
      </c>
    </row>
    <row r="15" spans="1:11" ht="15.6" x14ac:dyDescent="0.3">
      <c r="B15" s="140" t="s">
        <v>146</v>
      </c>
    </row>
    <row r="16" spans="1:11" ht="15.6" x14ac:dyDescent="0.3">
      <c r="A16" s="141"/>
      <c r="B16" s="140" t="s">
        <v>145</v>
      </c>
      <c r="C16" s="136"/>
      <c r="D16" s="136"/>
      <c r="E16" s="136"/>
      <c r="F16" s="136"/>
    </row>
    <row r="17" spans="1:19" ht="15.6" x14ac:dyDescent="0.3">
      <c r="A17" s="141"/>
      <c r="B17" s="140" t="s">
        <v>144</v>
      </c>
      <c r="C17" s="136"/>
      <c r="D17" s="136"/>
      <c r="E17" s="136"/>
      <c r="F17" s="136"/>
    </row>
    <row r="18" spans="1:19" ht="15.6" x14ac:dyDescent="0.3">
      <c r="A18" s="141"/>
      <c r="B18" s="140" t="s">
        <v>143</v>
      </c>
      <c r="C18" s="136"/>
      <c r="D18" s="136"/>
      <c r="E18" s="136"/>
      <c r="F18" s="136"/>
    </row>
    <row r="19" spans="1:19" ht="15.6" x14ac:dyDescent="0.3">
      <c r="A19" s="141"/>
      <c r="B19" s="140" t="s">
        <v>142</v>
      </c>
      <c r="C19" s="136"/>
      <c r="D19" s="136"/>
      <c r="E19" s="136"/>
      <c r="F19" s="136"/>
    </row>
    <row r="20" spans="1:19" ht="15.6" x14ac:dyDescent="0.3">
      <c r="A20" s="141"/>
      <c r="B20" s="142" t="s">
        <v>141</v>
      </c>
      <c r="C20" s="136"/>
      <c r="D20" s="136"/>
      <c r="E20" s="136"/>
      <c r="F20" s="136"/>
    </row>
    <row r="21" spans="1:19" ht="15.6" x14ac:dyDescent="0.3">
      <c r="A21" s="141"/>
      <c r="B21" s="140" t="s">
        <v>140</v>
      </c>
      <c r="C21" s="136"/>
      <c r="D21" s="136"/>
      <c r="E21" s="136"/>
      <c r="F21" s="136"/>
    </row>
    <row r="22" spans="1:19" ht="15.6" x14ac:dyDescent="0.3">
      <c r="A22" s="141"/>
      <c r="B22" s="140"/>
      <c r="C22" s="136"/>
      <c r="D22" s="136"/>
      <c r="E22" s="136"/>
      <c r="F22" s="136"/>
    </row>
    <row r="23" spans="1:19" ht="15.6" x14ac:dyDescent="0.3">
      <c r="A23" s="141"/>
      <c r="B23" s="140" t="s">
        <v>139</v>
      </c>
      <c r="C23" s="136"/>
      <c r="D23" s="136"/>
      <c r="E23" s="136"/>
      <c r="F23" s="136"/>
    </row>
    <row r="25" spans="1:19" x14ac:dyDescent="0.3">
      <c r="B25" s="111" t="s">
        <v>138</v>
      </c>
      <c r="C25" s="138">
        <v>0.04</v>
      </c>
      <c r="D25" s="138"/>
    </row>
    <row r="26" spans="1:19" x14ac:dyDescent="0.3">
      <c r="B26" s="111" t="s">
        <v>137</v>
      </c>
      <c r="C26" s="139">
        <v>1000000</v>
      </c>
      <c r="D26" s="139"/>
    </row>
    <row r="27" spans="1:19" x14ac:dyDescent="0.3">
      <c r="B27" s="111" t="s">
        <v>136</v>
      </c>
      <c r="C27" s="138">
        <v>5.0000000000000001E-3</v>
      </c>
      <c r="D27" s="137"/>
    </row>
    <row r="28" spans="1:19" x14ac:dyDescent="0.3">
      <c r="B28" s="111" t="s">
        <v>135</v>
      </c>
      <c r="C28" s="137">
        <v>0.03</v>
      </c>
      <c r="D28" s="137"/>
      <c r="J28" s="136"/>
      <c r="M28" s="136"/>
    </row>
    <row r="30" spans="1:19" ht="43.2" x14ac:dyDescent="0.3">
      <c r="B30" s="111"/>
      <c r="C30" s="111" t="s">
        <v>14</v>
      </c>
      <c r="D30" s="135" t="s">
        <v>134</v>
      </c>
      <c r="E30" s="133" t="s">
        <v>133</v>
      </c>
      <c r="F30" s="134" t="s">
        <v>132</v>
      </c>
      <c r="G30" s="133" t="s">
        <v>131</v>
      </c>
      <c r="H30" s="133" t="s">
        <v>130</v>
      </c>
      <c r="I30" s="133" t="s">
        <v>129</v>
      </c>
      <c r="J30" s="133" t="s">
        <v>128</v>
      </c>
      <c r="K30" s="132" t="s">
        <v>127</v>
      </c>
      <c r="L30" s="132" t="s">
        <v>126</v>
      </c>
      <c r="M30" s="111" t="s">
        <v>125</v>
      </c>
      <c r="N30" s="111" t="s">
        <v>120</v>
      </c>
      <c r="O30" s="111" t="s">
        <v>78</v>
      </c>
      <c r="P30" s="131" t="s">
        <v>124</v>
      </c>
      <c r="Q30" s="131" t="s">
        <v>123</v>
      </c>
      <c r="R30" s="131" t="s">
        <v>122</v>
      </c>
      <c r="S30" s="130" t="s">
        <v>121</v>
      </c>
    </row>
    <row r="31" spans="1:19" x14ac:dyDescent="0.3">
      <c r="B31" s="111"/>
      <c r="C31" s="111">
        <v>0</v>
      </c>
      <c r="D31" s="128"/>
      <c r="E31" s="129"/>
      <c r="F31" s="128"/>
      <c r="G31" s="125"/>
      <c r="H31" s="127"/>
      <c r="I31" s="127"/>
      <c r="J31" s="127">
        <v>1</v>
      </c>
      <c r="K31" s="127"/>
      <c r="L31" s="127"/>
      <c r="M31" s="126"/>
      <c r="N31" s="125"/>
      <c r="O31" s="124"/>
      <c r="P31" s="123"/>
      <c r="Q31" s="123"/>
      <c r="R31" s="123"/>
      <c r="S31" s="123"/>
    </row>
    <row r="32" spans="1:19" x14ac:dyDescent="0.3">
      <c r="B32" s="114"/>
      <c r="C32" s="111">
        <v>1</v>
      </c>
      <c r="D32" s="122">
        <v>1000000</v>
      </c>
      <c r="E32" s="121">
        <v>3.8300000000000001E-3</v>
      </c>
      <c r="F32" s="120">
        <v>-0.1525</v>
      </c>
      <c r="G32" s="110">
        <f t="shared" ref="G32:G41" si="0">D32*$C$27</f>
        <v>5000</v>
      </c>
      <c r="H32" s="110">
        <f t="shared" ref="H32:H41" si="1">E32*S32</f>
        <v>584.07500000000005</v>
      </c>
      <c r="I32" s="119">
        <f t="shared" ref="I32:I41" si="2">(1-E32)*(1-$C$28)</f>
        <v>0.9662849</v>
      </c>
      <c r="J32" s="119">
        <f>PRODUCT(I$32:I32)</f>
        <v>0.9662849</v>
      </c>
      <c r="K32" s="110">
        <f>MAX(R32,P32)</f>
        <v>1000000</v>
      </c>
      <c r="L32" s="110">
        <f t="shared" ref="L32:L41" si="3">K32*J32</f>
        <v>966284.9</v>
      </c>
      <c r="M32" s="118">
        <f t="shared" ref="M32:M41" si="4">(1+$C$25)^-C32</f>
        <v>0.96153846153846145</v>
      </c>
      <c r="N32" s="110">
        <f t="shared" ref="N32:N41" si="5">G32*M32</f>
        <v>4807.6923076923076</v>
      </c>
      <c r="O32" s="117">
        <f t="shared" ref="O32:O41" si="6">H32*M32</f>
        <v>561.61057692307691</v>
      </c>
      <c r="P32" s="116">
        <f t="shared" ref="P32:P41" si="7">D32*(1+F32)</f>
        <v>847500</v>
      </c>
      <c r="Q32" s="116">
        <f>D32</f>
        <v>1000000</v>
      </c>
      <c r="R32" s="116">
        <f>D32</f>
        <v>1000000</v>
      </c>
      <c r="S32" s="116">
        <f>R32-P32</f>
        <v>152500</v>
      </c>
    </row>
    <row r="33" spans="2:19" x14ac:dyDescent="0.3">
      <c r="B33" s="114"/>
      <c r="C33" s="111">
        <v>2</v>
      </c>
      <c r="D33" s="122">
        <v>818926.45274999994</v>
      </c>
      <c r="E33" s="121">
        <v>6.5799999999999999E-3</v>
      </c>
      <c r="F33" s="120">
        <v>-0.2</v>
      </c>
      <c r="G33" s="110">
        <f t="shared" si="0"/>
        <v>4094.6322637499998</v>
      </c>
      <c r="H33" s="110">
        <f t="shared" si="1"/>
        <v>2365.2335268239999</v>
      </c>
      <c r="I33" s="119">
        <f t="shared" si="2"/>
        <v>0.96361739999999996</v>
      </c>
      <c r="J33" s="119">
        <f>PRODUCT(I$32:I33)</f>
        <v>0.93112894299726001</v>
      </c>
      <c r="K33" s="110">
        <f t="shared" ref="K33:K41" si="8">K32*1.05</f>
        <v>1050000</v>
      </c>
      <c r="L33" s="110">
        <f t="shared" si="3"/>
        <v>977685.39014712302</v>
      </c>
      <c r="M33" s="118">
        <f t="shared" si="4"/>
        <v>0.92455621301775137</v>
      </c>
      <c r="N33" s="110">
        <f t="shared" si="5"/>
        <v>3785.7176994730021</v>
      </c>
      <c r="O33" s="117">
        <f t="shared" si="6"/>
        <v>2186.7913524630176</v>
      </c>
      <c r="P33" s="116">
        <f t="shared" si="7"/>
        <v>655141.16220000002</v>
      </c>
      <c r="Q33" s="116">
        <f t="shared" ref="Q33:Q41" si="9">MAX(R32*I32*1.05,D33)</f>
        <v>1014599.145</v>
      </c>
      <c r="R33" s="116">
        <f t="shared" ref="R33:R41" si="10">Q33</f>
        <v>1014599.145</v>
      </c>
      <c r="S33" s="116">
        <f t="shared" ref="S33:S41" si="11">+R33-P33</f>
        <v>359457.9828</v>
      </c>
    </row>
    <row r="34" spans="2:19" x14ac:dyDescent="0.3">
      <c r="B34" s="114"/>
      <c r="C34" s="111">
        <v>3</v>
      </c>
      <c r="D34" s="122">
        <v>631305.42335214221</v>
      </c>
      <c r="E34" s="121">
        <v>9.6099999999999988E-3</v>
      </c>
      <c r="F34" s="120">
        <v>5.5E-2</v>
      </c>
      <c r="G34" s="110">
        <f t="shared" si="0"/>
        <v>3156.5271167607111</v>
      </c>
      <c r="H34" s="110">
        <f t="shared" si="1"/>
        <v>3464.8128293526843</v>
      </c>
      <c r="I34" s="119">
        <f t="shared" si="2"/>
        <v>0.96067829999999999</v>
      </c>
      <c r="J34" s="119">
        <f>PRODUCT(I$32:I34)</f>
        <v>0.89451537003940462</v>
      </c>
      <c r="K34" s="110">
        <f t="shared" si="8"/>
        <v>1102500</v>
      </c>
      <c r="L34" s="110">
        <f t="shared" si="3"/>
        <v>986203.19546844356</v>
      </c>
      <c r="M34" s="118">
        <f t="shared" si="4"/>
        <v>0.88899635867091487</v>
      </c>
      <c r="N34" s="110">
        <f t="shared" si="5"/>
        <v>2806.1411128462737</v>
      </c>
      <c r="O34" s="117">
        <f t="shared" si="6"/>
        <v>3080.2059887708065</v>
      </c>
      <c r="P34" s="116">
        <f t="shared" si="7"/>
        <v>666027.22163650999</v>
      </c>
      <c r="Q34" s="116">
        <f t="shared" si="9"/>
        <v>1026569.6596544792</v>
      </c>
      <c r="R34" s="116">
        <f t="shared" si="10"/>
        <v>1026569.6596544792</v>
      </c>
      <c r="S34" s="116">
        <f t="shared" si="11"/>
        <v>360542.43801796925</v>
      </c>
    </row>
    <row r="35" spans="2:19" x14ac:dyDescent="0.3">
      <c r="B35" s="114"/>
      <c r="C35" s="111">
        <v>4</v>
      </c>
      <c r="D35" s="122">
        <v>639837.89903548558</v>
      </c>
      <c r="E35" s="121">
        <v>1.285E-2</v>
      </c>
      <c r="F35" s="120">
        <v>0.13250000000000001</v>
      </c>
      <c r="G35" s="110">
        <f t="shared" si="0"/>
        <v>3199.1894951774279</v>
      </c>
      <c r="H35" s="110">
        <f t="shared" si="1"/>
        <v>3995.0256094066922</v>
      </c>
      <c r="I35" s="119">
        <f t="shared" si="2"/>
        <v>0.95753549999999998</v>
      </c>
      <c r="J35" s="119">
        <f>PRODUCT(I$32:I35)</f>
        <v>0.85653022210836627</v>
      </c>
      <c r="K35" s="110">
        <f t="shared" si="8"/>
        <v>1157625</v>
      </c>
      <c r="L35" s="110">
        <f t="shared" si="3"/>
        <v>991540.79836819752</v>
      </c>
      <c r="M35" s="118">
        <f t="shared" si="4"/>
        <v>0.85480419102972571</v>
      </c>
      <c r="N35" s="110">
        <f t="shared" si="5"/>
        <v>2734.680588375938</v>
      </c>
      <c r="O35" s="117">
        <f t="shared" si="6"/>
        <v>3414.9646341919247</v>
      </c>
      <c r="P35" s="116">
        <f t="shared" si="7"/>
        <v>724616.42065768747</v>
      </c>
      <c r="Q35" s="116">
        <f t="shared" si="9"/>
        <v>1035513.3552418659</v>
      </c>
      <c r="R35" s="116">
        <f t="shared" si="10"/>
        <v>1035513.3552418659</v>
      </c>
      <c r="S35" s="116">
        <f t="shared" si="11"/>
        <v>310896.93458417838</v>
      </c>
    </row>
    <row r="36" spans="2:19" x14ac:dyDescent="0.3">
      <c r="B36" s="114"/>
      <c r="C36" s="111">
        <v>5</v>
      </c>
      <c r="D36" s="122">
        <v>693845.94666266907</v>
      </c>
      <c r="E36" s="121">
        <v>1.507E-2</v>
      </c>
      <c r="F36" s="120">
        <v>-0.115</v>
      </c>
      <c r="G36" s="110">
        <f t="shared" si="0"/>
        <v>3469.2297333133456</v>
      </c>
      <c r="H36" s="110">
        <f t="shared" si="1"/>
        <v>6435.85712463649</v>
      </c>
      <c r="I36" s="119">
        <f t="shared" si="2"/>
        <v>0.9553820999999999</v>
      </c>
      <c r="J36" s="119">
        <f>PRODUCT(I$32:I36)</f>
        <v>0.81831364231135728</v>
      </c>
      <c r="K36" s="110">
        <f t="shared" si="8"/>
        <v>1215506.25</v>
      </c>
      <c r="L36" s="110">
        <f t="shared" si="3"/>
        <v>994665.34668971924</v>
      </c>
      <c r="M36" s="118">
        <f t="shared" si="4"/>
        <v>0.82192710675935154</v>
      </c>
      <c r="N36" s="110">
        <f t="shared" si="5"/>
        <v>2851.4539573857551</v>
      </c>
      <c r="O36" s="117">
        <f t="shared" si="6"/>
        <v>5289.8054259690298</v>
      </c>
      <c r="P36" s="116">
        <f t="shared" si="7"/>
        <v>614053.66279646219</v>
      </c>
      <c r="Q36" s="116">
        <f t="shared" si="9"/>
        <v>1041117.8382866075</v>
      </c>
      <c r="R36" s="116">
        <f t="shared" si="10"/>
        <v>1041117.8382866075</v>
      </c>
      <c r="S36" s="116">
        <f t="shared" si="11"/>
        <v>427064.17549014534</v>
      </c>
    </row>
    <row r="37" spans="2:19" x14ac:dyDescent="0.3">
      <c r="B37" s="114"/>
      <c r="C37" s="111">
        <v>6</v>
      </c>
      <c r="D37" s="122">
        <v>586655.87787517579</v>
      </c>
      <c r="E37" s="121">
        <v>1.7129999999999999E-2</v>
      </c>
      <c r="F37" s="120">
        <v>4.7500000000000001E-2</v>
      </c>
      <c r="G37" s="110">
        <f t="shared" si="0"/>
        <v>2933.279389375879</v>
      </c>
      <c r="H37" s="110">
        <f t="shared" si="1"/>
        <v>7363.7858488027923</v>
      </c>
      <c r="I37" s="119">
        <f t="shared" si="2"/>
        <v>0.95338389999999995</v>
      </c>
      <c r="J37" s="119">
        <f>PRODUCT(I$32:I37)</f>
        <v>0.78016705173000678</v>
      </c>
      <c r="K37" s="110">
        <f t="shared" si="8"/>
        <v>1276281.5625</v>
      </c>
      <c r="L37" s="110">
        <f t="shared" si="3"/>
        <v>995712.82379299134</v>
      </c>
      <c r="M37" s="118">
        <f t="shared" si="4"/>
        <v>0.79031452573014571</v>
      </c>
      <c r="N37" s="110">
        <f t="shared" si="5"/>
        <v>2318.2133094486094</v>
      </c>
      <c r="O37" s="117">
        <f t="shared" si="6"/>
        <v>5819.7069206749375</v>
      </c>
      <c r="P37" s="116">
        <f t="shared" si="7"/>
        <v>614522.03207424667</v>
      </c>
      <c r="Q37" s="116">
        <f t="shared" si="9"/>
        <v>1044398.6140242054</v>
      </c>
      <c r="R37" s="116">
        <f t="shared" si="10"/>
        <v>1044398.6140242054</v>
      </c>
      <c r="S37" s="116">
        <f t="shared" si="11"/>
        <v>429876.58194995869</v>
      </c>
    </row>
    <row r="38" spans="2:19" x14ac:dyDescent="0.3">
      <c r="B38" s="114"/>
      <c r="C38" s="111">
        <v>7</v>
      </c>
      <c r="D38" s="122">
        <v>585875.41157487035</v>
      </c>
      <c r="E38" s="121">
        <v>0.02</v>
      </c>
      <c r="F38" s="120">
        <v>0.29499999999999998</v>
      </c>
      <c r="G38" s="110">
        <f t="shared" si="0"/>
        <v>2929.377057874352</v>
      </c>
      <c r="H38" s="110">
        <f t="shared" si="1"/>
        <v>5735.7961398636826</v>
      </c>
      <c r="I38" s="119">
        <f t="shared" si="2"/>
        <v>0.9506</v>
      </c>
      <c r="J38" s="119">
        <f>PRODUCT(I$32:I38)</f>
        <v>0.74162679937454445</v>
      </c>
      <c r="K38" s="110">
        <f t="shared" si="8"/>
        <v>1340095.640625</v>
      </c>
      <c r="L38" s="110">
        <f t="shared" si="3"/>
        <v>993850.84081249847</v>
      </c>
      <c r="M38" s="118">
        <f t="shared" si="4"/>
        <v>0.75991781320206331</v>
      </c>
      <c r="N38" s="110">
        <f t="shared" si="5"/>
        <v>2226.0858078641718</v>
      </c>
      <c r="O38" s="117">
        <f t="shared" si="6"/>
        <v>4358.7336595780462</v>
      </c>
      <c r="P38" s="116">
        <f t="shared" si="7"/>
        <v>758708.65798945702</v>
      </c>
      <c r="Q38" s="116">
        <f t="shared" si="9"/>
        <v>1045498.4649826412</v>
      </c>
      <c r="R38" s="116">
        <f t="shared" si="10"/>
        <v>1045498.4649826412</v>
      </c>
      <c r="S38" s="116">
        <f t="shared" si="11"/>
        <v>286789.80699318415</v>
      </c>
    </row>
    <row r="39" spans="2:19" x14ac:dyDescent="0.3">
      <c r="B39" s="114"/>
      <c r="C39" s="111">
        <v>8</v>
      </c>
      <c r="D39" s="122">
        <v>721228.45028477779</v>
      </c>
      <c r="E39" s="121">
        <v>2.402E-2</v>
      </c>
      <c r="F39" s="120">
        <v>5.5E-2</v>
      </c>
      <c r="G39" s="110">
        <f t="shared" si="0"/>
        <v>3606.1422514238889</v>
      </c>
      <c r="H39" s="110">
        <f t="shared" si="1"/>
        <v>6789.1897746204495</v>
      </c>
      <c r="I39" s="119">
        <f t="shared" si="2"/>
        <v>0.94670059999999989</v>
      </c>
      <c r="J39" s="119">
        <f>PRODUCT(I$32:I39)</f>
        <v>0.70209853594396077</v>
      </c>
      <c r="K39" s="110">
        <f t="shared" si="8"/>
        <v>1407100.42265625</v>
      </c>
      <c r="L39" s="110">
        <f t="shared" si="3"/>
        <v>987923.14667308144</v>
      </c>
      <c r="M39" s="118">
        <f t="shared" si="4"/>
        <v>0.73069020500198378</v>
      </c>
      <c r="N39" s="110">
        <f t="shared" si="5"/>
        <v>2634.9728209592367</v>
      </c>
      <c r="O39" s="117">
        <f t="shared" si="6"/>
        <v>4960.7944682147881</v>
      </c>
      <c r="P39" s="116">
        <f t="shared" si="7"/>
        <v>760896.01505044056</v>
      </c>
      <c r="Q39" s="116">
        <f t="shared" si="9"/>
        <v>1043543.3828531237</v>
      </c>
      <c r="R39" s="116">
        <f t="shared" si="10"/>
        <v>1043543.3828531237</v>
      </c>
      <c r="S39" s="116">
        <f t="shared" si="11"/>
        <v>282647.36780268315</v>
      </c>
    </row>
    <row r="40" spans="2:19" x14ac:dyDescent="0.3">
      <c r="B40" s="114"/>
      <c r="C40" s="111">
        <v>9</v>
      </c>
      <c r="D40" s="122">
        <v>720340.71398586105</v>
      </c>
      <c r="E40" s="121">
        <v>2.826E-2</v>
      </c>
      <c r="F40" s="120">
        <v>-0.10249999999999999</v>
      </c>
      <c r="G40" s="110">
        <f t="shared" si="0"/>
        <v>3601.7035699293051</v>
      </c>
      <c r="H40" s="110">
        <f t="shared" si="1"/>
        <v>11044.38988315707</v>
      </c>
      <c r="I40" s="119">
        <f t="shared" si="2"/>
        <v>0.94258779999999998</v>
      </c>
      <c r="J40" s="119">
        <f>PRODUCT(I$32:I40)</f>
        <v>0.66178951437863887</v>
      </c>
      <c r="K40" s="110">
        <f t="shared" si="8"/>
        <v>1477455.4437890626</v>
      </c>
      <c r="L40" s="110">
        <f t="shared" si="3"/>
        <v>977764.52066124009</v>
      </c>
      <c r="M40" s="118">
        <f t="shared" si="4"/>
        <v>0.70258673557883045</v>
      </c>
      <c r="N40" s="110">
        <f t="shared" si="5"/>
        <v>2530.5091537192502</v>
      </c>
      <c r="O40" s="117">
        <f t="shared" si="6"/>
        <v>7759.6418344671865</v>
      </c>
      <c r="P40" s="116">
        <f t="shared" si="7"/>
        <v>646505.79080231022</v>
      </c>
      <c r="Q40" s="116">
        <f t="shared" si="9"/>
        <v>1037319.3040067359</v>
      </c>
      <c r="R40" s="116">
        <f t="shared" si="10"/>
        <v>1037319.3040067359</v>
      </c>
      <c r="S40" s="116">
        <f t="shared" si="11"/>
        <v>390813.51320442569</v>
      </c>
    </row>
    <row r="41" spans="2:19" x14ac:dyDescent="0.3">
      <c r="B41" s="114"/>
      <c r="C41" s="111">
        <v>10</v>
      </c>
      <c r="D41" s="122">
        <v>609388.47103960975</v>
      </c>
      <c r="E41" s="121">
        <v>3.3369999999999997E-2</v>
      </c>
      <c r="F41" s="120">
        <v>9.7500000000000003E-2</v>
      </c>
      <c r="G41" s="110">
        <f t="shared" si="0"/>
        <v>3046.942355198049</v>
      </c>
      <c r="H41" s="110">
        <f t="shared" si="1"/>
        <v>11941.417783934397</v>
      </c>
      <c r="I41" s="119">
        <f t="shared" si="2"/>
        <v>0.93763109999999994</v>
      </c>
      <c r="J41" s="119">
        <f>PRODUCT(I$32:I41)</f>
        <v>0.62051443033530895</v>
      </c>
      <c r="K41" s="110">
        <f t="shared" si="8"/>
        <v>1551328.2159785158</v>
      </c>
      <c r="L41" s="110">
        <f t="shared" si="3"/>
        <v>962621.5442009999</v>
      </c>
      <c r="M41" s="118">
        <f t="shared" si="4"/>
        <v>0.67556416882579851</v>
      </c>
      <c r="N41" s="110">
        <f t="shared" si="5"/>
        <v>2058.4050796494907</v>
      </c>
      <c r="O41" s="117">
        <f t="shared" si="6"/>
        <v>8067.1939798052499</v>
      </c>
      <c r="P41" s="116">
        <f t="shared" si="7"/>
        <v>668803.84696597164</v>
      </c>
      <c r="Q41" s="116">
        <f t="shared" si="9"/>
        <v>1026652.7466943024</v>
      </c>
      <c r="R41" s="116">
        <f t="shared" si="10"/>
        <v>1026652.7466943024</v>
      </c>
      <c r="S41" s="116">
        <f t="shared" si="11"/>
        <v>357848.89972833078</v>
      </c>
    </row>
    <row r="42" spans="2:19" x14ac:dyDescent="0.3">
      <c r="F42" s="115"/>
      <c r="H42" s="110"/>
      <c r="L42" s="110"/>
      <c r="N42" s="114">
        <f>SUM(N32:N41)</f>
        <v>28753.871837414034</v>
      </c>
      <c r="O42" s="114">
        <f>SUM(O32:O41)</f>
        <v>45499.44884105806</v>
      </c>
      <c r="Q42" s="114"/>
    </row>
    <row r="44" spans="2:19" x14ac:dyDescent="0.3">
      <c r="B44" s="113" t="s">
        <v>120</v>
      </c>
      <c r="C44" s="110">
        <f>SUM(N32:N41)</f>
        <v>28753.871837414034</v>
      </c>
    </row>
    <row r="45" spans="2:19" x14ac:dyDescent="0.3">
      <c r="B45" s="113" t="s">
        <v>78</v>
      </c>
      <c r="C45" s="110">
        <f>SUM(O32:O41)</f>
        <v>45499.44884105806</v>
      </c>
      <c r="J45" s="112"/>
    </row>
    <row r="46" spans="2:19" x14ac:dyDescent="0.3">
      <c r="B46" s="111" t="s">
        <v>76</v>
      </c>
      <c r="C46" s="110">
        <f>C44-C45</f>
        <v>-16745.577003644026</v>
      </c>
      <c r="F46" s="109" t="s">
        <v>119</v>
      </c>
      <c r="G46" s="108" t="s">
        <v>118</v>
      </c>
      <c r="H46" s="108"/>
      <c r="I46" s="108"/>
      <c r="J46" s="108"/>
      <c r="K46" s="108"/>
      <c r="L46" s="108"/>
      <c r="M46" s="108"/>
      <c r="N46" s="108"/>
    </row>
    <row r="47" spans="2:19" x14ac:dyDescent="0.3">
      <c r="F47" s="103" t="s">
        <v>117</v>
      </c>
      <c r="G47" s="98" t="s">
        <v>116</v>
      </c>
    </row>
    <row r="48" spans="2:19" x14ac:dyDescent="0.3">
      <c r="F48" s="103" t="s">
        <v>115</v>
      </c>
      <c r="G48" s="98" t="s">
        <v>114</v>
      </c>
    </row>
    <row r="49" spans="2:7" x14ac:dyDescent="0.3">
      <c r="F49" s="103" t="s">
        <v>113</v>
      </c>
      <c r="G49" s="98" t="s">
        <v>112</v>
      </c>
    </row>
    <row r="50" spans="2:7" x14ac:dyDescent="0.3">
      <c r="F50" s="103" t="s">
        <v>111</v>
      </c>
      <c r="G50" s="98" t="s">
        <v>110</v>
      </c>
    </row>
    <row r="51" spans="2:7" x14ac:dyDescent="0.3">
      <c r="F51" s="103" t="s">
        <v>109</v>
      </c>
      <c r="G51" s="107" t="s">
        <v>108</v>
      </c>
    </row>
    <row r="52" spans="2:7" x14ac:dyDescent="0.3">
      <c r="F52" s="103" t="s">
        <v>107</v>
      </c>
      <c r="G52" s="98" t="s">
        <v>106</v>
      </c>
    </row>
    <row r="53" spans="2:7" x14ac:dyDescent="0.3">
      <c r="B53" s="106" t="s">
        <v>105</v>
      </c>
      <c r="F53" s="103" t="s">
        <v>104</v>
      </c>
      <c r="G53" s="98" t="s">
        <v>103</v>
      </c>
    </row>
    <row r="54" spans="2:7" x14ac:dyDescent="0.3">
      <c r="B54" s="102" t="s">
        <v>102</v>
      </c>
      <c r="F54" s="103" t="s">
        <v>101</v>
      </c>
      <c r="G54" s="98" t="s">
        <v>100</v>
      </c>
    </row>
    <row r="55" spans="2:7" x14ac:dyDescent="0.3">
      <c r="B55" s="102" t="s">
        <v>99</v>
      </c>
      <c r="F55" s="105" t="s">
        <v>98</v>
      </c>
      <c r="G55" s="98" t="s">
        <v>97</v>
      </c>
    </row>
    <row r="56" spans="2:7" x14ac:dyDescent="0.3">
      <c r="B56" s="102" t="s">
        <v>96</v>
      </c>
      <c r="F56" s="103" t="s">
        <v>95</v>
      </c>
      <c r="G56" s="98" t="s">
        <v>94</v>
      </c>
    </row>
    <row r="57" spans="2:7" x14ac:dyDescent="0.3">
      <c r="B57" s="102" t="s">
        <v>93</v>
      </c>
      <c r="F57" s="103" t="s">
        <v>92</v>
      </c>
      <c r="G57" s="98" t="s">
        <v>91</v>
      </c>
    </row>
    <row r="58" spans="2:7" x14ac:dyDescent="0.3">
      <c r="B58" s="102"/>
      <c r="F58" s="103" t="s">
        <v>90</v>
      </c>
      <c r="G58" s="98" t="s">
        <v>89</v>
      </c>
    </row>
    <row r="59" spans="2:7" x14ac:dyDescent="0.3">
      <c r="B59" s="102"/>
      <c r="F59" s="103" t="s">
        <v>88</v>
      </c>
      <c r="G59" s="98" t="s">
        <v>87</v>
      </c>
    </row>
    <row r="60" spans="2:7" x14ac:dyDescent="0.3">
      <c r="B60" s="102"/>
      <c r="F60" s="103" t="s">
        <v>86</v>
      </c>
      <c r="G60" s="98" t="s">
        <v>85</v>
      </c>
    </row>
    <row r="61" spans="2:7" x14ac:dyDescent="0.3">
      <c r="B61" s="102"/>
      <c r="F61" s="103" t="s">
        <v>84</v>
      </c>
      <c r="G61" s="104" t="s">
        <v>83</v>
      </c>
    </row>
    <row r="62" spans="2:7" x14ac:dyDescent="0.3">
      <c r="B62" s="102"/>
      <c r="F62" s="103" t="s">
        <v>82</v>
      </c>
      <c r="G62" s="98" t="s">
        <v>81</v>
      </c>
    </row>
    <row r="63" spans="2:7" x14ac:dyDescent="0.3">
      <c r="B63" s="102"/>
      <c r="F63" s="103" t="s">
        <v>80</v>
      </c>
      <c r="G63" s="98" t="s">
        <v>79</v>
      </c>
    </row>
    <row r="64" spans="2:7" x14ac:dyDescent="0.3">
      <c r="B64" s="102"/>
      <c r="F64" s="103" t="s">
        <v>78</v>
      </c>
      <c r="G64" s="98" t="s">
        <v>77</v>
      </c>
    </row>
    <row r="65" spans="2:18" x14ac:dyDescent="0.3">
      <c r="B65" s="102"/>
      <c r="F65" s="103" t="s">
        <v>76</v>
      </c>
      <c r="G65" s="98" t="s">
        <v>75</v>
      </c>
    </row>
    <row r="66" spans="2:18" x14ac:dyDescent="0.3">
      <c r="B66" s="102"/>
    </row>
    <row r="68" spans="2:18" ht="48" customHeight="1" x14ac:dyDescent="0.3">
      <c r="E68" s="101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</row>
    <row r="69" spans="2:18" ht="30.75" customHeight="1" x14ac:dyDescent="0.3">
      <c r="E69" s="101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</row>
    <row r="70" spans="2:18" x14ac:dyDescent="0.3">
      <c r="E70" s="100"/>
      <c r="F70" s="99"/>
    </row>
  </sheetData>
  <mergeCells count="2">
    <mergeCell ref="F68:R68"/>
    <mergeCell ref="F69:R6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072982E99EA46A6A02EB1A8F3E01F" ma:contentTypeVersion="0" ma:contentTypeDescription="Create a new document." ma:contentTypeScope="" ma:versionID="e27d0bd82a4622a0f99bca38b279053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F766FC-B640-4E8E-A102-20E3459CFF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7E8576-2B1E-4B09-BD3E-50ABB89F7B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DBA44F7-FF5A-406F-9EAB-460A22F965ED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Q3 (a)(ii) Credit</vt:lpstr>
      <vt:lpstr>Q3 (a)(ii) Interest Rate</vt:lpstr>
      <vt:lpstr>Q3 (b)(i) Aggregation</vt:lpstr>
      <vt:lpstr>Q3 (c)(i) Credit</vt:lpstr>
      <vt:lpstr>Q3 (c)(i) Interest Rate</vt:lpstr>
      <vt:lpstr>Q3 (c)(i) Aggregation</vt:lpstr>
      <vt:lpstr>Q4 (b)(i), (b)(ii)</vt:lpstr>
      <vt:lpstr>8 (c)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Aleshia Zionce</dc:creator>
  <cp:lastModifiedBy>A Zionce</cp:lastModifiedBy>
  <cp:lastPrinted>2018-04-06T02:32:32Z</cp:lastPrinted>
  <dcterms:created xsi:type="dcterms:W3CDTF">2013-02-07T13:09:41Z</dcterms:created>
  <dcterms:modified xsi:type="dcterms:W3CDTF">2022-01-26T21:06:52Z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0x010100143072982E99EA46A6A02EB1A8F3E01F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MSIP_Label_af49516a-7525-4936-8880-b1dc1e580865_Enabled">
    <vt:lpwstr>true</vt:lpwstr>
  </property>
  <property fmtid="{D5CDD505-2E9C-101B-9397-08002B2CF9AE}" pid="5" name="MSIP_Label_af49516a-7525-4936-8880-b1dc1e580865_SiteId">
    <vt:lpwstr>3bea478c-1684-4a8c-8e85-045ec54ba430</vt:lpwstr>
  </property>
  <property fmtid="{D5CDD505-2E9C-101B-9397-08002B2CF9AE}" pid="6" name="MSIP_Label_af49516a-7525-4936-8880-b1dc1e580865_Owner">
    <vt:lpwstr>Gifford.Nick@principal.com</vt:lpwstr>
  </property>
  <property fmtid="{D5CDD505-2E9C-101B-9397-08002B2CF9AE}" pid="7" name="MSIP_Label_af49516a-7525-4936-8880-b1dc1e580865_SetDate">
    <vt:lpwstr>2021-12-22T13:37:53Z</vt:lpwstr>
  </property>
  <property fmtid="{D5CDD505-2E9C-101B-9397-08002B2CF9AE}" pid="8" name="MSIP_Label_af49516a-7525-4936-8880-b1dc1e580865_Name">
    <vt:lpwstr>Non-visible label</vt:lpwstr>
  </property>
  <property fmtid="{D5CDD505-2E9C-101B-9397-08002B2CF9AE}" pid="9" name="MSIP_Label_af49516a-7525-4936-8880-b1dc1e580865_Application">
    <vt:lpwstr>Microsoft Azure Information Protection</vt:lpwstr>
  </property>
  <property fmtid="{D5CDD505-2E9C-101B-9397-08002B2CF9AE}" pid="10" name="MSIP_Label_af49516a-7525-4936-8880-b1dc1e580865_Parent">
    <vt:lpwstr>3b4f6feb-bc60-48e1-9a65-8f26ae8b4956</vt:lpwstr>
  </property>
  <property fmtid="{D5CDD505-2E9C-101B-9397-08002B2CF9AE}" pid="11" name="MSIP_Label_af49516a-7525-4936-8880-b1dc1e580865_Extended_MSFT_Method">
    <vt:lpwstr>Manual</vt:lpwstr>
  </property>
  <property fmtid="{D5CDD505-2E9C-101B-9397-08002B2CF9AE}" pid="12" name="MSIP_Label_af49516a-7525-4936-8880-b1dc1e580865_Method">
    <vt:lpwstr>Privileged</vt:lpwstr>
  </property>
  <property fmtid="{D5CDD505-2E9C-101B-9397-08002B2CF9AE}" pid="13" name="MSIP_Label_af49516a-7525-4936-8880-b1dc1e580865_ContentBits">
    <vt:lpwstr>0</vt:lpwstr>
  </property>
</Properties>
</file>