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Aleshia\Fall 2021 solutions\"/>
    </mc:Choice>
  </mc:AlternateContent>
  <xr:revisionPtr revIDLastSave="0" documentId="8_{0B1BFD57-FBEB-4EC0-A6BE-9DE14B741887}" xr6:coauthVersionLast="47" xr6:coauthVersionMax="47" xr10:uidLastSave="{00000000-0000-0000-0000-000000000000}"/>
  <bookViews>
    <workbookView xWindow="384" yWindow="384" windowWidth="17280" windowHeight="8964" xr2:uid="{00000000-000D-0000-FFFF-FFFF00000000}"/>
  </bookViews>
  <sheets>
    <sheet name="Question 4" sheetId="11" r:id="rId1"/>
    <sheet name="Question 6" sheetId="12" r:id="rId2"/>
    <sheet name="Question 8" sheetId="9" r:id="rId3"/>
    <sheet name="Question 10" sheetId="10" r:id="rId4"/>
  </sheets>
  <externalReferences>
    <externalReference r:id="rId5"/>
  </externalReferences>
  <definedNames>
    <definedName name="_Hlk57124538" localSheetId="2">'Question 8'!#REF!</definedName>
    <definedName name="canflag">'[1]Overview - Canada'!$N$1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1" i="12" l="1"/>
  <c r="P45" i="12"/>
  <c r="T44" i="12"/>
  <c r="Q44" i="12"/>
  <c r="P44" i="12"/>
  <c r="T43" i="12"/>
  <c r="Q43" i="12"/>
  <c r="P43" i="12"/>
  <c r="R26" i="12"/>
  <c r="R45" i="12" s="1"/>
  <c r="Q26" i="12"/>
  <c r="T26" i="12" s="1"/>
  <c r="U26" i="12" s="1"/>
  <c r="R34" i="12" s="1"/>
  <c r="P26" i="12"/>
  <c r="P54" i="12" s="1"/>
  <c r="T25" i="12"/>
  <c r="U25" i="12" s="1"/>
  <c r="R33" i="12" s="1"/>
  <c r="R25" i="12"/>
  <c r="Q25" i="12"/>
  <c r="P25" i="12"/>
  <c r="P53" i="12" s="1"/>
  <c r="T24" i="12"/>
  <c r="U24" i="12" s="1"/>
  <c r="R32" i="12" s="1"/>
  <c r="R24" i="12"/>
  <c r="Q24" i="12"/>
  <c r="P24" i="12"/>
  <c r="P52" i="12" s="1"/>
  <c r="T23" i="12"/>
  <c r="R23" i="12"/>
  <c r="R42" i="12" s="1"/>
  <c r="Q23" i="12"/>
  <c r="Q42" i="12" s="1"/>
  <c r="T42" i="12" s="1"/>
  <c r="P23" i="12"/>
  <c r="P42" i="12" s="1"/>
  <c r="AF44" i="11"/>
  <c r="AF43" i="11"/>
  <c r="AF42" i="11"/>
  <c r="AF41" i="11"/>
  <c r="AF40" i="11"/>
  <c r="AF39" i="11"/>
  <c r="AF38" i="11"/>
  <c r="AF37" i="11"/>
  <c r="AF36" i="11"/>
  <c r="AF35" i="11"/>
  <c r="AD35" i="11"/>
  <c r="AD36" i="11" s="1"/>
  <c r="AF26" i="11"/>
  <c r="R25" i="11"/>
  <c r="AE23" i="11"/>
  <c r="R16" i="11"/>
  <c r="AF14" i="11"/>
  <c r="AF17" i="11" s="1"/>
  <c r="AE29" i="11" s="1"/>
  <c r="R13" i="11"/>
  <c r="R22" i="11" s="1"/>
  <c r="S28" i="11" s="1"/>
  <c r="T31" i="11" s="1"/>
  <c r="S34" i="11" s="1"/>
  <c r="R37" i="11" s="1"/>
  <c r="U40" i="11" s="1"/>
  <c r="P10" i="11"/>
  <c r="AC7" i="11"/>
  <c r="P7" i="11"/>
  <c r="Q26" i="10"/>
  <c r="P26" i="10"/>
  <c r="O26" i="10"/>
  <c r="R26" i="10" s="1"/>
  <c r="Q28" i="10" s="1"/>
  <c r="Q18" i="10"/>
  <c r="O18" i="10"/>
  <c r="R18" i="10" s="1"/>
  <c r="Q20" i="10" s="1"/>
  <c r="U42" i="12" l="1"/>
  <c r="V42" i="12" s="1"/>
  <c r="U23" i="12"/>
  <c r="R31" i="12" s="1"/>
  <c r="P33" i="12"/>
  <c r="R43" i="12"/>
  <c r="R44" i="12"/>
  <c r="P31" i="12"/>
  <c r="P32" i="12"/>
  <c r="Q45" i="12"/>
  <c r="T45" i="12" s="1"/>
  <c r="P34" i="12"/>
  <c r="AD37" i="11"/>
  <c r="AE36" i="11"/>
  <c r="AG36" i="11" s="1"/>
  <c r="R19" i="11"/>
  <c r="AE35" i="11"/>
  <c r="AG35" i="11" s="1"/>
  <c r="T36" i="9"/>
  <c r="Q69" i="9"/>
  <c r="R33" i="9"/>
  <c r="Q33" i="9"/>
  <c r="Q65" i="9"/>
  <c r="Q63" i="9"/>
  <c r="R19" i="9"/>
  <c r="S30" i="9"/>
  <c r="S43" i="12" l="1"/>
  <c r="W42" i="12"/>
  <c r="R51" i="12" s="1"/>
  <c r="S51" i="12" s="1"/>
  <c r="Q52" i="12" s="1"/>
  <c r="T31" i="12"/>
  <c r="Q32" i="12" s="1"/>
  <c r="X23" i="12"/>
  <c r="S24" i="12" s="1"/>
  <c r="V23" i="12"/>
  <c r="W23" i="12" s="1"/>
  <c r="S31" i="12" s="1"/>
  <c r="AE37" i="11"/>
  <c r="AG37" i="11" s="1"/>
  <c r="AD38" i="11"/>
  <c r="Q31" i="9"/>
  <c r="Q46" i="9"/>
  <c r="R46" i="9" s="1"/>
  <c r="Q45" i="9"/>
  <c r="R45" i="9" s="1"/>
  <c r="Q44" i="9"/>
  <c r="R44" i="9" s="1"/>
  <c r="V24" i="12" l="1"/>
  <c r="W24" i="12" s="1"/>
  <c r="S32" i="12" s="1"/>
  <c r="T32" i="12"/>
  <c r="Q33" i="12" s="1"/>
  <c r="U43" i="12"/>
  <c r="V43" i="12"/>
  <c r="AE38" i="11"/>
  <c r="AG38" i="11" s="1"/>
  <c r="AD39" i="11"/>
  <c r="R47" i="9"/>
  <c r="Q15" i="9"/>
  <c r="T26" i="9"/>
  <c r="T25" i="9"/>
  <c r="S26" i="9"/>
  <c r="S25" i="9"/>
  <c r="Q59" i="9"/>
  <c r="R18" i="9" s="1"/>
  <c r="R20" i="9" s="1"/>
  <c r="Q64" i="9" s="1"/>
  <c r="Q56" i="9"/>
  <c r="R26" i="9"/>
  <c r="R25" i="9"/>
  <c r="P7" i="9"/>
  <c r="S44" i="12" l="1"/>
  <c r="W43" i="12"/>
  <c r="R52" i="12" s="1"/>
  <c r="S52" i="12" s="1"/>
  <c r="Q53" i="12" s="1"/>
  <c r="X24" i="12"/>
  <c r="S25" i="12" s="1"/>
  <c r="AD40" i="11"/>
  <c r="AE39" i="11"/>
  <c r="AG39" i="11" s="1"/>
  <c r="Q50" i="9"/>
  <c r="Q51" i="9" s="1"/>
  <c r="V25" i="12" l="1"/>
  <c r="W25" i="12" s="1"/>
  <c r="S33" i="12" s="1"/>
  <c r="T33" i="12" s="1"/>
  <c r="Q34" i="12" s="1"/>
  <c r="U44" i="12"/>
  <c r="V44" i="12" s="1"/>
  <c r="AD41" i="11"/>
  <c r="AE40" i="11"/>
  <c r="AG40" i="11" s="1"/>
  <c r="Q20" i="9"/>
  <c r="S45" i="12" l="1"/>
  <c r="W44" i="12"/>
  <c r="R53" i="12" s="1"/>
  <c r="S53" i="12" s="1"/>
  <c r="Q54" i="12" s="1"/>
  <c r="X25" i="12"/>
  <c r="S26" i="12" s="1"/>
  <c r="AD42" i="11"/>
  <c r="AE41" i="11"/>
  <c r="AG41" i="11" s="1"/>
  <c r="R30" i="9"/>
  <c r="V26" i="12" l="1"/>
  <c r="W26" i="12" s="1"/>
  <c r="S34" i="12" s="1"/>
  <c r="T34" i="12" s="1"/>
  <c r="T36" i="12" s="1"/>
  <c r="U45" i="12"/>
  <c r="V45" i="12" s="1"/>
  <c r="W45" i="12" s="1"/>
  <c r="R54" i="12" s="1"/>
  <c r="S54" i="12" s="1"/>
  <c r="S56" i="12" s="1"/>
  <c r="AD43" i="11"/>
  <c r="AE42" i="11"/>
  <c r="AG42" i="11" s="1"/>
  <c r="Q41" i="9"/>
  <c r="Q52" i="9" s="1"/>
  <c r="Q57" i="9" s="1"/>
  <c r="S32" i="9" s="1"/>
  <c r="Q66" i="9"/>
  <c r="S31" i="9" s="1"/>
  <c r="Q60" i="9"/>
  <c r="R31" i="9"/>
  <c r="X26" i="12" l="1"/>
  <c r="X28" i="12" s="1"/>
  <c r="AD44" i="11"/>
  <c r="AE44" i="11" s="1"/>
  <c r="AG44" i="11" s="1"/>
  <c r="AE43" i="11"/>
  <c r="AG43" i="11" s="1"/>
  <c r="S33" i="9"/>
  <c r="Q70" i="9"/>
  <c r="AG46" i="11" l="1"/>
  <c r="Q72" i="9"/>
  <c r="Q54" i="9"/>
  <c r="T35" i="9" l="1"/>
</calcChain>
</file>

<file path=xl/sharedStrings.xml><?xml version="1.0" encoding="utf-8"?>
<sst xmlns="http://schemas.openxmlformats.org/spreadsheetml/2006/main" count="294" uniqueCount="222">
  <si>
    <t>Interest Cost</t>
  </si>
  <si>
    <t>Other actuarial gains or losses during 2021</t>
  </si>
  <si>
    <t>None</t>
  </si>
  <si>
    <t xml:space="preserve">Asset gain/loss at the end of the year  </t>
  </si>
  <si>
    <t>Discount rate (BOY)</t>
  </si>
  <si>
    <t>Assets</t>
  </si>
  <si>
    <t>Full Year</t>
  </si>
  <si>
    <t>Service cost (BOY)</t>
  </si>
  <si>
    <t>Plan Duration</t>
  </si>
  <si>
    <t>Change in DR from 3.75% to 4.00%</t>
  </si>
  <si>
    <t>Curtailment impact</t>
  </si>
  <si>
    <t>1/1 - 6/30</t>
  </si>
  <si>
    <t>7/1 - 12/31</t>
  </si>
  <si>
    <t>Design and Accounting Exam – Canada</t>
  </si>
  <si>
    <t>Discount rate (remeasurement)</t>
  </si>
  <si>
    <t>Funded Position</t>
  </si>
  <si>
    <t>Defined Benefit Cost</t>
  </si>
  <si>
    <t>DBO</t>
  </si>
  <si>
    <t>Expected DBO at 7/1 at 3.75% (before ERW)</t>
  </si>
  <si>
    <t>Factor to apply to DBO to adjust from 3.75% to 4.0%</t>
  </si>
  <si>
    <t>DBO at 7/1 at 4.00% before ERW</t>
  </si>
  <si>
    <t>DBO at 7/1 at 4.0% reflecting Enhanced Benefits</t>
  </si>
  <si>
    <t>Actual DBO at 7/1 at 4.00% (before ERW)</t>
  </si>
  <si>
    <t>DBO (gain)/loss</t>
  </si>
  <si>
    <t>Actual Funded Status 12/31/2021 @ 4.00%</t>
  </si>
  <si>
    <t>Funded Status (gain)/loss</t>
  </si>
  <si>
    <t>Expected Funded Status 12/31/2021 @ 3.75% + ERW (Gain)/Loss</t>
  </si>
  <si>
    <t>Exam RETDAC:  Fall 2021</t>
  </si>
  <si>
    <t>Question 8</t>
  </si>
  <si>
    <t xml:space="preserve">NOC is restructuring and has offered a voluntary retirement incentive program with enhanced early retirement subsidies to its employees.  
400 employees accepted the offer to retire at July 1, 2021.  
You are given the following (dollars in thousands):  </t>
  </si>
  <si>
    <t>Provide answer here.  Show and label all work.</t>
  </si>
  <si>
    <t>(a)</t>
  </si>
  <si>
    <t xml:space="preserve">Actual Benefit Payments, 1/1/2021 – 6/30/2021 </t>
  </si>
  <si>
    <t>Expected Benefit Payments, 7/1/2021 – 12/31/2021</t>
  </si>
  <si>
    <t>Actual Benefit Payments, 7/1/2021 – 12/31/2021</t>
  </si>
  <si>
    <t>Actual Contributions in 2021</t>
  </si>
  <si>
    <t>Information as of 7/1/2021:</t>
  </si>
  <si>
    <t xml:space="preserve">Discount Rate </t>
  </si>
  <si>
    <t xml:space="preserve">Market Value of Assets </t>
  </si>
  <si>
    <t>Total Plan Defined Benefit Obligation (DBO) reflecting immediate decrement of the 400 employees who accepted offer</t>
  </si>
  <si>
    <t>Total Plan DBO reflecting enhanced benefit of the 400 employees who accepted offer</t>
  </si>
  <si>
    <t xml:space="preserve">Full year Service Cost for the remaining employees </t>
  </si>
  <si>
    <t>Assume this is a 2021 event and all contributions and benefit payments are uniformly distributed.</t>
  </si>
  <si>
    <t xml:space="preserve">(7 points)  Calculate the revised 2021 Defined Benefit Cost, including the change to Other Comprehensive Income, under International Accounting Standard IAS 19, rev. 2011 (IAS 19).  
Show all work.
</t>
  </si>
  <si>
    <t>The response to this part is to be provided in the Excel spreadsheet.</t>
  </si>
  <si>
    <t>Half Year</t>
  </si>
  <si>
    <t>* ERW - Early Retirement Window</t>
  </si>
  <si>
    <t>Benefit Payments</t>
  </si>
  <si>
    <t>Employer Contributions</t>
  </si>
  <si>
    <t>(Expected)</t>
  </si>
  <si>
    <t>(Actual)</t>
  </si>
  <si>
    <t>Interest on DBO</t>
  </si>
  <si>
    <t>Interest on SC</t>
  </si>
  <si>
    <t>Interest on BPs</t>
  </si>
  <si>
    <t>DBO at 7/1 at 3.75% (before ERW)</t>
  </si>
  <si>
    <t>DBO at 7/1 at 4.0% reflecting Immediate Decrement</t>
  </si>
  <si>
    <t>Enhanced Benefits impact</t>
  </si>
  <si>
    <t>1/1</t>
  </si>
  <si>
    <t>7/1</t>
  </si>
  <si>
    <t>Determining Defined Benefit Cost for 7/1 - 12/31 - Calculation Details</t>
  </si>
  <si>
    <t>Interest Cost 7/1 - 12/31</t>
  </si>
  <si>
    <t>Interest on funded status</t>
  </si>
  <si>
    <t>Interest on contributions</t>
  </si>
  <si>
    <t>OCI Impact - determined at year-end</t>
  </si>
  <si>
    <t>Prior Service Cost</t>
  </si>
  <si>
    <t>OCI</t>
  </si>
  <si>
    <t>Revised 2021 Defined Benefit Cost, including change to OCI</t>
  </si>
  <si>
    <t>Exam RETDAUC: 2021</t>
  </si>
  <si>
    <t>Design and Accounting Exam – US and Canada</t>
  </si>
  <si>
    <t>Question 10</t>
  </si>
  <si>
    <t>Excerpt from question:</t>
  </si>
  <si>
    <t>Provide answer here for part (c).  Show and label all work.</t>
  </si>
  <si>
    <t>Part (c)</t>
  </si>
  <si>
    <t xml:space="preserve">(c)  </t>
  </si>
  <si>
    <r>
      <t xml:space="preserve">(2 </t>
    </r>
    <r>
      <rPr>
        <i/>
        <sz val="12"/>
        <color theme="1"/>
        <rFont val="Times New Roman"/>
        <family val="1"/>
      </rPr>
      <t>points</t>
    </r>
    <r>
      <rPr>
        <sz val="12"/>
        <color theme="1"/>
        <rFont val="Times New Roman"/>
        <family val="1"/>
      </rPr>
      <t xml:space="preserve">)  Calculate the replacement ratio provided by the pension plan as a percentage of final average earnings at retirement for </t>
    </r>
  </si>
  <si>
    <t>Employee A assuming all service was earned under:</t>
  </si>
  <si>
    <t>You are given the following:</t>
  </si>
  <si>
    <t>(i) Option 1</t>
  </si>
  <si>
    <t>Member A</t>
  </si>
  <si>
    <t>Expected final average pensionable earnings at retirement</t>
  </si>
  <si>
    <t xml:space="preserve">(ii) Option 2
</t>
  </si>
  <si>
    <t>Expected age at retirement</t>
  </si>
  <si>
    <t>Show all work.</t>
  </si>
  <si>
    <t>Marital status</t>
  </si>
  <si>
    <t xml:space="preserve">       Not married</t>
  </si>
  <si>
    <t>Service at retirement</t>
  </si>
  <si>
    <t>years</t>
  </si>
  <si>
    <t>Plan options</t>
  </si>
  <si>
    <t>Pension Accrual</t>
  </si>
  <si>
    <t>Reduction</t>
  </si>
  <si>
    <t>Service</t>
  </si>
  <si>
    <t>Pension</t>
  </si>
  <si>
    <t>Plan provision</t>
  </si>
  <si>
    <t>Option 1</t>
  </si>
  <si>
    <t>Annual lifetime pension</t>
  </si>
  <si>
    <t>of final average pensionable earnings up to</t>
  </si>
  <si>
    <t>Replacement Ratio</t>
  </si>
  <si>
    <t>of final average pensionable earnings above</t>
  </si>
  <si>
    <t xml:space="preserve">  multipled by years of pensionable service</t>
  </si>
  <si>
    <t>Indexation</t>
  </si>
  <si>
    <t>of inflation</t>
  </si>
  <si>
    <t>(i) Option 2</t>
  </si>
  <si>
    <t>per month prior to age</t>
  </si>
  <si>
    <t>Normal form of pension</t>
  </si>
  <si>
    <t>joint survivor pension without reduction if married</t>
  </si>
  <si>
    <t xml:space="preserve">     Single life annuity if not married</t>
  </si>
  <si>
    <t>Option 2</t>
  </si>
  <si>
    <t>of final average pensionable earnings for all earnings
multiplied by years of pensionable service</t>
  </si>
  <si>
    <t>per year</t>
  </si>
  <si>
    <t xml:space="preserve">   Single life annuity for all members</t>
  </si>
  <si>
    <t xml:space="preserve">   Joint survivor pension available on an actuarially equivalent basis</t>
  </si>
  <si>
    <t>Exam RETDAU:  Fall 2021</t>
  </si>
  <si>
    <t>Question 4</t>
  </si>
  <si>
    <t>Company ABC wants to close and freeze their defined benefit (DB) plan.  They want to replace future DB plan accruals with a new defined contribution (DC) plan.  Company ABC has stated the following goals for the new DC plan:</t>
  </si>
  <si>
    <t xml:space="preserve">(a)  </t>
  </si>
  <si>
    <t>(b)</t>
  </si>
  <si>
    <t>Accrued Benefit (AB) Beginning of Year (BOY) Payable at Age 65 = 2% * base  pay * service BOY</t>
  </si>
  <si>
    <t>Assumed Retirement Age is 60</t>
  </si>
  <si>
    <t>AB BOY (Age 50) =</t>
  </si>
  <si>
    <t>Accrued Benefit At Age 60 (Payable at 65) = 2% * base pay * (1 + salary scale) ^ (Retirement Age - Current Age) * (Service at Retirement)</t>
  </si>
  <si>
    <t>Accrued Benefit At Age 60 (Payable at 65) =</t>
  </si>
  <si>
    <t>Accrued Benefit (AB) End of Year (EOY) Payable at Age 65 = 2% * base  pay * (1 + salary scale) * (service BOY + 1)</t>
  </si>
  <si>
    <t xml:space="preserve">You are given the following information:  </t>
  </si>
  <si>
    <t>AB EOY (Age 51) =</t>
  </si>
  <si>
    <t>Lump Sum Benefit Payable at Retirement for Average Participant = Accrued Benefit Payable at Normal Retirement Age * (1 - Early Retirement factor * (Normal Retirement Age - Actual Retirement Age)) * Lump Sum Conversion Factor At Actual Retirement Age</t>
  </si>
  <si>
    <t xml:space="preserve">Lump Sum Benefit Payable at Retirement (Age 60) for Average Participant = </t>
  </si>
  <si>
    <t>Defined Benefit Plan formula</t>
  </si>
  <si>
    <t xml:space="preserve">2% of final year base pay for each year of service </t>
  </si>
  <si>
    <t>Benefit Accrual During Year = AB EOY - AB BOY</t>
  </si>
  <si>
    <t>Benefit Accrual During Year =</t>
  </si>
  <si>
    <t>Assume DB Plan is Frozen at Age 50 - Have 10 years of DC Accruals to make up lost value of Lump Sum</t>
  </si>
  <si>
    <t>Early Retirement</t>
  </si>
  <si>
    <t>Reduced 3% per year for retirement before age 65</t>
  </si>
  <si>
    <t>AB BOY Payable at Early Retirement (Age 60) = AB BOY * (1 - ((Normal Retirement Age - Assumed Retirement Age)* Early Retirement Factor))</t>
  </si>
  <si>
    <t>Lump Sum Value Payable at Retirement under Plan Freeze:</t>
  </si>
  <si>
    <t>Number of active plan participants</t>
  </si>
  <si>
    <t xml:space="preserve">AB BOY Payable at 60 = </t>
  </si>
  <si>
    <t>Accrued Benefit At Age 50 (Payable at 65) = 2% * base pay * (Current Service)</t>
  </si>
  <si>
    <t>Average participant age</t>
  </si>
  <si>
    <t>Accrued Benefit At Age 50 (Payable at 65) =</t>
  </si>
  <si>
    <t>Average participant service</t>
  </si>
  <si>
    <t>AB EOY Payable at Early Retirement (Age 60) = AB EOY * (1 - ((Normal Retirement Age - Assumed Retirement Age)* Early Retirement Factor))</t>
  </si>
  <si>
    <t>Average participant base pay</t>
  </si>
  <si>
    <t xml:space="preserve">AB EOY Payable at 60 = </t>
  </si>
  <si>
    <t>Lump Sum Benefit Payable at Retirement for Average Participant Assuming Plan Freeze at Age 50 = Accrued Benefit Payable at Normal Retirement Age * (1 - Early Retirement factor * (Normal Retirement Age - Actual Retirement Age)) * Lump Sum Conversion Factor At Actual Retirement Age</t>
  </si>
  <si>
    <t xml:space="preserve">Lump Sum Benefit Payable at Retirement (Age 60) for Average Participant Assuming Plan Freeze at Age 50 = </t>
  </si>
  <si>
    <t xml:space="preserve">Company ABC has instructed you to use following assumptions for this analysis:  </t>
  </si>
  <si>
    <t>Benefit Accrual (Payable at 60) = AB EOY Payable at 60 - AB BOY Payable at 60</t>
  </si>
  <si>
    <t xml:space="preserve">Benefit Accrual (Payable at 60) = </t>
  </si>
  <si>
    <t>Lost Lump Sum Value due to Plan Freeze (Payable at Age 60) = Lump Sum Value ongoing DB Plan - Lump Sum Value of Frozen Plan</t>
  </si>
  <si>
    <t>All employees retire at age</t>
  </si>
  <si>
    <t xml:space="preserve">Lost Lump Sum Value due to Plan Freeze (Payable at Age 60) = </t>
  </si>
  <si>
    <t>Future salary increases</t>
  </si>
  <si>
    <t>Benefit Accrual Payable as Lump Sum at Age 60 = Benefit Accrual Payable at 60 * Lump sum Conversion Factor</t>
  </si>
  <si>
    <t>Return on assets for future DC contributions</t>
  </si>
  <si>
    <t xml:space="preserve">Benefit Accrual Payable as Lump Sum at Age 60 = </t>
  </si>
  <si>
    <t>New DC Plan needs to Accumulate $255,000 by Age 60 to make participants whole</t>
  </si>
  <si>
    <t>Required DC Contribution</t>
  </si>
  <si>
    <t>Form of payment at retirement</t>
  </si>
  <si>
    <t>100% lump sum</t>
  </si>
  <si>
    <t>DC Plan contributions made at Beginning of Year and Earn 6% interest</t>
  </si>
  <si>
    <t>Pre-retirement decrements</t>
  </si>
  <si>
    <t>none</t>
  </si>
  <si>
    <t>Service Cost for Average Participant = Present Value of Benefit Accrual = Benefit Accrual Payable at 60 as a Lump Sum / (1 + DR) ^ (Early Retirement Age - Current Age)</t>
  </si>
  <si>
    <t>Lump sum conversion factor at age 60</t>
  </si>
  <si>
    <t xml:space="preserve">Service Cost for Average Participant = </t>
  </si>
  <si>
    <t>Age</t>
  </si>
  <si>
    <t>Base Pay</t>
  </si>
  <si>
    <t>DC Contributions</t>
  </si>
  <si>
    <t>Accumulation with Interest to Retirement (Age 60)</t>
  </si>
  <si>
    <t>Accumulated Value of Contribution</t>
  </si>
  <si>
    <t>Discount Rate</t>
  </si>
  <si>
    <t>Contribution timing</t>
  </si>
  <si>
    <t>beginning of year</t>
  </si>
  <si>
    <t>Service Cost for Plan = Service Cost for Average Participant * Number of Active Participants</t>
  </si>
  <si>
    <t xml:space="preserve">Service Cost for Plan = </t>
  </si>
  <si>
    <t>Service Cost as Percentage of Base Pay for Average Participant = Service Cost for Plan / Number of Participants in the Plan /Average Participant Base Pay</t>
  </si>
  <si>
    <t xml:space="preserve">Service Cost as Percentage of Base Pay for Average Participant = </t>
  </si>
  <si>
    <r>
      <t>(</t>
    </r>
    <r>
      <rPr>
        <i/>
        <sz val="12"/>
        <color theme="1"/>
        <rFont val="Times New Roman"/>
        <family val="1"/>
      </rPr>
      <t>4 points</t>
    </r>
    <r>
      <rPr>
        <sz val="12"/>
        <color theme="1"/>
        <rFont val="Times New Roman"/>
        <family val="1"/>
      </rPr>
      <t>)  Calculate the flat DC contribution as a percentage of base pay for the average participant necessary to restore the lump sum value lost due to the DB plan freeze. 
Show all work.</t>
    </r>
  </si>
  <si>
    <t>Lump Sum Value of DC Plan at Age 60</t>
  </si>
  <si>
    <t>can use goal seek to set value in Cell AG46 to value in cell AE29 by changing AG31</t>
  </si>
  <si>
    <t>The Required level DC Contribution Per Year to Make Participants Whole in the DB Plan is 18.25% Per Year.</t>
  </si>
  <si>
    <t>Question 6</t>
  </si>
  <si>
    <t>Provide answer here for part (b).  Show and label all work.</t>
  </si>
  <si>
    <t>Part (b)</t>
  </si>
  <si>
    <t xml:space="preserve">(b)  </t>
  </si>
  <si>
    <r>
      <t>(6</t>
    </r>
    <r>
      <rPr>
        <i/>
        <sz val="12"/>
        <color theme="1"/>
        <rFont val="Times New Roman"/>
        <family val="1"/>
      </rPr>
      <t xml:space="preserve"> points</t>
    </r>
    <r>
      <rPr>
        <sz val="12"/>
        <color theme="1"/>
        <rFont val="Times New Roman"/>
        <family val="1"/>
      </rPr>
      <t>)  Calculate the balance of the RCA and refundable tax account at the end of Year 4 under each of the following:</t>
    </r>
  </si>
  <si>
    <t>Year</t>
  </si>
  <si>
    <t>Pensionable Earnings</t>
  </si>
  <si>
    <t>Rate of Return (per annum)</t>
  </si>
  <si>
    <t>Contributions to the SERP are 18% of each year's pensionable earnings.</t>
  </si>
  <si>
    <t>The cost of the letter of credit is 1.75% of the notional account value at the end of each year.</t>
  </si>
  <si>
    <t>Assume contributions are made in the middle of the year, all returns are fully realized in the year earned, and</t>
  </si>
  <si>
    <t>(i) Option 1: Funded Retirement Compensation Arrangement (RCA)</t>
  </si>
  <si>
    <t>there are no disbursements from the plan.</t>
  </si>
  <si>
    <t>RCA Balance</t>
  </si>
  <si>
    <t>= Contribution % x pensionable earnings</t>
  </si>
  <si>
    <t>= Contribution / 2</t>
  </si>
  <si>
    <t>= BOY balance x Return + (contributions less transfer to RTA) x Return/2</t>
  </si>
  <si>
    <t>=Return / 2</t>
  </si>
  <si>
    <t>= BOY balance + contributions + return - transfers to RTA</t>
  </si>
  <si>
    <t>Return</t>
  </si>
  <si>
    <t>BOY Balance</t>
  </si>
  <si>
    <t>Contribution</t>
  </si>
  <si>
    <t>Contribution Transfer to RTA</t>
  </si>
  <si>
    <t>Transfer to RTA</t>
  </si>
  <si>
    <t>EOY Balance</t>
  </si>
  <si>
    <t>ANSWER: RCA balance at the end of Year 4 =</t>
  </si>
  <si>
    <t>RTA Balance</t>
  </si>
  <si>
    <t>Transfer from RCA</t>
  </si>
  <si>
    <t>ANSWER: RTA balance at the end of Year 4 =</t>
  </si>
  <si>
    <t>(ii) Option 2: securing the notional account with a letter of credit</t>
  </si>
  <si>
    <t>Notional Account Balance</t>
  </si>
  <si>
    <t>= BOY Balance x Return + Contributions x Return/2</t>
  </si>
  <si>
    <t>= BOY Balance + contributions + return</t>
  </si>
  <si>
    <t>= LOC fee (1.75%) x Notional Acount EOY balance</t>
  </si>
  <si>
    <t>Notional Account BOY Balance</t>
  </si>
  <si>
    <t>Notional Account EOY Balance</t>
  </si>
  <si>
    <t>LOC Fee</t>
  </si>
  <si>
    <t>ANSWER: The RCA balance at the end of Year 4 is $0 because it is a notional account.</t>
  </si>
  <si>
    <r>
      <t>(</t>
    </r>
    <r>
      <rPr>
        <i/>
        <sz val="12"/>
        <color theme="1"/>
        <rFont val="Times New Roman"/>
        <family val="1"/>
      </rPr>
      <t>2 points</t>
    </r>
    <r>
      <rPr>
        <sz val="12"/>
        <color theme="1"/>
        <rFont val="Times New Roman"/>
        <family val="1"/>
      </rPr>
      <t xml:space="preserve">)  Calculate the Service Cost under International Accounting Standard IAS 19, Rev 2011 as a percentage of base pay for the existing DB plan for the average participant.  </t>
    </r>
  </si>
  <si>
    <t>• Provide the same lump sum value at retirement that the DB plan would provide if it was not frozen  
• Provide the same DC contribution for all employees equal to a flat percent of pay over an employee’s career
• Does not increase the accounting cost of annual accruals of the DB plan, as a percentage of base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</si>
</sst>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 #,##0_-;_-* &quot;-&quot;??_-;_-@_-"/>
    <numFmt numFmtId="167" formatCode="_(* #,##0_);_(* \(#,##0\);_(* &quot;-&quot;??_);_(@_)"/>
    <numFmt numFmtId="168" formatCode="_(&quot;$&quot;* #,##0_);_(&quot;$&quot;* \(#,##0\);_(&quot;$&quot;* &quot;-&quot;??_);_(@_)"/>
    <numFmt numFmtId="169" formatCode="&quot;$&quot;#,##0"/>
    <numFmt numFmtId="170" formatCode="0.0"/>
    <numFmt numFmtId="171" formatCode="0.0%"/>
  </numFmts>
  <fonts count="17"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color theme="1"/>
      <name val="Calibri"/>
      <family val="2"/>
      <scheme val="minor"/>
    </font>
    <font>
      <u val="singleAccounting"/>
      <sz val="12"/>
      <color theme="1"/>
      <name val="Times New Roman"/>
      <family val="1"/>
    </font>
    <font>
      <sz val="12"/>
      <color rgb="FF000000"/>
      <name val="Times New Roman"/>
      <family val="1"/>
    </font>
    <font>
      <sz val="12"/>
      <color rgb="FFFF0000"/>
      <name val="Times New Roman"/>
      <family val="1"/>
    </font>
    <font>
      <sz val="12"/>
      <name val="Times New Roman"/>
      <family val="1"/>
    </font>
    <font>
      <b/>
      <sz val="12"/>
      <color rgb="FF000000"/>
      <name val="Times New Roman"/>
      <family val="1"/>
    </font>
    <font>
      <sz val="12"/>
      <color theme="1"/>
      <name val="Calibri"/>
      <family val="2"/>
      <scheme val="minor"/>
    </font>
    <font>
      <sz val="12"/>
      <color rgb="FFFF0000"/>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45">
    <xf numFmtId="0" fontId="0" fillId="0" borderId="0" xfId="0"/>
    <xf numFmtId="0" fontId="1" fillId="0" borderId="0" xfId="0" applyFont="1" applyProtection="1">
      <protection locked="0"/>
    </xf>
    <xf numFmtId="10" fontId="1" fillId="0" borderId="0" xfId="0" applyNumberFormat="1" applyFont="1" applyProtection="1">
      <protection locked="0"/>
    </xf>
    <xf numFmtId="43" fontId="1" fillId="0" borderId="0" xfId="1" applyFont="1" applyProtection="1">
      <protection locked="0"/>
    </xf>
    <xf numFmtId="43" fontId="6" fillId="0" borderId="0" xfId="1" applyFont="1" applyProtection="1">
      <protection locked="0"/>
    </xf>
    <xf numFmtId="43" fontId="1" fillId="0" borderId="0" xfId="0" applyNumberFormat="1" applyFont="1" applyProtection="1">
      <protection locked="0"/>
    </xf>
    <xf numFmtId="0" fontId="1" fillId="0" borderId="0" xfId="0" applyFont="1" applyAlignment="1" applyProtection="1">
      <alignment horizontal="right" wrapText="1"/>
      <protection locked="0"/>
    </xf>
    <xf numFmtId="0" fontId="2" fillId="3" borderId="0" xfId="0" applyFont="1" applyFill="1"/>
    <xf numFmtId="0" fontId="1" fillId="3" borderId="0" xfId="0" applyFont="1" applyFill="1"/>
    <xf numFmtId="0" fontId="1" fillId="2" borderId="0" xfId="0" applyFont="1" applyFill="1"/>
    <xf numFmtId="0" fontId="7" fillId="3" borderId="1" xfId="0" applyFont="1" applyFill="1" applyBorder="1" applyAlignment="1">
      <alignment vertical="center" wrapText="1"/>
    </xf>
    <xf numFmtId="0" fontId="7" fillId="3" borderId="1" xfId="0"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0" fontId="1" fillId="0" borderId="0" xfId="0" applyFont="1"/>
    <xf numFmtId="10" fontId="1" fillId="0" borderId="0" xfId="0" applyNumberFormat="1" applyFont="1"/>
    <xf numFmtId="165" fontId="1" fillId="0" borderId="0" xfId="2" quotePrefix="1" applyNumberFormat="1" applyFont="1"/>
    <xf numFmtId="0" fontId="1" fillId="0" borderId="0" xfId="0" quotePrefix="1" applyFont="1" applyAlignment="1">
      <alignment horizontal="left"/>
    </xf>
    <xf numFmtId="166" fontId="1" fillId="0" borderId="0" xfId="1" applyNumberFormat="1" applyFont="1"/>
    <xf numFmtId="37" fontId="1" fillId="0" borderId="0" xfId="1" applyNumberFormat="1" applyFont="1"/>
    <xf numFmtId="0" fontId="2" fillId="4" borderId="0" xfId="0" applyFont="1" applyFill="1"/>
    <xf numFmtId="0" fontId="3" fillId="0" borderId="0" xfId="0" applyFont="1"/>
    <xf numFmtId="0" fontId="1" fillId="0" borderId="0" xfId="0" applyFont="1" applyAlignment="1">
      <alignment horizontal="center"/>
    </xf>
    <xf numFmtId="37" fontId="3" fillId="0" borderId="0" xfId="1" applyNumberFormat="1" applyFont="1"/>
    <xf numFmtId="166" fontId="1" fillId="0" borderId="0" xfId="1" applyNumberFormat="1" applyFont="1" applyAlignment="1">
      <alignment horizontal="center"/>
    </xf>
    <xf numFmtId="0" fontId="8" fillId="0" borderId="0" xfId="0" applyFont="1" applyProtection="1">
      <protection locked="0"/>
    </xf>
    <xf numFmtId="167" fontId="1" fillId="0" borderId="0" xfId="1" applyNumberFormat="1" applyFont="1" applyProtection="1">
      <protection locked="0"/>
    </xf>
    <xf numFmtId="167" fontId="1" fillId="0" borderId="0" xfId="1" applyNumberFormat="1" applyFont="1"/>
    <xf numFmtId="167" fontId="2" fillId="4" borderId="0" xfId="1" applyNumberFormat="1" applyFont="1" applyFill="1"/>
    <xf numFmtId="167" fontId="1" fillId="0" borderId="0" xfId="1" applyNumberFormat="1" applyFont="1" applyFill="1"/>
    <xf numFmtId="165" fontId="9" fillId="0" borderId="0" xfId="2" applyNumberFormat="1" applyFont="1" applyFill="1"/>
    <xf numFmtId="0" fontId="4" fillId="3" borderId="0" xfId="0" applyFont="1" applyFill="1"/>
    <xf numFmtId="6" fontId="7" fillId="3" borderId="1" xfId="0" applyNumberFormat="1" applyFont="1" applyFill="1" applyBorder="1" applyAlignment="1">
      <alignment horizontal="right" vertical="center" wrapText="1"/>
    </xf>
    <xf numFmtId="0" fontId="7" fillId="3" borderId="0" xfId="0" applyFont="1" applyFill="1" applyAlignment="1">
      <alignment vertical="center" wrapText="1"/>
    </xf>
    <xf numFmtId="6" fontId="7" fillId="3" borderId="0" xfId="0" applyNumberFormat="1" applyFont="1" applyFill="1" applyAlignment="1">
      <alignment horizontal="right" vertical="center" wrapText="1"/>
    </xf>
    <xf numFmtId="0" fontId="1" fillId="3" borderId="0" xfId="0" applyFont="1" applyFill="1" applyAlignment="1">
      <alignment wrapText="1"/>
    </xf>
    <xf numFmtId="5" fontId="1" fillId="3" borderId="0" xfId="2" applyNumberFormat="1" applyFont="1" applyFill="1" applyBorder="1" applyAlignment="1">
      <alignment horizontal="center"/>
    </xf>
    <xf numFmtId="0" fontId="1" fillId="3" borderId="0" xfId="0" applyFont="1" applyFill="1" applyAlignment="1">
      <alignment horizontal="left" vertical="top" wrapText="1"/>
    </xf>
    <xf numFmtId="0" fontId="4" fillId="3" borderId="0" xfId="0" applyFont="1" applyFill="1" applyAlignment="1">
      <alignment horizontal="left" vertical="top"/>
    </xf>
    <xf numFmtId="0" fontId="11" fillId="0" borderId="0" xfId="0" applyFont="1" applyProtection="1">
      <protection locked="0"/>
    </xf>
    <xf numFmtId="167" fontId="11" fillId="0" borderId="0" xfId="1" applyNumberFormat="1" applyFont="1" applyProtection="1">
      <protection locked="0"/>
    </xf>
    <xf numFmtId="16" fontId="11" fillId="0" borderId="0" xfId="0" applyNumberFormat="1" applyFont="1" applyAlignment="1" applyProtection="1">
      <alignment wrapText="1"/>
      <protection locked="0"/>
    </xf>
    <xf numFmtId="168" fontId="11" fillId="0" borderId="0" xfId="0" applyNumberFormat="1" applyFont="1" applyProtection="1">
      <protection locked="0"/>
    </xf>
    <xf numFmtId="168" fontId="11" fillId="0" borderId="0" xfId="2" applyNumberFormat="1" applyFont="1" applyProtection="1">
      <protection locked="0"/>
    </xf>
    <xf numFmtId="10" fontId="11" fillId="0" borderId="0" xfId="3" applyNumberFormat="1" applyFont="1" applyProtection="1">
      <protection locked="0"/>
    </xf>
    <xf numFmtId="167" fontId="11" fillId="0" borderId="0" xfId="0" applyNumberFormat="1" applyFont="1" applyProtection="1">
      <protection locked="0"/>
    </xf>
    <xf numFmtId="0" fontId="12" fillId="0" borderId="0" xfId="0" applyFont="1" applyProtection="1">
      <protection locked="0"/>
    </xf>
    <xf numFmtId="0" fontId="1" fillId="0" borderId="0" xfId="0" applyFont="1" applyAlignment="1">
      <alignment horizontal="left" vertical="center"/>
    </xf>
    <xf numFmtId="0" fontId="8" fillId="0" borderId="0" xfId="0" quotePrefix="1" applyFont="1" applyProtection="1">
      <protection locked="0"/>
    </xf>
    <xf numFmtId="0" fontId="1" fillId="0" borderId="0" xfId="0" quotePrefix="1" applyFont="1" applyProtection="1">
      <protection locked="0"/>
    </xf>
    <xf numFmtId="167" fontId="9" fillId="0" borderId="0" xfId="1" applyNumberFormat="1" applyFont="1"/>
    <xf numFmtId="0" fontId="1" fillId="0" borderId="0" xfId="0" applyFont="1" applyAlignment="1" applyProtection="1">
      <alignment horizontal="center"/>
      <protection locked="0"/>
    </xf>
    <xf numFmtId="0" fontId="1" fillId="0" borderId="0" xfId="0" quotePrefix="1" applyFont="1" applyAlignment="1">
      <alignment horizontal="center"/>
    </xf>
    <xf numFmtId="0" fontId="2" fillId="0" borderId="0" xfId="0" applyFont="1"/>
    <xf numFmtId="167" fontId="1" fillId="0" borderId="2" xfId="1" applyNumberFormat="1" applyFont="1" applyBorder="1" applyProtection="1">
      <protection locked="0"/>
    </xf>
    <xf numFmtId="167" fontId="1" fillId="0" borderId="0" xfId="1" applyNumberFormat="1" applyFont="1" applyAlignment="1"/>
    <xf numFmtId="167" fontId="1" fillId="0" borderId="2" xfId="1" applyNumberFormat="1" applyFont="1" applyBorder="1" applyAlignment="1"/>
    <xf numFmtId="167" fontId="1" fillId="0" borderId="0" xfId="1" applyNumberFormat="1" applyFont="1" applyBorder="1"/>
    <xf numFmtId="167" fontId="9" fillId="0" borderId="0" xfId="1" applyNumberFormat="1" applyFont="1" applyBorder="1"/>
    <xf numFmtId="167" fontId="11" fillId="0" borderId="2" xfId="1" applyNumberFormat="1" applyFont="1" applyBorder="1" applyProtection="1">
      <protection locked="0"/>
    </xf>
    <xf numFmtId="167" fontId="9" fillId="0" borderId="2" xfId="1" applyNumberFormat="1" applyFont="1" applyBorder="1"/>
    <xf numFmtId="0" fontId="1" fillId="3" borderId="0" xfId="0" applyFont="1" applyFill="1" applyAlignment="1">
      <alignment horizontal="left" vertical="top" wrapText="1"/>
    </xf>
    <xf numFmtId="0" fontId="1" fillId="3" borderId="0" xfId="0" applyFont="1" applyFill="1" applyAlignment="1">
      <alignment horizontal="left" vertical="top" wrapText="1"/>
    </xf>
    <xf numFmtId="0" fontId="1" fillId="2" borderId="0" xfId="0" applyFont="1" applyFill="1" applyProtection="1">
      <protection locked="0"/>
    </xf>
    <xf numFmtId="0" fontId="3" fillId="3" borderId="0" xfId="0" applyFont="1" applyFill="1"/>
    <xf numFmtId="0" fontId="1" fillId="3" borderId="0" xfId="0" applyFont="1" applyFill="1" applyAlignment="1">
      <alignment horizontal="left" vertical="center"/>
    </xf>
    <xf numFmtId="0" fontId="1" fillId="3" borderId="0" xfId="0" applyFont="1" applyFill="1" applyAlignment="1">
      <alignment horizontal="left" indent="3"/>
    </xf>
    <xf numFmtId="10" fontId="1" fillId="3" borderId="0" xfId="0" applyNumberFormat="1" applyFont="1" applyFill="1"/>
    <xf numFmtId="0" fontId="1" fillId="3" borderId="0" xfId="0" applyFont="1" applyFill="1" applyAlignment="1">
      <alignment vertical="top" wrapText="1"/>
    </xf>
    <xf numFmtId="0" fontId="1" fillId="3" borderId="0" xfId="0" applyFont="1" applyFill="1" applyAlignment="1">
      <alignment horizontal="left" vertical="center" indent="10"/>
    </xf>
    <xf numFmtId="0" fontId="1" fillId="3" borderId="1" xfId="0" applyFont="1" applyFill="1" applyBorder="1" applyAlignment="1">
      <alignment vertical="center" wrapText="1"/>
    </xf>
    <xf numFmtId="9" fontId="1" fillId="3" borderId="0" xfId="0" applyNumberFormat="1" applyFont="1" applyFill="1"/>
    <xf numFmtId="0" fontId="1" fillId="3" borderId="0" xfId="0" applyFont="1" applyFill="1" applyAlignment="1">
      <alignment horizontal="left" vertical="center" indent="3"/>
    </xf>
    <xf numFmtId="0" fontId="1" fillId="3" borderId="3" xfId="0" applyFont="1" applyFill="1" applyBorder="1" applyAlignment="1">
      <alignment vertical="center" wrapText="1"/>
    </xf>
    <xf numFmtId="167" fontId="1" fillId="3" borderId="3" xfId="1" applyNumberFormat="1" applyFont="1" applyFill="1" applyBorder="1" applyAlignment="1" applyProtection="1">
      <alignment vertical="center" wrapText="1"/>
    </xf>
    <xf numFmtId="0" fontId="1" fillId="3" borderId="4" xfId="0" applyFont="1" applyFill="1" applyBorder="1" applyAlignment="1">
      <alignment vertical="center" wrapText="1"/>
    </xf>
    <xf numFmtId="10" fontId="1" fillId="3" borderId="5" xfId="0" applyNumberFormat="1" applyFont="1" applyFill="1" applyBorder="1" applyAlignment="1">
      <alignment vertical="center" wrapText="1"/>
    </xf>
    <xf numFmtId="0" fontId="1" fillId="3" borderId="0" xfId="0" applyFont="1" applyFill="1" applyAlignment="1">
      <alignment vertical="center" wrapText="1"/>
    </xf>
    <xf numFmtId="10" fontId="1" fillId="3" borderId="0" xfId="0" applyNumberFormat="1" applyFont="1" applyFill="1" applyAlignment="1">
      <alignment vertical="center" wrapText="1"/>
    </xf>
    <xf numFmtId="0" fontId="1" fillId="3" borderId="0" xfId="0" applyFont="1" applyFill="1" applyAlignment="1">
      <alignment horizontal="left"/>
    </xf>
    <xf numFmtId="0" fontId="1" fillId="3" borderId="0" xfId="0" applyFont="1" applyFill="1" applyAlignment="1">
      <alignment horizontal="left" vertical="top"/>
    </xf>
    <xf numFmtId="0" fontId="2" fillId="3" borderId="0" xfId="0" applyFont="1" applyFill="1" applyAlignment="1">
      <alignment horizontal="left" vertical="top"/>
    </xf>
    <xf numFmtId="0" fontId="1" fillId="3" borderId="0" xfId="0" applyFont="1" applyFill="1" applyAlignment="1">
      <alignment horizontal="right"/>
    </xf>
    <xf numFmtId="0" fontId="1" fillId="3" borderId="0" xfId="0" applyFont="1" applyFill="1" applyProtection="1">
      <protection locked="0"/>
    </xf>
    <xf numFmtId="0" fontId="2" fillId="3" borderId="0" xfId="0" applyFont="1" applyFill="1" applyAlignment="1">
      <alignment horizontal="left"/>
    </xf>
    <xf numFmtId="0" fontId="1" fillId="3" borderId="0" xfId="0" applyFont="1" applyFill="1" applyAlignment="1" applyProtection="1">
      <alignment horizontal="right"/>
      <protection locked="0"/>
    </xf>
    <xf numFmtId="0" fontId="2" fillId="3" borderId="0" xfId="0" applyFont="1" applyFill="1" applyAlignment="1">
      <alignment horizontal="left" indent="3"/>
    </xf>
    <xf numFmtId="44" fontId="1" fillId="3" borderId="0" xfId="4" applyFont="1" applyFill="1" applyProtection="1">
      <protection locked="0"/>
    </xf>
    <xf numFmtId="9" fontId="1" fillId="3" borderId="0" xfId="0" applyNumberFormat="1" applyFont="1" applyFill="1" applyProtection="1">
      <protection locked="0"/>
    </xf>
    <xf numFmtId="167" fontId="1" fillId="3" borderId="0" xfId="0" applyNumberFormat="1" applyFont="1" applyFill="1" applyProtection="1">
      <protection locked="0"/>
    </xf>
    <xf numFmtId="0" fontId="2" fillId="3" borderId="1" xfId="0" applyFont="1" applyFill="1" applyBorder="1" applyAlignment="1">
      <alignment vertical="center" wrapText="1"/>
    </xf>
    <xf numFmtId="10" fontId="1" fillId="3" borderId="8" xfId="0" applyNumberFormat="1" applyFont="1" applyFill="1" applyBorder="1" applyAlignment="1">
      <alignment vertical="center" wrapText="1"/>
    </xf>
    <xf numFmtId="168" fontId="1" fillId="3" borderId="9" xfId="4" applyNumberFormat="1" applyFont="1" applyFill="1" applyBorder="1" applyAlignment="1" applyProtection="1">
      <alignment vertical="center" wrapText="1"/>
    </xf>
    <xf numFmtId="0" fontId="1" fillId="3" borderId="10" xfId="0" applyFont="1" applyFill="1" applyBorder="1"/>
    <xf numFmtId="10" fontId="1" fillId="3" borderId="0" xfId="3" applyNumberFormat="1" applyFont="1" applyFill="1" applyProtection="1">
      <protection locked="0"/>
    </xf>
    <xf numFmtId="0" fontId="0" fillId="0" borderId="0" xfId="0"/>
    <xf numFmtId="168" fontId="1" fillId="3" borderId="0" xfId="4" applyNumberFormat="1" applyFont="1" applyFill="1" applyBorder="1" applyAlignment="1" applyProtection="1">
      <alignment vertical="center" wrapText="1"/>
    </xf>
    <xf numFmtId="0" fontId="1" fillId="3" borderId="12" xfId="0" applyFont="1" applyFill="1" applyBorder="1"/>
    <xf numFmtId="0" fontId="2" fillId="3" borderId="0" xfId="0" applyFont="1" applyFill="1" applyAlignment="1" applyProtection="1">
      <alignment horizontal="left" vertical="center"/>
      <protection locked="0"/>
    </xf>
    <xf numFmtId="0" fontId="0" fillId="3" borderId="0" xfId="0" quotePrefix="1" applyFill="1" applyAlignment="1">
      <alignment wrapText="1"/>
    </xf>
    <xf numFmtId="10" fontId="1" fillId="3" borderId="14" xfId="0" applyNumberFormat="1" applyFont="1" applyFill="1" applyBorder="1" applyAlignment="1">
      <alignment vertical="center"/>
    </xf>
    <xf numFmtId="0" fontId="1" fillId="3" borderId="2" xfId="0" applyFont="1" applyFill="1" applyBorder="1" applyAlignment="1">
      <alignment vertical="center" wrapText="1"/>
    </xf>
    <xf numFmtId="0" fontId="0" fillId="3" borderId="2" xfId="0" applyFill="1" applyBorder="1"/>
    <xf numFmtId="168" fontId="1" fillId="3" borderId="2" xfId="4" applyNumberFormat="1" applyFont="1" applyFill="1" applyBorder="1" applyAlignment="1" applyProtection="1">
      <alignment vertical="center" wrapText="1"/>
    </xf>
    <xf numFmtId="0" fontId="1" fillId="3" borderId="15" xfId="0" applyFont="1" applyFill="1" applyBorder="1"/>
    <xf numFmtId="0" fontId="0" fillId="3" borderId="0" xfId="0" applyFill="1"/>
    <xf numFmtId="0" fontId="0" fillId="3" borderId="0" xfId="0" applyFill="1" applyAlignment="1">
      <alignment wrapText="1"/>
    </xf>
    <xf numFmtId="0" fontId="0" fillId="3" borderId="0" xfId="0" applyFill="1" applyAlignment="1">
      <alignment horizontal="center" wrapText="1"/>
    </xf>
    <xf numFmtId="9" fontId="1" fillId="3" borderId="3" xfId="0" applyNumberFormat="1" applyFont="1" applyFill="1" applyBorder="1" applyAlignment="1">
      <alignment horizontal="right" vertical="center" wrapText="1"/>
    </xf>
    <xf numFmtId="0" fontId="1" fillId="3" borderId="6" xfId="0" applyFont="1" applyFill="1" applyBorder="1"/>
    <xf numFmtId="9" fontId="1" fillId="3" borderId="6" xfId="0" applyNumberFormat="1" applyFont="1" applyFill="1" applyBorder="1" applyAlignment="1">
      <alignment horizontal="center"/>
    </xf>
    <xf numFmtId="0" fontId="1" fillId="3" borderId="4" xfId="0" applyFont="1" applyFill="1" applyBorder="1"/>
    <xf numFmtId="10" fontId="1" fillId="3" borderId="3" xfId="3" applyNumberFormat="1" applyFont="1" applyFill="1" applyBorder="1" applyAlignment="1" applyProtection="1">
      <alignment vertical="center" wrapText="1"/>
    </xf>
    <xf numFmtId="0" fontId="1" fillId="3" borderId="6" xfId="0" applyFont="1" applyFill="1" applyBorder="1" applyAlignment="1">
      <alignment horizontal="left"/>
    </xf>
    <xf numFmtId="0" fontId="1" fillId="3" borderId="6" xfId="0" applyFont="1" applyFill="1" applyBorder="1" applyAlignment="1">
      <alignment horizontal="left" indent="3"/>
    </xf>
    <xf numFmtId="0" fontId="1" fillId="3" borderId="4" xfId="0" applyFont="1" applyFill="1" applyBorder="1" applyAlignment="1">
      <alignment horizontal="left" indent="3"/>
    </xf>
    <xf numFmtId="44" fontId="0" fillId="3" borderId="0" xfId="0" applyNumberFormat="1" applyFill="1"/>
    <xf numFmtId="44" fontId="0" fillId="3" borderId="0" xfId="4" applyFont="1" applyFill="1"/>
    <xf numFmtId="9" fontId="1" fillId="3" borderId="8" xfId="0" applyNumberFormat="1" applyFont="1" applyFill="1" applyBorder="1" applyAlignment="1">
      <alignment horizontal="right" vertical="center" wrapText="1"/>
    </xf>
    <xf numFmtId="0" fontId="1" fillId="3" borderId="9" xfId="0" applyFont="1" applyFill="1" applyBorder="1" applyAlignment="1">
      <alignment horizontal="left"/>
    </xf>
    <xf numFmtId="9" fontId="1" fillId="3" borderId="9" xfId="0" applyNumberFormat="1" applyFont="1" applyFill="1" applyBorder="1" applyAlignment="1">
      <alignment horizontal="center"/>
    </xf>
    <xf numFmtId="0" fontId="1" fillId="3" borderId="9" xfId="0" applyFont="1" applyFill="1" applyBorder="1" applyAlignment="1">
      <alignment horizontal="left" indent="3"/>
    </xf>
    <xf numFmtId="0" fontId="1" fillId="3" borderId="10" xfId="0" applyFont="1" applyFill="1" applyBorder="1" applyAlignment="1">
      <alignment horizontal="left" indent="3"/>
    </xf>
    <xf numFmtId="0" fontId="1" fillId="3" borderId="14" xfId="0" applyFont="1" applyFill="1" applyBorder="1"/>
    <xf numFmtId="0" fontId="1" fillId="3" borderId="2" xfId="0" applyFont="1" applyFill="1" applyBorder="1"/>
    <xf numFmtId="0" fontId="2" fillId="3" borderId="0" xfId="0" applyFont="1" applyFill="1" applyAlignment="1" applyProtection="1">
      <alignment horizontal="left" vertical="center" indent="4"/>
      <protection locked="0"/>
    </xf>
    <xf numFmtId="169" fontId="1" fillId="3" borderId="0" xfId="0" applyNumberFormat="1" applyFont="1" applyFill="1" applyProtection="1">
      <protection locked="0"/>
    </xf>
    <xf numFmtId="10" fontId="1" fillId="3" borderId="0" xfId="0" applyNumberFormat="1" applyFont="1" applyFill="1" applyProtection="1">
      <protection locked="0"/>
    </xf>
    <xf numFmtId="43" fontId="1" fillId="3" borderId="0" xfId="1" applyFont="1" applyFill="1" applyProtection="1">
      <protection locked="0"/>
    </xf>
    <xf numFmtId="10" fontId="1" fillId="3" borderId="3" xfId="0" applyNumberFormat="1" applyFont="1" applyFill="1" applyBorder="1" applyAlignment="1">
      <alignment horizontal="right" vertical="center" wrapText="1"/>
    </xf>
    <xf numFmtId="10" fontId="1" fillId="3" borderId="6" xfId="0" applyNumberFormat="1" applyFont="1" applyFill="1" applyBorder="1" applyAlignment="1">
      <alignment horizontal="center"/>
    </xf>
    <xf numFmtId="0" fontId="1" fillId="3" borderId="8" xfId="0" applyFont="1" applyFill="1" applyBorder="1" applyAlignment="1">
      <alignment horizontal="left"/>
    </xf>
    <xf numFmtId="43" fontId="6" fillId="3" borderId="0" xfId="1" applyFont="1" applyFill="1" applyProtection="1">
      <protection locked="0"/>
    </xf>
    <xf numFmtId="0" fontId="0" fillId="3" borderId="0" xfId="0" quotePrefix="1" applyFill="1"/>
    <xf numFmtId="0" fontId="1" fillId="3" borderId="0" xfId="0" quotePrefix="1" applyFont="1" applyFill="1" applyProtection="1">
      <protection locked="0"/>
    </xf>
    <xf numFmtId="0" fontId="1" fillId="3" borderId="0" xfId="0" applyFont="1" applyFill="1" applyAlignment="1" applyProtection="1">
      <alignment horizontal="right" wrapText="1"/>
      <protection locked="0"/>
    </xf>
    <xf numFmtId="0" fontId="1" fillId="3" borderId="0" xfId="0" quotePrefix="1" applyFont="1" applyFill="1" applyAlignment="1" applyProtection="1">
      <alignment wrapText="1"/>
      <protection locked="0"/>
    </xf>
    <xf numFmtId="168" fontId="0" fillId="3" borderId="0" xfId="4" applyNumberFormat="1" applyFont="1" applyFill="1"/>
    <xf numFmtId="9" fontId="0" fillId="3" borderId="0" xfId="0" applyNumberFormat="1" applyFill="1"/>
    <xf numFmtId="44" fontId="1" fillId="3" borderId="0" xfId="0" applyNumberFormat="1" applyFont="1" applyFill="1" applyProtection="1">
      <protection locked="0"/>
    </xf>
    <xf numFmtId="43" fontId="1" fillId="3" borderId="0" xfId="0" applyNumberFormat="1" applyFont="1" applyFill="1" applyProtection="1">
      <protection locked="0"/>
    </xf>
    <xf numFmtId="0" fontId="1" fillId="3" borderId="0" xfId="0" applyFont="1" applyFill="1" applyAlignment="1">
      <alignment horizontal="left" vertical="top" wrapText="1"/>
    </xf>
    <xf numFmtId="0" fontId="1" fillId="3" borderId="0" xfId="0" applyFont="1" applyFill="1" applyAlignment="1">
      <alignment vertical="center" wrapText="1"/>
    </xf>
    <xf numFmtId="0" fontId="0" fillId="0" borderId="0" xfId="0" applyProtection="1">
      <protection locked="0"/>
    </xf>
    <xf numFmtId="0" fontId="15" fillId="0" borderId="0" xfId="0" applyFont="1" applyProtection="1">
      <protection locked="0"/>
    </xf>
    <xf numFmtId="167" fontId="0" fillId="0" borderId="0" xfId="1" applyNumberFormat="1" applyFont="1" applyProtection="1">
      <protection locked="0"/>
    </xf>
    <xf numFmtId="0" fontId="13" fillId="0" borderId="0" xfId="0" applyFont="1" applyProtection="1">
      <protection locked="0"/>
    </xf>
    <xf numFmtId="167" fontId="0" fillId="0" borderId="0" xfId="0" applyNumberFormat="1" applyProtection="1">
      <protection locked="0"/>
    </xf>
    <xf numFmtId="0" fontId="1" fillId="3" borderId="1" xfId="0" applyFont="1" applyFill="1" applyBorder="1"/>
    <xf numFmtId="168" fontId="0" fillId="0" borderId="0" xfId="4" applyNumberFormat="1" applyFont="1" applyProtection="1">
      <protection locked="0"/>
    </xf>
    <xf numFmtId="168" fontId="0" fillId="0" borderId="0" xfId="0" applyNumberFormat="1" applyProtection="1">
      <protection locked="0"/>
    </xf>
    <xf numFmtId="0" fontId="14" fillId="0" borderId="16" xfId="0" applyFont="1" applyBorder="1" applyProtection="1">
      <protection locked="0"/>
    </xf>
    <xf numFmtId="10" fontId="14" fillId="0" borderId="17" xfId="0" applyNumberFormat="1" applyFont="1" applyBorder="1" applyProtection="1">
      <protection locked="0"/>
    </xf>
    <xf numFmtId="0" fontId="15" fillId="0" borderId="0" xfId="0" applyFont="1" applyAlignment="1" applyProtection="1">
      <alignment horizontal="center"/>
      <protection locked="0"/>
    </xf>
    <xf numFmtId="0" fontId="0" fillId="0" borderId="0" xfId="0" applyAlignment="1" applyProtection="1">
      <alignment horizontal="center" wrapText="1"/>
      <protection locked="0"/>
    </xf>
    <xf numFmtId="0" fontId="1" fillId="3" borderId="1" xfId="0" applyFont="1" applyFill="1" applyBorder="1" applyAlignment="1">
      <alignment horizontal="left"/>
    </xf>
    <xf numFmtId="167" fontId="15" fillId="0" borderId="0" xfId="1" applyNumberFormat="1" applyFont="1" applyProtection="1">
      <protection locked="0"/>
    </xf>
    <xf numFmtId="43" fontId="0" fillId="0" borderId="0" xfId="1" applyFont="1" applyProtection="1">
      <protection locked="0"/>
    </xf>
    <xf numFmtId="0" fontId="1" fillId="3" borderId="0" xfId="0" applyFont="1" applyFill="1" applyAlignment="1">
      <alignment horizontal="center"/>
    </xf>
    <xf numFmtId="0" fontId="14" fillId="0" borderId="18" xfId="0" applyFont="1" applyBorder="1" applyProtection="1">
      <protection locked="0"/>
    </xf>
    <xf numFmtId="0" fontId="14" fillId="0" borderId="19" xfId="0" applyFont="1" applyBorder="1" applyProtection="1">
      <protection locked="0"/>
    </xf>
    <xf numFmtId="167" fontId="14" fillId="0" borderId="19" xfId="0" applyNumberFormat="1" applyFont="1" applyBorder="1" applyProtection="1">
      <protection locked="0"/>
    </xf>
    <xf numFmtId="0" fontId="14" fillId="0" borderId="20" xfId="0" applyFont="1" applyBorder="1" applyProtection="1">
      <protection locked="0"/>
    </xf>
    <xf numFmtId="0" fontId="14" fillId="0" borderId="21" xfId="0" applyFont="1" applyBorder="1" applyProtection="1">
      <protection locked="0"/>
    </xf>
    <xf numFmtId="0" fontId="14" fillId="0" borderId="22" xfId="0" applyFont="1" applyBorder="1" applyProtection="1">
      <protection locked="0"/>
    </xf>
    <xf numFmtId="167" fontId="14" fillId="0" borderId="22" xfId="0" applyNumberFormat="1" applyFont="1" applyBorder="1" applyProtection="1">
      <protection locked="0"/>
    </xf>
    <xf numFmtId="10" fontId="14" fillId="0" borderId="22" xfId="3" applyNumberFormat="1" applyFont="1" applyBorder="1" applyProtection="1">
      <protection locked="0"/>
    </xf>
    <xf numFmtId="0" fontId="14" fillId="0" borderId="23" xfId="0" applyFont="1" applyBorder="1" applyProtection="1">
      <protection locked="0"/>
    </xf>
    <xf numFmtId="0" fontId="16" fillId="0" borderId="16" xfId="0" applyFont="1" applyBorder="1" applyProtection="1">
      <protection locked="0"/>
    </xf>
    <xf numFmtId="0" fontId="16" fillId="0" borderId="24" xfId="0" applyFont="1" applyBorder="1" applyProtection="1">
      <protection locked="0"/>
    </xf>
    <xf numFmtId="0" fontId="14" fillId="0" borderId="17" xfId="0" applyFont="1" applyBorder="1" applyProtection="1">
      <protection locked="0"/>
    </xf>
    <xf numFmtId="14" fontId="0" fillId="0" borderId="0" xfId="0" applyNumberFormat="1" applyProtection="1">
      <protection locked="0"/>
    </xf>
    <xf numFmtId="13" fontId="0" fillId="0" borderId="0" xfId="1" applyNumberFormat="1" applyFont="1" applyProtection="1">
      <protection locked="0"/>
    </xf>
    <xf numFmtId="44" fontId="0" fillId="0" borderId="0" xfId="4"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3" applyNumberFormat="1" applyFont="1" applyProtection="1">
      <protection locked="0"/>
    </xf>
    <xf numFmtId="13" fontId="0" fillId="0" borderId="0" xfId="1"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12" xfId="0" applyNumberFormat="1" applyBorder="1" applyProtection="1">
      <protection locked="0"/>
    </xf>
    <xf numFmtId="0" fontId="0" fillId="0" borderId="2" xfId="0" applyBorder="1" applyProtection="1">
      <protection locked="0"/>
    </xf>
    <xf numFmtId="167" fontId="0" fillId="0" borderId="15" xfId="0" applyNumberFormat="1" applyBorder="1" applyProtection="1">
      <protection locked="0"/>
    </xf>
    <xf numFmtId="0" fontId="1" fillId="3" borderId="1" xfId="0" applyFont="1" applyFill="1" applyBorder="1" applyAlignment="1">
      <alignment horizontal="center" vertical="center" wrapText="1"/>
    </xf>
    <xf numFmtId="169" fontId="1" fillId="3" borderId="1" xfId="0" applyNumberFormat="1" applyFont="1" applyFill="1" applyBorder="1" applyAlignment="1">
      <alignment horizontal="center" vertical="center" wrapText="1"/>
    </xf>
    <xf numFmtId="169" fontId="1" fillId="3" borderId="0" xfId="0" applyNumberFormat="1" applyFont="1" applyFill="1" applyAlignment="1">
      <alignment vertical="center" wrapText="1"/>
    </xf>
    <xf numFmtId="171" fontId="1" fillId="3" borderId="1" xfId="0" applyNumberFormat="1"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0" xfId="0" applyFont="1" applyProtection="1">
      <protection locked="0"/>
    </xf>
    <xf numFmtId="0" fontId="1" fillId="0" borderId="0" xfId="0" quotePrefix="1" applyFont="1" applyAlignment="1" applyProtection="1">
      <alignment wrapText="1"/>
      <protection locked="0"/>
    </xf>
    <xf numFmtId="0" fontId="1" fillId="0" borderId="0" xfId="0" applyFont="1" applyAlignment="1" applyProtection="1">
      <alignment wrapText="1"/>
      <protection locked="0"/>
    </xf>
    <xf numFmtId="37" fontId="1" fillId="0" borderId="0" xfId="0" applyNumberFormat="1" applyFont="1" applyProtection="1">
      <protection locked="0"/>
    </xf>
    <xf numFmtId="171" fontId="1" fillId="0" borderId="0" xfId="0" applyNumberFormat="1" applyFont="1" applyProtection="1">
      <protection locked="0"/>
    </xf>
    <xf numFmtId="37" fontId="1" fillId="0" borderId="0" xfId="1" applyNumberFormat="1" applyFont="1" applyProtection="1">
      <protection locked="0"/>
    </xf>
    <xf numFmtId="0" fontId="2" fillId="0" borderId="0" xfId="0" applyFont="1" applyAlignment="1" applyProtection="1">
      <alignment horizontal="left" vertical="center" indent="4"/>
      <protection locked="0"/>
    </xf>
    <xf numFmtId="169" fontId="1" fillId="0" borderId="0" xfId="0" applyNumberFormat="1" applyFont="1" applyProtection="1">
      <protection locked="0"/>
    </xf>
    <xf numFmtId="0" fontId="1" fillId="0" borderId="0" xfId="0" applyFont="1" applyAlignment="1" applyProtection="1">
      <alignment horizontal="right"/>
      <protection locked="0"/>
    </xf>
    <xf numFmtId="37" fontId="1" fillId="0" borderId="0" xfId="0" applyNumberFormat="1" applyFont="1" applyAlignment="1" applyProtection="1">
      <alignment horizontal="right"/>
      <protection locked="0"/>
    </xf>
    <xf numFmtId="5" fontId="1" fillId="3" borderId="1" xfId="4" applyNumberFormat="1" applyFont="1" applyFill="1" applyBorder="1" applyAlignment="1">
      <alignment horizontal="center"/>
    </xf>
    <xf numFmtId="0" fontId="1" fillId="3" borderId="0" xfId="0" applyFont="1" applyFill="1" applyAlignment="1">
      <alignment wrapText="1"/>
    </xf>
    <xf numFmtId="0" fontId="1" fillId="3" borderId="0" xfId="0" applyFont="1" applyFill="1" applyAlignment="1">
      <alignment horizontal="left" vertical="top" wrapText="1"/>
    </xf>
    <xf numFmtId="0" fontId="1" fillId="3" borderId="7" xfId="0" applyFont="1" applyFill="1" applyBorder="1"/>
    <xf numFmtId="0" fontId="1" fillId="3" borderId="13" xfId="0" applyFont="1" applyFill="1" applyBorder="1"/>
    <xf numFmtId="0" fontId="1" fillId="3" borderId="8" xfId="0" applyFont="1" applyFill="1" applyBorder="1" applyAlignment="1">
      <alignment horizontal="center" wrapText="1"/>
    </xf>
    <xf numFmtId="0" fontId="1" fillId="3" borderId="10" xfId="0" applyFont="1" applyFill="1" applyBorder="1" applyAlignment="1">
      <alignment horizontal="center" wrapText="1"/>
    </xf>
    <xf numFmtId="0" fontId="1" fillId="3" borderId="14" xfId="0" applyFont="1" applyFill="1" applyBorder="1" applyAlignment="1">
      <alignment horizontal="center" wrapText="1"/>
    </xf>
    <xf numFmtId="0" fontId="1" fillId="3" borderId="15" xfId="0" applyFont="1" applyFill="1" applyBorder="1" applyAlignment="1">
      <alignment horizontal="center" wrapText="1"/>
    </xf>
    <xf numFmtId="0" fontId="1" fillId="3" borderId="1" xfId="0" applyFont="1" applyFill="1" applyBorder="1" applyAlignment="1">
      <alignment horizontal="center"/>
    </xf>
    <xf numFmtId="10" fontId="1" fillId="3" borderId="3" xfId="0" applyNumberFormat="1" applyFont="1" applyFill="1" applyBorder="1" applyAlignment="1">
      <alignment horizontal="center"/>
    </xf>
    <xf numFmtId="0" fontId="1" fillId="3" borderId="4" xfId="0" applyFont="1" applyFill="1" applyBorder="1" applyAlignment="1">
      <alignment horizontal="center"/>
    </xf>
    <xf numFmtId="0" fontId="1" fillId="3" borderId="0" xfId="0" applyFont="1" applyFill="1" applyAlignment="1">
      <alignment horizontal="left" wrapText="1"/>
    </xf>
    <xf numFmtId="170" fontId="9" fillId="3" borderId="3" xfId="3" applyNumberFormat="1" applyFont="1" applyFill="1" applyBorder="1" applyAlignment="1">
      <alignment horizontal="center"/>
    </xf>
    <xf numFmtId="170" fontId="9" fillId="3" borderId="4" xfId="3" applyNumberFormat="1" applyFont="1" applyFill="1" applyBorder="1" applyAlignment="1">
      <alignment horizontal="center"/>
    </xf>
    <xf numFmtId="10" fontId="1" fillId="3" borderId="3" xfId="3" applyNumberFormat="1" applyFont="1" applyFill="1" applyBorder="1" applyAlignment="1">
      <alignment horizontal="center"/>
    </xf>
    <xf numFmtId="10" fontId="1" fillId="3" borderId="4" xfId="3" applyNumberFormat="1" applyFont="1" applyFill="1" applyBorder="1" applyAlignment="1">
      <alignment horizontal="center"/>
    </xf>
    <xf numFmtId="170" fontId="1" fillId="3" borderId="3" xfId="3" applyNumberFormat="1" applyFont="1" applyFill="1" applyBorder="1" applyAlignment="1">
      <alignment horizontal="center"/>
    </xf>
    <xf numFmtId="170" fontId="1" fillId="3" borderId="4" xfId="3" applyNumberFormat="1" applyFont="1" applyFill="1" applyBorder="1" applyAlignment="1">
      <alignment horizontal="center"/>
    </xf>
    <xf numFmtId="0" fontId="1" fillId="3" borderId="0" xfId="0" applyFont="1" applyFill="1" applyAlignment="1">
      <alignment horizontal="right" vertical="center" wrapText="1"/>
    </xf>
    <xf numFmtId="169" fontId="1" fillId="3" borderId="0" xfId="0" applyNumberFormat="1" applyFont="1" applyFill="1" applyAlignment="1">
      <alignment horizontal="right" vertical="center" wrapText="1"/>
    </xf>
    <xf numFmtId="0" fontId="10" fillId="3" borderId="1" xfId="0" applyFont="1" applyFill="1" applyBorder="1" applyAlignment="1">
      <alignment vertical="center" wrapText="1"/>
    </xf>
    <xf numFmtId="0" fontId="1" fillId="3" borderId="7" xfId="0" applyFont="1" applyFill="1" applyBorder="1" applyAlignment="1">
      <alignment vertical="center" wrapText="1"/>
    </xf>
    <xf numFmtId="0" fontId="0" fillId="0" borderId="13" xfId="0" applyBorder="1" applyAlignment="1">
      <alignment vertical="center" wrapText="1"/>
    </xf>
    <xf numFmtId="0" fontId="1" fillId="3" borderId="9" xfId="0" applyFont="1" applyFill="1" applyBorder="1" applyAlignment="1">
      <alignment vertical="center" wrapText="1"/>
    </xf>
    <xf numFmtId="0" fontId="0" fillId="0" borderId="9" xfId="0" applyBorder="1"/>
    <xf numFmtId="0" fontId="1" fillId="3" borderId="14" xfId="0" applyFont="1" applyFill="1" applyBorder="1" applyAlignment="1">
      <alignment vertical="center" wrapText="1"/>
    </xf>
    <xf numFmtId="0" fontId="0" fillId="0" borderId="2" xfId="0" applyBorder="1"/>
    <xf numFmtId="0" fontId="0" fillId="0" borderId="15" xfId="0" applyBorder="1"/>
    <xf numFmtId="0" fontId="1" fillId="3" borderId="6" xfId="0" applyFont="1" applyFill="1" applyBorder="1" applyAlignment="1">
      <alignment vertical="center" wrapText="1"/>
    </xf>
    <xf numFmtId="0" fontId="0" fillId="0" borderId="6" xfId="0" applyBorder="1"/>
    <xf numFmtId="0" fontId="0" fillId="0" borderId="11" xfId="0" applyBorder="1" applyAlignment="1">
      <alignment vertical="center" wrapText="1"/>
    </xf>
    <xf numFmtId="0" fontId="1" fillId="3" borderId="0" xfId="0" applyFont="1" applyFill="1" applyAlignment="1">
      <alignment vertical="center" wrapText="1"/>
    </xf>
    <xf numFmtId="0" fontId="0" fillId="0" borderId="0" xfId="0"/>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0" borderId="6" xfId="0" applyBorder="1" applyAlignment="1">
      <alignment horizontal="center"/>
    </xf>
    <xf numFmtId="0" fontId="0" fillId="0" borderId="4" xfId="0" applyBorder="1"/>
    <xf numFmtId="169" fontId="1" fillId="3" borderId="3" xfId="0" applyNumberFormat="1" applyFont="1" applyFill="1" applyBorder="1" applyAlignment="1">
      <alignment horizontal="center" vertical="center" wrapText="1"/>
    </xf>
    <xf numFmtId="169" fontId="1" fillId="3" borderId="4" xfId="0" applyNumberFormat="1" applyFont="1" applyFill="1" applyBorder="1" applyAlignment="1">
      <alignment horizontal="center" vertical="center" wrapText="1"/>
    </xf>
    <xf numFmtId="169" fontId="1" fillId="3" borderId="5" xfId="0" applyNumberFormat="1" applyFont="1" applyFill="1" applyBorder="1" applyAlignment="1">
      <alignment horizontal="right" vertical="center" wrapText="1"/>
    </xf>
    <xf numFmtId="0" fontId="1" fillId="3"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top"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right" vertical="center" wrapText="1"/>
    </xf>
  </cellXfs>
  <cellStyles count="5">
    <cellStyle name="Comma" xfId="1" builtinId="3"/>
    <cellStyle name="Currency" xfId="2" builtinId="4"/>
    <cellStyle name="Currency 2" xfId="4" xr:uid="{4EB2EAE3-223F-4F5D-BB75-7FF228CCB242}"/>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aon.n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2DF-36E4-445C-AECA-C1BDC1C34CAC}">
  <dimension ref="A1:AL143"/>
  <sheetViews>
    <sheetView tabSelected="1" topLeftCell="A19" zoomScale="85" zoomScaleNormal="85" workbookViewId="0">
      <selection activeCell="S24" sqref="S24"/>
    </sheetView>
  </sheetViews>
  <sheetFormatPr defaultColWidth="9.109375" defaultRowHeight="15.6" x14ac:dyDescent="0.3"/>
  <cols>
    <col min="1" max="1" width="3.6640625" style="8" customWidth="1"/>
    <col min="2" max="2" width="48.33203125" style="8" customWidth="1"/>
    <col min="3" max="3" width="24.33203125" style="8" customWidth="1"/>
    <col min="4" max="4" width="13.6640625" style="8" customWidth="1"/>
    <col min="5" max="5" width="6.88671875" style="8" bestFit="1" customWidth="1"/>
    <col min="6" max="6" width="10" style="8" hidden="1" customWidth="1"/>
    <col min="7" max="7" width="6.88671875" style="8" hidden="1" customWidth="1"/>
    <col min="8" max="8" width="10" style="8" hidden="1" customWidth="1"/>
    <col min="9" max="9" width="6.88671875" style="8" hidden="1" customWidth="1"/>
    <col min="10" max="10" width="10" style="8" hidden="1" customWidth="1"/>
    <col min="11" max="11" width="6.88671875" style="8" hidden="1" customWidth="1"/>
    <col min="12" max="12" width="10" style="8" hidden="1" customWidth="1"/>
    <col min="13" max="13" width="2.6640625" style="8" customWidth="1"/>
    <col min="14" max="14" width="1" style="9" customWidth="1"/>
    <col min="15" max="15" width="5.44140625" style="142" customWidth="1"/>
    <col min="16" max="16" width="12" style="142" customWidth="1"/>
    <col min="17" max="17" width="17.33203125" style="142" customWidth="1"/>
    <col min="18" max="18" width="13.44140625" style="142" customWidth="1"/>
    <col min="19" max="19" width="12.5546875" style="142" bestFit="1" customWidth="1"/>
    <col min="20" max="20" width="15" style="142" customWidth="1"/>
    <col min="21" max="21" width="9.109375" style="142"/>
    <col min="22" max="22" width="11" style="142" customWidth="1"/>
    <col min="23" max="23" width="9.109375" style="142"/>
    <col min="24" max="25" width="14.6640625" style="142" customWidth="1"/>
    <col min="26" max="26" width="22" style="142" customWidth="1"/>
    <col min="27" max="27" width="1" style="9" customWidth="1"/>
    <col min="28" max="28" width="6.44140625" style="142" customWidth="1"/>
    <col min="29" max="30" width="34.33203125" style="143" customWidth="1"/>
    <col min="31" max="31" width="34.33203125" style="142" customWidth="1"/>
    <col min="32" max="32" width="39.5546875" style="142" customWidth="1"/>
    <col min="33" max="36" width="34.33203125" style="142" customWidth="1"/>
    <col min="37" max="37" width="22.88671875" style="142" customWidth="1"/>
    <col min="38" max="38" width="1" style="9" customWidth="1"/>
    <col min="39" max="16384" width="9.109375" style="94"/>
  </cols>
  <sheetData>
    <row r="1" spans="1:37" x14ac:dyDescent="0.3">
      <c r="A1" s="7" t="s">
        <v>111</v>
      </c>
      <c r="O1" s="7" t="s">
        <v>111</v>
      </c>
      <c r="P1" s="8"/>
      <c r="Q1" s="8"/>
      <c r="R1" s="8"/>
      <c r="S1" s="8"/>
      <c r="T1" s="8"/>
      <c r="U1" s="8"/>
      <c r="V1" s="8"/>
      <c r="W1" s="8"/>
      <c r="X1" s="8"/>
      <c r="Y1" s="8"/>
      <c r="Z1" s="8"/>
      <c r="AB1" s="7" t="s">
        <v>111</v>
      </c>
      <c r="AC1" s="8"/>
      <c r="AD1" s="8"/>
      <c r="AE1" s="8"/>
      <c r="AF1" s="8"/>
      <c r="AG1" s="8"/>
      <c r="AH1" s="8"/>
      <c r="AI1" s="8"/>
      <c r="AJ1" s="8"/>
      <c r="AK1" s="8"/>
    </row>
    <row r="2" spans="1:37" x14ac:dyDescent="0.3">
      <c r="A2" s="7" t="s">
        <v>13</v>
      </c>
      <c r="O2" s="7" t="s">
        <v>13</v>
      </c>
      <c r="P2" s="8"/>
      <c r="Q2" s="8"/>
      <c r="R2" s="8"/>
      <c r="S2" s="8"/>
      <c r="T2" s="8"/>
      <c r="U2" s="8"/>
      <c r="V2" s="8"/>
      <c r="W2" s="8"/>
      <c r="X2" s="8"/>
      <c r="Y2" s="8"/>
      <c r="Z2" s="8"/>
      <c r="AB2" s="7" t="s">
        <v>13</v>
      </c>
      <c r="AC2" s="8"/>
      <c r="AD2" s="8"/>
      <c r="AE2" s="8"/>
      <c r="AF2" s="8"/>
      <c r="AG2" s="8"/>
      <c r="AH2" s="8"/>
      <c r="AI2" s="8"/>
      <c r="AJ2" s="8"/>
      <c r="AK2" s="8"/>
    </row>
    <row r="3" spans="1:37" x14ac:dyDescent="0.3">
      <c r="A3" s="7" t="s">
        <v>112</v>
      </c>
      <c r="O3" s="7" t="s">
        <v>112</v>
      </c>
      <c r="P3" s="8"/>
      <c r="Q3" s="8"/>
      <c r="R3" s="8"/>
      <c r="S3" s="8"/>
      <c r="T3" s="8"/>
      <c r="U3" s="8"/>
      <c r="V3" s="8"/>
      <c r="W3" s="8"/>
      <c r="X3" s="8"/>
      <c r="Y3" s="8"/>
      <c r="Z3" s="8"/>
      <c r="AB3" s="7" t="s">
        <v>112</v>
      </c>
      <c r="AC3" s="8"/>
      <c r="AD3" s="8"/>
      <c r="AE3" s="8"/>
      <c r="AF3" s="8"/>
      <c r="AG3" s="8"/>
      <c r="AH3" s="8"/>
      <c r="AI3" s="8"/>
      <c r="AJ3" s="8"/>
      <c r="AK3" s="8"/>
    </row>
    <row r="4" spans="1:37" x14ac:dyDescent="0.3">
      <c r="O4" s="8"/>
      <c r="P4" s="8"/>
      <c r="Q4" s="8"/>
      <c r="R4" s="8"/>
      <c r="S4" s="8"/>
      <c r="T4" s="8"/>
      <c r="U4" s="8"/>
      <c r="V4" s="8"/>
      <c r="W4" s="8"/>
      <c r="X4" s="8"/>
      <c r="Y4" s="8"/>
      <c r="Z4" s="8"/>
      <c r="AB4" s="8"/>
      <c r="AC4" s="8"/>
      <c r="AD4" s="8"/>
      <c r="AE4" s="8"/>
      <c r="AF4" s="8"/>
      <c r="AG4" s="8"/>
      <c r="AH4" s="8"/>
      <c r="AI4" s="8"/>
      <c r="AJ4" s="8"/>
      <c r="AK4" s="8"/>
    </row>
    <row r="5" spans="1:37" ht="16.2" customHeight="1" x14ac:dyDescent="0.35">
      <c r="A5" s="199" t="s">
        <v>113</v>
      </c>
      <c r="B5" s="199"/>
      <c r="C5" s="199"/>
      <c r="D5" s="199"/>
      <c r="E5" s="199"/>
      <c r="F5" s="199"/>
      <c r="G5" s="199"/>
      <c r="H5" s="199"/>
      <c r="I5" s="199"/>
      <c r="J5" s="199"/>
      <c r="K5" s="199"/>
      <c r="L5" s="199"/>
      <c r="M5" s="199"/>
      <c r="O5" s="30" t="s">
        <v>30</v>
      </c>
      <c r="P5" s="8"/>
      <c r="Q5" s="8"/>
      <c r="R5" s="8"/>
      <c r="S5" s="8"/>
      <c r="T5" s="8"/>
      <c r="U5" s="8"/>
      <c r="V5" s="8"/>
      <c r="W5" s="8"/>
      <c r="X5" s="8"/>
      <c r="Y5" s="8"/>
      <c r="Z5" s="8"/>
      <c r="AB5" s="30" t="s">
        <v>30</v>
      </c>
      <c r="AC5" s="8"/>
      <c r="AD5" s="8"/>
      <c r="AE5" s="8"/>
      <c r="AF5" s="8"/>
      <c r="AG5" s="8"/>
      <c r="AH5" s="8"/>
      <c r="AI5" s="8"/>
      <c r="AJ5" s="8"/>
      <c r="AK5" s="8"/>
    </row>
    <row r="6" spans="1:37" x14ac:dyDescent="0.3">
      <c r="A6" s="199"/>
      <c r="B6" s="199"/>
      <c r="C6" s="199"/>
      <c r="D6" s="199"/>
      <c r="E6" s="199"/>
      <c r="F6" s="199"/>
      <c r="G6" s="199"/>
      <c r="H6" s="199"/>
      <c r="I6" s="199"/>
      <c r="J6" s="199"/>
      <c r="K6" s="199"/>
      <c r="L6" s="199"/>
      <c r="M6" s="199"/>
      <c r="O6" s="8"/>
      <c r="P6" s="8"/>
      <c r="Q6" s="8"/>
      <c r="R6" s="8"/>
      <c r="S6" s="8"/>
      <c r="T6" s="8"/>
      <c r="U6" s="8"/>
      <c r="V6" s="8"/>
      <c r="W6" s="8"/>
      <c r="X6" s="8"/>
      <c r="Y6" s="8"/>
      <c r="Z6" s="8"/>
      <c r="AB6" s="8"/>
      <c r="AC6" s="8"/>
      <c r="AD6" s="8"/>
      <c r="AE6" s="8"/>
      <c r="AF6" s="8"/>
      <c r="AG6" s="8"/>
      <c r="AH6" s="8"/>
      <c r="AI6" s="8"/>
      <c r="AJ6" s="8"/>
      <c r="AK6" s="8"/>
    </row>
    <row r="7" spans="1:37" ht="15.6" customHeight="1" x14ac:dyDescent="0.3">
      <c r="A7" s="199"/>
      <c r="B7" s="199"/>
      <c r="C7" s="199"/>
      <c r="D7" s="199"/>
      <c r="E7" s="199"/>
      <c r="F7" s="199"/>
      <c r="G7" s="199"/>
      <c r="H7" s="199"/>
      <c r="I7" s="199"/>
      <c r="J7" s="199"/>
      <c r="K7" s="199"/>
      <c r="L7" s="199"/>
      <c r="M7" s="199"/>
      <c r="O7" s="8" t="s">
        <v>114</v>
      </c>
      <c r="P7" s="200" t="str">
        <f>B38</f>
        <v xml:space="preserve">(2 points)  Calculate the Service Cost under International Accounting Standard IAS 19, Rev 2011 as a percentage of base pay for the existing DB plan for the average participant.  </v>
      </c>
      <c r="Q7" s="200"/>
      <c r="R7" s="200"/>
      <c r="S7" s="200"/>
      <c r="T7" s="200"/>
      <c r="U7" s="200"/>
      <c r="V7" s="200"/>
      <c r="W7" s="200"/>
      <c r="X7" s="200"/>
      <c r="Y7" s="200"/>
      <c r="Z7" s="200"/>
      <c r="AB7" s="8" t="s">
        <v>115</v>
      </c>
      <c r="AC7" s="200" t="str">
        <f>B45</f>
        <v>(4 points)  Calculate the flat DC contribution as a percentage of base pay for the average participant necessary to restore the lump sum value lost due to the DB plan freeze. 
Show all work.</v>
      </c>
      <c r="AD7" s="200"/>
      <c r="AE7" s="200"/>
      <c r="AF7" s="200"/>
      <c r="AG7" s="200"/>
      <c r="AH7" s="200"/>
      <c r="AI7" s="200"/>
      <c r="AJ7" s="200"/>
      <c r="AK7" s="200"/>
    </row>
    <row r="8" spans="1:37" ht="15.6" customHeight="1" x14ac:dyDescent="0.3">
      <c r="A8" s="199"/>
      <c r="B8" s="199"/>
      <c r="C8" s="199"/>
      <c r="D8" s="199"/>
      <c r="E8" s="199"/>
      <c r="F8" s="199"/>
      <c r="G8" s="199"/>
      <c r="H8" s="199"/>
      <c r="I8" s="199"/>
      <c r="J8" s="199"/>
      <c r="K8" s="199"/>
      <c r="L8" s="199"/>
      <c r="M8" s="199"/>
      <c r="O8" s="8"/>
      <c r="P8" s="200"/>
      <c r="Q8" s="200"/>
      <c r="R8" s="200"/>
      <c r="S8" s="200"/>
      <c r="T8" s="200"/>
      <c r="U8" s="200"/>
      <c r="V8" s="200"/>
      <c r="W8" s="200"/>
      <c r="X8" s="200"/>
      <c r="Y8" s="200"/>
      <c r="Z8" s="200"/>
      <c r="AB8" s="8"/>
      <c r="AC8" s="200"/>
      <c r="AD8" s="200"/>
      <c r="AE8" s="200"/>
      <c r="AF8" s="200"/>
      <c r="AG8" s="200"/>
      <c r="AH8" s="200"/>
      <c r="AI8" s="200"/>
      <c r="AJ8" s="200"/>
      <c r="AK8" s="200"/>
    </row>
    <row r="9" spans="1:37" ht="15.75" customHeight="1" x14ac:dyDescent="0.3">
      <c r="B9" s="199" t="s">
        <v>221</v>
      </c>
      <c r="C9" s="199"/>
      <c r="D9" s="199"/>
      <c r="E9" s="199"/>
      <c r="O9" s="8"/>
      <c r="P9" s="200"/>
      <c r="Q9" s="200"/>
      <c r="R9" s="200"/>
      <c r="S9" s="200"/>
      <c r="T9" s="200"/>
      <c r="U9" s="200"/>
      <c r="V9" s="200"/>
      <c r="W9" s="200"/>
      <c r="X9" s="200"/>
      <c r="Y9" s="200"/>
      <c r="Z9" s="200"/>
      <c r="AB9" s="8"/>
      <c r="AC9" s="200"/>
      <c r="AD9" s="200"/>
      <c r="AE9" s="200"/>
      <c r="AF9" s="200"/>
      <c r="AG9" s="200"/>
      <c r="AH9" s="200"/>
      <c r="AI9" s="200"/>
      <c r="AJ9" s="200"/>
      <c r="AK9" s="200"/>
    </row>
    <row r="10" spans="1:37" x14ac:dyDescent="0.3">
      <c r="B10" s="199"/>
      <c r="C10" s="199"/>
      <c r="D10" s="199"/>
      <c r="E10" s="199"/>
      <c r="O10" s="8"/>
      <c r="P10" s="79" t="str">
        <f>B41</f>
        <v>Show all work.</v>
      </c>
      <c r="Q10" s="61"/>
      <c r="R10" s="61"/>
      <c r="S10" s="61"/>
      <c r="T10" s="61"/>
      <c r="U10" s="61"/>
      <c r="V10" s="61"/>
      <c r="W10" s="61"/>
      <c r="X10" s="61"/>
      <c r="Y10" s="61"/>
      <c r="Z10" s="61"/>
      <c r="AB10" s="8"/>
      <c r="AC10" s="79"/>
      <c r="AD10" s="61"/>
      <c r="AE10" s="61"/>
      <c r="AF10" s="61"/>
      <c r="AG10" s="61"/>
      <c r="AH10" s="61"/>
      <c r="AI10" s="61"/>
      <c r="AJ10" s="61"/>
      <c r="AK10" s="61"/>
    </row>
    <row r="11" spans="1:37" x14ac:dyDescent="0.3">
      <c r="B11" s="199"/>
      <c r="C11" s="199"/>
      <c r="D11" s="199"/>
      <c r="E11" s="199"/>
      <c r="O11" s="61"/>
      <c r="P11" s="61"/>
      <c r="Q11" s="61"/>
      <c r="R11" s="61"/>
      <c r="S11" s="61"/>
      <c r="T11" s="61"/>
      <c r="U11" s="61"/>
      <c r="V11" s="61"/>
      <c r="W11" s="61"/>
      <c r="X11" s="61"/>
      <c r="Y11" s="61"/>
      <c r="Z11" s="61"/>
      <c r="AB11" s="61"/>
      <c r="AC11" s="61"/>
      <c r="AD11" s="61"/>
      <c r="AE11" s="61"/>
      <c r="AF11" s="61"/>
      <c r="AG11" s="61"/>
      <c r="AH11" s="61"/>
      <c r="AI11" s="61"/>
      <c r="AJ11" s="61"/>
      <c r="AK11" s="61"/>
    </row>
    <row r="12" spans="1:37" x14ac:dyDescent="0.3">
      <c r="B12" s="199"/>
      <c r="C12" s="199"/>
      <c r="D12" s="199"/>
      <c r="E12" s="199"/>
      <c r="P12" s="142" t="s">
        <v>116</v>
      </c>
      <c r="AC12" s="143" t="s">
        <v>117</v>
      </c>
    </row>
    <row r="13" spans="1:37" x14ac:dyDescent="0.3">
      <c r="B13" s="199"/>
      <c r="C13" s="199"/>
      <c r="D13" s="199"/>
      <c r="E13" s="199"/>
      <c r="P13" s="142" t="s">
        <v>118</v>
      </c>
      <c r="R13" s="144">
        <f>0.02*C25*C24</f>
        <v>30000</v>
      </c>
      <c r="AC13" s="143" t="s">
        <v>119</v>
      </c>
    </row>
    <row r="14" spans="1:37" x14ac:dyDescent="0.3">
      <c r="B14" s="199"/>
      <c r="C14" s="199"/>
      <c r="D14" s="199"/>
      <c r="E14" s="199"/>
      <c r="AC14" s="143" t="s">
        <v>120</v>
      </c>
      <c r="AF14" s="144">
        <f>0.02*C25*((1+C30)^(C29-C23))*(C24+ (C29-C23))</f>
        <v>50000</v>
      </c>
    </row>
    <row r="15" spans="1:37" x14ac:dyDescent="0.3">
      <c r="P15" s="142" t="s">
        <v>121</v>
      </c>
    </row>
    <row r="16" spans="1:37" x14ac:dyDescent="0.3">
      <c r="A16" s="8" t="s">
        <v>122</v>
      </c>
      <c r="P16" s="142" t="s">
        <v>123</v>
      </c>
      <c r="R16" s="144">
        <f>0.02*C25*(1+C30)*(C24+1)</f>
        <v>32000</v>
      </c>
      <c r="AC16" s="143" t="s">
        <v>124</v>
      </c>
      <c r="AH16" s="145"/>
      <c r="AI16" s="145"/>
    </row>
    <row r="17" spans="1:33" x14ac:dyDescent="0.3">
      <c r="AC17" s="143" t="s">
        <v>125</v>
      </c>
      <c r="AF17" s="144">
        <f>AF14*(1-0.03*(65-C29))*C34</f>
        <v>637500</v>
      </c>
    </row>
    <row r="18" spans="1:33" ht="15.75" customHeight="1" x14ac:dyDescent="0.3">
      <c r="B18" s="201" t="s">
        <v>126</v>
      </c>
      <c r="C18" s="203" t="s">
        <v>127</v>
      </c>
      <c r="D18" s="204"/>
      <c r="P18" s="142" t="s">
        <v>128</v>
      </c>
    </row>
    <row r="19" spans="1:33" x14ac:dyDescent="0.3">
      <c r="B19" s="202"/>
      <c r="C19" s="205"/>
      <c r="D19" s="206"/>
      <c r="P19" s="142" t="s">
        <v>129</v>
      </c>
      <c r="R19" s="146">
        <f>R16-R13</f>
        <v>2000</v>
      </c>
      <c r="AC19" s="143" t="s">
        <v>130</v>
      </c>
    </row>
    <row r="20" spans="1:33" ht="15.75" customHeight="1" x14ac:dyDescent="0.3">
      <c r="B20" s="201" t="s">
        <v>131</v>
      </c>
      <c r="C20" s="203" t="s">
        <v>132</v>
      </c>
      <c r="D20" s="204"/>
    </row>
    <row r="21" spans="1:33" x14ac:dyDescent="0.3">
      <c r="B21" s="202"/>
      <c r="C21" s="205"/>
      <c r="D21" s="206"/>
      <c r="P21" s="142" t="s">
        <v>133</v>
      </c>
      <c r="AC21" s="143" t="s">
        <v>134</v>
      </c>
    </row>
    <row r="22" spans="1:33" x14ac:dyDescent="0.3">
      <c r="B22" s="147" t="s">
        <v>135</v>
      </c>
      <c r="C22" s="207">
        <v>100</v>
      </c>
      <c r="D22" s="207"/>
      <c r="P22" s="142" t="s">
        <v>136</v>
      </c>
      <c r="R22" s="144">
        <f>R13*(1-(65-C29)*(3%))</f>
        <v>25500</v>
      </c>
      <c r="AC22" s="143" t="s">
        <v>137</v>
      </c>
    </row>
    <row r="23" spans="1:33" x14ac:dyDescent="0.3">
      <c r="B23" s="147" t="s">
        <v>138</v>
      </c>
      <c r="C23" s="207">
        <v>50</v>
      </c>
      <c r="D23" s="207"/>
      <c r="AC23" s="143" t="s">
        <v>139</v>
      </c>
      <c r="AE23" s="144">
        <f>0.02*C25*C24</f>
        <v>30000</v>
      </c>
    </row>
    <row r="24" spans="1:33" x14ac:dyDescent="0.3">
      <c r="B24" s="147" t="s">
        <v>140</v>
      </c>
      <c r="C24" s="207">
        <v>15</v>
      </c>
      <c r="D24" s="207"/>
      <c r="P24" s="142" t="s">
        <v>141</v>
      </c>
    </row>
    <row r="25" spans="1:33" x14ac:dyDescent="0.3">
      <c r="B25" s="147" t="s">
        <v>142</v>
      </c>
      <c r="C25" s="198">
        <v>100000</v>
      </c>
      <c r="D25" s="198"/>
      <c r="P25" s="142" t="s">
        <v>143</v>
      </c>
      <c r="R25" s="144">
        <f>R16*(1-(65-C29)*(3%))</f>
        <v>27200</v>
      </c>
      <c r="AC25" s="143" t="s">
        <v>144</v>
      </c>
    </row>
    <row r="26" spans="1:33" x14ac:dyDescent="0.3">
      <c r="R26" s="148"/>
      <c r="AC26" s="143" t="s">
        <v>145</v>
      </c>
      <c r="AF26" s="144">
        <f>AE23*(1-0.03*(65-C29))*C34</f>
        <v>382500</v>
      </c>
    </row>
    <row r="27" spans="1:33" x14ac:dyDescent="0.3">
      <c r="A27" s="8" t="s">
        <v>146</v>
      </c>
      <c r="P27" s="142" t="s">
        <v>147</v>
      </c>
      <c r="R27" s="148"/>
    </row>
    <row r="28" spans="1:33" x14ac:dyDescent="0.3">
      <c r="P28" s="142" t="s">
        <v>148</v>
      </c>
      <c r="S28" s="148">
        <f>R25-R22</f>
        <v>1700</v>
      </c>
      <c r="AC28" s="143" t="s">
        <v>149</v>
      </c>
    </row>
    <row r="29" spans="1:33" x14ac:dyDescent="0.3">
      <c r="B29" s="147" t="s">
        <v>150</v>
      </c>
      <c r="C29" s="211">
        <v>60</v>
      </c>
      <c r="D29" s="212"/>
      <c r="G29" s="65"/>
      <c r="H29" s="65"/>
      <c r="I29" s="65"/>
      <c r="J29" s="65"/>
      <c r="K29" s="65"/>
      <c r="L29" s="65"/>
      <c r="R29" s="148"/>
      <c r="S29" s="149"/>
      <c r="AC29" s="143" t="s">
        <v>151</v>
      </c>
      <c r="AE29" s="146">
        <f>AF17-AF26</f>
        <v>255000</v>
      </c>
    </row>
    <row r="30" spans="1:33" ht="16.2" thickBot="1" x14ac:dyDescent="0.35">
      <c r="B30" s="147" t="s">
        <v>152</v>
      </c>
      <c r="C30" s="213">
        <v>0</v>
      </c>
      <c r="D30" s="214"/>
      <c r="G30" s="65"/>
      <c r="H30" s="65"/>
      <c r="I30" s="65"/>
      <c r="J30" s="65"/>
      <c r="K30" s="65"/>
      <c r="L30" s="65"/>
      <c r="P30" s="142" t="s">
        <v>153</v>
      </c>
    </row>
    <row r="31" spans="1:33" ht="16.2" thickBot="1" x14ac:dyDescent="0.35">
      <c r="B31" s="147" t="s">
        <v>154</v>
      </c>
      <c r="C31" s="213">
        <v>0.06</v>
      </c>
      <c r="D31" s="214"/>
      <c r="P31" s="142" t="s">
        <v>155</v>
      </c>
      <c r="T31" s="149">
        <f>S28*C34</f>
        <v>25500</v>
      </c>
      <c r="AC31" s="143" t="s">
        <v>156</v>
      </c>
      <c r="AF31" s="150" t="s">
        <v>157</v>
      </c>
      <c r="AG31" s="151">
        <v>0.18251249999999999</v>
      </c>
    </row>
    <row r="32" spans="1:33" x14ac:dyDescent="0.3">
      <c r="B32" s="147" t="s">
        <v>158</v>
      </c>
      <c r="C32" s="213" t="s">
        <v>159</v>
      </c>
      <c r="D32" s="214"/>
      <c r="AC32" s="143" t="s">
        <v>160</v>
      </c>
    </row>
    <row r="33" spans="1:34" x14ac:dyDescent="0.3">
      <c r="B33" s="147" t="s">
        <v>161</v>
      </c>
      <c r="C33" s="215" t="s">
        <v>162</v>
      </c>
      <c r="D33" s="216"/>
      <c r="P33" s="142" t="s">
        <v>163</v>
      </c>
      <c r="R33" s="148"/>
    </row>
    <row r="34" spans="1:34" ht="28.8" x14ac:dyDescent="0.3">
      <c r="B34" s="147" t="s">
        <v>164</v>
      </c>
      <c r="C34" s="215">
        <v>15</v>
      </c>
      <c r="D34" s="216"/>
      <c r="P34" s="142" t="s">
        <v>165</v>
      </c>
      <c r="S34" s="148">
        <f>T31/((1+C35)^(C29-C23))</f>
        <v>18974.394829866491</v>
      </c>
      <c r="AC34" s="152" t="s">
        <v>166</v>
      </c>
      <c r="AD34" s="152" t="s">
        <v>167</v>
      </c>
      <c r="AE34" s="152" t="s">
        <v>168</v>
      </c>
      <c r="AF34" s="153" t="s">
        <v>169</v>
      </c>
      <c r="AG34" s="142" t="s">
        <v>170</v>
      </c>
    </row>
    <row r="35" spans="1:34" x14ac:dyDescent="0.3">
      <c r="B35" s="154" t="s">
        <v>171</v>
      </c>
      <c r="C35" s="208">
        <v>0.03</v>
      </c>
      <c r="D35" s="209"/>
      <c r="AC35" s="143">
        <v>50</v>
      </c>
      <c r="AD35" s="155">
        <f>C25</f>
        <v>100000</v>
      </c>
      <c r="AE35" s="146">
        <f>AD35*$AG$31</f>
        <v>18251.25</v>
      </c>
      <c r="AF35" s="156">
        <f>(1+$C$31)^(60-AC35)</f>
        <v>1.7908476965428546</v>
      </c>
      <c r="AG35" s="144">
        <f>AE35*AF35</f>
        <v>32685.209021527775</v>
      </c>
    </row>
    <row r="36" spans="1:34" x14ac:dyDescent="0.3">
      <c r="B36" s="154" t="s">
        <v>172</v>
      </c>
      <c r="C36" s="208" t="s">
        <v>173</v>
      </c>
      <c r="D36" s="209"/>
      <c r="P36" s="142" t="s">
        <v>174</v>
      </c>
      <c r="R36" s="148"/>
      <c r="S36" s="149"/>
      <c r="AC36" s="143">
        <v>51</v>
      </c>
      <c r="AD36" s="155">
        <f>AD35*(1+$C$30)</f>
        <v>100000</v>
      </c>
      <c r="AE36" s="146">
        <f t="shared" ref="AE36:AE44" si="0">AD36*$AG$31</f>
        <v>18251.25</v>
      </c>
      <c r="AF36" s="156">
        <f t="shared" ref="AF36:AF44" si="1">(1+$C$31)^(60-AC36)</f>
        <v>1.6894789590026928</v>
      </c>
      <c r="AG36" s="144">
        <f t="shared" ref="AG36:AG44" si="2">AE36*AF36</f>
        <v>30835.102850497897</v>
      </c>
    </row>
    <row r="37" spans="1:34" ht="15.6" customHeight="1" x14ac:dyDescent="0.3">
      <c r="B37" s="157"/>
      <c r="C37" s="157"/>
      <c r="D37" s="157"/>
      <c r="P37" s="142" t="s">
        <v>175</v>
      </c>
      <c r="R37" s="144">
        <f>S34*C22</f>
        <v>1897439.482986649</v>
      </c>
      <c r="AC37" s="143">
        <v>52</v>
      </c>
      <c r="AD37" s="155">
        <f t="shared" ref="AD37:AD44" si="3">AD36*(1+$C$30)</f>
        <v>100000</v>
      </c>
      <c r="AE37" s="146">
        <f t="shared" si="0"/>
        <v>18251.25</v>
      </c>
      <c r="AF37" s="156">
        <f t="shared" si="1"/>
        <v>1.5938480745308423</v>
      </c>
      <c r="AG37" s="144">
        <f t="shared" si="2"/>
        <v>29089.719670281036</v>
      </c>
    </row>
    <row r="38" spans="1:34" ht="15.6" customHeight="1" thickBot="1" x14ac:dyDescent="0.35">
      <c r="A38" s="8" t="s">
        <v>114</v>
      </c>
      <c r="B38" s="200" t="s">
        <v>220</v>
      </c>
      <c r="C38" s="200"/>
      <c r="D38" s="200"/>
      <c r="E38" s="200"/>
      <c r="F38" s="200"/>
      <c r="G38" s="200"/>
      <c r="H38" s="200"/>
      <c r="I38" s="200"/>
      <c r="J38" s="200"/>
      <c r="K38" s="200"/>
      <c r="L38" s="200"/>
      <c r="R38" s="148"/>
      <c r="S38" s="149"/>
      <c r="AC38" s="143">
        <v>53</v>
      </c>
      <c r="AD38" s="155">
        <f t="shared" si="3"/>
        <v>100000</v>
      </c>
      <c r="AE38" s="146">
        <f t="shared" si="0"/>
        <v>18251.25</v>
      </c>
      <c r="AF38" s="156">
        <f t="shared" si="1"/>
        <v>1.5036302589913608</v>
      </c>
      <c r="AG38" s="144">
        <f t="shared" si="2"/>
        <v>27443.131764416074</v>
      </c>
    </row>
    <row r="39" spans="1:34" ht="18.75" customHeight="1" x14ac:dyDescent="0.3">
      <c r="B39" s="200"/>
      <c r="C39" s="200"/>
      <c r="D39" s="200"/>
      <c r="E39" s="200"/>
      <c r="F39" s="200"/>
      <c r="G39" s="200"/>
      <c r="H39" s="200"/>
      <c r="I39" s="200"/>
      <c r="J39" s="200"/>
      <c r="K39" s="200"/>
      <c r="L39" s="200"/>
      <c r="P39" s="158" t="s">
        <v>176</v>
      </c>
      <c r="Q39" s="159"/>
      <c r="R39" s="160"/>
      <c r="S39" s="159"/>
      <c r="T39" s="159"/>
      <c r="U39" s="159"/>
      <c r="V39" s="159"/>
      <c r="W39" s="159"/>
      <c r="X39" s="159"/>
      <c r="Y39" s="159"/>
      <c r="Z39" s="161"/>
      <c r="AC39" s="143">
        <v>54</v>
      </c>
      <c r="AD39" s="155">
        <f t="shared" si="3"/>
        <v>100000</v>
      </c>
      <c r="AE39" s="146">
        <f t="shared" si="0"/>
        <v>18251.25</v>
      </c>
      <c r="AF39" s="156">
        <f t="shared" si="1"/>
        <v>1.4185191122560006</v>
      </c>
      <c r="AG39" s="144">
        <f t="shared" si="2"/>
        <v>25889.746947562329</v>
      </c>
    </row>
    <row r="40" spans="1:34" ht="16.2" thickBot="1" x14ac:dyDescent="0.35">
      <c r="B40" s="61"/>
      <c r="C40" s="61"/>
      <c r="D40" s="61"/>
      <c r="E40" s="61"/>
      <c r="F40" s="61"/>
      <c r="G40" s="61"/>
      <c r="H40" s="61"/>
      <c r="I40" s="61"/>
      <c r="J40" s="61"/>
      <c r="K40" s="61"/>
      <c r="L40" s="61"/>
      <c r="P40" s="162" t="s">
        <v>177</v>
      </c>
      <c r="Q40" s="163"/>
      <c r="R40" s="164"/>
      <c r="S40" s="163"/>
      <c r="T40" s="163"/>
      <c r="U40" s="165">
        <f>R37/C22/C25</f>
        <v>0.18974394829866492</v>
      </c>
      <c r="V40" s="163"/>
      <c r="W40" s="163"/>
      <c r="X40" s="163"/>
      <c r="Y40" s="163"/>
      <c r="Z40" s="166"/>
      <c r="AC40" s="143">
        <v>55</v>
      </c>
      <c r="AD40" s="155">
        <f t="shared" si="3"/>
        <v>100000</v>
      </c>
      <c r="AE40" s="146">
        <f t="shared" si="0"/>
        <v>18251.25</v>
      </c>
      <c r="AF40" s="156">
        <f t="shared" si="1"/>
        <v>1.3382255776000005</v>
      </c>
      <c r="AG40" s="144">
        <f t="shared" si="2"/>
        <v>24424.289573172009</v>
      </c>
    </row>
    <row r="41" spans="1:34" x14ac:dyDescent="0.3">
      <c r="B41" s="79" t="s">
        <v>82</v>
      </c>
      <c r="C41" s="61"/>
      <c r="D41" s="61"/>
      <c r="E41" s="61"/>
      <c r="F41" s="61"/>
      <c r="G41" s="61"/>
      <c r="H41" s="61"/>
      <c r="I41" s="61"/>
      <c r="J41" s="61"/>
      <c r="K41" s="61"/>
      <c r="L41" s="61"/>
      <c r="R41" s="146"/>
      <c r="AC41" s="143">
        <v>56</v>
      </c>
      <c r="AD41" s="155">
        <f t="shared" si="3"/>
        <v>100000</v>
      </c>
      <c r="AE41" s="146">
        <f t="shared" si="0"/>
        <v>18251.25</v>
      </c>
      <c r="AF41" s="156">
        <f t="shared" si="1"/>
        <v>1.2624769600000003</v>
      </c>
      <c r="AG41" s="144">
        <f t="shared" si="2"/>
        <v>23041.782616200006</v>
      </c>
    </row>
    <row r="42" spans="1:34" ht="16.2" x14ac:dyDescent="0.3">
      <c r="B42" s="37" t="s">
        <v>44</v>
      </c>
      <c r="C42" s="61"/>
      <c r="D42" s="61"/>
      <c r="E42" s="61"/>
      <c r="F42" s="61"/>
      <c r="G42" s="61"/>
      <c r="H42" s="61"/>
      <c r="I42" s="61"/>
      <c r="J42" s="61"/>
      <c r="K42" s="61"/>
      <c r="L42" s="61"/>
      <c r="AC42" s="143">
        <v>57</v>
      </c>
      <c r="AD42" s="155">
        <f t="shared" si="3"/>
        <v>100000</v>
      </c>
      <c r="AE42" s="146">
        <f t="shared" si="0"/>
        <v>18251.25</v>
      </c>
      <c r="AF42" s="156">
        <f t="shared" si="1"/>
        <v>1.1910160000000003</v>
      </c>
      <c r="AG42" s="144">
        <f t="shared" si="2"/>
        <v>21737.530770000005</v>
      </c>
    </row>
    <row r="43" spans="1:34" ht="16.2" x14ac:dyDescent="0.3">
      <c r="B43" s="37"/>
      <c r="C43" s="61"/>
      <c r="D43" s="61"/>
      <c r="E43" s="61"/>
      <c r="F43" s="61"/>
      <c r="G43" s="61"/>
      <c r="H43" s="61"/>
      <c r="I43" s="61"/>
      <c r="J43" s="61"/>
      <c r="K43" s="61"/>
      <c r="L43" s="61"/>
      <c r="AC43" s="143">
        <v>58</v>
      </c>
      <c r="AD43" s="155">
        <f t="shared" si="3"/>
        <v>100000</v>
      </c>
      <c r="AE43" s="146">
        <f t="shared" si="0"/>
        <v>18251.25</v>
      </c>
      <c r="AF43" s="156">
        <f t="shared" si="1"/>
        <v>1.1236000000000002</v>
      </c>
      <c r="AG43" s="144">
        <f t="shared" si="2"/>
        <v>20507.104500000001</v>
      </c>
    </row>
    <row r="44" spans="1:34" ht="15.75" customHeight="1" x14ac:dyDescent="0.3">
      <c r="AC44" s="143">
        <v>59</v>
      </c>
      <c r="AD44" s="155">
        <f t="shared" si="3"/>
        <v>100000</v>
      </c>
      <c r="AE44" s="146">
        <f t="shared" si="0"/>
        <v>18251.25</v>
      </c>
      <c r="AF44" s="156">
        <f t="shared" si="1"/>
        <v>1.06</v>
      </c>
      <c r="AG44" s="144">
        <f t="shared" si="2"/>
        <v>19346.325000000001</v>
      </c>
    </row>
    <row r="45" spans="1:34" x14ac:dyDescent="0.3">
      <c r="A45" s="8" t="s">
        <v>115</v>
      </c>
      <c r="B45" s="210" t="s">
        <v>178</v>
      </c>
      <c r="C45" s="210"/>
      <c r="D45" s="210"/>
      <c r="E45" s="210"/>
      <c r="F45" s="210"/>
      <c r="G45" s="210"/>
      <c r="H45" s="210"/>
      <c r="I45" s="210"/>
      <c r="J45" s="210"/>
      <c r="K45" s="210"/>
      <c r="L45" s="210"/>
      <c r="M45" s="210"/>
      <c r="Q45" s="144"/>
    </row>
    <row r="46" spans="1:34" x14ac:dyDescent="0.3">
      <c r="B46" s="210"/>
      <c r="C46" s="210"/>
      <c r="D46" s="210"/>
      <c r="E46" s="210"/>
      <c r="F46" s="210"/>
      <c r="G46" s="210"/>
      <c r="H46" s="210"/>
      <c r="I46" s="210"/>
      <c r="J46" s="210"/>
      <c r="K46" s="210"/>
      <c r="L46" s="210"/>
      <c r="M46" s="210"/>
      <c r="Q46" s="144"/>
      <c r="AF46" s="142" t="s">
        <v>179</v>
      </c>
      <c r="AG46" s="146">
        <f>SUM(AG35:AG44)</f>
        <v>254999.94271365716</v>
      </c>
      <c r="AH46" s="142" t="s">
        <v>180</v>
      </c>
    </row>
    <row r="47" spans="1:34" ht="16.2" thickBot="1" x14ac:dyDescent="0.35">
      <c r="B47" s="210"/>
      <c r="C47" s="210"/>
      <c r="D47" s="210"/>
      <c r="E47" s="210"/>
      <c r="F47" s="210"/>
      <c r="G47" s="210"/>
      <c r="H47" s="210"/>
      <c r="I47" s="210"/>
      <c r="J47" s="210"/>
      <c r="K47" s="210"/>
      <c r="L47" s="210"/>
      <c r="M47" s="210"/>
    </row>
    <row r="48" spans="1:34" ht="16.2" thickBot="1" x14ac:dyDescent="0.35">
      <c r="B48" s="210"/>
      <c r="C48" s="210"/>
      <c r="D48" s="210"/>
      <c r="E48" s="210"/>
      <c r="F48" s="210"/>
      <c r="G48" s="210"/>
      <c r="H48" s="210"/>
      <c r="I48" s="210"/>
      <c r="J48" s="210"/>
      <c r="K48" s="210"/>
      <c r="L48" s="210"/>
      <c r="M48" s="210"/>
      <c r="AC48" s="167" t="s">
        <v>181</v>
      </c>
      <c r="AD48" s="168"/>
      <c r="AE48" s="169"/>
    </row>
    <row r="49" spans="2:17" ht="16.2" x14ac:dyDescent="0.3">
      <c r="B49" s="37" t="s">
        <v>44</v>
      </c>
      <c r="Q49" s="144"/>
    </row>
    <row r="50" spans="2:17" x14ac:dyDescent="0.3">
      <c r="Q50" s="144"/>
    </row>
    <row r="52" spans="2:17" x14ac:dyDescent="0.3">
      <c r="Q52" s="146"/>
    </row>
    <row r="55" spans="2:17" x14ac:dyDescent="0.3">
      <c r="Q55" s="144"/>
    </row>
    <row r="56" spans="2:17" x14ac:dyDescent="0.3">
      <c r="Q56" s="144"/>
    </row>
    <row r="57" spans="2:17" x14ac:dyDescent="0.3">
      <c r="Q57" s="144"/>
    </row>
    <row r="58" spans="2:17" x14ac:dyDescent="0.3">
      <c r="Q58" s="144"/>
    </row>
    <row r="59" spans="2:17" x14ac:dyDescent="0.3">
      <c r="Q59" s="144"/>
    </row>
    <row r="60" spans="2:17" x14ac:dyDescent="0.3">
      <c r="Q60" s="144"/>
    </row>
    <row r="62" spans="2:17" x14ac:dyDescent="0.3">
      <c r="Q62" s="156"/>
    </row>
    <row r="64" spans="2:17" x14ac:dyDescent="0.3">
      <c r="P64" s="170"/>
    </row>
    <row r="67" spans="16:16" x14ac:dyDescent="0.3">
      <c r="P67" s="171"/>
    </row>
    <row r="69" spans="16:16" x14ac:dyDescent="0.3">
      <c r="P69" s="146"/>
    </row>
    <row r="70" spans="16:16" ht="15.75" customHeight="1" x14ac:dyDescent="0.3">
      <c r="P70" s="146"/>
    </row>
    <row r="71" spans="16:16" x14ac:dyDescent="0.3">
      <c r="P71" s="144"/>
    </row>
    <row r="72" spans="16:16" x14ac:dyDescent="0.3">
      <c r="P72" s="146"/>
    </row>
    <row r="73" spans="16:16" x14ac:dyDescent="0.3">
      <c r="P73" s="146"/>
    </row>
    <row r="74" spans="16:16" x14ac:dyDescent="0.3">
      <c r="P74" s="146"/>
    </row>
    <row r="78" spans="16:16" x14ac:dyDescent="0.3">
      <c r="P78" s="144"/>
    </row>
    <row r="81" spans="16:18" x14ac:dyDescent="0.3">
      <c r="P81" s="156"/>
    </row>
    <row r="82" spans="16:18" x14ac:dyDescent="0.3">
      <c r="P82" s="156"/>
    </row>
    <row r="83" spans="16:18" x14ac:dyDescent="0.3">
      <c r="P83" s="144"/>
      <c r="R83" s="149"/>
    </row>
    <row r="84" spans="16:18" x14ac:dyDescent="0.3">
      <c r="P84" s="144"/>
    </row>
    <row r="85" spans="16:18" x14ac:dyDescent="0.3">
      <c r="P85" s="144"/>
    </row>
    <row r="86" spans="16:18" x14ac:dyDescent="0.3">
      <c r="P86" s="156"/>
    </row>
    <row r="87" spans="16:18" x14ac:dyDescent="0.3">
      <c r="P87" s="144"/>
    </row>
    <row r="88" spans="16:18" x14ac:dyDescent="0.3">
      <c r="P88" s="144"/>
    </row>
    <row r="89" spans="16:18" x14ac:dyDescent="0.3">
      <c r="P89" s="144"/>
    </row>
    <row r="90" spans="16:18" x14ac:dyDescent="0.3">
      <c r="P90" s="156"/>
    </row>
    <row r="91" spans="16:18" x14ac:dyDescent="0.3">
      <c r="P91" s="144"/>
    </row>
    <row r="92" spans="16:18" x14ac:dyDescent="0.3">
      <c r="P92" s="144"/>
    </row>
    <row r="93" spans="16:18" x14ac:dyDescent="0.3">
      <c r="P93" s="156"/>
    </row>
    <row r="94" spans="16:18" x14ac:dyDescent="0.3">
      <c r="P94" s="156"/>
    </row>
    <row r="95" spans="16:18" x14ac:dyDescent="0.3">
      <c r="P95" s="156"/>
    </row>
    <row r="103" spans="18:18" x14ac:dyDescent="0.3">
      <c r="R103" s="144"/>
    </row>
    <row r="105" spans="18:18" x14ac:dyDescent="0.3">
      <c r="R105" s="144"/>
    </row>
    <row r="106" spans="18:18" x14ac:dyDescent="0.3">
      <c r="R106" s="144"/>
    </row>
    <row r="109" spans="18:18" x14ac:dyDescent="0.3">
      <c r="R109" s="148"/>
    </row>
    <row r="110" spans="18:18" x14ac:dyDescent="0.3">
      <c r="R110" s="144"/>
    </row>
    <row r="112" spans="18:18" x14ac:dyDescent="0.3">
      <c r="R112" s="149"/>
    </row>
    <row r="113" spans="16:20" x14ac:dyDescent="0.3">
      <c r="R113" s="172"/>
    </row>
    <row r="114" spans="16:20" x14ac:dyDescent="0.3">
      <c r="Q114" s="144"/>
    </row>
    <row r="115" spans="16:20" x14ac:dyDescent="0.3">
      <c r="Q115" s="144"/>
    </row>
    <row r="117" spans="16:20" x14ac:dyDescent="0.3">
      <c r="Q117" s="173"/>
      <c r="R117" s="174"/>
      <c r="T117" s="174"/>
    </row>
    <row r="118" spans="16:20" x14ac:dyDescent="0.3">
      <c r="Q118" s="149"/>
      <c r="R118" s="149"/>
      <c r="S118" s="148"/>
      <c r="T118" s="149"/>
    </row>
    <row r="119" spans="16:20" x14ac:dyDescent="0.3">
      <c r="Q119" s="149"/>
      <c r="R119" s="149"/>
      <c r="S119" s="148"/>
      <c r="T119" s="149"/>
    </row>
    <row r="120" spans="16:20" x14ac:dyDescent="0.3">
      <c r="Q120" s="149"/>
      <c r="R120" s="149"/>
      <c r="S120" s="148"/>
      <c r="T120" s="149"/>
    </row>
    <row r="121" spans="16:20" x14ac:dyDescent="0.3">
      <c r="Q121" s="175"/>
      <c r="R121" s="175"/>
      <c r="S121" s="175"/>
      <c r="T121" s="175"/>
    </row>
    <row r="126" spans="16:20" x14ac:dyDescent="0.3">
      <c r="P126" s="176"/>
    </row>
    <row r="128" spans="16:20" x14ac:dyDescent="0.3">
      <c r="P128" s="146"/>
    </row>
    <row r="129" spans="15:20" x14ac:dyDescent="0.3">
      <c r="P129" s="146"/>
    </row>
    <row r="130" spans="15:20" x14ac:dyDescent="0.3">
      <c r="P130" s="146"/>
    </row>
    <row r="131" spans="15:20" x14ac:dyDescent="0.3">
      <c r="P131" s="146"/>
    </row>
    <row r="132" spans="15:20" x14ac:dyDescent="0.3">
      <c r="Q132" s="177"/>
    </row>
    <row r="135" spans="15:20" x14ac:dyDescent="0.3">
      <c r="P135" s="148"/>
      <c r="R135" s="178"/>
      <c r="S135" s="178"/>
      <c r="T135" s="179"/>
    </row>
    <row r="136" spans="15:20" x14ac:dyDescent="0.3">
      <c r="R136" s="146"/>
      <c r="S136" s="180"/>
      <c r="T136" s="146"/>
    </row>
    <row r="137" spans="15:20" x14ac:dyDescent="0.3">
      <c r="R137" s="146"/>
      <c r="S137" s="180"/>
      <c r="T137" s="146"/>
    </row>
    <row r="138" spans="15:20" x14ac:dyDescent="0.3">
      <c r="R138" s="181"/>
      <c r="S138" s="182"/>
      <c r="T138" s="146"/>
    </row>
    <row r="139" spans="15:20" x14ac:dyDescent="0.3">
      <c r="R139" s="146"/>
      <c r="S139" s="146"/>
      <c r="T139" s="146"/>
    </row>
    <row r="143" spans="15:20" x14ac:dyDescent="0.3">
      <c r="O143" s="145"/>
    </row>
  </sheetData>
  <sheetProtection algorithmName="SHA-512" hashValue="grHYVEYY6vyZ9p/cE60u+yec/cGcCSr9Py0M14VXlPnTHBRxPkkXgtg/mpS9pYlPU6aIBmASliiVJn083hzPGw==" saltValue="5UZYIUaXv+1WscsJ6G8Ylw==" spinCount="100000" sheet="1" objects="1" scenarios="1" formatCells="0" formatColumns="0" formatRows="0" insertColumns="0" insertRows="0"/>
  <mergeCells count="22">
    <mergeCell ref="C35:D35"/>
    <mergeCell ref="C36:D36"/>
    <mergeCell ref="B38:L39"/>
    <mergeCell ref="B45:M48"/>
    <mergeCell ref="C29:D29"/>
    <mergeCell ref="C30:D30"/>
    <mergeCell ref="C31:D31"/>
    <mergeCell ref="C32:D32"/>
    <mergeCell ref="C33:D33"/>
    <mergeCell ref="C34:D34"/>
    <mergeCell ref="C25:D25"/>
    <mergeCell ref="A5:M8"/>
    <mergeCell ref="P7:Z9"/>
    <mergeCell ref="AC7:AK9"/>
    <mergeCell ref="B9:E14"/>
    <mergeCell ref="B18:B19"/>
    <mergeCell ref="C18:D19"/>
    <mergeCell ref="B20:B21"/>
    <mergeCell ref="C20:D21"/>
    <mergeCell ref="C22:D22"/>
    <mergeCell ref="C23:D23"/>
    <mergeCell ref="C24:D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AB6A-3F7C-41C8-A920-DF9414F6DDC6}">
  <dimension ref="A1:Z56"/>
  <sheetViews>
    <sheetView topLeftCell="D2" zoomScale="80" zoomScaleNormal="80" zoomScaleSheetLayoutView="100" workbookViewId="0">
      <selection activeCell="R21" sqref="R21"/>
    </sheetView>
  </sheetViews>
  <sheetFormatPr defaultColWidth="9.33203125" defaultRowHeight="15.6" x14ac:dyDescent="0.3"/>
  <cols>
    <col min="1" max="1" width="3.6640625" style="8" customWidth="1"/>
    <col min="2" max="2" width="39" style="8" customWidth="1"/>
    <col min="3" max="6" width="15.5546875" style="8" customWidth="1"/>
    <col min="7" max="7" width="10" style="8" bestFit="1" customWidth="1"/>
    <col min="8" max="8" width="6.88671875" style="8" bestFit="1" customWidth="1"/>
    <col min="9" max="9" width="10" style="8" bestFit="1" customWidth="1"/>
    <col min="10" max="10" width="6.88671875" style="8" bestFit="1" customWidth="1"/>
    <col min="11" max="11" width="10" style="8" bestFit="1" customWidth="1"/>
    <col min="12" max="12" width="2.6640625" style="8" customWidth="1"/>
    <col min="13" max="13" width="1" style="9" customWidth="1"/>
    <col min="14" max="14" width="4" style="1" customWidth="1"/>
    <col min="15" max="16" width="9.44140625" style="1" customWidth="1"/>
    <col min="17" max="24" width="14.5546875" style="1" customWidth="1"/>
    <col min="25" max="25" width="10.109375" style="1" customWidth="1"/>
    <col min="26" max="26" width="1" style="62" customWidth="1"/>
    <col min="27" max="16384" width="9.33203125" style="1"/>
  </cols>
  <sheetData>
    <row r="1" spans="1:25" x14ac:dyDescent="0.3">
      <c r="A1" s="7" t="s">
        <v>27</v>
      </c>
      <c r="N1" s="7" t="s">
        <v>27</v>
      </c>
      <c r="O1" s="8"/>
      <c r="P1" s="8"/>
      <c r="Q1" s="8"/>
      <c r="R1" s="8"/>
      <c r="S1" s="8"/>
      <c r="T1" s="8"/>
      <c r="U1" s="8"/>
      <c r="V1" s="8"/>
      <c r="W1" s="8"/>
      <c r="X1" s="8"/>
      <c r="Y1" s="8"/>
    </row>
    <row r="2" spans="1:25" x14ac:dyDescent="0.3">
      <c r="A2" s="7" t="s">
        <v>13</v>
      </c>
      <c r="N2" s="7" t="s">
        <v>13</v>
      </c>
      <c r="O2" s="8"/>
      <c r="P2" s="8"/>
      <c r="Q2" s="8"/>
      <c r="R2" s="8"/>
      <c r="S2" s="8"/>
      <c r="T2" s="8"/>
      <c r="U2" s="8"/>
      <c r="V2" s="8"/>
      <c r="W2" s="8"/>
      <c r="X2" s="8"/>
      <c r="Y2" s="8"/>
    </row>
    <row r="3" spans="1:25" x14ac:dyDescent="0.3">
      <c r="A3" s="7" t="s">
        <v>182</v>
      </c>
      <c r="N3" s="7" t="s">
        <v>182</v>
      </c>
      <c r="O3" s="8"/>
      <c r="P3" s="8"/>
      <c r="Q3" s="8"/>
      <c r="R3" s="8"/>
      <c r="S3" s="8"/>
      <c r="T3" s="8"/>
      <c r="U3" s="8"/>
      <c r="V3" s="8"/>
      <c r="W3" s="8"/>
      <c r="X3" s="8"/>
      <c r="Y3" s="8"/>
    </row>
    <row r="4" spans="1:25" x14ac:dyDescent="0.3">
      <c r="N4" s="8"/>
      <c r="O4" s="8"/>
      <c r="P4" s="8"/>
      <c r="Q4" s="8"/>
      <c r="R4" s="8"/>
      <c r="S4" s="8"/>
      <c r="T4" s="8"/>
      <c r="U4" s="8"/>
      <c r="V4" s="8"/>
      <c r="W4" s="8"/>
      <c r="X4" s="8"/>
      <c r="Y4" s="8"/>
    </row>
    <row r="5" spans="1:25" ht="16.2" x14ac:dyDescent="0.35">
      <c r="A5" s="30" t="s">
        <v>70</v>
      </c>
      <c r="N5" s="30" t="s">
        <v>183</v>
      </c>
      <c r="O5" s="8"/>
      <c r="P5" s="8"/>
      <c r="Q5" s="8"/>
      <c r="R5" s="8"/>
      <c r="S5" s="8"/>
      <c r="T5" s="8"/>
      <c r="U5" s="8"/>
      <c r="V5" s="8"/>
      <c r="W5" s="8"/>
      <c r="X5" s="8"/>
      <c r="Y5" s="8"/>
    </row>
    <row r="6" spans="1:25" x14ac:dyDescent="0.3">
      <c r="A6" s="63"/>
      <c r="N6" s="8"/>
      <c r="O6" s="8"/>
      <c r="P6" s="8"/>
      <c r="Q6" s="8"/>
      <c r="R6" s="8"/>
      <c r="S6" s="8"/>
      <c r="T6" s="8"/>
      <c r="U6" s="8"/>
      <c r="V6" s="8"/>
      <c r="W6" s="8"/>
      <c r="X6" s="8"/>
      <c r="Y6" s="8"/>
    </row>
    <row r="7" spans="1:25" ht="15.75" customHeight="1" x14ac:dyDescent="0.3">
      <c r="A7" s="63" t="s">
        <v>184</v>
      </c>
      <c r="N7" s="8" t="s">
        <v>185</v>
      </c>
      <c r="O7" s="200" t="s">
        <v>186</v>
      </c>
      <c r="P7" s="200"/>
      <c r="Q7" s="200"/>
      <c r="R7" s="200"/>
      <c r="S7" s="200"/>
      <c r="T7" s="200"/>
      <c r="U7" s="200"/>
      <c r="V7" s="200"/>
      <c r="W7" s="200"/>
      <c r="X7" s="200"/>
      <c r="Y7" s="200"/>
    </row>
    <row r="8" spans="1:25" x14ac:dyDescent="0.3">
      <c r="N8" s="8"/>
      <c r="O8" s="65"/>
      <c r="P8" s="8"/>
      <c r="Q8" s="8"/>
      <c r="R8" s="8"/>
      <c r="S8" s="8"/>
      <c r="T8" s="66"/>
      <c r="U8" s="67"/>
      <c r="V8" s="67"/>
      <c r="W8" s="67"/>
      <c r="X8" s="67"/>
      <c r="Y8" s="67"/>
    </row>
    <row r="9" spans="1:25" x14ac:dyDescent="0.3">
      <c r="B9" s="64" t="s">
        <v>76</v>
      </c>
      <c r="C9" s="64"/>
      <c r="D9" s="64"/>
      <c r="E9" s="64"/>
      <c r="F9" s="64"/>
      <c r="G9" s="64"/>
      <c r="H9" s="64"/>
      <c r="I9" s="64"/>
      <c r="J9" s="64"/>
      <c r="K9" s="64"/>
      <c r="N9" s="8"/>
      <c r="O9" s="65" t="s">
        <v>77</v>
      </c>
      <c r="P9" s="8"/>
      <c r="Q9" s="8"/>
      <c r="R9" s="8"/>
      <c r="S9" s="8"/>
      <c r="T9" s="66"/>
      <c r="U9" s="67"/>
      <c r="V9" s="67"/>
      <c r="W9" s="67"/>
      <c r="X9" s="67"/>
      <c r="Y9" s="67"/>
    </row>
    <row r="10" spans="1:25" x14ac:dyDescent="0.3">
      <c r="B10" s="68"/>
      <c r="C10" s="68"/>
      <c r="D10" s="68"/>
      <c r="E10" s="68"/>
      <c r="F10" s="68"/>
      <c r="G10" s="68"/>
      <c r="H10" s="68"/>
      <c r="I10" s="68"/>
      <c r="J10" s="68"/>
      <c r="K10" s="68"/>
      <c r="N10" s="8"/>
      <c r="O10" s="65"/>
      <c r="P10" s="8"/>
      <c r="Q10" s="8"/>
      <c r="R10" s="8"/>
      <c r="S10" s="8"/>
      <c r="T10" s="70"/>
      <c r="U10" s="67"/>
      <c r="V10" s="67"/>
      <c r="W10" s="67"/>
      <c r="X10" s="67"/>
      <c r="Y10" s="67"/>
    </row>
    <row r="11" spans="1:25" x14ac:dyDescent="0.3">
      <c r="B11" s="69" t="s">
        <v>187</v>
      </c>
      <c r="C11" s="183">
        <v>1</v>
      </c>
      <c r="D11" s="183">
        <v>2</v>
      </c>
      <c r="E11" s="183">
        <v>3</v>
      </c>
      <c r="F11" s="183">
        <v>4</v>
      </c>
      <c r="G11" s="141"/>
      <c r="H11" s="141"/>
      <c r="I11" s="141"/>
      <c r="J11" s="217"/>
      <c r="K11" s="217"/>
      <c r="N11" s="8"/>
      <c r="O11" s="65" t="s">
        <v>80</v>
      </c>
      <c r="P11" s="8"/>
      <c r="Q11" s="8"/>
      <c r="R11" s="8"/>
      <c r="S11" s="8"/>
      <c r="T11" s="70"/>
      <c r="U11" s="67"/>
      <c r="V11" s="67"/>
      <c r="W11" s="67"/>
      <c r="X11" s="67"/>
      <c r="Y11" s="67"/>
    </row>
    <row r="12" spans="1:25" ht="15.75" customHeight="1" x14ac:dyDescent="0.3">
      <c r="B12" s="69" t="s">
        <v>188</v>
      </c>
      <c r="C12" s="184">
        <v>200000</v>
      </c>
      <c r="D12" s="184">
        <v>220000</v>
      </c>
      <c r="E12" s="184">
        <v>230000</v>
      </c>
      <c r="F12" s="184">
        <v>250000</v>
      </c>
      <c r="G12" s="185"/>
      <c r="H12" s="218"/>
      <c r="I12" s="218"/>
      <c r="J12" s="218"/>
      <c r="K12" s="218"/>
      <c r="N12" s="8"/>
      <c r="O12" s="140"/>
      <c r="P12" s="140"/>
      <c r="Q12" s="140"/>
      <c r="R12" s="140"/>
      <c r="S12" s="140"/>
      <c r="T12" s="140"/>
      <c r="U12" s="140"/>
      <c r="V12" s="140"/>
      <c r="W12" s="140"/>
      <c r="X12" s="140"/>
      <c r="Y12" s="140"/>
    </row>
    <row r="13" spans="1:25" x14ac:dyDescent="0.3">
      <c r="B13" s="69" t="s">
        <v>189</v>
      </c>
      <c r="C13" s="186">
        <v>0.04</v>
      </c>
      <c r="D13" s="186">
        <v>0.06</v>
      </c>
      <c r="E13" s="186">
        <v>-0.02</v>
      </c>
      <c r="F13" s="186">
        <v>0.05</v>
      </c>
      <c r="G13" s="141"/>
      <c r="H13" s="77"/>
      <c r="I13" s="141"/>
      <c r="J13" s="77"/>
      <c r="K13" s="141"/>
      <c r="N13" s="8"/>
      <c r="O13" s="79" t="s">
        <v>82</v>
      </c>
      <c r="P13" s="140"/>
      <c r="Q13" s="140"/>
      <c r="R13" s="140"/>
      <c r="S13" s="140"/>
      <c r="T13" s="140"/>
      <c r="U13" s="140"/>
      <c r="V13" s="140"/>
      <c r="W13" s="140"/>
      <c r="X13" s="140"/>
      <c r="Y13" s="140"/>
    </row>
    <row r="14" spans="1:25" x14ac:dyDescent="0.3">
      <c r="N14" s="8"/>
      <c r="O14" s="65"/>
      <c r="P14" s="8"/>
      <c r="Q14" s="8"/>
      <c r="R14" s="8"/>
      <c r="S14" s="8"/>
      <c r="T14" s="70"/>
      <c r="U14" s="67"/>
      <c r="V14" s="67"/>
      <c r="W14" s="67"/>
      <c r="X14" s="67"/>
      <c r="Y14" s="67"/>
    </row>
    <row r="15" spans="1:25" x14ac:dyDescent="0.3">
      <c r="B15" s="8" t="s">
        <v>190</v>
      </c>
      <c r="N15" s="8"/>
      <c r="O15" s="65"/>
      <c r="P15" s="8"/>
      <c r="Q15" s="8"/>
      <c r="R15" s="8"/>
      <c r="S15" s="8"/>
      <c r="T15" s="70"/>
      <c r="U15" s="67"/>
      <c r="V15" s="67"/>
      <c r="W15" s="67"/>
      <c r="X15" s="67"/>
      <c r="Y15" s="67"/>
    </row>
    <row r="16" spans="1:25" x14ac:dyDescent="0.3">
      <c r="N16" s="8"/>
      <c r="O16" s="65"/>
      <c r="P16" s="8"/>
      <c r="Q16" s="8"/>
      <c r="R16" s="8"/>
      <c r="S16" s="8"/>
      <c r="T16" s="70"/>
      <c r="U16" s="67"/>
      <c r="V16" s="67"/>
      <c r="W16" s="67"/>
      <c r="X16" s="67"/>
      <c r="Y16" s="67"/>
    </row>
    <row r="17" spans="2:24" x14ac:dyDescent="0.3">
      <c r="B17" s="78" t="s">
        <v>191</v>
      </c>
    </row>
    <row r="19" spans="2:24" x14ac:dyDescent="0.3">
      <c r="B19" s="8" t="s">
        <v>192</v>
      </c>
      <c r="O19" s="187" t="s">
        <v>193</v>
      </c>
    </row>
    <row r="20" spans="2:24" x14ac:dyDescent="0.3">
      <c r="B20" s="8" t="s">
        <v>194</v>
      </c>
    </row>
    <row r="21" spans="2:24" ht="109.2" x14ac:dyDescent="0.3">
      <c r="B21" s="65"/>
      <c r="C21" s="65"/>
      <c r="D21" s="65"/>
      <c r="E21" s="65"/>
      <c r="F21" s="65"/>
      <c r="G21" s="65"/>
      <c r="H21" s="65"/>
      <c r="I21" s="65"/>
      <c r="J21" s="65"/>
      <c r="K21" s="65"/>
      <c r="P21" s="188" t="s">
        <v>195</v>
      </c>
      <c r="T21" s="189" t="s">
        <v>196</v>
      </c>
      <c r="U21" s="189" t="s">
        <v>197</v>
      </c>
      <c r="V21" s="189" t="s">
        <v>198</v>
      </c>
      <c r="W21" s="48" t="s">
        <v>199</v>
      </c>
      <c r="X21" s="189" t="s">
        <v>200</v>
      </c>
    </row>
    <row r="22" spans="2:24" ht="46.8" x14ac:dyDescent="0.3">
      <c r="B22" s="78"/>
      <c r="C22" s="65"/>
      <c r="D22" s="65"/>
      <c r="E22" s="65"/>
      <c r="F22" s="65"/>
      <c r="G22" s="65"/>
      <c r="H22" s="65"/>
      <c r="I22" s="65"/>
      <c r="J22" s="65"/>
      <c r="K22" s="65"/>
      <c r="O22" s="48"/>
      <c r="P22" s="6" t="s">
        <v>187</v>
      </c>
      <c r="Q22" s="6" t="s">
        <v>188</v>
      </c>
      <c r="R22" s="6" t="s">
        <v>201</v>
      </c>
      <c r="S22" s="6" t="s">
        <v>202</v>
      </c>
      <c r="T22" s="190" t="s">
        <v>203</v>
      </c>
      <c r="U22" s="190" t="s">
        <v>204</v>
      </c>
      <c r="V22" s="190" t="s">
        <v>201</v>
      </c>
      <c r="W22" s="190" t="s">
        <v>205</v>
      </c>
      <c r="X22" s="190" t="s">
        <v>206</v>
      </c>
    </row>
    <row r="23" spans="2:24" x14ac:dyDescent="0.3">
      <c r="P23" s="1">
        <f>$C$11</f>
        <v>1</v>
      </c>
      <c r="Q23" s="191">
        <f>$C$12</f>
        <v>200000</v>
      </c>
      <c r="R23" s="192">
        <f>$C$13</f>
        <v>0.04</v>
      </c>
      <c r="S23" s="193">
        <v>0</v>
      </c>
      <c r="T23" s="191">
        <f>18%*Q23</f>
        <v>36000</v>
      </c>
      <c r="U23" s="191">
        <f>-0.5*T23</f>
        <v>-18000</v>
      </c>
      <c r="V23" s="191">
        <f>R23/2*(T23+U23)+R23*S23</f>
        <v>360</v>
      </c>
      <c r="W23" s="191">
        <f>-0.5*V23</f>
        <v>-180</v>
      </c>
      <c r="X23" s="191">
        <f>S23+T23+U23+V23+W23</f>
        <v>18180</v>
      </c>
    </row>
    <row r="24" spans="2:24" x14ac:dyDescent="0.3">
      <c r="P24" s="1">
        <f>$D$11</f>
        <v>2</v>
      </c>
      <c r="Q24" s="191">
        <f>$D$12</f>
        <v>220000</v>
      </c>
      <c r="R24" s="192">
        <f>$D$13</f>
        <v>0.06</v>
      </c>
      <c r="S24" s="193">
        <f>X23</f>
        <v>18180</v>
      </c>
      <c r="T24" s="191">
        <f t="shared" ref="T24:T26" si="0">18%*Q24</f>
        <v>39600</v>
      </c>
      <c r="U24" s="191">
        <f t="shared" ref="U24:U26" si="1">-0.5*T24</f>
        <v>-19800</v>
      </c>
      <c r="V24" s="191">
        <f t="shared" ref="V24:V26" si="2">R24/2*(T24+U24)+R24*S24</f>
        <v>1684.8</v>
      </c>
      <c r="W24" s="191">
        <f t="shared" ref="W24:W26" si="3">-0.5*V24</f>
        <v>-842.4</v>
      </c>
      <c r="X24" s="191">
        <f t="shared" ref="X24:X26" si="4">S24+T24+U24+V24+W24</f>
        <v>38822.400000000001</v>
      </c>
    </row>
    <row r="25" spans="2:24" x14ac:dyDescent="0.3">
      <c r="P25" s="1">
        <f>$E$11</f>
        <v>3</v>
      </c>
      <c r="Q25" s="191">
        <f>$E$12</f>
        <v>230000</v>
      </c>
      <c r="R25" s="192">
        <f>$E$13</f>
        <v>-0.02</v>
      </c>
      <c r="S25" s="193">
        <f t="shared" ref="S25:S26" si="5">X24</f>
        <v>38822.400000000001</v>
      </c>
      <c r="T25" s="191">
        <f t="shared" si="0"/>
        <v>41400</v>
      </c>
      <c r="U25" s="191">
        <f t="shared" si="1"/>
        <v>-20700</v>
      </c>
      <c r="V25" s="191">
        <f t="shared" si="2"/>
        <v>-983.44800000000009</v>
      </c>
      <c r="W25" s="191">
        <f t="shared" si="3"/>
        <v>491.72400000000005</v>
      </c>
      <c r="X25" s="191">
        <f t="shared" si="4"/>
        <v>59030.675999999999</v>
      </c>
    </row>
    <row r="26" spans="2:24" x14ac:dyDescent="0.3">
      <c r="O26" s="194"/>
      <c r="P26" s="1">
        <f>$F$11</f>
        <v>4</v>
      </c>
      <c r="Q26" s="191">
        <f>$F$12</f>
        <v>250000</v>
      </c>
      <c r="R26" s="192">
        <f>$F$13</f>
        <v>0.05</v>
      </c>
      <c r="S26" s="193">
        <f t="shared" si="5"/>
        <v>59030.675999999999</v>
      </c>
      <c r="T26" s="191">
        <f t="shared" si="0"/>
        <v>45000</v>
      </c>
      <c r="U26" s="191">
        <f t="shared" si="1"/>
        <v>-22500</v>
      </c>
      <c r="V26" s="191">
        <f t="shared" si="2"/>
        <v>3514.0338000000002</v>
      </c>
      <c r="W26" s="191">
        <f t="shared" si="3"/>
        <v>-1757.0169000000001</v>
      </c>
      <c r="X26" s="191">
        <f t="shared" si="4"/>
        <v>83287.692900000009</v>
      </c>
    </row>
    <row r="27" spans="2:24" x14ac:dyDescent="0.3">
      <c r="O27" s="194"/>
    </row>
    <row r="28" spans="2:24" ht="17.399999999999999" x14ac:dyDescent="0.45">
      <c r="O28" s="194"/>
      <c r="Q28" s="195"/>
      <c r="R28" s="2"/>
      <c r="S28" s="4"/>
      <c r="W28" s="196" t="s">
        <v>207</v>
      </c>
      <c r="X28" s="191">
        <f>X26</f>
        <v>83287.692900000009</v>
      </c>
    </row>
    <row r="29" spans="2:24" x14ac:dyDescent="0.3">
      <c r="O29" s="194"/>
      <c r="P29" s="188" t="s">
        <v>208</v>
      </c>
      <c r="S29" s="5"/>
    </row>
    <row r="30" spans="2:24" ht="31.2" x14ac:dyDescent="0.3">
      <c r="O30" s="194"/>
      <c r="P30" s="6" t="s">
        <v>187</v>
      </c>
      <c r="Q30" s="6" t="s">
        <v>202</v>
      </c>
      <c r="R30" s="6" t="s">
        <v>203</v>
      </c>
      <c r="S30" s="6" t="s">
        <v>209</v>
      </c>
      <c r="T30" s="6" t="s">
        <v>206</v>
      </c>
    </row>
    <row r="31" spans="2:24" x14ac:dyDescent="0.3">
      <c r="P31" s="1">
        <f>P23</f>
        <v>1</v>
      </c>
      <c r="Q31" s="191">
        <v>0</v>
      </c>
      <c r="R31" s="191">
        <f>-U23</f>
        <v>18000</v>
      </c>
      <c r="S31" s="191">
        <f>-W23</f>
        <v>180</v>
      </c>
      <c r="T31" s="191">
        <f>Q31+R31+S31</f>
        <v>18180</v>
      </c>
    </row>
    <row r="32" spans="2:24" x14ac:dyDescent="0.3">
      <c r="P32" s="1">
        <f t="shared" ref="P32:P34" si="6">P24</f>
        <v>2</v>
      </c>
      <c r="Q32" s="191">
        <f>T31</f>
        <v>18180</v>
      </c>
      <c r="R32" s="191">
        <f t="shared" ref="R32:R34" si="7">-U24</f>
        <v>19800</v>
      </c>
      <c r="S32" s="191">
        <f t="shared" ref="S32:S34" si="8">-W24</f>
        <v>842.4</v>
      </c>
      <c r="T32" s="191">
        <f t="shared" ref="T32:T34" si="9">Q32+R32+S32</f>
        <v>38822.400000000001</v>
      </c>
    </row>
    <row r="33" spans="15:24" x14ac:dyDescent="0.3">
      <c r="P33" s="1">
        <f t="shared" si="6"/>
        <v>3</v>
      </c>
      <c r="Q33" s="191">
        <f t="shared" ref="Q33:Q34" si="10">T32</f>
        <v>38822.400000000001</v>
      </c>
      <c r="R33" s="191">
        <f t="shared" si="7"/>
        <v>20700</v>
      </c>
      <c r="S33" s="191">
        <f t="shared" si="8"/>
        <v>-491.72400000000005</v>
      </c>
      <c r="T33" s="191">
        <f t="shared" si="9"/>
        <v>59030.675999999999</v>
      </c>
    </row>
    <row r="34" spans="15:24" x14ac:dyDescent="0.3">
      <c r="P34" s="1">
        <f t="shared" si="6"/>
        <v>4</v>
      </c>
      <c r="Q34" s="191">
        <f t="shared" si="10"/>
        <v>59030.675999999999</v>
      </c>
      <c r="R34" s="191">
        <f t="shared" si="7"/>
        <v>22500</v>
      </c>
      <c r="S34" s="191">
        <f t="shared" si="8"/>
        <v>1757.0169000000001</v>
      </c>
      <c r="T34" s="191">
        <f t="shared" si="9"/>
        <v>83287.692900000009</v>
      </c>
    </row>
    <row r="36" spans="15:24" x14ac:dyDescent="0.3">
      <c r="S36" s="196" t="s">
        <v>210</v>
      </c>
      <c r="T36" s="197">
        <f>T34</f>
        <v>83287.692900000009</v>
      </c>
    </row>
    <row r="38" spans="15:24" x14ac:dyDescent="0.3">
      <c r="O38" s="187" t="s">
        <v>211</v>
      </c>
      <c r="P38" s="6"/>
      <c r="Q38" s="6"/>
      <c r="R38" s="6"/>
      <c r="S38" s="6"/>
    </row>
    <row r="39" spans="15:24" x14ac:dyDescent="0.3">
      <c r="Q39" s="195"/>
      <c r="R39" s="2"/>
      <c r="S39" s="3"/>
    </row>
    <row r="40" spans="15:24" ht="78" x14ac:dyDescent="0.3">
      <c r="P40" s="188" t="s">
        <v>212</v>
      </c>
      <c r="Q40" s="195"/>
      <c r="R40" s="2"/>
      <c r="S40" s="3"/>
      <c r="T40" s="189" t="s">
        <v>196</v>
      </c>
      <c r="U40" s="189" t="s">
        <v>213</v>
      </c>
      <c r="V40" s="189" t="s">
        <v>214</v>
      </c>
      <c r="W40" s="189" t="s">
        <v>215</v>
      </c>
    </row>
    <row r="41" spans="15:24" ht="46.8" x14ac:dyDescent="0.3">
      <c r="P41" s="6" t="s">
        <v>187</v>
      </c>
      <c r="Q41" s="6" t="s">
        <v>188</v>
      </c>
      <c r="R41" s="6" t="s">
        <v>201</v>
      </c>
      <c r="S41" s="6" t="s">
        <v>216</v>
      </c>
      <c r="T41" s="190" t="s">
        <v>203</v>
      </c>
      <c r="U41" s="190" t="s">
        <v>201</v>
      </c>
      <c r="V41" s="6" t="s">
        <v>217</v>
      </c>
      <c r="W41" s="6" t="s">
        <v>218</v>
      </c>
      <c r="X41" s="6"/>
    </row>
    <row r="42" spans="15:24" x14ac:dyDescent="0.3">
      <c r="P42" s="1">
        <f>P23</f>
        <v>1</v>
      </c>
      <c r="Q42" s="191">
        <f>Q23</f>
        <v>200000</v>
      </c>
      <c r="R42" s="192">
        <f>R23</f>
        <v>0.04</v>
      </c>
      <c r="S42" s="191">
        <v>0</v>
      </c>
      <c r="T42" s="191">
        <f>Q42*18%</f>
        <v>36000</v>
      </c>
      <c r="U42" s="191">
        <f>S42*R42+T42*R42/2</f>
        <v>720</v>
      </c>
      <c r="V42" s="191">
        <f>S42+T42+U42</f>
        <v>36720</v>
      </c>
      <c r="W42" s="191">
        <f>V42*1.75%</f>
        <v>642.6</v>
      </c>
    </row>
    <row r="43" spans="15:24" x14ac:dyDescent="0.3">
      <c r="P43" s="1">
        <f t="shared" ref="P43:R45" si="11">P24</f>
        <v>2</v>
      </c>
      <c r="Q43" s="191">
        <f t="shared" si="11"/>
        <v>220000</v>
      </c>
      <c r="R43" s="192">
        <f t="shared" si="11"/>
        <v>0.06</v>
      </c>
      <c r="S43" s="191">
        <f>V42</f>
        <v>36720</v>
      </c>
      <c r="T43" s="191">
        <f t="shared" ref="T43:T45" si="12">Q43*18%</f>
        <v>39600</v>
      </c>
      <c r="U43" s="191">
        <f t="shared" ref="U43:U45" si="13">S43*R43+T43*R43/2</f>
        <v>3391.2</v>
      </c>
      <c r="V43" s="191">
        <f t="shared" ref="V43:V45" si="14">S43+T43+U43</f>
        <v>79711.199999999997</v>
      </c>
      <c r="W43" s="191">
        <f t="shared" ref="W43:W45" si="15">V43*1.75%</f>
        <v>1394.9460000000001</v>
      </c>
    </row>
    <row r="44" spans="15:24" x14ac:dyDescent="0.3">
      <c r="P44" s="1">
        <f t="shared" si="11"/>
        <v>3</v>
      </c>
      <c r="Q44" s="191">
        <f t="shared" si="11"/>
        <v>230000</v>
      </c>
      <c r="R44" s="192">
        <f t="shared" si="11"/>
        <v>-0.02</v>
      </c>
      <c r="S44" s="191">
        <f t="shared" ref="S44:S45" si="16">V43</f>
        <v>79711.199999999997</v>
      </c>
      <c r="T44" s="191">
        <f t="shared" si="12"/>
        <v>41400</v>
      </c>
      <c r="U44" s="191">
        <f t="shared" si="13"/>
        <v>-2008.2239999999999</v>
      </c>
      <c r="V44" s="191">
        <f t="shared" si="14"/>
        <v>119102.976</v>
      </c>
      <c r="W44" s="191">
        <f t="shared" si="15"/>
        <v>2084.3020799999999</v>
      </c>
    </row>
    <row r="45" spans="15:24" x14ac:dyDescent="0.3">
      <c r="P45" s="1">
        <f t="shared" si="11"/>
        <v>4</v>
      </c>
      <c r="Q45" s="191">
        <f t="shared" si="11"/>
        <v>250000</v>
      </c>
      <c r="R45" s="192">
        <f t="shared" si="11"/>
        <v>0.05</v>
      </c>
      <c r="S45" s="191">
        <f t="shared" si="16"/>
        <v>119102.976</v>
      </c>
      <c r="T45" s="191">
        <f t="shared" si="12"/>
        <v>45000</v>
      </c>
      <c r="U45" s="191">
        <f t="shared" si="13"/>
        <v>7080.1487999999999</v>
      </c>
      <c r="V45" s="191">
        <f t="shared" si="14"/>
        <v>171183.12479999999</v>
      </c>
      <c r="W45" s="191">
        <f t="shared" si="15"/>
        <v>2995.7046840000003</v>
      </c>
    </row>
    <row r="46" spans="15:24" x14ac:dyDescent="0.3">
      <c r="S46" s="5"/>
    </row>
    <row r="47" spans="15:24" x14ac:dyDescent="0.3">
      <c r="P47" s="1" t="s">
        <v>219</v>
      </c>
    </row>
    <row r="48" spans="15:24" x14ac:dyDescent="0.3">
      <c r="Q48" s="196"/>
      <c r="S48" s="5"/>
    </row>
    <row r="49" spans="16:19" x14ac:dyDescent="0.3">
      <c r="P49" s="188" t="s">
        <v>208</v>
      </c>
    </row>
    <row r="50" spans="16:19" x14ac:dyDescent="0.3">
      <c r="P50" s="6" t="s">
        <v>187</v>
      </c>
      <c r="Q50" s="6" t="s">
        <v>202</v>
      </c>
      <c r="R50" s="1" t="s">
        <v>218</v>
      </c>
      <c r="S50" s="6" t="s">
        <v>206</v>
      </c>
    </row>
    <row r="51" spans="16:19" x14ac:dyDescent="0.3">
      <c r="P51" s="1">
        <f>P23</f>
        <v>1</v>
      </c>
      <c r="Q51" s="191">
        <v>0</v>
      </c>
      <c r="R51" s="191">
        <f>W42</f>
        <v>642.6</v>
      </c>
      <c r="S51" s="191">
        <f>Q51+R51</f>
        <v>642.6</v>
      </c>
    </row>
    <row r="52" spans="16:19" x14ac:dyDescent="0.3">
      <c r="P52" s="1">
        <f t="shared" ref="P52:P54" si="17">P24</f>
        <v>2</v>
      </c>
      <c r="Q52" s="191">
        <f>S51</f>
        <v>642.6</v>
      </c>
      <c r="R52" s="191">
        <f t="shared" ref="R52:R54" si="18">W43</f>
        <v>1394.9460000000001</v>
      </c>
      <c r="S52" s="191">
        <f t="shared" ref="S52:S54" si="19">Q52+R52</f>
        <v>2037.5460000000003</v>
      </c>
    </row>
    <row r="53" spans="16:19" x14ac:dyDescent="0.3">
      <c r="P53" s="1">
        <f t="shared" si="17"/>
        <v>3</v>
      </c>
      <c r="Q53" s="191">
        <f t="shared" ref="Q53:Q54" si="20">S52</f>
        <v>2037.5460000000003</v>
      </c>
      <c r="R53" s="191">
        <f t="shared" si="18"/>
        <v>2084.3020799999999</v>
      </c>
      <c r="S53" s="191">
        <f t="shared" si="19"/>
        <v>4121.8480799999998</v>
      </c>
    </row>
    <row r="54" spans="16:19" x14ac:dyDescent="0.3">
      <c r="P54" s="1">
        <f t="shared" si="17"/>
        <v>4</v>
      </c>
      <c r="Q54" s="191">
        <f t="shared" si="20"/>
        <v>4121.8480799999998</v>
      </c>
      <c r="R54" s="191">
        <f t="shared" si="18"/>
        <v>2995.7046840000003</v>
      </c>
      <c r="S54" s="191">
        <f t="shared" si="19"/>
        <v>7117.552764</v>
      </c>
    </row>
    <row r="56" spans="16:19" x14ac:dyDescent="0.3">
      <c r="R56" s="196" t="s">
        <v>210</v>
      </c>
      <c r="S56" s="191">
        <f>S54</f>
        <v>7117.552764</v>
      </c>
    </row>
  </sheetData>
  <sheetProtection formatCells="0" formatColumns="0" formatRows="0" insertColumns="0" insertRows="0"/>
  <mergeCells count="4">
    <mergeCell ref="O7:Y7"/>
    <mergeCell ref="J11:K11"/>
    <mergeCell ref="H12:I12"/>
    <mergeCell ref="J12:K12"/>
  </mergeCells>
  <pageMargins left="0.7" right="0.7" top="0.75" bottom="0.75" header="0.3" footer="0.3"/>
  <pageSetup scale="68"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31A8-94B8-46C8-A51B-95F1D3C9F4B7}">
  <dimension ref="A1:AF126"/>
  <sheetViews>
    <sheetView zoomScale="80" zoomScaleNormal="80" zoomScaleSheetLayoutView="100" workbookViewId="0">
      <selection activeCell="T36" sqref="T36"/>
    </sheetView>
  </sheetViews>
  <sheetFormatPr defaultColWidth="9.33203125" defaultRowHeight="15.6" x14ac:dyDescent="0.3"/>
  <cols>
    <col min="1" max="1" width="3.6640625" style="8" customWidth="1"/>
    <col min="2" max="2" width="56.5546875" style="8" customWidth="1"/>
    <col min="3" max="3" width="24.33203125" style="8" customWidth="1"/>
    <col min="4" max="4" width="13.6640625" style="8" customWidth="1"/>
    <col min="5" max="5" width="6.88671875" style="8" bestFit="1" customWidth="1"/>
    <col min="6" max="6" width="10" style="8" hidden="1" customWidth="1"/>
    <col min="7" max="7" width="6.88671875" style="8" hidden="1" customWidth="1"/>
    <col min="8" max="8" width="10" style="8" hidden="1" customWidth="1"/>
    <col min="9" max="9" width="6.88671875" style="8" hidden="1" customWidth="1"/>
    <col min="10" max="10" width="10" style="8" hidden="1" customWidth="1"/>
    <col min="11" max="11" width="6.88671875" style="8" hidden="1" customWidth="1"/>
    <col min="12" max="12" width="10" style="8" hidden="1" customWidth="1"/>
    <col min="13" max="13" width="2.6640625" style="8" customWidth="1"/>
    <col min="14" max="14" width="1" style="9" customWidth="1"/>
    <col min="15" max="15" width="5.33203125" style="38" customWidth="1"/>
    <col min="16" max="16" width="59.109375" style="38" customWidth="1"/>
    <col min="17" max="20" width="16.5546875" style="38" customWidth="1"/>
    <col min="21" max="21" width="12.88671875" style="38" bestFit="1" customWidth="1"/>
    <col min="22" max="22" width="13.6640625" style="38" customWidth="1"/>
    <col min="23" max="23" width="9.109375" style="38"/>
    <col min="24" max="26" width="14.6640625" style="38" customWidth="1"/>
    <col min="27" max="27" width="1" style="9" customWidth="1"/>
    <col min="28" max="28" width="9.33203125" style="1"/>
    <col min="29" max="29" width="18.6640625" style="1" customWidth="1"/>
    <col min="30" max="30" width="9.33203125" style="1"/>
    <col min="31" max="31" width="14.5546875" style="1" bestFit="1" customWidth="1"/>
    <col min="32" max="16384" width="9.33203125" style="1"/>
  </cols>
  <sheetData>
    <row r="1" spans="1:29" x14ac:dyDescent="0.3">
      <c r="A1" s="7" t="s">
        <v>27</v>
      </c>
      <c r="O1" s="7" t="s">
        <v>27</v>
      </c>
      <c r="P1" s="8"/>
      <c r="Q1" s="8"/>
      <c r="R1" s="8"/>
      <c r="S1" s="8"/>
      <c r="T1" s="8"/>
      <c r="U1" s="8"/>
      <c r="V1" s="8"/>
      <c r="W1" s="8"/>
      <c r="X1" s="8"/>
      <c r="Y1" s="8"/>
      <c r="Z1" s="8"/>
    </row>
    <row r="2" spans="1:29" x14ac:dyDescent="0.3">
      <c r="A2" s="7" t="s">
        <v>13</v>
      </c>
      <c r="O2" s="7" t="s">
        <v>13</v>
      </c>
      <c r="P2" s="8"/>
      <c r="Q2" s="8"/>
      <c r="R2" s="8"/>
      <c r="S2" s="8"/>
      <c r="T2" s="8"/>
      <c r="U2" s="8"/>
      <c r="V2" s="8"/>
      <c r="W2" s="8"/>
      <c r="X2" s="8"/>
      <c r="Y2" s="8"/>
      <c r="Z2" s="8"/>
    </row>
    <row r="3" spans="1:29" x14ac:dyDescent="0.3">
      <c r="A3" s="7" t="s">
        <v>28</v>
      </c>
      <c r="O3" s="7" t="s">
        <v>28</v>
      </c>
      <c r="P3" s="8"/>
      <c r="Q3" s="8"/>
      <c r="R3" s="8"/>
      <c r="S3" s="8"/>
      <c r="T3" s="8"/>
      <c r="U3" s="8"/>
      <c r="V3" s="8"/>
      <c r="W3" s="8"/>
      <c r="X3" s="8"/>
      <c r="Y3" s="8"/>
      <c r="Z3" s="8"/>
    </row>
    <row r="4" spans="1:29" x14ac:dyDescent="0.3">
      <c r="O4" s="8"/>
      <c r="P4" s="8"/>
      <c r="Q4" s="8"/>
      <c r="R4" s="8"/>
      <c r="S4" s="8"/>
      <c r="T4" s="8"/>
      <c r="U4" s="8"/>
      <c r="V4" s="8"/>
      <c r="W4" s="8"/>
      <c r="X4" s="8"/>
      <c r="Y4" s="8"/>
      <c r="Z4" s="8"/>
    </row>
    <row r="5" spans="1:29" ht="16.2" x14ac:dyDescent="0.35">
      <c r="A5" s="199" t="s">
        <v>29</v>
      </c>
      <c r="B5" s="199"/>
      <c r="C5" s="199"/>
      <c r="D5" s="199"/>
      <c r="E5" s="199"/>
      <c r="F5" s="199"/>
      <c r="G5" s="199"/>
      <c r="H5" s="199"/>
      <c r="I5" s="199"/>
      <c r="J5" s="199"/>
      <c r="K5" s="199"/>
      <c r="L5" s="199"/>
      <c r="M5" s="199"/>
      <c r="O5" s="30" t="s">
        <v>30</v>
      </c>
      <c r="P5" s="8"/>
      <c r="Q5" s="8"/>
      <c r="R5" s="8"/>
      <c r="S5" s="8"/>
      <c r="T5" s="8"/>
      <c r="U5" s="8"/>
      <c r="V5" s="8"/>
      <c r="W5" s="8"/>
      <c r="X5" s="8"/>
      <c r="Y5" s="8"/>
      <c r="Z5" s="8"/>
    </row>
    <row r="6" spans="1:29" x14ac:dyDescent="0.3">
      <c r="A6" s="199"/>
      <c r="B6" s="199"/>
      <c r="C6" s="199"/>
      <c r="D6" s="199"/>
      <c r="E6" s="199"/>
      <c r="F6" s="199"/>
      <c r="G6" s="199"/>
      <c r="H6" s="199"/>
      <c r="I6" s="199"/>
      <c r="J6" s="199"/>
      <c r="K6" s="199"/>
      <c r="L6" s="199"/>
      <c r="M6" s="199"/>
      <c r="O6" s="8"/>
      <c r="P6" s="8"/>
      <c r="Q6" s="8"/>
      <c r="R6" s="8"/>
      <c r="S6" s="8"/>
      <c r="T6" s="8"/>
      <c r="U6" s="8"/>
      <c r="V6" s="8"/>
      <c r="W6" s="8"/>
      <c r="X6" s="8"/>
      <c r="Y6" s="8"/>
      <c r="Z6" s="8"/>
    </row>
    <row r="7" spans="1:29" ht="15.75" customHeight="1" x14ac:dyDescent="0.3">
      <c r="A7" s="199"/>
      <c r="B7" s="199"/>
      <c r="C7" s="199"/>
      <c r="D7" s="199"/>
      <c r="E7" s="199"/>
      <c r="F7" s="199"/>
      <c r="G7" s="199"/>
      <c r="H7" s="199"/>
      <c r="I7" s="199"/>
      <c r="J7" s="199"/>
      <c r="K7" s="199"/>
      <c r="L7" s="199"/>
      <c r="M7" s="199"/>
      <c r="O7" s="8" t="s">
        <v>31</v>
      </c>
      <c r="P7" s="200" t="str">
        <f>B27</f>
        <v xml:space="preserve">(7 points)  Calculate the revised 2021 Defined Benefit Cost, including the change to Other Comprehensive Income, under International Accounting Standard IAS 19, rev. 2011 (IAS 19).  
Show all work.
</v>
      </c>
      <c r="Q7" s="200"/>
      <c r="R7" s="200"/>
      <c r="S7" s="200"/>
      <c r="T7" s="200"/>
      <c r="U7" s="200"/>
      <c r="V7" s="200"/>
      <c r="W7" s="200"/>
      <c r="X7" s="200"/>
      <c r="Y7" s="200"/>
      <c r="Z7" s="200"/>
    </row>
    <row r="8" spans="1:29" x14ac:dyDescent="0.3">
      <c r="A8" s="199"/>
      <c r="B8" s="199"/>
      <c r="C8" s="199"/>
      <c r="D8" s="199"/>
      <c r="E8" s="199"/>
      <c r="F8" s="199"/>
      <c r="G8" s="199"/>
      <c r="H8" s="199"/>
      <c r="I8" s="199"/>
      <c r="J8" s="199"/>
      <c r="K8" s="199"/>
      <c r="L8" s="199"/>
      <c r="M8" s="199"/>
      <c r="O8" s="8"/>
      <c r="P8" s="200"/>
      <c r="Q8" s="200"/>
      <c r="R8" s="200"/>
      <c r="S8" s="200"/>
      <c r="T8" s="200"/>
      <c r="U8" s="200"/>
      <c r="V8" s="200"/>
      <c r="W8" s="200"/>
      <c r="X8" s="200"/>
      <c r="Y8" s="200"/>
      <c r="Z8" s="200"/>
    </row>
    <row r="9" spans="1:29" x14ac:dyDescent="0.3">
      <c r="A9" s="199"/>
      <c r="B9" s="199"/>
      <c r="C9" s="199"/>
      <c r="D9" s="199"/>
      <c r="E9" s="199"/>
      <c r="F9" s="199"/>
      <c r="G9" s="199"/>
      <c r="H9" s="199"/>
      <c r="I9" s="199"/>
      <c r="J9" s="199"/>
      <c r="K9" s="199"/>
      <c r="L9" s="199"/>
      <c r="M9" s="199"/>
      <c r="O9" s="8"/>
      <c r="P9" s="200"/>
      <c r="Q9" s="200"/>
      <c r="R9" s="200"/>
      <c r="S9" s="200"/>
      <c r="T9" s="200"/>
      <c r="U9" s="200"/>
      <c r="V9" s="200"/>
      <c r="W9" s="200"/>
      <c r="X9" s="200"/>
      <c r="Y9" s="200"/>
      <c r="Z9" s="200"/>
    </row>
    <row r="10" spans="1:29" x14ac:dyDescent="0.3">
      <c r="A10" s="199"/>
      <c r="B10" s="199"/>
      <c r="C10" s="199"/>
      <c r="D10" s="199"/>
      <c r="E10" s="199"/>
      <c r="F10" s="199"/>
      <c r="G10" s="199"/>
      <c r="H10" s="199"/>
      <c r="I10" s="199"/>
      <c r="J10" s="199"/>
      <c r="K10" s="199"/>
      <c r="L10" s="199"/>
      <c r="M10" s="199"/>
      <c r="O10" s="8"/>
      <c r="P10" s="200"/>
      <c r="Q10" s="200"/>
      <c r="R10" s="200"/>
      <c r="S10" s="200"/>
      <c r="T10" s="200"/>
      <c r="U10" s="200"/>
      <c r="V10" s="200"/>
      <c r="W10" s="200"/>
      <c r="X10" s="200"/>
      <c r="Y10" s="200"/>
      <c r="Z10" s="200"/>
    </row>
    <row r="11" spans="1:29" ht="15.6" customHeight="1" x14ac:dyDescent="0.3">
      <c r="O11" s="8"/>
      <c r="P11" s="200"/>
      <c r="Q11" s="200"/>
      <c r="R11" s="200"/>
      <c r="S11" s="200"/>
      <c r="T11" s="200"/>
      <c r="U11" s="200"/>
      <c r="V11" s="200"/>
      <c r="W11" s="200"/>
      <c r="X11" s="200"/>
      <c r="Y11" s="200"/>
      <c r="Z11" s="200"/>
    </row>
    <row r="12" spans="1:29" ht="15.6" customHeight="1" x14ac:dyDescent="0.3">
      <c r="B12" s="10" t="s">
        <v>32</v>
      </c>
      <c r="C12" s="31">
        <v>19000</v>
      </c>
      <c r="O12" s="1"/>
      <c r="P12" s="1"/>
      <c r="Q12" s="1"/>
      <c r="R12" s="1"/>
      <c r="S12" s="1"/>
      <c r="T12" s="1"/>
      <c r="U12" s="1"/>
      <c r="V12" s="1"/>
      <c r="W12" s="1"/>
      <c r="X12" s="1"/>
      <c r="Y12" s="1"/>
      <c r="Z12" s="1"/>
    </row>
    <row r="13" spans="1:29" ht="15.6" customHeight="1" x14ac:dyDescent="0.3">
      <c r="B13" s="10" t="s">
        <v>33</v>
      </c>
      <c r="C13" s="31">
        <v>21000</v>
      </c>
      <c r="O13" s="1"/>
      <c r="P13" s="1"/>
      <c r="Q13" s="1"/>
      <c r="R13" s="1"/>
      <c r="T13" s="47"/>
      <c r="U13" s="1"/>
      <c r="V13" s="48" t="s">
        <v>46</v>
      </c>
      <c r="W13" s="1"/>
      <c r="X13" s="1"/>
      <c r="Y13" s="1"/>
      <c r="Z13" s="1"/>
    </row>
    <row r="14" spans="1:29" ht="15.6" customHeight="1" x14ac:dyDescent="0.3">
      <c r="B14" s="10" t="s">
        <v>34</v>
      </c>
      <c r="C14" s="31">
        <v>21500</v>
      </c>
      <c r="O14" s="1"/>
      <c r="P14" s="13" t="s">
        <v>4</v>
      </c>
      <c r="Q14" s="14">
        <v>3.7499999999999999E-2</v>
      </c>
      <c r="R14" s="1"/>
      <c r="S14" s="1"/>
      <c r="T14" s="1"/>
      <c r="U14" s="1"/>
      <c r="V14" s="1"/>
      <c r="W14" s="1"/>
      <c r="X14" s="1"/>
      <c r="Y14" s="1"/>
      <c r="Z14" s="1"/>
    </row>
    <row r="15" spans="1:29" ht="15.6" customHeight="1" x14ac:dyDescent="0.3">
      <c r="B15" s="10" t="s">
        <v>35</v>
      </c>
      <c r="C15" s="31">
        <v>35849</v>
      </c>
      <c r="O15" s="1"/>
      <c r="P15" s="13" t="s">
        <v>14</v>
      </c>
      <c r="Q15" s="14">
        <f>+C19</f>
        <v>0.04</v>
      </c>
      <c r="R15" s="1"/>
      <c r="S15" s="1"/>
      <c r="T15" s="1"/>
      <c r="U15" s="1"/>
      <c r="V15" s="1"/>
      <c r="W15" s="1"/>
      <c r="X15" s="1"/>
      <c r="Y15" s="1"/>
      <c r="Z15" s="1"/>
      <c r="AC15" s="46"/>
    </row>
    <row r="16" spans="1:29" ht="15.6" customHeight="1" x14ac:dyDescent="0.3">
      <c r="B16" s="10" t="s">
        <v>1</v>
      </c>
      <c r="C16" s="11" t="s">
        <v>2</v>
      </c>
      <c r="O16" s="1"/>
      <c r="P16" s="13"/>
      <c r="Q16" s="14"/>
      <c r="R16" s="13"/>
      <c r="S16" s="1"/>
      <c r="T16" s="1"/>
      <c r="U16" s="1"/>
      <c r="V16" s="1"/>
      <c r="W16" s="1"/>
      <c r="X16" s="1"/>
      <c r="Y16" s="1"/>
      <c r="Z16" s="1"/>
    </row>
    <row r="17" spans="1:26" ht="15.6" customHeight="1" x14ac:dyDescent="0.3">
      <c r="B17" s="10" t="s">
        <v>3</v>
      </c>
      <c r="C17" s="31">
        <v>0</v>
      </c>
      <c r="O17" s="1"/>
      <c r="P17" s="15"/>
      <c r="Q17" s="51" t="s">
        <v>57</v>
      </c>
      <c r="R17" s="51" t="s">
        <v>58</v>
      </c>
      <c r="S17" s="1"/>
      <c r="T17" s="1"/>
      <c r="U17" s="1"/>
      <c r="V17" s="1"/>
      <c r="W17" s="1"/>
      <c r="X17" s="1"/>
      <c r="Y17" s="1"/>
      <c r="Z17" s="1"/>
    </row>
    <row r="18" spans="1:26" ht="15.6" customHeight="1" x14ac:dyDescent="0.3">
      <c r="B18" s="219" t="s">
        <v>36</v>
      </c>
      <c r="C18" s="219"/>
      <c r="O18" s="1"/>
      <c r="P18" s="16" t="s">
        <v>17</v>
      </c>
      <c r="Q18" s="54">
        <v>1164740</v>
      </c>
      <c r="R18" s="54">
        <f>Q59</f>
        <v>1210000</v>
      </c>
      <c r="S18" s="1"/>
      <c r="T18" s="6"/>
      <c r="U18" s="1"/>
      <c r="V18" s="1"/>
      <c r="W18" s="1"/>
      <c r="X18" s="1"/>
      <c r="Y18" s="1"/>
      <c r="Z18" s="1"/>
    </row>
    <row r="19" spans="1:26" ht="15.6" customHeight="1" x14ac:dyDescent="0.3">
      <c r="B19" s="10" t="s">
        <v>37</v>
      </c>
      <c r="C19" s="12">
        <v>0.04</v>
      </c>
      <c r="O19" s="1"/>
      <c r="P19" s="16" t="s">
        <v>5</v>
      </c>
      <c r="Q19" s="55">
        <v>696839</v>
      </c>
      <c r="R19" s="55">
        <f>C20</f>
        <v>700000</v>
      </c>
      <c r="S19" s="1"/>
      <c r="T19" s="3"/>
      <c r="U19" s="1"/>
      <c r="V19" s="1"/>
      <c r="W19" s="1"/>
      <c r="X19" s="1"/>
      <c r="Y19" s="1"/>
      <c r="Z19" s="1"/>
    </row>
    <row r="20" spans="1:26" ht="15.6" customHeight="1" x14ac:dyDescent="0.3">
      <c r="B20" s="10" t="s">
        <v>38</v>
      </c>
      <c r="C20" s="31">
        <v>700000</v>
      </c>
      <c r="O20" s="1"/>
      <c r="P20" s="16" t="s">
        <v>15</v>
      </c>
      <c r="Q20" s="54">
        <f>Q19-Q18</f>
        <v>-467901</v>
      </c>
      <c r="R20" s="54">
        <f>R19-R18</f>
        <v>-510000</v>
      </c>
      <c r="S20" s="1"/>
      <c r="T20" s="3"/>
      <c r="U20" s="1"/>
      <c r="V20" s="1"/>
      <c r="W20" s="1"/>
      <c r="X20" s="1"/>
      <c r="Y20" s="1"/>
      <c r="Z20" s="1"/>
    </row>
    <row r="21" spans="1:26" ht="42.75" customHeight="1" x14ac:dyDescent="0.3">
      <c r="B21" s="10" t="s">
        <v>39</v>
      </c>
      <c r="C21" s="31">
        <v>1200000</v>
      </c>
      <c r="O21" s="1"/>
      <c r="S21" s="1"/>
      <c r="T21" s="3"/>
      <c r="U21" s="1"/>
      <c r="V21" s="1"/>
      <c r="W21" s="1"/>
      <c r="X21" s="1"/>
      <c r="Y21" s="1"/>
      <c r="Z21" s="1"/>
    </row>
    <row r="22" spans="1:26" ht="31.2" x14ac:dyDescent="0.3">
      <c r="B22" s="10" t="s">
        <v>40</v>
      </c>
      <c r="C22" s="31">
        <v>1210000</v>
      </c>
      <c r="O22" s="1"/>
      <c r="S22" s="1"/>
      <c r="T22" s="3"/>
      <c r="U22" s="1"/>
      <c r="V22" s="1"/>
      <c r="W22" s="1"/>
      <c r="X22" s="1"/>
      <c r="Y22" s="1"/>
      <c r="Z22" s="1"/>
    </row>
    <row r="23" spans="1:26" x14ac:dyDescent="0.3">
      <c r="B23" s="10" t="s">
        <v>41</v>
      </c>
      <c r="C23" s="31">
        <v>51580</v>
      </c>
      <c r="O23" s="1"/>
      <c r="Q23" s="51" t="s">
        <v>6</v>
      </c>
      <c r="R23" s="51" t="s">
        <v>11</v>
      </c>
      <c r="S23" s="51" t="s">
        <v>12</v>
      </c>
      <c r="T23" s="51" t="s">
        <v>12</v>
      </c>
      <c r="U23" s="1"/>
      <c r="V23" s="1"/>
      <c r="W23" s="1"/>
      <c r="X23" s="1"/>
      <c r="Y23" s="1"/>
      <c r="Z23" s="1"/>
    </row>
    <row r="24" spans="1:26" x14ac:dyDescent="0.3">
      <c r="B24" s="32"/>
      <c r="C24" s="33"/>
      <c r="O24" s="1"/>
      <c r="Q24" s="51" t="s">
        <v>49</v>
      </c>
      <c r="R24" s="51" t="s">
        <v>50</v>
      </c>
      <c r="S24" s="51" t="s">
        <v>49</v>
      </c>
      <c r="T24" s="51" t="s">
        <v>50</v>
      </c>
      <c r="Y24" s="1"/>
      <c r="Z24" s="1"/>
    </row>
    <row r="25" spans="1:26" x14ac:dyDescent="0.3">
      <c r="A25" s="8" t="s">
        <v>42</v>
      </c>
      <c r="B25" s="32"/>
      <c r="C25" s="33"/>
      <c r="O25" s="1"/>
      <c r="P25" s="16" t="s">
        <v>47</v>
      </c>
      <c r="Q25" s="26">
        <v>39900</v>
      </c>
      <c r="R25" s="26">
        <f>+C12</f>
        <v>19000</v>
      </c>
      <c r="S25" s="26">
        <f>+C13</f>
        <v>21000</v>
      </c>
      <c r="T25" s="26">
        <f>+C14</f>
        <v>21500</v>
      </c>
      <c r="Y25" s="1"/>
      <c r="Z25" s="1"/>
    </row>
    <row r="26" spans="1:26" x14ac:dyDescent="0.3">
      <c r="B26" s="34"/>
      <c r="C26" s="35"/>
      <c r="D26" s="35"/>
      <c r="O26" s="1"/>
      <c r="P26" s="16" t="s">
        <v>48</v>
      </c>
      <c r="Q26" s="26">
        <v>35849</v>
      </c>
      <c r="R26" s="26">
        <f>0.5*C15</f>
        <v>17924.5</v>
      </c>
      <c r="S26" s="26">
        <f>+C15*0.5</f>
        <v>17924.5</v>
      </c>
      <c r="T26" s="26">
        <f>0.5*C15</f>
        <v>17924.5</v>
      </c>
      <c r="Y26" s="1"/>
      <c r="Z26" s="1"/>
    </row>
    <row r="27" spans="1:26" x14ac:dyDescent="0.3">
      <c r="A27" s="8" t="s">
        <v>31</v>
      </c>
      <c r="B27" s="200" t="s">
        <v>43</v>
      </c>
      <c r="C27" s="200"/>
      <c r="D27" s="200"/>
      <c r="E27" s="36"/>
      <c r="F27" s="36"/>
      <c r="G27" s="36"/>
      <c r="H27" s="36"/>
      <c r="I27" s="36"/>
      <c r="J27" s="36"/>
      <c r="K27" s="36"/>
      <c r="O27" s="1"/>
      <c r="Y27" s="1"/>
      <c r="Z27" s="1"/>
    </row>
    <row r="28" spans="1:26" x14ac:dyDescent="0.3">
      <c r="A28" s="36"/>
      <c r="B28" s="200"/>
      <c r="C28" s="200"/>
      <c r="D28" s="200"/>
      <c r="E28" s="36"/>
      <c r="F28" s="36"/>
      <c r="G28" s="36"/>
      <c r="H28" s="36"/>
      <c r="I28" s="36"/>
      <c r="J28" s="36"/>
      <c r="K28" s="36"/>
      <c r="O28" s="1"/>
      <c r="Y28" s="1"/>
      <c r="Z28" s="1"/>
    </row>
    <row r="29" spans="1:26" x14ac:dyDescent="0.3">
      <c r="A29" s="36"/>
      <c r="B29" s="200"/>
      <c r="C29" s="200"/>
      <c r="D29" s="200"/>
      <c r="E29" s="36"/>
      <c r="F29" s="36"/>
      <c r="G29" s="36"/>
      <c r="H29" s="36"/>
      <c r="I29" s="36"/>
      <c r="J29" s="36"/>
      <c r="K29" s="36"/>
      <c r="O29" s="1"/>
      <c r="P29" s="52" t="s">
        <v>16</v>
      </c>
      <c r="Q29" s="21" t="s">
        <v>6</v>
      </c>
      <c r="R29" s="21" t="s">
        <v>11</v>
      </c>
      <c r="S29" s="50" t="s">
        <v>12</v>
      </c>
      <c r="Y29" s="1"/>
      <c r="Z29" s="1"/>
    </row>
    <row r="30" spans="1:26" x14ac:dyDescent="0.3">
      <c r="A30" s="36"/>
      <c r="B30" s="200"/>
      <c r="C30" s="200"/>
      <c r="D30" s="200"/>
      <c r="E30" s="36"/>
      <c r="F30" s="36"/>
      <c r="G30" s="36"/>
      <c r="H30" s="36"/>
      <c r="I30" s="36"/>
      <c r="J30" s="36"/>
      <c r="K30" s="36"/>
      <c r="P30" s="13" t="s">
        <v>7</v>
      </c>
      <c r="Q30" s="26">
        <v>59347</v>
      </c>
      <c r="R30" s="26">
        <f t="shared" ref="R30:R31" si="0">+Q30/2</f>
        <v>29673.5</v>
      </c>
      <c r="S30" s="26">
        <f>+C23*0.5</f>
        <v>25790</v>
      </c>
      <c r="T30" s="1"/>
    </row>
    <row r="31" spans="1:26" ht="16.2" x14ac:dyDescent="0.3">
      <c r="B31" s="37" t="s">
        <v>44</v>
      </c>
      <c r="P31" s="13" t="s">
        <v>0</v>
      </c>
      <c r="Q31" s="56">
        <f>+Q14*Q30+Q18*Q14-Q14*0.5*Q26-Q19*Q14</f>
        <v>19099.631250000002</v>
      </c>
      <c r="R31" s="56">
        <f t="shared" si="0"/>
        <v>9549.8156250000011</v>
      </c>
      <c r="S31" s="57">
        <f>+Q66</f>
        <v>11052.355</v>
      </c>
      <c r="T31" s="1"/>
    </row>
    <row r="32" spans="1:26" x14ac:dyDescent="0.3">
      <c r="P32" s="13" t="s">
        <v>64</v>
      </c>
      <c r="Q32" s="58">
        <v>0</v>
      </c>
      <c r="R32" s="58">
        <v>0</v>
      </c>
      <c r="S32" s="59">
        <f>Q57+Q60</f>
        <v>47802.07733631623</v>
      </c>
      <c r="T32" s="1"/>
    </row>
    <row r="33" spans="15:26" x14ac:dyDescent="0.3">
      <c r="P33" s="1"/>
      <c r="Q33" s="25">
        <f>SUM(Q30:Q32)</f>
        <v>78446.631250000006</v>
      </c>
      <c r="R33" s="25">
        <f t="shared" ref="R33:S33" si="1">SUM(R30:R32)</f>
        <v>39223.315625000003</v>
      </c>
      <c r="S33" s="25">
        <f t="shared" si="1"/>
        <v>84644.432336316226</v>
      </c>
      <c r="T33" s="1"/>
    </row>
    <row r="34" spans="15:26" x14ac:dyDescent="0.3">
      <c r="Q34" s="1"/>
      <c r="R34" s="1"/>
      <c r="S34" s="1"/>
    </row>
    <row r="35" spans="15:26" x14ac:dyDescent="0.3">
      <c r="P35" s="19" t="s">
        <v>65</v>
      </c>
      <c r="Q35" s="19"/>
      <c r="R35" s="19"/>
      <c r="S35" s="19"/>
      <c r="T35" s="27">
        <f>Q72</f>
        <v>17976.698913683766</v>
      </c>
    </row>
    <row r="36" spans="15:26" x14ac:dyDescent="0.3">
      <c r="P36" s="19" t="s">
        <v>66</v>
      </c>
      <c r="Q36" s="19"/>
      <c r="R36" s="19"/>
      <c r="S36" s="19"/>
      <c r="T36" s="27">
        <f>T35+R33+S33</f>
        <v>141844.44687499999</v>
      </c>
    </row>
    <row r="38" spans="15:26" x14ac:dyDescent="0.3">
      <c r="O38" s="1"/>
      <c r="P38" s="52" t="s">
        <v>59</v>
      </c>
      <c r="S38" s="1"/>
      <c r="T38" s="1"/>
      <c r="U38" s="1"/>
      <c r="V38" s="1"/>
      <c r="W38" s="1"/>
      <c r="X38" s="1"/>
      <c r="Y38" s="1"/>
      <c r="Z38" s="1"/>
    </row>
    <row r="39" spans="15:26" x14ac:dyDescent="0.3">
      <c r="O39" s="1"/>
      <c r="S39" s="1"/>
      <c r="T39" s="1"/>
      <c r="U39" s="1"/>
      <c r="V39" s="1"/>
      <c r="W39" s="1"/>
      <c r="X39" s="1"/>
      <c r="Y39" s="1"/>
      <c r="Z39" s="1"/>
    </row>
    <row r="40" spans="15:26" x14ac:dyDescent="0.3">
      <c r="O40" s="1"/>
      <c r="P40" s="20" t="s">
        <v>18</v>
      </c>
      <c r="S40" s="2"/>
      <c r="T40" s="1"/>
      <c r="U40" s="1"/>
      <c r="V40" s="1"/>
      <c r="W40" s="1"/>
      <c r="X40" s="1"/>
      <c r="Y40" s="1"/>
      <c r="Z40" s="1"/>
    </row>
    <row r="41" spans="15:26" x14ac:dyDescent="0.3">
      <c r="O41" s="1"/>
      <c r="P41" s="13" t="s">
        <v>54</v>
      </c>
      <c r="Q41" s="29">
        <f>+Q18+R30+R47-R25</f>
        <v>1197991.0687500001</v>
      </c>
      <c r="S41" s="22"/>
      <c r="T41" s="1"/>
      <c r="U41" s="1"/>
      <c r="V41" s="1"/>
      <c r="W41" s="1"/>
      <c r="X41" s="1"/>
      <c r="Y41" s="1"/>
      <c r="Z41" s="1"/>
    </row>
    <row r="42" spans="15:26" x14ac:dyDescent="0.3">
      <c r="O42" s="1"/>
      <c r="S42" s="13"/>
      <c r="T42" s="6"/>
      <c r="U42" s="1"/>
      <c r="V42" s="1"/>
      <c r="W42" s="1"/>
      <c r="X42" s="1"/>
      <c r="Y42" s="1"/>
      <c r="Z42" s="1"/>
    </row>
    <row r="43" spans="15:26" x14ac:dyDescent="0.3">
      <c r="O43" s="1"/>
      <c r="P43" s="1"/>
      <c r="Q43" s="50" t="s">
        <v>6</v>
      </c>
      <c r="R43" s="50" t="s">
        <v>45</v>
      </c>
      <c r="S43" s="13"/>
      <c r="T43" s="3"/>
      <c r="U43" s="1"/>
      <c r="V43" s="1"/>
      <c r="W43" s="1"/>
      <c r="X43" s="1"/>
      <c r="Y43" s="1"/>
      <c r="Z43" s="1"/>
    </row>
    <row r="44" spans="15:26" x14ac:dyDescent="0.3">
      <c r="O44" s="1"/>
      <c r="P44" s="1" t="s">
        <v>51</v>
      </c>
      <c r="Q44" s="25">
        <f>+Q14*Q18</f>
        <v>43677.75</v>
      </c>
      <c r="R44" s="25">
        <f>0.5*Q44</f>
        <v>21838.875</v>
      </c>
      <c r="S44" s="18"/>
      <c r="T44" s="3"/>
      <c r="U44" s="1"/>
      <c r="V44" s="1"/>
      <c r="W44" s="1"/>
      <c r="X44" s="1"/>
      <c r="Y44" s="1"/>
      <c r="Z44" s="1"/>
    </row>
    <row r="45" spans="15:26" x14ac:dyDescent="0.3">
      <c r="O45" s="1"/>
      <c r="P45" s="1" t="s">
        <v>52</v>
      </c>
      <c r="Q45" s="25">
        <f>Q14*Q30</f>
        <v>2225.5124999999998</v>
      </c>
      <c r="R45" s="25">
        <f>0.5*Q45</f>
        <v>1112.7562499999999</v>
      </c>
      <c r="S45" s="18"/>
      <c r="T45" s="3"/>
      <c r="U45" s="1"/>
      <c r="V45" s="1"/>
      <c r="W45" s="1"/>
      <c r="X45" s="1"/>
      <c r="Y45" s="1"/>
      <c r="Z45" s="1"/>
    </row>
    <row r="46" spans="15:26" x14ac:dyDescent="0.3">
      <c r="O46" s="1"/>
      <c r="P46" s="1" t="s">
        <v>53</v>
      </c>
      <c r="Q46" s="25">
        <f>+Q14*Q25*0.5</f>
        <v>748.125</v>
      </c>
      <c r="R46" s="53">
        <f>0.5*Q46</f>
        <v>374.0625</v>
      </c>
      <c r="S46" s="18"/>
      <c r="T46" s="3"/>
      <c r="U46" s="1"/>
      <c r="V46" s="1"/>
      <c r="W46" s="1"/>
      <c r="X46" s="1"/>
      <c r="Y46" s="1"/>
      <c r="Z46" s="1"/>
    </row>
    <row r="47" spans="15:26" ht="17.399999999999999" x14ac:dyDescent="0.45">
      <c r="O47" s="1"/>
      <c r="P47" s="1"/>
      <c r="Q47" s="1"/>
      <c r="R47" s="25">
        <f>+R44+R45-R46</f>
        <v>22577.568749999999</v>
      </c>
      <c r="S47" s="18"/>
      <c r="T47" s="4"/>
      <c r="U47" s="1"/>
      <c r="V47" s="1"/>
      <c r="W47" s="1"/>
      <c r="X47" s="1"/>
      <c r="Y47" s="1"/>
      <c r="Z47" s="1"/>
    </row>
    <row r="48" spans="15:26" x14ac:dyDescent="0.3">
      <c r="O48" s="1"/>
      <c r="P48" s="20" t="s">
        <v>22</v>
      </c>
      <c r="Q48" s="13"/>
      <c r="S48" s="18"/>
      <c r="T48" s="5"/>
      <c r="U48" s="1"/>
      <c r="V48" s="1"/>
      <c r="W48" s="1"/>
      <c r="X48" s="1"/>
      <c r="Y48" s="1"/>
      <c r="Z48" s="1"/>
    </row>
    <row r="49" spans="15:32" x14ac:dyDescent="0.3">
      <c r="O49" s="1"/>
      <c r="P49" s="13" t="s">
        <v>8</v>
      </c>
      <c r="Q49" s="13">
        <v>12.9</v>
      </c>
      <c r="S49" s="18"/>
      <c r="T49" s="1"/>
      <c r="U49" s="1"/>
      <c r="V49" s="1"/>
      <c r="W49" s="1"/>
      <c r="X49" s="1"/>
      <c r="Y49" s="1"/>
      <c r="Z49" s="1"/>
    </row>
    <row r="50" spans="15:32" x14ac:dyDescent="0.3">
      <c r="O50" s="1"/>
      <c r="P50" s="13" t="s">
        <v>9</v>
      </c>
      <c r="Q50" s="13">
        <f>+(Q15-Q14)*100</f>
        <v>0.25000000000000022</v>
      </c>
      <c r="S50" s="18"/>
      <c r="T50" s="5"/>
      <c r="U50" s="1"/>
      <c r="V50" s="1"/>
      <c r="W50" s="1"/>
      <c r="X50" s="1"/>
      <c r="Y50" s="1"/>
      <c r="Z50" s="1"/>
    </row>
    <row r="51" spans="15:32" x14ac:dyDescent="0.3">
      <c r="O51" s="1"/>
      <c r="P51" s="13" t="s">
        <v>19</v>
      </c>
      <c r="Q51" s="13">
        <f>+(1+Q49/100)^-Q50</f>
        <v>0.9701223598238814</v>
      </c>
      <c r="S51" s="18"/>
      <c r="T51" s="1"/>
      <c r="U51" s="1"/>
      <c r="V51" s="1"/>
      <c r="W51" s="1"/>
      <c r="X51" s="1"/>
      <c r="Y51" s="1"/>
      <c r="Z51" s="1"/>
    </row>
    <row r="52" spans="15:32" x14ac:dyDescent="0.3">
      <c r="O52" s="1"/>
      <c r="P52" s="13" t="s">
        <v>20</v>
      </c>
      <c r="Q52" s="18">
        <f>+Q51*Q41</f>
        <v>1162197.9226636838</v>
      </c>
      <c r="S52" s="18"/>
      <c r="T52" s="1"/>
      <c r="U52" s="1"/>
      <c r="V52" s="1"/>
      <c r="W52" s="1"/>
      <c r="X52" s="1"/>
      <c r="Y52" s="1"/>
      <c r="Z52" s="1"/>
    </row>
    <row r="53" spans="15:32" x14ac:dyDescent="0.3">
      <c r="O53" s="1"/>
      <c r="S53" s="18"/>
      <c r="T53" s="1"/>
      <c r="U53" s="1"/>
      <c r="V53" s="1"/>
      <c r="W53" s="1"/>
      <c r="X53" s="1"/>
      <c r="Y53" s="1"/>
      <c r="Z53" s="1"/>
    </row>
    <row r="54" spans="15:32" x14ac:dyDescent="0.3">
      <c r="O54" s="1"/>
      <c r="P54" s="13" t="s">
        <v>23</v>
      </c>
      <c r="Q54" s="26">
        <f>+Q52-Q41</f>
        <v>-35793.146086316323</v>
      </c>
      <c r="S54" s="18"/>
      <c r="T54" s="1"/>
      <c r="U54" s="1"/>
      <c r="V54" s="1"/>
      <c r="W54" s="1"/>
      <c r="X54" s="1"/>
      <c r="Y54" s="1"/>
      <c r="Z54" s="1"/>
    </row>
    <row r="55" spans="15:32" x14ac:dyDescent="0.3">
      <c r="O55" s="1"/>
      <c r="Q55" s="39"/>
      <c r="S55" s="18"/>
      <c r="T55" s="1"/>
      <c r="U55" s="1"/>
      <c r="V55" s="1"/>
      <c r="W55" s="1"/>
      <c r="X55" s="1"/>
      <c r="Y55" s="1"/>
      <c r="Z55" s="1"/>
    </row>
    <row r="56" spans="15:32" x14ac:dyDescent="0.3">
      <c r="O56" s="1"/>
      <c r="P56" s="20" t="s">
        <v>55</v>
      </c>
      <c r="Q56" s="26">
        <f>+C21</f>
        <v>1200000</v>
      </c>
      <c r="S56" s="18"/>
      <c r="T56" s="1"/>
      <c r="U56" s="1"/>
      <c r="V56" s="1"/>
      <c r="W56" s="1"/>
      <c r="X56" s="1"/>
      <c r="Y56" s="1"/>
      <c r="Z56" s="1"/>
    </row>
    <row r="57" spans="15:32" x14ac:dyDescent="0.3">
      <c r="O57" s="1"/>
      <c r="P57" s="13" t="s">
        <v>10</v>
      </c>
      <c r="Q57" s="26">
        <f>+Q56-Q52</f>
        <v>37802.07733631623</v>
      </c>
      <c r="S57" s="18"/>
      <c r="W57" s="1"/>
      <c r="X57" s="1"/>
      <c r="Y57" s="1"/>
      <c r="Z57" s="1"/>
    </row>
    <row r="58" spans="15:32" x14ac:dyDescent="0.3">
      <c r="O58" s="1"/>
      <c r="P58" s="13"/>
      <c r="Q58" s="26"/>
      <c r="S58" s="18"/>
      <c r="W58" s="1"/>
      <c r="X58" s="1"/>
      <c r="Y58" s="1"/>
      <c r="Z58" s="1"/>
    </row>
    <row r="59" spans="15:32" x14ac:dyDescent="0.3">
      <c r="O59" s="1"/>
      <c r="P59" s="20" t="s">
        <v>21</v>
      </c>
      <c r="Q59" s="26">
        <f>+C22</f>
        <v>1210000</v>
      </c>
      <c r="S59" s="18"/>
      <c r="W59" s="1"/>
      <c r="X59" s="1"/>
      <c r="Y59" s="1"/>
      <c r="Z59" s="1"/>
    </row>
    <row r="60" spans="15:32" x14ac:dyDescent="0.3">
      <c r="O60" s="1"/>
      <c r="P60" s="13" t="s">
        <v>56</v>
      </c>
      <c r="Q60" s="26">
        <f>+Q59-Q56</f>
        <v>10000</v>
      </c>
      <c r="S60" s="18"/>
      <c r="W60" s="1"/>
      <c r="X60" s="1"/>
      <c r="Y60" s="1"/>
      <c r="Z60" s="1"/>
    </row>
    <row r="61" spans="15:32" x14ac:dyDescent="0.3">
      <c r="O61" s="1"/>
      <c r="P61" s="13"/>
      <c r="Q61" s="26"/>
      <c r="R61" s="18"/>
      <c r="S61" s="17"/>
      <c r="W61" s="1"/>
      <c r="X61" s="1"/>
      <c r="Y61" s="1"/>
      <c r="Z61" s="1"/>
    </row>
    <row r="62" spans="15:32" x14ac:dyDescent="0.3">
      <c r="O62" s="1"/>
      <c r="P62" s="20" t="s">
        <v>60</v>
      </c>
      <c r="Q62" s="39"/>
      <c r="R62" s="13"/>
      <c r="S62" s="17"/>
      <c r="W62" s="1"/>
      <c r="X62" s="1"/>
      <c r="Y62" s="1"/>
      <c r="Z62" s="1"/>
    </row>
    <row r="63" spans="15:32" x14ac:dyDescent="0.3">
      <c r="O63" s="1"/>
      <c r="P63" s="1" t="s">
        <v>52</v>
      </c>
      <c r="Q63" s="25">
        <f>+Q15*C23/2</f>
        <v>1031.5999999999999</v>
      </c>
      <c r="R63" s="13"/>
      <c r="S63" s="17"/>
      <c r="U63" s="1"/>
      <c r="V63" s="1"/>
      <c r="W63" s="1"/>
      <c r="X63" s="1"/>
      <c r="Y63" s="1"/>
      <c r="Z63" s="1"/>
    </row>
    <row r="64" spans="15:32" x14ac:dyDescent="0.3">
      <c r="O64" s="1"/>
      <c r="P64" s="1" t="s">
        <v>61</v>
      </c>
      <c r="Q64" s="25">
        <f>-Q15*R20/2</f>
        <v>10200</v>
      </c>
      <c r="R64" s="13"/>
      <c r="AD64" s="24"/>
      <c r="AF64" s="24"/>
    </row>
    <row r="65" spans="15:30" x14ac:dyDescent="0.3">
      <c r="O65" s="1"/>
      <c r="P65" s="1" t="s">
        <v>62</v>
      </c>
      <c r="Q65" s="53">
        <f>-Q15*S26/4</f>
        <v>-179.245</v>
      </c>
      <c r="R65" s="13"/>
      <c r="S65" s="1"/>
      <c r="AD65" s="24"/>
    </row>
    <row r="66" spans="15:30" x14ac:dyDescent="0.3">
      <c r="O66" s="1"/>
      <c r="P66" s="1"/>
      <c r="Q66" s="25">
        <f>+Q63+Q64+Q65</f>
        <v>11052.355</v>
      </c>
      <c r="R66" s="13"/>
    </row>
    <row r="67" spans="15:30" x14ac:dyDescent="0.3">
      <c r="O67" s="1"/>
      <c r="Q67" s="39"/>
      <c r="R67" s="13"/>
    </row>
    <row r="68" spans="15:30" x14ac:dyDescent="0.3">
      <c r="O68" s="1"/>
      <c r="P68" s="20" t="s">
        <v>63</v>
      </c>
      <c r="Q68" s="39"/>
    </row>
    <row r="69" spans="15:30" x14ac:dyDescent="0.3">
      <c r="O69" s="1"/>
      <c r="P69" s="13" t="s">
        <v>26</v>
      </c>
      <c r="Q69" s="28">
        <f>+Q20+Q33-R26-T26-Q57-Q60</f>
        <v>-473105.44608631625</v>
      </c>
    </row>
    <row r="70" spans="15:30" x14ac:dyDescent="0.3">
      <c r="O70" s="1"/>
      <c r="P70" s="13" t="s">
        <v>24</v>
      </c>
      <c r="Q70" s="49">
        <f>+R20+S30+S31-T26</f>
        <v>-491082.14500000002</v>
      </c>
    </row>
    <row r="71" spans="15:30" x14ac:dyDescent="0.3">
      <c r="O71" s="1"/>
      <c r="P71" s="1"/>
      <c r="Q71" s="25"/>
    </row>
    <row r="72" spans="15:30" x14ac:dyDescent="0.3">
      <c r="O72" s="1"/>
      <c r="P72" s="13" t="s">
        <v>25</v>
      </c>
      <c r="Q72" s="26">
        <f>+Q69-Q70</f>
        <v>17976.698913683766</v>
      </c>
    </row>
    <row r="73" spans="15:30" x14ac:dyDescent="0.3">
      <c r="O73" s="1"/>
      <c r="S73" s="17"/>
      <c r="U73" s="1"/>
      <c r="V73" s="1"/>
      <c r="W73" s="1"/>
      <c r="X73" s="1"/>
      <c r="Y73" s="1"/>
      <c r="Z73" s="1"/>
    </row>
    <row r="74" spans="15:30" x14ac:dyDescent="0.3">
      <c r="O74" s="1"/>
      <c r="S74" s="17"/>
      <c r="V74" s="1"/>
      <c r="W74" s="1"/>
      <c r="X74" s="1"/>
      <c r="Y74" s="1"/>
      <c r="Z74" s="1"/>
    </row>
    <row r="75" spans="15:30" x14ac:dyDescent="0.3">
      <c r="O75" s="1"/>
      <c r="S75" s="17"/>
      <c r="V75" s="1"/>
      <c r="W75" s="1"/>
      <c r="X75" s="1"/>
      <c r="Y75" s="1"/>
      <c r="Z75" s="1"/>
    </row>
    <row r="76" spans="15:30" x14ac:dyDescent="0.3">
      <c r="O76" s="1"/>
      <c r="S76" s="17"/>
      <c r="V76" s="1"/>
      <c r="W76" s="1"/>
      <c r="X76" s="1"/>
      <c r="Y76" s="1"/>
      <c r="Z76" s="1"/>
    </row>
    <row r="77" spans="15:30" x14ac:dyDescent="0.3">
      <c r="O77" s="1"/>
      <c r="S77" s="17"/>
      <c r="V77" s="1"/>
      <c r="W77" s="1"/>
      <c r="X77" s="1"/>
      <c r="Y77" s="1"/>
      <c r="Z77" s="1"/>
    </row>
    <row r="78" spans="15:30" x14ac:dyDescent="0.3">
      <c r="O78" s="1"/>
      <c r="P78" s="13"/>
      <c r="Q78" s="18"/>
      <c r="S78" s="17"/>
      <c r="V78" s="1"/>
      <c r="W78" s="1"/>
      <c r="X78" s="1"/>
      <c r="Y78" s="1"/>
      <c r="Z78" s="1"/>
    </row>
    <row r="79" spans="15:30" x14ac:dyDescent="0.3">
      <c r="O79" s="1"/>
      <c r="P79" s="13"/>
      <c r="Q79" s="14"/>
      <c r="S79" s="17"/>
      <c r="T79" s="1"/>
      <c r="U79" s="1"/>
      <c r="V79" s="1"/>
      <c r="W79" s="1"/>
      <c r="X79" s="1"/>
      <c r="Y79" s="1"/>
      <c r="Z79" s="1"/>
    </row>
    <row r="80" spans="15:30" x14ac:dyDescent="0.3">
      <c r="O80" s="1"/>
      <c r="P80" s="13"/>
      <c r="S80" s="17"/>
      <c r="T80" s="1"/>
      <c r="U80" s="1"/>
      <c r="V80" s="1"/>
      <c r="W80" s="1"/>
      <c r="X80" s="1"/>
      <c r="Y80" s="1"/>
      <c r="Z80" s="1"/>
    </row>
    <row r="81" spans="15:26" x14ac:dyDescent="0.3">
      <c r="O81" s="1"/>
      <c r="P81" s="13"/>
      <c r="S81" s="17"/>
      <c r="T81" s="1"/>
      <c r="U81" s="1"/>
      <c r="V81" s="1"/>
      <c r="W81" s="1"/>
      <c r="X81" s="1"/>
      <c r="Y81" s="1"/>
      <c r="Z81" s="1"/>
    </row>
    <row r="82" spans="15:26" x14ac:dyDescent="0.3">
      <c r="O82" s="1"/>
      <c r="P82" s="16"/>
      <c r="Q82" s="18"/>
      <c r="S82" s="17"/>
      <c r="T82" s="1"/>
      <c r="U82" s="1"/>
      <c r="V82" s="1"/>
      <c r="W82" s="1"/>
      <c r="X82" s="1"/>
      <c r="Y82" s="1"/>
      <c r="Z82" s="1"/>
    </row>
    <row r="83" spans="15:26" x14ac:dyDescent="0.3">
      <c r="O83" s="1"/>
      <c r="P83" s="16"/>
      <c r="Q83" s="18"/>
      <c r="S83" s="17"/>
      <c r="T83" s="1"/>
      <c r="U83" s="1"/>
      <c r="V83" s="1"/>
      <c r="W83" s="1"/>
      <c r="X83" s="1"/>
      <c r="Y83" s="1"/>
      <c r="Z83" s="1"/>
    </row>
    <row r="84" spans="15:26" x14ac:dyDescent="0.3">
      <c r="O84" s="1"/>
      <c r="P84" s="13"/>
      <c r="Q84" s="13"/>
      <c r="S84" s="17"/>
      <c r="T84" s="1"/>
      <c r="U84" s="1"/>
      <c r="V84" s="1"/>
      <c r="W84" s="1"/>
      <c r="X84" s="1"/>
      <c r="Y84" s="1"/>
      <c r="Z84" s="1"/>
    </row>
    <row r="85" spans="15:26" x14ac:dyDescent="0.3">
      <c r="O85" s="1"/>
      <c r="P85" s="13"/>
      <c r="Q85" s="23"/>
      <c r="S85" s="1"/>
      <c r="T85" s="1"/>
      <c r="U85" s="1"/>
      <c r="V85" s="1"/>
      <c r="W85" s="1"/>
      <c r="X85" s="1"/>
      <c r="Y85" s="1"/>
      <c r="Z85" s="1"/>
    </row>
    <row r="86" spans="15:26" x14ac:dyDescent="0.3">
      <c r="O86" s="1"/>
      <c r="S86" s="1"/>
      <c r="T86" s="1"/>
      <c r="U86" s="1"/>
      <c r="V86" s="1"/>
      <c r="W86" s="1"/>
      <c r="X86" s="1"/>
      <c r="Y86" s="1"/>
      <c r="Z86" s="1"/>
    </row>
    <row r="87" spans="15:26" x14ac:dyDescent="0.3">
      <c r="O87" s="1"/>
      <c r="P87" s="1"/>
      <c r="Q87" s="1"/>
      <c r="S87" s="1"/>
      <c r="T87" s="1"/>
      <c r="U87" s="1"/>
      <c r="V87" s="1"/>
      <c r="W87" s="1"/>
      <c r="X87" s="1"/>
      <c r="Y87" s="1"/>
      <c r="Z87" s="1"/>
    </row>
    <row r="88" spans="15:26" x14ac:dyDescent="0.3">
      <c r="P88" s="1"/>
      <c r="Q88" s="1"/>
      <c r="S88" s="1"/>
      <c r="T88" s="1"/>
      <c r="U88" s="1"/>
      <c r="V88" s="1"/>
      <c r="W88" s="1"/>
      <c r="X88" s="1"/>
      <c r="Y88" s="1"/>
      <c r="Z88" s="1"/>
    </row>
    <row r="89" spans="15:26" x14ac:dyDescent="0.3">
      <c r="S89" s="1"/>
      <c r="T89" s="1"/>
      <c r="U89" s="1"/>
      <c r="V89" s="1"/>
      <c r="W89" s="1"/>
      <c r="X89" s="1"/>
      <c r="Y89" s="1"/>
      <c r="Z89" s="1"/>
    </row>
    <row r="90" spans="15:26" x14ac:dyDescent="0.3">
      <c r="S90" s="1"/>
      <c r="T90" s="1"/>
      <c r="U90" s="1"/>
      <c r="V90" s="1"/>
      <c r="W90" s="1"/>
      <c r="X90" s="1"/>
      <c r="Y90" s="1"/>
      <c r="Z90" s="1"/>
    </row>
    <row r="91" spans="15:26" x14ac:dyDescent="0.3">
      <c r="S91" s="1"/>
      <c r="T91" s="1"/>
      <c r="U91" s="1"/>
      <c r="V91" s="1"/>
      <c r="W91" s="1"/>
      <c r="X91" s="1"/>
      <c r="Y91" s="1"/>
      <c r="Z91" s="1"/>
    </row>
    <row r="92" spans="15:26" x14ac:dyDescent="0.3">
      <c r="S92" s="1"/>
      <c r="T92" s="1"/>
      <c r="U92" s="1"/>
      <c r="V92" s="1"/>
      <c r="W92" s="1"/>
      <c r="X92" s="1"/>
      <c r="Y92" s="1"/>
      <c r="Z92" s="1"/>
    </row>
    <row r="93" spans="15:26" x14ac:dyDescent="0.3">
      <c r="S93" s="1"/>
      <c r="T93" s="1"/>
      <c r="U93" s="1"/>
      <c r="V93" s="1"/>
      <c r="W93" s="1"/>
      <c r="X93" s="1"/>
      <c r="Y93" s="1"/>
      <c r="Z93" s="1"/>
    </row>
    <row r="94" spans="15:26" x14ac:dyDescent="0.3">
      <c r="S94" s="1"/>
      <c r="T94" s="1"/>
      <c r="U94" s="1"/>
      <c r="V94" s="1"/>
      <c r="W94" s="1"/>
      <c r="X94" s="1"/>
      <c r="Y94" s="1"/>
      <c r="Z94" s="1"/>
    </row>
    <row r="95" spans="15:26" x14ac:dyDescent="0.3">
      <c r="S95" s="1"/>
      <c r="T95" s="1"/>
      <c r="U95" s="1"/>
      <c r="V95" s="1"/>
      <c r="W95" s="1"/>
      <c r="X95" s="1"/>
      <c r="Y95" s="1"/>
      <c r="Z95" s="1"/>
    </row>
    <row r="98" spans="16:20" x14ac:dyDescent="0.3">
      <c r="P98" s="13"/>
      <c r="Q98" s="17"/>
    </row>
    <row r="99" spans="16:20" x14ac:dyDescent="0.3">
      <c r="P99" s="13"/>
    </row>
    <row r="100" spans="16:20" x14ac:dyDescent="0.3">
      <c r="P100" s="13"/>
    </row>
    <row r="101" spans="16:20" x14ac:dyDescent="0.3">
      <c r="P101" s="1"/>
      <c r="Q101" s="1"/>
    </row>
    <row r="104" spans="16:20" x14ac:dyDescent="0.3">
      <c r="T104" s="40"/>
    </row>
    <row r="105" spans="16:20" x14ac:dyDescent="0.3">
      <c r="S105" s="42"/>
      <c r="T105" s="41"/>
    </row>
    <row r="106" spans="16:20" x14ac:dyDescent="0.3">
      <c r="S106" s="42"/>
      <c r="T106" s="41"/>
    </row>
    <row r="107" spans="16:20" x14ac:dyDescent="0.3">
      <c r="S107" s="42"/>
      <c r="T107" s="41"/>
    </row>
    <row r="108" spans="16:20" x14ac:dyDescent="0.3">
      <c r="S108" s="43"/>
      <c r="T108" s="43"/>
    </row>
    <row r="115" spans="15:16" x14ac:dyDescent="0.3">
      <c r="P115" s="44"/>
    </row>
    <row r="116" spans="15:16" x14ac:dyDescent="0.3">
      <c r="P116" s="44"/>
    </row>
    <row r="117" spans="15:16" x14ac:dyDescent="0.3">
      <c r="P117" s="44"/>
    </row>
    <row r="118" spans="15:16" x14ac:dyDescent="0.3">
      <c r="P118" s="44"/>
    </row>
    <row r="121" spans="15:16" x14ac:dyDescent="0.3">
      <c r="P121" s="42"/>
    </row>
    <row r="126" spans="15:16" x14ac:dyDescent="0.3">
      <c r="O126" s="45"/>
    </row>
  </sheetData>
  <sheetProtection formatCells="0" formatColumns="0" formatRows="0" insertColumns="0" insertRows="0"/>
  <mergeCells count="4">
    <mergeCell ref="A5:M10"/>
    <mergeCell ref="P7:Z11"/>
    <mergeCell ref="B18:C18"/>
    <mergeCell ref="B27:D30"/>
  </mergeCells>
  <pageMargins left="0.7" right="0.7" top="0.75" bottom="0.75" header="0.3" footer="0.3"/>
  <pageSetup scale="68"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3400-4E0F-463B-8BFD-BD3985D24D3F}">
  <dimension ref="A1:Y81"/>
  <sheetViews>
    <sheetView topLeftCell="B7" zoomScale="85" zoomScaleNormal="85" zoomScaleSheetLayoutView="100" workbookViewId="0">
      <selection activeCell="J19" sqref="J19"/>
    </sheetView>
  </sheetViews>
  <sheetFormatPr defaultColWidth="9.33203125" defaultRowHeight="15.6" x14ac:dyDescent="0.3"/>
  <cols>
    <col min="1" max="1" width="3.6640625" style="8" customWidth="1"/>
    <col min="2" max="2" width="39" style="8" customWidth="1"/>
    <col min="3" max="3" width="7.5546875" style="8" customWidth="1"/>
    <col min="4" max="4" width="14.6640625" style="8" customWidth="1"/>
    <col min="5" max="5" width="5.33203125" style="8" customWidth="1"/>
    <col min="6" max="6" width="10" style="8" bestFit="1" customWidth="1"/>
    <col min="7" max="7" width="9.33203125" style="8" customWidth="1"/>
    <col min="8" max="8" width="11.109375" style="8" customWidth="1"/>
    <col min="9" max="9" width="9.44140625" style="8" customWidth="1"/>
    <col min="10" max="10" width="10" style="8" bestFit="1" customWidth="1"/>
    <col min="11" max="11" width="2.6640625" style="8" customWidth="1"/>
    <col min="12" max="12" width="1" style="9" customWidth="1"/>
    <col min="13" max="13" width="4" style="1" customWidth="1"/>
    <col min="14" max="14" width="9.44140625" style="1" customWidth="1"/>
    <col min="15" max="15" width="20.44140625" style="1" customWidth="1"/>
    <col min="16" max="16" width="11.33203125" style="1" bestFit="1" customWidth="1"/>
    <col min="17" max="17" width="13.5546875" style="1" customWidth="1"/>
    <col min="18" max="18" width="15.109375" style="1" customWidth="1"/>
    <col min="19" max="19" width="14.5546875" style="1" customWidth="1"/>
    <col min="20" max="20" width="13.33203125" style="1" customWidth="1"/>
    <col min="21" max="21" width="12.33203125" style="1" customWidth="1"/>
    <col min="22" max="24" width="10.33203125" style="1" customWidth="1"/>
    <col min="25" max="25" width="1" style="62" customWidth="1"/>
    <col min="26" max="16384" width="9.33203125" style="1"/>
  </cols>
  <sheetData>
    <row r="1" spans="1:24" x14ac:dyDescent="0.3">
      <c r="A1" s="7" t="s">
        <v>67</v>
      </c>
      <c r="M1" s="7" t="s">
        <v>67</v>
      </c>
      <c r="N1" s="8"/>
      <c r="O1" s="8"/>
      <c r="P1" s="8"/>
      <c r="Q1" s="8"/>
      <c r="R1" s="8"/>
      <c r="S1" s="8"/>
      <c r="T1" s="8"/>
      <c r="U1" s="8"/>
      <c r="V1" s="8"/>
      <c r="W1" s="8"/>
      <c r="X1" s="8"/>
    </row>
    <row r="2" spans="1:24" x14ac:dyDescent="0.3">
      <c r="A2" s="7" t="s">
        <v>68</v>
      </c>
      <c r="M2" s="7" t="s">
        <v>68</v>
      </c>
      <c r="N2" s="8"/>
      <c r="O2" s="8"/>
      <c r="P2" s="8"/>
      <c r="Q2" s="8"/>
      <c r="R2" s="8"/>
      <c r="S2" s="8"/>
      <c r="T2" s="8"/>
      <c r="U2" s="8"/>
      <c r="V2" s="8"/>
      <c r="W2" s="8"/>
      <c r="X2" s="8"/>
    </row>
    <row r="3" spans="1:24" x14ac:dyDescent="0.3">
      <c r="A3" s="7" t="s">
        <v>69</v>
      </c>
      <c r="M3" s="7" t="s">
        <v>69</v>
      </c>
      <c r="N3" s="8"/>
      <c r="O3" s="8"/>
      <c r="P3" s="8"/>
      <c r="Q3" s="8"/>
      <c r="R3" s="8"/>
      <c r="S3" s="8"/>
      <c r="T3" s="8"/>
      <c r="U3" s="8"/>
      <c r="V3" s="8"/>
      <c r="W3" s="8"/>
      <c r="X3" s="8"/>
    </row>
    <row r="4" spans="1:24" x14ac:dyDescent="0.3">
      <c r="M4" s="8"/>
      <c r="N4" s="8"/>
      <c r="O4" s="8"/>
      <c r="P4" s="8"/>
      <c r="Q4" s="8"/>
      <c r="R4" s="8"/>
      <c r="S4" s="8"/>
      <c r="T4" s="8"/>
      <c r="U4" s="8"/>
      <c r="V4" s="8"/>
      <c r="W4" s="8"/>
      <c r="X4" s="8"/>
    </row>
    <row r="5" spans="1:24" ht="16.2" x14ac:dyDescent="0.35">
      <c r="A5" s="30" t="s">
        <v>70</v>
      </c>
      <c r="M5" s="30" t="s">
        <v>71</v>
      </c>
      <c r="N5" s="8"/>
      <c r="O5" s="8"/>
      <c r="P5" s="8"/>
      <c r="Q5" s="8"/>
      <c r="R5" s="8"/>
      <c r="S5" s="8"/>
      <c r="T5" s="8"/>
      <c r="U5" s="8"/>
      <c r="V5" s="8"/>
      <c r="W5" s="8"/>
      <c r="X5" s="8"/>
    </row>
    <row r="6" spans="1:24" x14ac:dyDescent="0.3">
      <c r="A6" s="63"/>
      <c r="M6" s="8"/>
      <c r="N6" s="8"/>
      <c r="O6" s="8"/>
      <c r="P6" s="8"/>
      <c r="Q6" s="8"/>
      <c r="R6" s="8"/>
      <c r="S6" s="8"/>
      <c r="T6" s="8"/>
      <c r="U6" s="8"/>
      <c r="V6" s="8"/>
      <c r="W6" s="8"/>
      <c r="X6" s="8"/>
    </row>
    <row r="7" spans="1:24" ht="15.75" customHeight="1" x14ac:dyDescent="0.3">
      <c r="A7" s="63" t="s">
        <v>72</v>
      </c>
      <c r="M7" s="8" t="s">
        <v>73</v>
      </c>
      <c r="N7" s="200" t="s">
        <v>74</v>
      </c>
      <c r="O7" s="200"/>
      <c r="P7" s="200"/>
      <c r="Q7" s="200"/>
      <c r="R7" s="200"/>
      <c r="S7" s="200"/>
      <c r="T7" s="200"/>
      <c r="U7" s="200"/>
      <c r="V7" s="200"/>
      <c r="W7" s="200"/>
      <c r="X7" s="200"/>
    </row>
    <row r="8" spans="1:24" x14ac:dyDescent="0.3">
      <c r="M8" s="8"/>
      <c r="N8" s="60"/>
      <c r="O8" s="200" t="s">
        <v>75</v>
      </c>
      <c r="P8" s="241"/>
      <c r="Q8" s="241"/>
      <c r="R8" s="241"/>
      <c r="S8" s="60"/>
      <c r="T8" s="60"/>
      <c r="U8" s="60"/>
      <c r="V8" s="60"/>
      <c r="W8" s="60"/>
      <c r="X8" s="60"/>
    </row>
    <row r="9" spans="1:24" x14ac:dyDescent="0.3">
      <c r="B9" s="64" t="s">
        <v>76</v>
      </c>
      <c r="C9" s="64"/>
      <c r="D9" s="64"/>
      <c r="E9" s="64"/>
      <c r="F9" s="64"/>
      <c r="G9" s="64"/>
      <c r="H9" s="64"/>
      <c r="I9" s="64"/>
      <c r="J9" s="64"/>
      <c r="M9" s="8"/>
      <c r="N9" s="65"/>
      <c r="O9" s="8"/>
      <c r="P9" s="8"/>
      <c r="Q9" s="8"/>
      <c r="R9" s="8"/>
      <c r="S9" s="66"/>
      <c r="T9" s="67"/>
      <c r="U9" s="67"/>
      <c r="V9" s="67"/>
      <c r="W9" s="67"/>
      <c r="X9" s="67"/>
    </row>
    <row r="10" spans="1:24" x14ac:dyDescent="0.3">
      <c r="B10" s="68"/>
      <c r="C10" s="68"/>
      <c r="D10" s="68"/>
      <c r="E10" s="68"/>
      <c r="F10" s="68"/>
      <c r="G10" s="68"/>
      <c r="H10" s="68"/>
      <c r="I10" s="68"/>
      <c r="J10" s="68"/>
      <c r="M10" s="8"/>
      <c r="N10" s="65" t="s">
        <v>77</v>
      </c>
      <c r="O10" s="8"/>
      <c r="P10" s="8"/>
      <c r="Q10" s="8"/>
      <c r="R10" s="8"/>
      <c r="S10" s="66"/>
      <c r="T10" s="67"/>
      <c r="U10" s="67"/>
      <c r="V10" s="67"/>
      <c r="W10" s="67"/>
      <c r="X10" s="67"/>
    </row>
    <row r="11" spans="1:24" x14ac:dyDescent="0.3">
      <c r="B11" s="69"/>
      <c r="C11" s="242" t="s">
        <v>78</v>
      </c>
      <c r="D11" s="243"/>
      <c r="E11" s="244"/>
      <c r="F11" s="217"/>
      <c r="G11" s="217"/>
      <c r="H11" s="217"/>
      <c r="I11" s="217"/>
      <c r="J11" s="217"/>
      <c r="M11" s="8"/>
      <c r="N11" s="65"/>
      <c r="O11" s="8"/>
      <c r="P11" s="8"/>
      <c r="Q11" s="8"/>
      <c r="R11" s="8"/>
      <c r="S11" s="70"/>
      <c r="T11" s="67"/>
      <c r="U11" s="67"/>
      <c r="V11" s="67"/>
      <c r="W11" s="67"/>
      <c r="X11" s="67"/>
    </row>
    <row r="12" spans="1:24" ht="31.2" x14ac:dyDescent="0.3">
      <c r="B12" s="69" t="s">
        <v>79</v>
      </c>
      <c r="C12" s="236">
        <v>150000</v>
      </c>
      <c r="D12" s="237"/>
      <c r="E12" s="238"/>
      <c r="F12" s="218"/>
      <c r="G12" s="218"/>
      <c r="H12" s="218"/>
      <c r="I12" s="218"/>
      <c r="J12" s="218"/>
      <c r="M12" s="8"/>
      <c r="N12" s="71" t="s">
        <v>80</v>
      </c>
      <c r="O12" s="8"/>
      <c r="P12" s="8"/>
      <c r="Q12" s="8"/>
      <c r="R12" s="8"/>
      <c r="S12" s="70"/>
      <c r="T12" s="67"/>
      <c r="U12" s="67"/>
      <c r="V12" s="67"/>
      <c r="W12" s="67"/>
      <c r="X12" s="67"/>
    </row>
    <row r="13" spans="1:24" x14ac:dyDescent="0.3">
      <c r="B13" s="72" t="s">
        <v>81</v>
      </c>
      <c r="C13" s="73">
        <v>62</v>
      </c>
      <c r="D13" s="74"/>
      <c r="E13" s="75"/>
      <c r="F13" s="76"/>
      <c r="G13" s="77"/>
      <c r="H13" s="76"/>
      <c r="I13" s="77"/>
      <c r="J13" s="76"/>
      <c r="M13" s="8"/>
      <c r="N13" s="78" t="s">
        <v>82</v>
      </c>
      <c r="O13" s="79"/>
      <c r="P13" s="79"/>
      <c r="Q13" s="79"/>
      <c r="R13" s="60"/>
      <c r="S13" s="60"/>
      <c r="T13" s="60"/>
      <c r="U13" s="60"/>
      <c r="V13" s="60"/>
      <c r="W13" s="60"/>
      <c r="X13" s="60"/>
    </row>
    <row r="14" spans="1:24" x14ac:dyDescent="0.3">
      <c r="B14" s="72" t="s">
        <v>83</v>
      </c>
      <c r="C14" s="239" t="s">
        <v>84</v>
      </c>
      <c r="D14" s="240"/>
      <c r="M14" s="8"/>
      <c r="N14" s="79"/>
      <c r="O14" s="60"/>
      <c r="P14" s="60"/>
      <c r="Q14" s="60"/>
      <c r="R14" s="60"/>
      <c r="S14" s="60"/>
      <c r="T14" s="60"/>
      <c r="U14" s="60"/>
      <c r="V14" s="60"/>
      <c r="W14" s="60"/>
      <c r="X14" s="60"/>
    </row>
    <row r="15" spans="1:24" x14ac:dyDescent="0.3">
      <c r="B15" s="72" t="s">
        <v>85</v>
      </c>
      <c r="C15" s="73">
        <v>15</v>
      </c>
      <c r="D15" s="74" t="s">
        <v>86</v>
      </c>
      <c r="M15" s="8"/>
      <c r="N15" s="80" t="s">
        <v>77</v>
      </c>
      <c r="O15" s="8"/>
      <c r="P15" s="8"/>
      <c r="Q15" s="8"/>
      <c r="R15" s="8"/>
      <c r="S15" s="70"/>
      <c r="T15" s="67"/>
      <c r="U15" s="67"/>
      <c r="V15" s="67"/>
      <c r="W15" s="67"/>
      <c r="X15" s="67"/>
    </row>
    <row r="16" spans="1:24" x14ac:dyDescent="0.3">
      <c r="B16" s="81"/>
      <c r="C16" s="66"/>
      <c r="M16" s="82"/>
      <c r="N16" s="82"/>
      <c r="O16" s="82"/>
      <c r="P16" s="82"/>
      <c r="Q16" s="82"/>
      <c r="R16" s="82"/>
      <c r="S16" s="82"/>
      <c r="T16" s="82"/>
      <c r="U16" s="82"/>
      <c r="V16" s="82"/>
      <c r="W16" s="82"/>
      <c r="X16" s="82"/>
    </row>
    <row r="17" spans="2:24" x14ac:dyDescent="0.3">
      <c r="B17" s="83" t="s">
        <v>87</v>
      </c>
      <c r="C17" s="66"/>
      <c r="M17" s="82"/>
      <c r="N17" s="82"/>
      <c r="O17" s="82" t="s">
        <v>88</v>
      </c>
      <c r="P17" s="84" t="s">
        <v>89</v>
      </c>
      <c r="Q17" s="84" t="s">
        <v>90</v>
      </c>
      <c r="R17" s="84" t="s">
        <v>91</v>
      </c>
      <c r="S17" s="82"/>
      <c r="T17" s="82"/>
      <c r="U17" s="82"/>
      <c r="V17" s="82"/>
      <c r="W17" s="82"/>
      <c r="X17" s="82"/>
    </row>
    <row r="18" spans="2:24" x14ac:dyDescent="0.3">
      <c r="B18" s="81"/>
      <c r="C18" s="66"/>
      <c r="M18" s="82"/>
      <c r="N18" s="85"/>
      <c r="O18" s="86">
        <f>C20*H20+C21*(C12-H21)</f>
        <v>2700</v>
      </c>
      <c r="P18" s="87">
        <v>0</v>
      </c>
      <c r="Q18" s="88">
        <f>C15</f>
        <v>15</v>
      </c>
      <c r="R18" s="86">
        <f>O18*(1-P18)*Q18</f>
        <v>40500</v>
      </c>
      <c r="S18" s="82"/>
      <c r="T18" s="82"/>
      <c r="U18" s="82"/>
      <c r="V18" s="82"/>
      <c r="W18" s="82"/>
      <c r="X18" s="82"/>
    </row>
    <row r="19" spans="2:24" x14ac:dyDescent="0.3">
      <c r="B19" s="89" t="s">
        <v>92</v>
      </c>
      <c r="C19" s="232" t="s">
        <v>93</v>
      </c>
      <c r="D19" s="233"/>
      <c r="E19" s="234"/>
      <c r="F19" s="234"/>
      <c r="G19" s="234"/>
      <c r="H19" s="234"/>
      <c r="I19" s="235"/>
      <c r="M19" s="82"/>
      <c r="N19" s="85"/>
      <c r="O19" s="82"/>
      <c r="P19" s="82"/>
      <c r="Q19" s="82"/>
      <c r="R19" s="82"/>
      <c r="S19" s="82"/>
      <c r="T19" s="82"/>
      <c r="U19" s="82"/>
      <c r="V19" s="82"/>
      <c r="W19" s="82"/>
      <c r="X19" s="82"/>
    </row>
    <row r="20" spans="2:24" ht="15.45" customHeight="1" x14ac:dyDescent="0.3">
      <c r="B20" s="220" t="s">
        <v>94</v>
      </c>
      <c r="C20" s="90">
        <v>1.4E-2</v>
      </c>
      <c r="D20" s="222" t="s">
        <v>95</v>
      </c>
      <c r="E20" s="223"/>
      <c r="F20" s="223"/>
      <c r="G20" s="223"/>
      <c r="H20" s="91">
        <v>50000</v>
      </c>
      <c r="I20" s="92"/>
      <c r="M20" s="82"/>
      <c r="N20" s="85"/>
      <c r="O20" s="82" t="s">
        <v>96</v>
      </c>
      <c r="P20" s="82"/>
      <c r="Q20" s="93">
        <f>R18/C12</f>
        <v>0.27</v>
      </c>
      <c r="R20" s="82"/>
      <c r="S20" s="82"/>
      <c r="T20" s="82"/>
      <c r="U20" s="82"/>
      <c r="V20" s="82"/>
      <c r="W20" s="82"/>
      <c r="X20" s="82"/>
    </row>
    <row r="21" spans="2:24" ht="15.45" customHeight="1" x14ac:dyDescent="0.3">
      <c r="B21" s="229"/>
      <c r="C21" s="75">
        <v>0.02</v>
      </c>
      <c r="D21" s="230" t="s">
        <v>97</v>
      </c>
      <c r="E21" s="231"/>
      <c r="F21" s="231"/>
      <c r="G21" s="231"/>
      <c r="H21" s="95">
        <v>50000</v>
      </c>
      <c r="I21" s="96"/>
      <c r="M21" s="82"/>
      <c r="N21" s="97"/>
      <c r="O21" s="82"/>
      <c r="P21" s="82"/>
      <c r="Q21" s="82"/>
      <c r="R21" s="98"/>
      <c r="S21" s="98"/>
      <c r="T21" s="98"/>
      <c r="U21" s="98"/>
      <c r="V21" s="82"/>
      <c r="W21" s="82"/>
      <c r="X21" s="82"/>
    </row>
    <row r="22" spans="2:24" ht="15.45" customHeight="1" x14ac:dyDescent="0.3">
      <c r="B22" s="221"/>
      <c r="C22" s="99" t="s">
        <v>98</v>
      </c>
      <c r="D22" s="100"/>
      <c r="E22" s="101"/>
      <c r="F22" s="101"/>
      <c r="G22" s="101"/>
      <c r="H22" s="102"/>
      <c r="I22" s="103"/>
      <c r="M22" s="82"/>
      <c r="N22" s="104"/>
      <c r="O22" s="105"/>
      <c r="P22" s="104"/>
      <c r="Q22" s="104"/>
      <c r="R22" s="104"/>
      <c r="S22" s="104"/>
      <c r="T22" s="106"/>
      <c r="U22" s="104"/>
      <c r="V22" s="82"/>
      <c r="W22" s="82"/>
      <c r="X22" s="82"/>
    </row>
    <row r="23" spans="2:24" x14ac:dyDescent="0.3">
      <c r="B23" s="72" t="s">
        <v>99</v>
      </c>
      <c r="C23" s="107">
        <v>0.5</v>
      </c>
      <c r="D23" s="108" t="s">
        <v>100</v>
      </c>
      <c r="E23" s="109"/>
      <c r="F23" s="108"/>
      <c r="G23" s="108"/>
      <c r="H23" s="108"/>
      <c r="I23" s="110"/>
      <c r="M23" s="82"/>
      <c r="N23" s="80" t="s">
        <v>101</v>
      </c>
      <c r="O23" s="8"/>
      <c r="P23" s="8"/>
      <c r="Q23" s="8"/>
      <c r="R23" s="8"/>
      <c r="S23" s="104"/>
      <c r="T23" s="106"/>
      <c r="U23" s="104"/>
      <c r="V23" s="82"/>
      <c r="W23" s="82"/>
      <c r="X23" s="82"/>
    </row>
    <row r="24" spans="2:24" ht="15.45" customHeight="1" x14ac:dyDescent="0.3">
      <c r="B24" s="72" t="s">
        <v>85</v>
      </c>
      <c r="C24" s="111">
        <v>2.5000000000000001E-3</v>
      </c>
      <c r="D24" s="227" t="s">
        <v>102</v>
      </c>
      <c r="E24" s="228"/>
      <c r="F24" s="112">
        <v>60</v>
      </c>
      <c r="G24" s="113"/>
      <c r="H24" s="113"/>
      <c r="I24" s="114"/>
      <c r="J24" s="65"/>
      <c r="M24" s="82"/>
      <c r="N24" s="82"/>
      <c r="O24" s="82"/>
      <c r="P24" s="82"/>
      <c r="Q24" s="82"/>
      <c r="R24" s="82"/>
      <c r="S24" s="115"/>
      <c r="T24" s="116"/>
      <c r="U24" s="116"/>
      <c r="V24" s="82"/>
      <c r="W24" s="82"/>
      <c r="X24" s="82"/>
    </row>
    <row r="25" spans="2:24" x14ac:dyDescent="0.3">
      <c r="B25" s="220" t="s">
        <v>103</v>
      </c>
      <c r="C25" s="117">
        <v>0.6</v>
      </c>
      <c r="D25" s="118" t="s">
        <v>104</v>
      </c>
      <c r="E25" s="119"/>
      <c r="F25" s="118"/>
      <c r="G25" s="120"/>
      <c r="H25" s="120"/>
      <c r="I25" s="121"/>
      <c r="J25" s="65"/>
      <c r="M25" s="82"/>
      <c r="N25" s="82"/>
      <c r="O25" s="82" t="s">
        <v>88</v>
      </c>
      <c r="P25" s="84" t="s">
        <v>89</v>
      </c>
      <c r="Q25" s="84" t="s">
        <v>90</v>
      </c>
      <c r="R25" s="84" t="s">
        <v>91</v>
      </c>
      <c r="S25" s="115"/>
      <c r="T25" s="116"/>
      <c r="U25" s="116"/>
      <c r="V25" s="82"/>
      <c r="W25" s="82"/>
      <c r="X25" s="82"/>
    </row>
    <row r="26" spans="2:24" x14ac:dyDescent="0.3">
      <c r="B26" s="221"/>
      <c r="C26" s="122" t="s">
        <v>105</v>
      </c>
      <c r="D26" s="123"/>
      <c r="E26" s="123"/>
      <c r="F26" s="123"/>
      <c r="G26" s="123"/>
      <c r="H26" s="123"/>
      <c r="I26" s="103"/>
      <c r="M26" s="82"/>
      <c r="N26" s="85"/>
      <c r="O26" s="86">
        <f>C29*C12</f>
        <v>2700</v>
      </c>
      <c r="P26" s="87">
        <f>C32*12*(F32-C13)</f>
        <v>0.18</v>
      </c>
      <c r="Q26" s="88">
        <f>C15</f>
        <v>15</v>
      </c>
      <c r="R26" s="86">
        <f>O26*(1-P26)*Q26</f>
        <v>33210</v>
      </c>
      <c r="S26" s="115"/>
      <c r="T26" s="116"/>
      <c r="U26" s="116"/>
      <c r="V26" s="82"/>
      <c r="W26" s="82"/>
      <c r="X26" s="82"/>
    </row>
    <row r="27" spans="2:24" x14ac:dyDescent="0.3">
      <c r="M27" s="82"/>
      <c r="N27" s="85"/>
      <c r="O27" s="82"/>
      <c r="P27" s="82"/>
      <c r="Q27" s="82"/>
      <c r="R27" s="82"/>
      <c r="S27" s="115"/>
      <c r="T27" s="116"/>
      <c r="U27" s="116"/>
      <c r="V27" s="82"/>
      <c r="W27" s="82"/>
      <c r="X27" s="82"/>
    </row>
    <row r="28" spans="2:24" x14ac:dyDescent="0.3">
      <c r="B28" s="89" t="s">
        <v>92</v>
      </c>
      <c r="C28" s="232" t="s">
        <v>106</v>
      </c>
      <c r="D28" s="233"/>
      <c r="E28" s="234"/>
      <c r="F28" s="234"/>
      <c r="G28" s="234"/>
      <c r="H28" s="234"/>
      <c r="I28" s="235"/>
      <c r="M28" s="82"/>
      <c r="N28" s="85"/>
      <c r="O28" s="82" t="s">
        <v>96</v>
      </c>
      <c r="P28" s="82"/>
      <c r="Q28" s="93">
        <f>R26/C12</f>
        <v>0.22140000000000001</v>
      </c>
      <c r="R28" s="82"/>
      <c r="S28" s="82"/>
      <c r="T28" s="82"/>
      <c r="U28" s="82"/>
      <c r="V28" s="82"/>
      <c r="W28" s="82"/>
      <c r="X28" s="82"/>
    </row>
    <row r="29" spans="2:24" x14ac:dyDescent="0.3">
      <c r="B29" s="220" t="s">
        <v>94</v>
      </c>
      <c r="C29" s="90">
        <v>1.7999999999999999E-2</v>
      </c>
      <c r="D29" s="222" t="s">
        <v>107</v>
      </c>
      <c r="E29" s="223"/>
      <c r="F29" s="223"/>
      <c r="G29" s="223"/>
      <c r="H29" s="223"/>
      <c r="I29" s="92"/>
      <c r="M29" s="82"/>
      <c r="N29" s="97"/>
      <c r="O29" s="82"/>
      <c r="P29" s="82"/>
      <c r="Q29" s="82"/>
      <c r="R29" s="98"/>
      <c r="S29" s="82"/>
      <c r="T29" s="82"/>
      <c r="U29" s="82"/>
      <c r="V29" s="82"/>
      <c r="W29" s="82"/>
      <c r="X29" s="82"/>
    </row>
    <row r="30" spans="2:24" ht="15.45" customHeight="1" x14ac:dyDescent="0.3">
      <c r="B30" s="221"/>
      <c r="C30" s="224" t="s">
        <v>98</v>
      </c>
      <c r="D30" s="225"/>
      <c r="E30" s="225"/>
      <c r="F30" s="225"/>
      <c r="G30" s="225"/>
      <c r="H30" s="225"/>
      <c r="I30" s="226"/>
      <c r="M30" s="82"/>
      <c r="N30" s="124"/>
      <c r="O30" s="82"/>
      <c r="P30" s="125"/>
      <c r="Q30" s="126"/>
      <c r="R30" s="127"/>
      <c r="S30" s="82"/>
      <c r="T30" s="82"/>
      <c r="U30" s="82"/>
      <c r="V30" s="82"/>
      <c r="W30" s="82"/>
      <c r="X30" s="82"/>
    </row>
    <row r="31" spans="2:24" x14ac:dyDescent="0.3">
      <c r="B31" s="72" t="s">
        <v>99</v>
      </c>
      <c r="C31" s="128">
        <v>0.02</v>
      </c>
      <c r="D31" s="108" t="s">
        <v>108</v>
      </c>
      <c r="E31" s="129"/>
      <c r="F31" s="108"/>
      <c r="G31" s="108"/>
      <c r="H31" s="108"/>
      <c r="I31" s="110"/>
      <c r="M31" s="82"/>
      <c r="N31" s="124"/>
      <c r="O31" s="82"/>
      <c r="P31" s="125"/>
      <c r="Q31" s="126"/>
      <c r="R31" s="127"/>
      <c r="S31" s="82"/>
      <c r="T31" s="82"/>
      <c r="U31" s="82"/>
      <c r="V31" s="82"/>
      <c r="W31" s="82"/>
      <c r="X31" s="82"/>
    </row>
    <row r="32" spans="2:24" x14ac:dyDescent="0.3">
      <c r="B32" s="72" t="s">
        <v>85</v>
      </c>
      <c r="C32" s="111">
        <v>5.0000000000000001E-3</v>
      </c>
      <c r="D32" s="227" t="s">
        <v>102</v>
      </c>
      <c r="E32" s="228"/>
      <c r="F32" s="112">
        <v>65</v>
      </c>
      <c r="G32" s="113"/>
      <c r="H32" s="113"/>
      <c r="I32" s="114"/>
      <c r="M32" s="82"/>
      <c r="N32" s="85"/>
      <c r="O32" s="82"/>
      <c r="P32" s="125"/>
      <c r="Q32" s="126"/>
      <c r="R32" s="127"/>
      <c r="S32" s="82"/>
      <c r="T32" s="104"/>
      <c r="U32" s="82"/>
      <c r="V32" s="82"/>
      <c r="W32" s="82"/>
      <c r="X32" s="82"/>
    </row>
    <row r="33" spans="2:24" ht="15.45" customHeight="1" x14ac:dyDescent="0.45">
      <c r="B33" s="220" t="s">
        <v>103</v>
      </c>
      <c r="C33" s="130" t="s">
        <v>109</v>
      </c>
      <c r="D33" s="120"/>
      <c r="E33" s="119"/>
      <c r="F33" s="118"/>
      <c r="G33" s="120"/>
      <c r="H33" s="120"/>
      <c r="I33" s="121"/>
      <c r="M33" s="82"/>
      <c r="N33" s="124"/>
      <c r="O33" s="82"/>
      <c r="P33" s="125"/>
      <c r="Q33" s="126"/>
      <c r="R33" s="131"/>
      <c r="S33" s="82"/>
      <c r="T33" s="104"/>
      <c r="U33" s="82"/>
      <c r="V33" s="82"/>
      <c r="W33" s="82"/>
      <c r="X33" s="82"/>
    </row>
    <row r="34" spans="2:24" ht="15.45" customHeight="1" x14ac:dyDescent="0.3">
      <c r="B34" s="221"/>
      <c r="C34" s="122" t="s">
        <v>110</v>
      </c>
      <c r="D34" s="123"/>
      <c r="E34" s="123"/>
      <c r="F34" s="123"/>
      <c r="G34" s="123"/>
      <c r="H34" s="123"/>
      <c r="I34" s="103"/>
      <c r="M34" s="82"/>
      <c r="N34" s="104"/>
      <c r="O34" s="104"/>
      <c r="P34" s="104"/>
      <c r="Q34" s="105"/>
      <c r="R34" s="104"/>
      <c r="S34" s="104"/>
      <c r="T34" s="104"/>
      <c r="U34" s="82"/>
      <c r="V34" s="82"/>
      <c r="W34" s="82"/>
      <c r="X34" s="82"/>
    </row>
    <row r="35" spans="2:24" x14ac:dyDescent="0.3">
      <c r="M35" s="82"/>
      <c r="N35" s="104"/>
      <c r="O35" s="116"/>
      <c r="P35" s="115"/>
      <c r="Q35" s="115"/>
      <c r="R35" s="116"/>
      <c r="S35" s="115"/>
      <c r="T35" s="104"/>
      <c r="U35" s="82"/>
      <c r="V35" s="82"/>
      <c r="W35" s="82"/>
      <c r="X35" s="82"/>
    </row>
    <row r="36" spans="2:24" x14ac:dyDescent="0.3">
      <c r="M36" s="82"/>
      <c r="N36" s="104"/>
      <c r="O36" s="116"/>
      <c r="P36" s="115"/>
      <c r="Q36" s="115"/>
      <c r="R36" s="116"/>
      <c r="S36" s="115"/>
      <c r="T36" s="104"/>
      <c r="U36" s="82"/>
      <c r="V36" s="82"/>
      <c r="W36" s="82"/>
      <c r="X36" s="82"/>
    </row>
    <row r="37" spans="2:24" x14ac:dyDescent="0.3">
      <c r="M37" s="82"/>
      <c r="N37" s="104"/>
      <c r="O37" s="116"/>
      <c r="P37" s="115"/>
      <c r="Q37" s="115"/>
      <c r="R37" s="116"/>
      <c r="S37" s="115"/>
      <c r="T37" s="104"/>
      <c r="U37" s="82"/>
      <c r="V37" s="82"/>
      <c r="W37" s="82"/>
      <c r="X37" s="82"/>
    </row>
    <row r="38" spans="2:24" x14ac:dyDescent="0.3">
      <c r="M38" s="82"/>
      <c r="N38" s="104"/>
      <c r="O38" s="116"/>
      <c r="P38" s="115"/>
      <c r="Q38" s="115"/>
      <c r="R38" s="116"/>
      <c r="S38" s="115"/>
      <c r="T38" s="104"/>
      <c r="U38" s="82"/>
      <c r="V38" s="82"/>
      <c r="W38" s="82"/>
      <c r="X38" s="82"/>
    </row>
    <row r="39" spans="2:24" x14ac:dyDescent="0.3">
      <c r="M39" s="82"/>
      <c r="N39" s="97"/>
      <c r="O39" s="82"/>
      <c r="P39" s="82"/>
      <c r="Q39" s="82"/>
      <c r="R39" s="82"/>
      <c r="S39" s="82"/>
      <c r="T39" s="104"/>
      <c r="U39" s="82"/>
      <c r="V39" s="82"/>
      <c r="W39" s="82"/>
      <c r="X39" s="82"/>
    </row>
    <row r="40" spans="2:24" x14ac:dyDescent="0.3">
      <c r="M40" s="82"/>
      <c r="N40" s="82"/>
      <c r="O40" s="82"/>
      <c r="P40" s="125"/>
      <c r="Q40" s="126"/>
      <c r="R40" s="86"/>
      <c r="S40" s="82"/>
      <c r="T40" s="132"/>
      <c r="U40" s="82"/>
      <c r="V40" s="82"/>
      <c r="W40" s="82"/>
      <c r="X40" s="82"/>
    </row>
    <row r="41" spans="2:24" x14ac:dyDescent="0.3">
      <c r="M41" s="82"/>
      <c r="N41" s="82"/>
      <c r="O41" s="82"/>
      <c r="P41" s="82"/>
      <c r="Q41" s="82"/>
      <c r="R41" s="82"/>
      <c r="S41" s="82"/>
      <c r="T41" s="132"/>
      <c r="U41" s="82"/>
      <c r="V41" s="82"/>
      <c r="W41" s="82"/>
      <c r="X41" s="82"/>
    </row>
    <row r="42" spans="2:24" x14ac:dyDescent="0.3">
      <c r="M42" s="82"/>
      <c r="N42" s="133"/>
      <c r="O42" s="82"/>
      <c r="P42" s="82"/>
      <c r="Q42" s="82"/>
      <c r="R42" s="82"/>
      <c r="S42" s="82"/>
      <c r="T42" s="82"/>
      <c r="U42" s="82"/>
      <c r="V42" s="82"/>
      <c r="W42" s="82"/>
      <c r="X42" s="82"/>
    </row>
    <row r="43" spans="2:24" x14ac:dyDescent="0.3">
      <c r="M43" s="82"/>
      <c r="N43" s="85"/>
      <c r="O43" s="82"/>
      <c r="P43" s="82"/>
      <c r="Q43" s="82"/>
      <c r="R43" s="82"/>
      <c r="S43" s="82"/>
      <c r="T43" s="82"/>
      <c r="U43" s="82"/>
      <c r="V43" s="82"/>
      <c r="W43" s="82"/>
      <c r="X43" s="82"/>
    </row>
    <row r="44" spans="2:24" x14ac:dyDescent="0.3">
      <c r="M44" s="82"/>
      <c r="N44" s="82"/>
      <c r="O44" s="134"/>
      <c r="P44" s="134"/>
      <c r="Q44" s="134"/>
      <c r="R44" s="134"/>
      <c r="S44" s="82"/>
      <c r="T44" s="82"/>
      <c r="U44" s="82"/>
      <c r="V44" s="82"/>
      <c r="W44" s="82"/>
      <c r="X44" s="82"/>
    </row>
    <row r="45" spans="2:24" x14ac:dyDescent="0.3">
      <c r="M45" s="82"/>
      <c r="N45" s="85"/>
      <c r="O45" s="82"/>
      <c r="P45" s="125"/>
      <c r="Q45" s="126"/>
      <c r="R45" s="127"/>
      <c r="S45" s="82"/>
      <c r="T45" s="82"/>
      <c r="U45" s="82"/>
      <c r="V45" s="82"/>
      <c r="W45" s="82"/>
      <c r="X45" s="82"/>
    </row>
    <row r="46" spans="2:24" x14ac:dyDescent="0.3">
      <c r="M46" s="82"/>
      <c r="N46" s="97"/>
      <c r="O46" s="82"/>
      <c r="P46" s="82"/>
      <c r="Q46" s="82"/>
      <c r="R46" s="98"/>
      <c r="S46" s="98"/>
      <c r="T46" s="98"/>
      <c r="U46" s="135"/>
      <c r="V46" s="82"/>
      <c r="W46" s="82"/>
      <c r="X46" s="82"/>
    </row>
    <row r="47" spans="2:24" x14ac:dyDescent="0.3">
      <c r="M47" s="82"/>
      <c r="N47" s="104"/>
      <c r="O47" s="105"/>
      <c r="P47" s="104"/>
      <c r="Q47" s="105"/>
      <c r="R47" s="104"/>
      <c r="S47" s="104"/>
      <c r="T47" s="105"/>
      <c r="U47" s="82"/>
      <c r="V47" s="82"/>
      <c r="W47" s="82"/>
      <c r="X47" s="82"/>
    </row>
    <row r="48" spans="2:24" x14ac:dyDescent="0.3">
      <c r="M48" s="82"/>
      <c r="N48" s="104"/>
      <c r="O48" s="136"/>
      <c r="P48" s="137"/>
      <c r="Q48" s="116"/>
      <c r="R48" s="116"/>
      <c r="S48" s="115"/>
      <c r="T48" s="116"/>
      <c r="U48" s="138"/>
      <c r="V48" s="82"/>
      <c r="W48" s="82"/>
      <c r="X48" s="82"/>
    </row>
    <row r="49" spans="13:24" x14ac:dyDescent="0.3">
      <c r="M49" s="82"/>
      <c r="N49" s="104"/>
      <c r="O49" s="136"/>
      <c r="P49" s="137"/>
      <c r="Q49" s="115"/>
      <c r="R49" s="116"/>
      <c r="S49" s="115"/>
      <c r="T49" s="116"/>
      <c r="U49" s="138"/>
      <c r="V49" s="82"/>
      <c r="W49" s="82"/>
      <c r="X49" s="82"/>
    </row>
    <row r="50" spans="13:24" x14ac:dyDescent="0.3">
      <c r="M50" s="82"/>
      <c r="N50" s="104"/>
      <c r="O50" s="136"/>
      <c r="P50" s="137"/>
      <c r="Q50" s="115"/>
      <c r="R50" s="116"/>
      <c r="S50" s="115"/>
      <c r="T50" s="116"/>
      <c r="U50" s="138"/>
      <c r="V50" s="82"/>
      <c r="W50" s="82"/>
      <c r="X50" s="82"/>
    </row>
    <row r="51" spans="13:24" x14ac:dyDescent="0.3">
      <c r="M51" s="82"/>
      <c r="N51" s="104"/>
      <c r="O51" s="136"/>
      <c r="P51" s="137"/>
      <c r="Q51" s="115"/>
      <c r="R51" s="116"/>
      <c r="S51" s="115"/>
      <c r="T51" s="116"/>
      <c r="U51" s="138"/>
      <c r="V51" s="82"/>
      <c r="W51" s="82"/>
      <c r="X51" s="82"/>
    </row>
    <row r="52" spans="13:24" x14ac:dyDescent="0.3">
      <c r="M52" s="82"/>
      <c r="N52" s="82"/>
      <c r="O52" s="82"/>
      <c r="P52" s="84"/>
      <c r="Q52" s="82"/>
      <c r="R52" s="139"/>
      <c r="S52" s="82"/>
      <c r="T52" s="82"/>
      <c r="U52" s="82"/>
      <c r="V52" s="82"/>
      <c r="W52" s="82"/>
      <c r="X52" s="82"/>
    </row>
    <row r="53" spans="13:24" x14ac:dyDescent="0.3">
      <c r="M53" s="82"/>
      <c r="N53" s="82"/>
      <c r="O53" s="82"/>
      <c r="P53" s="125"/>
      <c r="Q53" s="126"/>
      <c r="R53" s="86"/>
      <c r="S53" s="82"/>
      <c r="T53" s="82"/>
      <c r="U53" s="82"/>
      <c r="V53" s="82"/>
      <c r="W53" s="82"/>
      <c r="X53" s="82"/>
    </row>
    <row r="54" spans="13:24" x14ac:dyDescent="0.3">
      <c r="M54" s="82"/>
      <c r="N54" s="82"/>
      <c r="O54" s="82"/>
      <c r="P54" s="82"/>
      <c r="Q54" s="82"/>
      <c r="R54" s="82"/>
      <c r="S54" s="82"/>
      <c r="T54" s="82"/>
      <c r="U54" s="82"/>
      <c r="V54" s="82"/>
      <c r="W54" s="82"/>
      <c r="X54" s="82"/>
    </row>
    <row r="55" spans="13:24" x14ac:dyDescent="0.3">
      <c r="M55" s="82"/>
      <c r="N55" s="85"/>
      <c r="O55" s="82"/>
      <c r="P55" s="125"/>
      <c r="Q55" s="126"/>
      <c r="R55" s="127"/>
      <c r="S55" s="82"/>
      <c r="T55" s="82"/>
      <c r="U55" s="82"/>
      <c r="V55" s="82"/>
      <c r="W55" s="82"/>
      <c r="X55" s="82"/>
    </row>
    <row r="56" spans="13:24" ht="17.399999999999999" x14ac:dyDescent="0.45">
      <c r="M56" s="82"/>
      <c r="N56" s="124"/>
      <c r="O56" s="82"/>
      <c r="P56" s="125"/>
      <c r="Q56" s="126"/>
      <c r="R56" s="131"/>
      <c r="S56" s="82"/>
      <c r="T56" s="104"/>
      <c r="U56" s="82"/>
      <c r="V56" s="82"/>
      <c r="W56" s="82"/>
      <c r="X56" s="82"/>
    </row>
    <row r="57" spans="13:24" x14ac:dyDescent="0.3">
      <c r="M57" s="82"/>
      <c r="N57" s="104"/>
      <c r="O57" s="104"/>
      <c r="P57" s="104"/>
      <c r="Q57" s="104"/>
      <c r="R57" s="104"/>
      <c r="S57" s="82"/>
      <c r="T57" s="104"/>
      <c r="U57" s="82"/>
      <c r="V57" s="82"/>
      <c r="W57" s="82"/>
      <c r="X57" s="82"/>
    </row>
    <row r="58" spans="13:24" x14ac:dyDescent="0.3">
      <c r="M58" s="82"/>
      <c r="N58" s="104"/>
      <c r="O58" s="116"/>
      <c r="P58" s="115"/>
      <c r="Q58" s="116"/>
      <c r="R58" s="115"/>
      <c r="S58" s="82"/>
      <c r="T58" s="104"/>
      <c r="U58" s="82"/>
      <c r="V58" s="82"/>
      <c r="W58" s="82"/>
      <c r="X58" s="82"/>
    </row>
    <row r="59" spans="13:24" x14ac:dyDescent="0.3">
      <c r="M59" s="82"/>
      <c r="N59" s="104"/>
      <c r="O59" s="116"/>
      <c r="P59" s="115"/>
      <c r="Q59" s="116"/>
      <c r="R59" s="115"/>
      <c r="S59" s="82"/>
      <c r="T59" s="104"/>
      <c r="U59" s="82"/>
      <c r="V59" s="82"/>
      <c r="W59" s="82"/>
      <c r="X59" s="82"/>
    </row>
    <row r="60" spans="13:24" x14ac:dyDescent="0.3">
      <c r="M60" s="82"/>
      <c r="N60" s="104"/>
      <c r="O60" s="116"/>
      <c r="P60" s="115"/>
      <c r="Q60" s="116"/>
      <c r="R60" s="115"/>
      <c r="S60" s="82"/>
      <c r="T60" s="104"/>
      <c r="U60" s="82"/>
      <c r="V60" s="82"/>
      <c r="W60" s="82"/>
      <c r="X60" s="82"/>
    </row>
    <row r="61" spans="13:24" x14ac:dyDescent="0.3">
      <c r="M61" s="82"/>
      <c r="N61" s="104"/>
      <c r="O61" s="116"/>
      <c r="P61" s="115"/>
      <c r="Q61" s="116"/>
      <c r="R61" s="115"/>
      <c r="S61" s="82"/>
      <c r="T61" s="104"/>
      <c r="U61" s="82"/>
      <c r="V61" s="82"/>
      <c r="W61" s="82"/>
      <c r="X61" s="82"/>
    </row>
    <row r="62" spans="13:24" x14ac:dyDescent="0.3">
      <c r="M62" s="82"/>
      <c r="N62" s="82"/>
      <c r="O62" s="82"/>
      <c r="P62" s="82"/>
      <c r="Q62" s="82"/>
      <c r="R62" s="82"/>
      <c r="S62" s="82"/>
      <c r="T62" s="104"/>
      <c r="U62" s="82"/>
      <c r="V62" s="82"/>
      <c r="W62" s="82"/>
      <c r="X62" s="82"/>
    </row>
    <row r="63" spans="13:24" x14ac:dyDescent="0.3">
      <c r="M63" s="82"/>
      <c r="N63" s="82"/>
      <c r="O63" s="82"/>
      <c r="P63" s="125"/>
      <c r="Q63" s="126"/>
      <c r="R63" s="86"/>
      <c r="S63" s="82"/>
      <c r="T63" s="104"/>
      <c r="U63" s="82"/>
      <c r="V63" s="82"/>
      <c r="W63" s="82"/>
      <c r="X63" s="82"/>
    </row>
    <row r="64" spans="13:24" x14ac:dyDescent="0.3">
      <c r="M64" s="82"/>
      <c r="N64" s="82"/>
      <c r="O64" s="82"/>
      <c r="P64" s="82"/>
      <c r="Q64" s="82"/>
      <c r="R64" s="82"/>
      <c r="S64" s="82"/>
      <c r="T64" s="104"/>
      <c r="U64" s="82"/>
      <c r="V64" s="82"/>
      <c r="W64" s="82"/>
      <c r="X64" s="82"/>
    </row>
    <row r="65" spans="13:24" x14ac:dyDescent="0.3">
      <c r="M65" s="82"/>
      <c r="N65" s="82"/>
      <c r="O65" s="82"/>
      <c r="P65" s="82"/>
      <c r="Q65" s="82"/>
      <c r="R65" s="82"/>
      <c r="S65" s="82"/>
      <c r="T65" s="132"/>
      <c r="U65" s="82"/>
      <c r="V65" s="82"/>
      <c r="W65" s="82"/>
      <c r="X65" s="82"/>
    </row>
    <row r="66" spans="13:24" x14ac:dyDescent="0.3">
      <c r="M66" s="82"/>
      <c r="N66" s="82"/>
      <c r="O66" s="82"/>
      <c r="P66" s="82"/>
      <c r="Q66" s="82"/>
      <c r="R66" s="82"/>
      <c r="S66" s="82"/>
      <c r="T66" s="132"/>
      <c r="U66" s="82"/>
      <c r="V66" s="82"/>
      <c r="W66" s="82"/>
      <c r="X66" s="82"/>
    </row>
    <row r="67" spans="13:24" x14ac:dyDescent="0.3">
      <c r="M67" s="82"/>
      <c r="N67" s="82"/>
      <c r="O67" s="82"/>
      <c r="P67" s="82"/>
      <c r="Q67" s="82"/>
      <c r="R67" s="82"/>
      <c r="S67" s="82"/>
      <c r="T67" s="82"/>
      <c r="U67" s="82"/>
      <c r="V67" s="82"/>
      <c r="W67" s="82"/>
      <c r="X67" s="82"/>
    </row>
    <row r="68" spans="13:24" x14ac:dyDescent="0.3">
      <c r="M68" s="82"/>
      <c r="N68" s="82"/>
      <c r="O68" s="82"/>
      <c r="P68" s="82"/>
      <c r="Q68" s="82"/>
      <c r="R68" s="82"/>
      <c r="S68" s="82"/>
      <c r="T68" s="82"/>
      <c r="U68" s="82"/>
      <c r="V68" s="82"/>
      <c r="W68" s="82"/>
      <c r="X68" s="82"/>
    </row>
    <row r="69" spans="13:24" x14ac:dyDescent="0.3">
      <c r="M69" s="82"/>
      <c r="N69" s="82"/>
      <c r="O69" s="82"/>
      <c r="P69" s="82"/>
      <c r="Q69" s="82"/>
      <c r="R69" s="82"/>
      <c r="S69" s="82"/>
      <c r="T69" s="82"/>
      <c r="U69" s="82"/>
      <c r="V69" s="82"/>
      <c r="W69" s="82"/>
      <c r="X69" s="82"/>
    </row>
    <row r="70" spans="13:24" x14ac:dyDescent="0.3">
      <c r="M70" s="82"/>
      <c r="N70" s="82"/>
      <c r="O70" s="82"/>
      <c r="P70" s="82"/>
      <c r="Q70" s="82"/>
      <c r="R70" s="82"/>
      <c r="S70" s="82"/>
      <c r="T70" s="82"/>
      <c r="U70" s="82"/>
      <c r="V70" s="82"/>
      <c r="W70" s="82"/>
      <c r="X70" s="82"/>
    </row>
    <row r="71" spans="13:24" x14ac:dyDescent="0.3">
      <c r="M71" s="82"/>
      <c r="N71" s="82"/>
      <c r="O71" s="82"/>
      <c r="P71" s="82"/>
      <c r="Q71" s="82"/>
      <c r="R71" s="82"/>
      <c r="S71" s="82"/>
      <c r="T71" s="82"/>
      <c r="U71" s="82"/>
      <c r="V71" s="82"/>
      <c r="W71" s="82"/>
      <c r="X71" s="82"/>
    </row>
    <row r="72" spans="13:24" x14ac:dyDescent="0.3">
      <c r="M72" s="82"/>
      <c r="N72" s="82"/>
      <c r="O72" s="82"/>
      <c r="P72" s="82"/>
      <c r="Q72" s="82"/>
      <c r="R72" s="82"/>
      <c r="S72" s="82"/>
      <c r="T72" s="82"/>
      <c r="U72" s="82"/>
      <c r="V72" s="82"/>
      <c r="W72" s="82"/>
      <c r="X72" s="82"/>
    </row>
    <row r="73" spans="13:24" x14ac:dyDescent="0.3">
      <c r="M73" s="82"/>
      <c r="N73" s="82"/>
      <c r="O73" s="82"/>
      <c r="P73" s="82"/>
      <c r="Q73" s="82"/>
      <c r="R73" s="82"/>
      <c r="S73" s="82"/>
      <c r="T73" s="82"/>
      <c r="U73" s="82"/>
      <c r="V73" s="82"/>
      <c r="W73" s="82"/>
      <c r="X73" s="82"/>
    </row>
    <row r="74" spans="13:24" x14ac:dyDescent="0.3">
      <c r="M74" s="82"/>
      <c r="N74" s="82"/>
      <c r="O74" s="82"/>
      <c r="P74" s="82"/>
      <c r="Q74" s="82"/>
      <c r="R74" s="82"/>
      <c r="S74" s="82"/>
      <c r="T74" s="82"/>
      <c r="U74" s="82"/>
      <c r="V74" s="82"/>
      <c r="W74" s="82"/>
      <c r="X74" s="82"/>
    </row>
    <row r="75" spans="13:24" x14ac:dyDescent="0.3">
      <c r="M75" s="82"/>
      <c r="N75" s="82"/>
      <c r="O75" s="82"/>
      <c r="P75" s="82"/>
      <c r="Q75" s="82"/>
      <c r="R75" s="82"/>
      <c r="S75" s="82"/>
      <c r="T75" s="82"/>
      <c r="U75" s="82"/>
      <c r="V75" s="82"/>
      <c r="W75" s="82"/>
      <c r="X75" s="82"/>
    </row>
    <row r="76" spans="13:24" x14ac:dyDescent="0.3">
      <c r="M76" s="82"/>
      <c r="N76" s="82"/>
      <c r="O76" s="82"/>
      <c r="P76" s="82"/>
      <c r="Q76" s="82"/>
      <c r="R76" s="82"/>
      <c r="S76" s="82"/>
      <c r="T76" s="82"/>
      <c r="U76" s="82"/>
      <c r="V76" s="82"/>
      <c r="W76" s="82"/>
      <c r="X76" s="82"/>
    </row>
    <row r="77" spans="13:24" x14ac:dyDescent="0.3">
      <c r="M77" s="82"/>
      <c r="N77" s="82"/>
      <c r="O77" s="82"/>
      <c r="P77" s="82"/>
      <c r="Q77" s="82"/>
      <c r="R77" s="82"/>
      <c r="S77" s="82"/>
      <c r="T77" s="82"/>
      <c r="U77" s="82"/>
      <c r="V77" s="82"/>
      <c r="W77" s="82"/>
      <c r="X77" s="82"/>
    </row>
    <row r="78" spans="13:24" x14ac:dyDescent="0.3">
      <c r="M78" s="82"/>
      <c r="N78" s="82"/>
      <c r="O78" s="82"/>
      <c r="P78" s="82"/>
      <c r="Q78" s="82"/>
      <c r="R78" s="82"/>
      <c r="S78" s="82"/>
      <c r="T78" s="82"/>
      <c r="U78" s="82"/>
      <c r="V78" s="82"/>
      <c r="W78" s="82"/>
      <c r="X78" s="82"/>
    </row>
    <row r="79" spans="13:24" x14ac:dyDescent="0.3">
      <c r="M79" s="82"/>
      <c r="N79" s="82"/>
      <c r="O79" s="82"/>
      <c r="P79" s="82"/>
      <c r="Q79" s="82"/>
      <c r="R79" s="82"/>
      <c r="S79" s="82"/>
      <c r="T79" s="82"/>
      <c r="U79" s="82"/>
      <c r="V79" s="82"/>
      <c r="W79" s="82"/>
      <c r="X79" s="82"/>
    </row>
    <row r="80" spans="13:24" x14ac:dyDescent="0.3">
      <c r="M80" s="82"/>
      <c r="N80" s="82"/>
      <c r="O80" s="82"/>
      <c r="P80" s="82"/>
      <c r="Q80" s="82"/>
      <c r="R80" s="82"/>
      <c r="S80" s="82"/>
      <c r="T80" s="82"/>
      <c r="U80" s="82"/>
      <c r="V80" s="82"/>
      <c r="W80" s="82"/>
      <c r="X80" s="82"/>
    </row>
    <row r="81" spans="13:24" x14ac:dyDescent="0.3">
      <c r="M81" s="82"/>
      <c r="N81" s="82"/>
      <c r="O81" s="82"/>
      <c r="P81" s="82"/>
      <c r="Q81" s="82"/>
      <c r="R81" s="82"/>
      <c r="S81" s="82"/>
      <c r="T81" s="82"/>
      <c r="U81" s="82"/>
      <c r="V81" s="82"/>
      <c r="W81" s="82"/>
      <c r="X81" s="82"/>
    </row>
  </sheetData>
  <sheetProtection formatCells="0" formatColumns="0" formatRows="0" insertColumns="0" insertRows="0"/>
  <mergeCells count="23">
    <mergeCell ref="N7:X7"/>
    <mergeCell ref="O8:R8"/>
    <mergeCell ref="C11:D11"/>
    <mergeCell ref="E11:F11"/>
    <mergeCell ref="G11:H11"/>
    <mergeCell ref="I11:J11"/>
    <mergeCell ref="C28:I28"/>
    <mergeCell ref="C12:D12"/>
    <mergeCell ref="E12:F12"/>
    <mergeCell ref="G12:H12"/>
    <mergeCell ref="I12:J12"/>
    <mergeCell ref="C14:D14"/>
    <mergeCell ref="C19:I19"/>
    <mergeCell ref="B20:B22"/>
    <mergeCell ref="D20:G20"/>
    <mergeCell ref="D21:G21"/>
    <mergeCell ref="D24:E24"/>
    <mergeCell ref="B25:B26"/>
    <mergeCell ref="B29:B30"/>
    <mergeCell ref="D29:H29"/>
    <mergeCell ref="C30:I30"/>
    <mergeCell ref="D32:E32"/>
    <mergeCell ref="B33:B34"/>
  </mergeCells>
  <pageMargins left="0.7" right="0.7" top="0.75" bottom="0.75" header="0.3" footer="0.3"/>
  <pageSetup scale="68"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8CED9D8272014D8E5F98905D81EAF4" ma:contentTypeVersion="10" ma:contentTypeDescription="Create a new document." ma:contentTypeScope="" ma:versionID="48c7918c77740b3c108c7c54bdb54bac">
  <xsd:schema xmlns:xsd="http://www.w3.org/2001/XMLSchema" xmlns:xs="http://www.w3.org/2001/XMLSchema" xmlns:p="http://schemas.microsoft.com/office/2006/metadata/properties" xmlns:ns3="cd1e47a4-999f-4e42-aed8-bca43ba7a1ff" targetNamespace="http://schemas.microsoft.com/office/2006/metadata/properties" ma:root="true" ma:fieldsID="11d32721b20ae165018530d7ef366cef" ns3:_="">
    <xsd:import namespace="cd1e47a4-999f-4e42-aed8-bca43ba7a1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e47a4-999f-4e42-aed8-bca43ba7a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45B69-80D1-4DD1-B3DE-1C13F3BD27C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d1e47a4-999f-4e42-aed8-bca43ba7a1ff"/>
    <ds:schemaRef ds:uri="http://www.w3.org/XML/1998/namespace"/>
    <ds:schemaRef ds:uri="http://purl.org/dc/dcmitype/"/>
  </ds:schemaRefs>
</ds:datastoreItem>
</file>

<file path=customXml/itemProps2.xml><?xml version="1.0" encoding="utf-8"?>
<ds:datastoreItem xmlns:ds="http://schemas.openxmlformats.org/officeDocument/2006/customXml" ds:itemID="{DA25A331-185B-4590-AE4A-03B296702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1e47a4-999f-4e42-aed8-bca43ba7a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A1060C-5D3F-4C75-A466-013512F32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Question 4</vt:lpstr>
      <vt:lpstr>Question 6</vt:lpstr>
      <vt:lpstr>Question 8</vt:lpstr>
      <vt:lpstr>Question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2020-10-01T03:05:22Z</cp:lastPrinted>
  <dcterms:created xsi:type="dcterms:W3CDTF">2015-06-05T18:17:20Z</dcterms:created>
  <dcterms:modified xsi:type="dcterms:W3CDTF">2022-01-27T19:02:32Z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0x010100678CED9D8272014D8E5F98905D81EAF4</vt:lpwstr>
  </property>
</Properties>
</file>