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1\F21\"/>
    </mc:Choice>
  </mc:AlternateContent>
  <xr:revisionPtr revIDLastSave="0" documentId="13_ncr:1_{276E6E40-1420-4DCC-8E25-30CC938B263A}" xr6:coauthVersionLast="46" xr6:coauthVersionMax="46" xr10:uidLastSave="{00000000-0000-0000-0000-000000000000}"/>
  <bookViews>
    <workbookView xWindow="40320" yWindow="4320" windowWidth="17280" windowHeight="9060" xr2:uid="{00000000-000D-0000-FFFF-FFFF00000000}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Assumptions for Q5" sheetId="8" r:id="rId6"/>
    <sheet name="Base for Q5" sheetId="9" r:id="rId7"/>
    <sheet name="Q6" sheetId="6" r:id="rId8"/>
    <sheet name="Q7" sheetId="7" r:id="rId9"/>
  </sheets>
  <definedNames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9" l="1"/>
  <c r="E45" i="9"/>
  <c r="E44" i="9"/>
  <c r="E43" i="9"/>
  <c r="E42" i="9"/>
  <c r="F36" i="9" l="1"/>
  <c r="F38" i="9" s="1"/>
  <c r="F8" i="9" l="1"/>
  <c r="F11" i="9"/>
  <c r="F12" i="9"/>
  <c r="F13" i="9"/>
  <c r="F37" i="9"/>
  <c r="F15" i="9" s="1"/>
  <c r="F30" i="9" s="1"/>
  <c r="F14" i="9"/>
  <c r="F9" i="9" l="1"/>
  <c r="F23" i="9" l="1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4" i="9"/>
  <c r="G5" i="9"/>
  <c r="H5" i="9" s="1"/>
  <c r="I5" i="9" s="1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W22" i="8"/>
  <c r="V22" i="8"/>
  <c r="U22" i="8"/>
  <c r="T22" i="8"/>
  <c r="S22" i="8"/>
  <c r="R22" i="8"/>
  <c r="Q22" i="8"/>
  <c r="P22" i="8"/>
  <c r="O22" i="8"/>
  <c r="N22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E5" i="8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F25" i="9" l="1"/>
  <c r="E46" i="9"/>
  <c r="F22" i="9"/>
  <c r="F19" i="9" l="1"/>
  <c r="F20" i="9"/>
  <c r="F26" i="9"/>
  <c r="F39" i="9"/>
  <c r="G36" i="9" s="1"/>
  <c r="F16" i="9"/>
  <c r="G38" i="9" l="1"/>
  <c r="G14" i="9"/>
  <c r="G37" i="9"/>
  <c r="G15" i="9" s="1"/>
  <c r="G30" i="9" s="1"/>
  <c r="G12" i="9"/>
  <c r="G8" i="9"/>
  <c r="G10" i="9" s="1"/>
  <c r="F27" i="9"/>
  <c r="G25" i="9"/>
  <c r="F33" i="9"/>
  <c r="G26" i="9" l="1"/>
  <c r="G39" i="9"/>
  <c r="H36" i="9" s="1"/>
  <c r="G21" i="9"/>
  <c r="G19" i="9"/>
  <c r="G23" i="9"/>
  <c r="H12" i="9" l="1"/>
  <c r="H37" i="9"/>
  <c r="H15" i="9" s="1"/>
  <c r="H30" i="9" s="1"/>
  <c r="H14" i="9"/>
  <c r="H8" i="9"/>
  <c r="H10" i="9" s="1"/>
  <c r="H38" i="9"/>
  <c r="G27" i="9"/>
  <c r="H25" i="9"/>
  <c r="G16" i="9"/>
  <c r="G33" i="9"/>
  <c r="H23" i="9" l="1"/>
  <c r="H26" i="9"/>
  <c r="H19" i="9"/>
  <c r="H21" i="9"/>
  <c r="H39" i="9"/>
  <c r="I36" i="9" s="1"/>
  <c r="I8" i="9" l="1"/>
  <c r="I10" i="9" s="1"/>
  <c r="I37" i="9"/>
  <c r="I15" i="9" s="1"/>
  <c r="I30" i="9" s="1"/>
  <c r="I14" i="9"/>
  <c r="I38" i="9"/>
  <c r="I12" i="9"/>
  <c r="H16" i="9"/>
  <c r="H33" i="9"/>
  <c r="H27" i="9"/>
  <c r="I25" i="9"/>
  <c r="I26" i="9" l="1"/>
  <c r="I19" i="9"/>
  <c r="I21" i="9"/>
  <c r="I39" i="9"/>
  <c r="J36" i="9" s="1"/>
  <c r="I23" i="9"/>
  <c r="J8" i="9" l="1"/>
  <c r="J10" i="9" s="1"/>
  <c r="J12" i="9"/>
  <c r="J37" i="9"/>
  <c r="J15" i="9" s="1"/>
  <c r="J30" i="9" s="1"/>
  <c r="J14" i="9"/>
  <c r="J38" i="9"/>
  <c r="I27" i="9"/>
  <c r="J25" i="9"/>
  <c r="I16" i="9"/>
  <c r="I33" i="9"/>
  <c r="J26" i="9" l="1"/>
  <c r="J23" i="9"/>
  <c r="J19" i="9"/>
  <c r="J21" i="9"/>
  <c r="J39" i="9"/>
  <c r="K36" i="9" s="1"/>
  <c r="K38" i="9" l="1"/>
  <c r="K12" i="9"/>
  <c r="K14" i="9"/>
  <c r="K8" i="9"/>
  <c r="K10" i="9" s="1"/>
  <c r="K37" i="9"/>
  <c r="K15" i="9" s="1"/>
  <c r="K30" i="9" s="1"/>
  <c r="J16" i="9"/>
  <c r="J27" i="9"/>
  <c r="K25" i="9"/>
  <c r="J33" i="9"/>
  <c r="K23" i="9" l="1"/>
  <c r="K33" i="9"/>
  <c r="K26" i="9"/>
  <c r="K39" i="9"/>
  <c r="L36" i="9" s="1"/>
  <c r="K21" i="9"/>
  <c r="K19" i="9"/>
  <c r="L12" i="9" l="1"/>
  <c r="L23" i="9" s="1"/>
  <c r="L37" i="9"/>
  <c r="L15" i="9" s="1"/>
  <c r="L30" i="9" s="1"/>
  <c r="L38" i="9"/>
  <c r="L14" i="9"/>
  <c r="L8" i="9"/>
  <c r="L10" i="9" s="1"/>
  <c r="K16" i="9"/>
  <c r="K27" i="9"/>
  <c r="L25" i="9"/>
  <c r="L39" i="9" l="1"/>
  <c r="M36" i="9" s="1"/>
  <c r="L33" i="9"/>
  <c r="L26" i="9"/>
  <c r="L19" i="9"/>
  <c r="L21" i="9"/>
  <c r="M12" i="9" l="1"/>
  <c r="M37" i="9"/>
  <c r="M15" i="9" s="1"/>
  <c r="M30" i="9" s="1"/>
  <c r="M38" i="9"/>
  <c r="M14" i="9"/>
  <c r="M8" i="9"/>
  <c r="M10" i="9" s="1"/>
  <c r="L16" i="9"/>
  <c r="L27" i="9"/>
  <c r="M25" i="9"/>
  <c r="M23" i="9"/>
  <c r="M39" i="9" l="1"/>
  <c r="N36" i="9" s="1"/>
  <c r="M19" i="9"/>
  <c r="M21" i="9"/>
  <c r="M33" i="9"/>
  <c r="M26" i="9"/>
  <c r="N37" i="9" l="1"/>
  <c r="N15" i="9" s="1"/>
  <c r="N30" i="9" s="1"/>
  <c r="N14" i="9"/>
  <c r="N12" i="9"/>
  <c r="N8" i="9"/>
  <c r="N10" i="9" s="1"/>
  <c r="N21" i="9" s="1"/>
  <c r="N38" i="9"/>
  <c r="N39" i="9" s="1"/>
  <c r="O36" i="9" s="1"/>
  <c r="M16" i="9"/>
  <c r="N25" i="9"/>
  <c r="N23" i="9"/>
  <c r="N33" i="9"/>
  <c r="M27" i="9"/>
  <c r="N26" i="9"/>
  <c r="N19" i="9"/>
  <c r="O37" i="9" l="1"/>
  <c r="O15" i="9" s="1"/>
  <c r="O30" i="9" s="1"/>
  <c r="O14" i="9"/>
  <c r="O8" i="9"/>
  <c r="O10" i="9" s="1"/>
  <c r="O38" i="9"/>
  <c r="O12" i="9"/>
  <c r="N27" i="9"/>
  <c r="O25" i="9"/>
  <c r="O23" i="9"/>
  <c r="N16" i="9"/>
  <c r="O33" i="9" l="1"/>
  <c r="O26" i="9"/>
  <c r="O21" i="9"/>
  <c r="O16" i="9"/>
  <c r="O19" i="9"/>
  <c r="O39" i="9"/>
  <c r="P36" i="9" s="1"/>
  <c r="P14" i="9" l="1"/>
  <c r="P8" i="9"/>
  <c r="P10" i="9" s="1"/>
  <c r="P12" i="9"/>
  <c r="P38" i="9"/>
  <c r="P37" i="9"/>
  <c r="P15" i="9" s="1"/>
  <c r="P30" i="9" s="1"/>
  <c r="P25" i="9"/>
  <c r="P23" i="9"/>
  <c r="O27" i="9"/>
  <c r="P19" i="9" l="1"/>
  <c r="P21" i="9"/>
  <c r="P26" i="9"/>
  <c r="P33" i="9"/>
  <c r="P39" i="9"/>
  <c r="Q36" i="9" s="1"/>
  <c r="Q8" i="9" l="1"/>
  <c r="Q10" i="9" s="1"/>
  <c r="Q38" i="9"/>
  <c r="Q12" i="9"/>
  <c r="Q37" i="9"/>
  <c r="Q15" i="9" s="1"/>
  <c r="Q30" i="9" s="1"/>
  <c r="Q14" i="9"/>
  <c r="Q25" i="9" s="1"/>
  <c r="Q23" i="9"/>
  <c r="P16" i="9"/>
  <c r="P27" i="9"/>
  <c r="Q33" i="9" l="1"/>
  <c r="Q26" i="9"/>
  <c r="Q19" i="9"/>
  <c r="Q21" i="9"/>
  <c r="Q39" i="9"/>
  <c r="R36" i="9" s="1"/>
  <c r="R38" i="9" l="1"/>
  <c r="R12" i="9"/>
  <c r="R8" i="9"/>
  <c r="R10" i="9" s="1"/>
  <c r="R37" i="9"/>
  <c r="R15" i="9" s="1"/>
  <c r="R30" i="9" s="1"/>
  <c r="R14" i="9"/>
  <c r="Q16" i="9"/>
  <c r="Q27" i="9"/>
  <c r="R23" i="9"/>
  <c r="R25" i="9"/>
  <c r="R39" i="9" l="1"/>
  <c r="S36" i="9" s="1"/>
  <c r="R19" i="9"/>
  <c r="R21" i="9"/>
  <c r="R33" i="9"/>
  <c r="R26" i="9"/>
  <c r="S38" i="9" l="1"/>
  <c r="S12" i="9"/>
  <c r="S23" i="9" s="1"/>
  <c r="S14" i="9"/>
  <c r="S25" i="9" s="1"/>
  <c r="S37" i="9"/>
  <c r="S15" i="9" s="1"/>
  <c r="S30" i="9" s="1"/>
  <c r="S33" i="9" s="1"/>
  <c r="S8" i="9"/>
  <c r="S10" i="9" s="1"/>
  <c r="S21" i="9" s="1"/>
  <c r="R16" i="9"/>
  <c r="S39" i="9"/>
  <c r="T36" i="9" s="1"/>
  <c r="S19" i="9"/>
  <c r="R27" i="9"/>
  <c r="T14" i="9" l="1"/>
  <c r="T25" i="9" s="1"/>
  <c r="T38" i="9"/>
  <c r="T12" i="9"/>
  <c r="T23" i="9" s="1"/>
  <c r="T37" i="9"/>
  <c r="T15" i="9" s="1"/>
  <c r="T30" i="9" s="1"/>
  <c r="T8" i="9"/>
  <c r="T10" i="9" s="1"/>
  <c r="S26" i="9"/>
  <c r="S16" i="9"/>
  <c r="T39" i="9"/>
  <c r="U36" i="9" s="1"/>
  <c r="T33" i="9"/>
  <c r="T26" i="9"/>
  <c r="T21" i="9"/>
  <c r="T19" i="9"/>
  <c r="S27" i="9"/>
  <c r="U38" i="9" l="1"/>
  <c r="U14" i="9"/>
  <c r="U12" i="9"/>
  <c r="U37" i="9"/>
  <c r="U15" i="9" s="1"/>
  <c r="U30" i="9" s="1"/>
  <c r="U8" i="9"/>
  <c r="U10" i="9" s="1"/>
  <c r="T27" i="9"/>
  <c r="T16" i="9"/>
  <c r="U25" i="9"/>
  <c r="U23" i="9"/>
  <c r="U39" i="9" l="1"/>
  <c r="V36" i="9" s="1"/>
  <c r="U19" i="9"/>
  <c r="U21" i="9"/>
  <c r="U33" i="9"/>
  <c r="U26" i="9"/>
  <c r="V38" i="9" l="1"/>
  <c r="V37" i="9"/>
  <c r="V15" i="9" s="1"/>
  <c r="V30" i="9" s="1"/>
  <c r="V14" i="9"/>
  <c r="V25" i="9" s="1"/>
  <c r="V12" i="9"/>
  <c r="V23" i="9" s="1"/>
  <c r="V8" i="9"/>
  <c r="V10" i="9" s="1"/>
  <c r="V21" i="9" s="1"/>
  <c r="U16" i="9"/>
  <c r="U27" i="9"/>
  <c r="V33" i="9"/>
  <c r="V26" i="9"/>
  <c r="V39" i="9"/>
  <c r="W36" i="9" s="1"/>
  <c r="W8" i="9" l="1"/>
  <c r="W10" i="9" s="1"/>
  <c r="W12" i="9"/>
  <c r="W37" i="9"/>
  <c r="W15" i="9" s="1"/>
  <c r="W30" i="9" s="1"/>
  <c r="W14" i="9"/>
  <c r="W38" i="9"/>
  <c r="V19" i="9"/>
  <c r="V27" i="9"/>
  <c r="W25" i="9"/>
  <c r="W23" i="9"/>
  <c r="V16" i="9"/>
  <c r="W33" i="9" l="1"/>
  <c r="W26" i="9"/>
  <c r="W39" i="9"/>
  <c r="X36" i="9" s="1"/>
  <c r="W21" i="9"/>
  <c r="W16" i="9"/>
  <c r="W19" i="9"/>
  <c r="X12" i="9" l="1"/>
  <c r="X8" i="9"/>
  <c r="X10" i="9" s="1"/>
  <c r="X38" i="9"/>
  <c r="X37" i="9"/>
  <c r="X15" i="9" s="1"/>
  <c r="X30" i="9" s="1"/>
  <c r="X14" i="9"/>
  <c r="X23" i="9"/>
  <c r="X25" i="9"/>
  <c r="W27" i="9"/>
  <c r="X19" i="9" l="1"/>
  <c r="X21" i="9"/>
  <c r="X26" i="9"/>
  <c r="X33" i="9"/>
  <c r="X39" i="9"/>
  <c r="Y36" i="9" s="1"/>
  <c r="Y38" i="9" l="1"/>
  <c r="Y37" i="9"/>
  <c r="Y15" i="9" s="1"/>
  <c r="Y30" i="9" s="1"/>
  <c r="Y14" i="9"/>
  <c r="Y12" i="9"/>
  <c r="Y8" i="9"/>
  <c r="Y10" i="9" s="1"/>
  <c r="X16" i="9"/>
  <c r="Y25" i="9"/>
  <c r="X27" i="9"/>
  <c r="Y26" i="9" l="1"/>
  <c r="Y23" i="9"/>
  <c r="Y19" i="9"/>
  <c r="Y21" i="9"/>
  <c r="Y39" i="9"/>
  <c r="Y16" i="9" l="1"/>
  <c r="Y27" i="9"/>
  <c r="Y33" i="9"/>
  <c r="E48" i="9"/>
  <c r="E49" i="9" l="1"/>
  <c r="E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Cale Maynard</author>
  </authors>
  <commentList>
    <comment ref="E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initial recognition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<sst xmlns="http://schemas.openxmlformats.org/spreadsheetml/2006/main" count="252" uniqueCount="211">
  <si>
    <t>You have been provided with the following reported health claims as of January 2021:</t>
  </si>
  <si>
    <t>Alvin</t>
  </si>
  <si>
    <t>Jennifer</t>
  </si>
  <si>
    <t>Theodore</t>
  </si>
  <si>
    <t>Employee Age</t>
  </si>
  <si>
    <t>Monthly Income</t>
  </si>
  <si>
    <t>Family Status</t>
  </si>
  <si>
    <t>Single</t>
  </si>
  <si>
    <t>Married with 2 dependent children</t>
  </si>
  <si>
    <t>Married with no children</t>
  </si>
  <si>
    <t>Nature of Claim</t>
  </si>
  <si>
    <t>Steel beam fell on leg at the plant</t>
  </si>
  <si>
    <t>Fell off ladder while painting house</t>
  </si>
  <si>
    <t>Severely burnt hands while forging steel at the plant</t>
  </si>
  <si>
    <t>Prognosis</t>
  </si>
  <si>
    <t>Off work for 1 month</t>
  </si>
  <si>
    <t>Off work for 2 months</t>
  </si>
  <si>
    <t>Cannot work again</t>
  </si>
  <si>
    <t>Monthly healthcare claims related to prognosis</t>
  </si>
  <si>
    <t>Additional information is provided: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</si>
  <si>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Interest rate is 3% per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</si>
  <si>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Healthcare claims increase each month and trend at a rate of 5% per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</si>
  <si>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Assume COLA of 2% per year (applied at end of year)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</si>
  <si>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Any workers compensation income replacement is payable at 85% of gross earnings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</si>
  <si>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Assume all costs are paid at month-end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</si>
  <si>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Job rehabilitation programs cost is $150 per employee per month (paid at end of month)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</si>
  <si>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Benefits are paid out until age 65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</si>
  <si>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present value of workers compensation benefits for each of the listed employees above.  State any assumptions and show your work.</t>
    </r>
  </si>
  <si>
    <t>Question 3</t>
  </si>
  <si>
    <t>ANSWER</t>
  </si>
  <si>
    <t>You have been given the following information on three blocks of life insurance policies as at December 31, 2020:</t>
  </si>
  <si>
    <t>Universal Life Policy</t>
  </si>
  <si>
    <t>Group Life Policy</t>
  </si>
  <si>
    <t>10-year Term Policy</t>
  </si>
  <si>
    <t>Issue date</t>
  </si>
  <si>
    <t>Number of Policies</t>
  </si>
  <si>
    <t xml:space="preserve">Total life reserves </t>
  </si>
  <si>
    <t>(December 31, 2019)</t>
  </si>
  <si>
    <t>(December 31, 2020)</t>
  </si>
  <si>
    <t>Change in experience refund reserve</t>
  </si>
  <si>
    <t>Total policyholder loans in 2020</t>
  </si>
  <si>
    <t>Total policyholder withdrawals in 2020</t>
  </si>
  <si>
    <t>Investment losses carried forward</t>
  </si>
  <si>
    <r>
      <t xml:space="preserve"> (c)            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Calculate the investment income tax on these three blocks of policies as of December 31, 2020.  State any assumptions and show your work.</t>
    </r>
  </si>
  <si>
    <t>Question 1</t>
  </si>
  <si>
    <t>Question 2</t>
  </si>
  <si>
    <t>You are given the following:</t>
  </si>
  <si>
    <t>Insurance risk</t>
  </si>
  <si>
    <t>Gross component (IRi)</t>
  </si>
  <si>
    <t>Level and trend components (LTi)</t>
  </si>
  <si>
    <t>Mortality</t>
  </si>
  <si>
    <t>Longevity</t>
  </si>
  <si>
    <t>Morbidity – incidence</t>
  </si>
  <si>
    <t>Morbidity – termination</t>
  </si>
  <si>
    <t>Lapse sensitive</t>
  </si>
  <si>
    <t>Lapse supported</t>
  </si>
  <si>
    <t>Expense</t>
  </si>
  <si>
    <t>Risk</t>
  </si>
  <si>
    <t>Component</t>
  </si>
  <si>
    <t>Credit risk</t>
  </si>
  <si>
    <t>Market risk</t>
  </si>
  <si>
    <t>Property and casualty risk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</si>
  <si>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Insurance Risk Requirement = $761,903</t>
    </r>
  </si>
  <si>
    <t>(c)</t>
  </si>
  <si>
    <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following: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</si>
  <si>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Diversified Risk Requirement (D)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</si>
  <si>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Undiversified Risk Requirement (U)</t>
    </r>
  </si>
  <si>
    <r>
      <t>(iii)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Adjusted Diversified Requirement (K)</t>
    </r>
  </si>
  <si>
    <t>State any assumptions and show your work.</t>
  </si>
  <si>
    <r>
      <t>Nexon prepares financial statements under IAS 19R with a fiscal year-end of December 31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>.</t>
    </r>
  </si>
  <si>
    <t>Number of</t>
  </si>
  <si>
    <t>Employees / Retirees</t>
  </si>
  <si>
    <t>Defined Benefit Obligation (DBO)</t>
  </si>
  <si>
    <t>2021 Service Cost</t>
  </si>
  <si>
    <t>(at beginning of year)</t>
  </si>
  <si>
    <t>2021 Expected Benefit Payments</t>
  </si>
  <si>
    <t>Actives –</t>
  </si>
  <si>
    <t>Under Age 50</t>
  </si>
  <si>
    <t>Over Age 50</t>
  </si>
  <si>
    <t>Retirees</t>
  </si>
  <si>
    <t>Total</t>
  </si>
  <si>
    <t>Nexon plan to amend the retiree benefit plan for employees under age 50 as at December 31, 2020 as follows: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</si>
  <si>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Health, dental and life insurance benefit coverage will end at age 65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</si>
  <si>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From age 65 to age 75, the retiree will be entitled to a flat Health Care Spending Account of $3,000 per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</si>
  <si>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There will be no changes to the plan provisions for active employees over age 50 and current retirees</t>
    </r>
  </si>
  <si>
    <t xml:space="preserve">Your manager has given you the following assumptions: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</si>
  <si>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Discount rate:  2.5% per annum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</si>
  <si>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Termination rate:  0.0% per annum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</si>
  <si>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Pre-retirement mortality rate:  0.0% per annum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</si>
  <si>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Retirement rate:  100% at age 60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</si>
  <si>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Reduction in the active under age 50 DBO and Service Cost due to the benefit termination age changing from lifetime to age 65:  65%</t>
    </r>
    <r>
      <rPr>
        <sz val="8"/>
        <color theme="1"/>
        <rFont val="Times New Roman"/>
        <family val="1"/>
      </rPr>
      <t>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</si>
  <si>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average age of the actives under 50 group is 42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</si>
  <si>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average service of the actives under 50 group is 13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</si>
  <si>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Age 60 10-year annuity factor deferred to age 65 (no trend):  7.5</t>
    </r>
  </si>
  <si>
    <r>
      <t>(e)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Calculate the estimated change in the 2021 defined benefit cost for the retiree benefit plan due to the above plan changes.  State any assumptions and show your work.</t>
    </r>
  </si>
  <si>
    <t>Question 4</t>
  </si>
  <si>
    <t>The individual pricing team of XYZ is planning to launch a renewable 10-year term individual life insurance product in 2022.  The expected cash flows and assumptions for the base scenario are provided in the Excel spreadsheet.</t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</si>
  <si>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Risk Adjustment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</si>
  <si>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Contractual Service margin</t>
    </r>
  </si>
  <si>
    <t>Question 5</t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</si>
  <si>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Create the reconciliation of:</t>
    </r>
  </si>
  <si>
    <r>
      <t>(e)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Construct a mock-up of a Profit and Loss statement under IFRS 17 for XYZ without providing any numbers.</t>
    </r>
  </si>
  <si>
    <t>You are given the following information for ABC for 2020:</t>
  </si>
  <si>
    <t>Annual Salary</t>
  </si>
  <si>
    <t>Number of employees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</si>
  <si>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ABC's employees and their salaries will not change in 2021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</si>
  <si>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average plan cost, including all taxes and fees, for 2020 is $92 per employee per month and is 100% paid by ABC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</si>
  <si>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group benefits budget for 2021 is the same as in 2020</t>
    </r>
  </si>
  <si>
    <t>You are also given the following information:</t>
  </si>
  <si>
    <t>Annual BC Payroll</t>
  </si>
  <si>
    <t>Employer Health Tax Rate</t>
  </si>
  <si>
    <t>Maximum Annual Tax</t>
  </si>
  <si>
    <t>Up to $500,000</t>
  </si>
  <si>
    <t>$500,000 - $750,000</t>
  </si>
  <si>
    <t>$750,001 - $1,000,000</t>
  </si>
  <si>
    <t>$1,000,001 - $1,250,000</t>
  </si>
  <si>
    <t>$1,250,001 - $1,500,000</t>
  </si>
  <si>
    <t>Over $1,500,000</t>
  </si>
  <si>
    <t>$29,250 + 1.95% of payroll over $1,500,000</t>
  </si>
  <si>
    <t>Assessable earning maximum for BC Workplace Safety &amp; Insurance Board (WSIB)</t>
  </si>
  <si>
    <t>Year's Maximum Pensionable Earnings</t>
  </si>
  <si>
    <t>Employment Insurance Maximum Yearly Insurable Earnings</t>
  </si>
  <si>
    <t>Canada Pension Plan employer rate</t>
  </si>
  <si>
    <t>Employment Insurance employer rate</t>
  </si>
  <si>
    <t>BC WSIB assessment rate</t>
  </si>
  <si>
    <t xml:space="preserve">The CEO is considering providing a salary increase in 2021 instead of offering the supplemental medical plan.  </t>
  </si>
  <si>
    <t>Question 6</t>
  </si>
  <si>
    <t>You are given the following information for Another Day’s Health Care Spending Account (HCSA):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</si>
  <si>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Times New Roman"/>
        <family val="1"/>
      </rPr>
      <t>The total HCSA claims paid in 2020 was $500,000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</si>
  <si>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Times New Roman"/>
        <family val="1"/>
      </rPr>
      <t>The annual fee charged for administering the plan equals 4% of claims plus $1,000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</si>
  <si>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Times New Roman"/>
        <family val="1"/>
      </rPr>
      <t>Distribution of incurred claims by province: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</si>
  <si>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Times New Roman"/>
        <family val="1"/>
      </rPr>
      <t xml:space="preserve">50% Ontario employees 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</si>
  <si>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Times New Roman"/>
        <family val="1"/>
      </rPr>
      <t>20% British Columbia employees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</si>
  <si>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Times New Roman"/>
        <family val="1"/>
      </rPr>
      <t xml:space="preserve">30% Quebec employees </t>
    </r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</si>
  <si>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</t>
    </r>
    <r>
      <rPr>
        <sz val="12"/>
        <color rgb="FF000000"/>
        <rFont val="Times New Roman"/>
        <family val="1"/>
      </rPr>
      <t>Calculate the total amount of taxes paid by Another Day for the HCSA benefit.  State any assumptions and show your work.</t>
    </r>
  </si>
  <si>
    <r>
      <t>Another Day made a change to their vision plan in 2021 so that the plan now covers vision claims up to the reasonable and customary charges</t>
    </r>
    <r>
      <rPr>
        <sz val="12"/>
        <color theme="1"/>
        <rFont val="Times New Roman"/>
        <family val="1"/>
      </rPr>
      <t>.</t>
    </r>
  </si>
  <si>
    <t>You are given the following information on Jack, an employee of Another Day: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</si>
  <si>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Times New Roman"/>
        <family val="1"/>
      </rPr>
      <t>Jack’s wife, Nichole, has coverage with a different insurer, and her vision plan is “pay as billed” with 80% coinsurance and a $500 maximum per 24 months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</si>
  <si>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Nichole submits a vision claim of $300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</si>
  <si>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Another Day's reasonable and customary charge for a vision claim is $220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</si>
  <si>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Both Nichole and Jack did not have any vision claims in the past 24 months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</si>
  <si>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change in the out-of-pocket amount for Jack's family resulting from this plan change.  State any assumptions and show your work.</t>
    </r>
  </si>
  <si>
    <t>Another Day is also considering moving to a non-taxable Long-Term Disability (LTD) plan for its unionized employees, with all other LTD plan specifications remaining the same.</t>
  </si>
  <si>
    <t>Another Day’s unionized employees are classified into 3 categories:</t>
  </si>
  <si>
    <t xml:space="preserve"> Category 1 </t>
  </si>
  <si>
    <t xml:space="preserve"> Category 2 </t>
  </si>
  <si>
    <t xml:space="preserve"> Category 3 </t>
  </si>
  <si>
    <t>Province</t>
  </si>
  <si>
    <t xml:space="preserve"> Ontario </t>
  </si>
  <si>
    <t xml:space="preserve"> Manitoba </t>
  </si>
  <si>
    <t xml:space="preserve"> British Columbia </t>
  </si>
  <si>
    <t>Assume that LTD premium rates remain unchanged.</t>
  </si>
  <si>
    <r>
      <t>(f)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</t>
    </r>
    <r>
      <rPr>
        <i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Calculate the annual LTD employee cost for each category under a taxable arrangement versus a non-taxable arrangement.  State any assumptions and show your work.</t>
    </r>
  </si>
  <si>
    <t>Question 7</t>
  </si>
  <si>
    <t>IFSR17 Renewable Term 10 Example Assumptions</t>
  </si>
  <si>
    <t>Sum Insured</t>
  </si>
  <si>
    <t>Policies Issued</t>
  </si>
  <si>
    <t>Premium Rate per 1000</t>
  </si>
  <si>
    <t>Policy Fee</t>
  </si>
  <si>
    <t>Commission</t>
  </si>
  <si>
    <t>Acquisition Expense Attributable</t>
  </si>
  <si>
    <t>Acquisition Expense Non-Attributable</t>
  </si>
  <si>
    <t>Maintenance Expense Attributable</t>
  </si>
  <si>
    <t>Maintenance Expense Non-Attributable</t>
  </si>
  <si>
    <t>Premium Tax</t>
  </si>
  <si>
    <t>Chargeback</t>
  </si>
  <si>
    <t>Investment Income Tax</t>
  </si>
  <si>
    <t>Discount Rate at Issue</t>
  </si>
  <si>
    <t>Asset Earned Rate</t>
  </si>
  <si>
    <t>Locked-in CSM Rate</t>
  </si>
  <si>
    <t>Lapse</t>
  </si>
  <si>
    <t>Mortality Deterioration</t>
  </si>
  <si>
    <t>Mortality Risk Adjustment</t>
  </si>
  <si>
    <t>Business issued at start of period.  Premiums, Commissions, and First Year Expenses incurred at start of period.  Claims and Renewal Expenses incurred at end of period</t>
  </si>
  <si>
    <t>Decrements occur at end of period</t>
  </si>
  <si>
    <t>Acquisition Expenses include FYC and Attributable Expense, accreted with CSM interest rate and amortized with CSM coverage units</t>
  </si>
  <si>
    <t>Risk Adjustment is 10% of expected claims</t>
  </si>
  <si>
    <t>CSM coverage units are based on coverages inforce at the start of the period, undiscounted</t>
  </si>
  <si>
    <t>Shock Maintenance Expense Attributable</t>
  </si>
  <si>
    <t>Shock Lapse</t>
  </si>
  <si>
    <t>IFSR17 Renewable Term 10 Example</t>
  </si>
  <si>
    <t>Actuals match Expected</t>
  </si>
  <si>
    <t>Expected Cashflows (Initial Recognition)</t>
  </si>
  <si>
    <t>BOY</t>
  </si>
  <si>
    <t>Premiums</t>
  </si>
  <si>
    <t>Acquisition Commission</t>
  </si>
  <si>
    <t>Renewal Commission</t>
  </si>
  <si>
    <t>Acquisition Expenses Attributable</t>
  </si>
  <si>
    <t>EOY</t>
  </si>
  <si>
    <t>Acquisition Expenses Non-Attributable</t>
  </si>
  <si>
    <t>Claims</t>
  </si>
  <si>
    <t>Total Net CFs</t>
  </si>
  <si>
    <t>Actual Cashflows</t>
  </si>
  <si>
    <t>Expected Risk Adjustment CFs (Initial Recognition)</t>
  </si>
  <si>
    <t>Actual Risk Adjustment CFs</t>
  </si>
  <si>
    <t>Coverage Units Reconciliation</t>
  </si>
  <si>
    <t>Opening</t>
  </si>
  <si>
    <t>Deaths</t>
  </si>
  <si>
    <t>Lapses</t>
  </si>
  <si>
    <t>Closing</t>
  </si>
  <si>
    <t>Liability on Initial Recognition</t>
  </si>
  <si>
    <t>PV Premiums</t>
  </si>
  <si>
    <t>PV Renewal Commission</t>
  </si>
  <si>
    <t>PV Maintenance Expense Attributable</t>
  </si>
  <si>
    <t>PV Claims</t>
  </si>
  <si>
    <t>PV Attributable Acquistion CFs</t>
  </si>
  <si>
    <t>PV Risk Adjustment CFs</t>
  </si>
  <si>
    <t>CSM at Initial Recognition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</si>
  <si>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the 2021 salary increase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that would be cost neutral for ABC.  State any assumptions and show your work.</t>
    </r>
  </si>
  <si>
    <t>60-month moving average yield on bonds</t>
  </si>
  <si>
    <t>The following disclosure information was prepared for Nexon at December 31, 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</si>
</sst>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#,##0.0;\-#,##0.0"/>
    <numFmt numFmtId="167" formatCode="&quot;$&quot;#,##0;\-&quot;$&quot;#,##0"/>
    <numFmt numFmtId="168" formatCode="&quot;$&quot;#,##0;[Red]\-&quot;$&quot;#,##0"/>
    <numFmt numFmtId="169" formatCode="0.0%"/>
    <numFmt numFmtId="170" formatCode="#,##0.0_);\(#,##0.0\)"/>
    <numFmt numFmtId="171" formatCode="#,##0.000_);\(#,##0.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0000"/>
      <name val="Courier New"/>
      <family val="3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66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6" fontId="5" fillId="2" borderId="5" xfId="0" applyNumberFormat="1" applyFont="1" applyFill="1" applyBorder="1" applyAlignment="1">
      <alignment horizontal="center" vertical="center"/>
    </xf>
    <xf numFmtId="6" fontId="5" fillId="2" borderId="6" xfId="0" applyNumberFormat="1" applyFont="1" applyFill="1" applyBorder="1" applyAlignment="1">
      <alignment horizontal="center" vertical="center"/>
    </xf>
    <xf numFmtId="6" fontId="5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center" indent="8"/>
    </xf>
    <xf numFmtId="0" fontId="3" fillId="2" borderId="0" xfId="0" quotePrefix="1" applyFont="1" applyFill="1" applyAlignment="1">
      <alignment horizontal="left" vertical="center" indent="5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5" fontId="5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0" fontId="5" fillId="2" borderId="6" xfId="0" applyNumberFormat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 wrapText="1"/>
    </xf>
    <xf numFmtId="6" fontId="5" fillId="2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0"/>
    </xf>
    <xf numFmtId="0" fontId="3" fillId="2" borderId="0" xfId="0" applyFont="1" applyFill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6" fontId="3" fillId="2" borderId="6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8" fontId="5" fillId="2" borderId="6" xfId="0" applyNumberFormat="1" applyFont="1" applyFill="1" applyBorder="1" applyAlignment="1">
      <alignment horizontal="center" vertical="center"/>
    </xf>
    <xf numFmtId="6" fontId="5" fillId="2" borderId="3" xfId="0" applyNumberFormat="1" applyFont="1" applyFill="1" applyBorder="1" applyAlignment="1">
      <alignment horizontal="right" vertical="center"/>
    </xf>
    <xf numFmtId="6" fontId="5" fillId="2" borderId="6" xfId="0" applyNumberFormat="1" applyFont="1" applyFill="1" applyBorder="1" applyAlignment="1">
      <alignment horizontal="right" vertical="center"/>
    </xf>
    <xf numFmtId="10" fontId="5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indent="8"/>
    </xf>
    <xf numFmtId="0" fontId="3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indent="8"/>
    </xf>
    <xf numFmtId="0" fontId="16" fillId="2" borderId="0" xfId="0" applyFont="1" applyFill="1" applyAlignment="1">
      <alignment horizontal="left" vertical="center" indent="13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37" fontId="17" fillId="0" borderId="0" xfId="1" applyNumberFormat="1" applyFont="1" applyFill="1" applyAlignment="1">
      <alignment horizontal="left"/>
    </xf>
    <xf numFmtId="37" fontId="0" fillId="0" borderId="0" xfId="0" applyNumberFormat="1" applyFill="1" applyAlignment="1">
      <alignment horizontal="center"/>
    </xf>
    <xf numFmtId="37" fontId="0" fillId="0" borderId="0" xfId="1" applyNumberFormat="1" applyFont="1" applyFill="1" applyAlignment="1">
      <alignment horizontal="left"/>
    </xf>
    <xf numFmtId="37" fontId="0" fillId="0" borderId="0" xfId="0" applyNumberForma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0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9" fontId="18" fillId="0" borderId="0" xfId="2" applyFont="1" applyFill="1" applyAlignment="1">
      <alignment horizontal="center"/>
    </xf>
    <xf numFmtId="169" fontId="18" fillId="0" borderId="0" xfId="2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9" fontId="0" fillId="0" borderId="0" xfId="2" applyNumberFormat="1" applyFont="1" applyFill="1" applyAlignment="1">
      <alignment horizontal="center"/>
    </xf>
    <xf numFmtId="37" fontId="0" fillId="0" borderId="0" xfId="0" applyNumberFormat="1" applyFill="1" applyAlignment="1">
      <alignment horizontal="left"/>
    </xf>
    <xf numFmtId="37" fontId="0" fillId="0" borderId="0" xfId="0" applyNumberFormat="1" applyFont="1" applyFill="1" applyAlignment="1">
      <alignment horizontal="left"/>
    </xf>
    <xf numFmtId="9" fontId="19" fillId="0" borderId="0" xfId="2" applyFont="1" applyFill="1" applyAlignment="1">
      <alignment horizontal="center"/>
    </xf>
    <xf numFmtId="170" fontId="0" fillId="0" borderId="0" xfId="0" applyNumberFormat="1" applyFill="1" applyAlignment="1">
      <alignment horizontal="center"/>
    </xf>
    <xf numFmtId="37" fontId="20" fillId="0" borderId="0" xfId="0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37" fontId="18" fillId="0" borderId="0" xfId="0" applyNumberFormat="1" applyFont="1" applyFill="1" applyAlignment="1">
      <alignment horizontal="center"/>
    </xf>
    <xf numFmtId="37" fontId="0" fillId="0" borderId="12" xfId="0" applyNumberFormat="1" applyFill="1" applyBorder="1" applyAlignment="1">
      <alignment horizontal="center"/>
    </xf>
    <xf numFmtId="37" fontId="0" fillId="0" borderId="13" xfId="0" applyNumberFormat="1" applyFill="1" applyBorder="1" applyAlignment="1">
      <alignment horizontal="center"/>
    </xf>
    <xf numFmtId="37" fontId="0" fillId="0" borderId="14" xfId="0" applyNumberFormat="1" applyFill="1" applyBorder="1" applyAlignment="1">
      <alignment horizontal="center"/>
    </xf>
    <xf numFmtId="37" fontId="0" fillId="0" borderId="15" xfId="0" applyNumberForma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37" fontId="0" fillId="0" borderId="16" xfId="0" applyNumberFormat="1" applyFill="1" applyBorder="1" applyAlignment="1">
      <alignment horizontal="center"/>
    </xf>
    <xf numFmtId="37" fontId="0" fillId="0" borderId="17" xfId="0" applyNumberFormat="1" applyFill="1" applyBorder="1" applyAlignment="1">
      <alignment horizontal="center"/>
    </xf>
    <xf numFmtId="37" fontId="0" fillId="0" borderId="18" xfId="0" applyNumberFormat="1" applyFill="1" applyBorder="1" applyAlignment="1">
      <alignment horizontal="center"/>
    </xf>
    <xf numFmtId="37" fontId="0" fillId="0" borderId="19" xfId="0" applyNumberFormat="1" applyFill="1" applyBorder="1" applyAlignment="1">
      <alignment horizontal="center"/>
    </xf>
    <xf numFmtId="37" fontId="0" fillId="0" borderId="20" xfId="0" applyNumberFormat="1" applyFont="1" applyFill="1" applyBorder="1" applyAlignment="1">
      <alignment horizontal="center"/>
    </xf>
    <xf numFmtId="37" fontId="0" fillId="0" borderId="21" xfId="0" applyNumberFormat="1" applyFill="1" applyBorder="1" applyAlignment="1">
      <alignment horizontal="center"/>
    </xf>
    <xf numFmtId="37" fontId="0" fillId="0" borderId="22" xfId="0" applyNumberFormat="1" applyFill="1" applyBorder="1" applyAlignment="1">
      <alignment horizontal="center"/>
    </xf>
    <xf numFmtId="37" fontId="0" fillId="0" borderId="0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7" fontId="0" fillId="0" borderId="12" xfId="0" applyNumberFormat="1" applyFont="1" applyFill="1" applyBorder="1" applyAlignment="1">
      <alignment horizontal="center"/>
    </xf>
    <xf numFmtId="37" fontId="0" fillId="0" borderId="15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37" fontId="0" fillId="0" borderId="17" xfId="0" applyNumberFormat="1" applyFont="1" applyFill="1" applyBorder="1" applyAlignment="1">
      <alignment horizontal="center"/>
    </xf>
    <xf numFmtId="37" fontId="20" fillId="0" borderId="1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6" fontId="5" fillId="2" borderId="9" xfId="0" applyNumberFormat="1" applyFont="1" applyFill="1" applyBorder="1" applyAlignment="1">
      <alignment horizontal="center" vertical="center"/>
    </xf>
    <xf numFmtId="6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6" fontId="3" fillId="2" borderId="9" xfId="0" applyNumberFormat="1" applyFont="1" applyFill="1" applyBorder="1" applyAlignment="1">
      <alignment horizontal="righ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Currency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/>
  </sheetViews>
  <sheetFormatPr defaultColWidth="8.88671875" defaultRowHeight="14.4" x14ac:dyDescent="0.3"/>
  <cols>
    <col min="1" max="1" width="41.88671875" bestFit="1" customWidth="1"/>
    <col min="2" max="2" width="19.44140625" customWidth="1"/>
    <col min="3" max="3" width="22.6640625" customWidth="1"/>
    <col min="4" max="4" width="25.44140625" customWidth="1"/>
  </cols>
  <sheetData>
    <row r="1" spans="1:9" ht="23.4" x14ac:dyDescent="0.45">
      <c r="A1" s="2" t="s">
        <v>44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4" t="s">
        <v>0</v>
      </c>
      <c r="B2" s="3"/>
      <c r="C2" s="3"/>
      <c r="D2" s="3"/>
      <c r="E2" s="3"/>
      <c r="F2" s="3"/>
      <c r="G2" s="3"/>
      <c r="H2" s="3"/>
      <c r="I2" s="3"/>
    </row>
    <row r="3" spans="1:9" ht="16.2" thickBot="1" x14ac:dyDescent="0.35">
      <c r="A3" s="4"/>
      <c r="B3" s="3"/>
      <c r="C3" s="3"/>
      <c r="D3" s="3"/>
      <c r="E3" s="3"/>
      <c r="F3" s="3"/>
      <c r="G3" s="3"/>
      <c r="H3" s="3"/>
      <c r="I3" s="3"/>
    </row>
    <row r="4" spans="1:9" ht="16.2" thickBot="1" x14ac:dyDescent="0.35">
      <c r="A4" s="5"/>
      <c r="B4" s="6" t="s">
        <v>1</v>
      </c>
      <c r="C4" s="7" t="s">
        <v>2</v>
      </c>
      <c r="D4" s="8" t="s">
        <v>3</v>
      </c>
      <c r="E4" s="3"/>
      <c r="F4" s="3"/>
      <c r="G4" s="3"/>
      <c r="H4" s="3"/>
      <c r="I4" s="3"/>
    </row>
    <row r="5" spans="1:9" ht="16.2" thickBot="1" x14ac:dyDescent="0.35">
      <c r="A5" s="9" t="s">
        <v>4</v>
      </c>
      <c r="B5" s="10">
        <v>40</v>
      </c>
      <c r="C5" s="11">
        <v>50</v>
      </c>
      <c r="D5" s="12">
        <v>60</v>
      </c>
      <c r="E5" s="3"/>
      <c r="F5" s="3"/>
      <c r="G5" s="3"/>
      <c r="H5" s="3"/>
      <c r="I5" s="3"/>
    </row>
    <row r="6" spans="1:9" ht="16.2" thickBot="1" x14ac:dyDescent="0.35">
      <c r="A6" s="9" t="s">
        <v>5</v>
      </c>
      <c r="B6" s="13">
        <v>6000</v>
      </c>
      <c r="C6" s="14">
        <v>6500</v>
      </c>
      <c r="D6" s="15">
        <v>7500</v>
      </c>
      <c r="E6" s="3"/>
      <c r="F6" s="3"/>
      <c r="G6" s="3"/>
      <c r="H6" s="3"/>
      <c r="I6" s="3"/>
    </row>
    <row r="7" spans="1:9" ht="31.95" customHeight="1" thickBot="1" x14ac:dyDescent="0.35">
      <c r="A7" s="9" t="s">
        <v>6</v>
      </c>
      <c r="B7" s="97" t="s">
        <v>7</v>
      </c>
      <c r="C7" s="12" t="s">
        <v>8</v>
      </c>
      <c r="D7" s="12" t="s">
        <v>9</v>
      </c>
      <c r="E7" s="3"/>
      <c r="F7" s="3"/>
      <c r="G7" s="3"/>
      <c r="H7" s="3"/>
      <c r="I7" s="3"/>
    </row>
    <row r="8" spans="1:9" ht="31.95" customHeight="1" thickBot="1" x14ac:dyDescent="0.35">
      <c r="A8" s="9" t="s">
        <v>10</v>
      </c>
      <c r="B8" s="97" t="s">
        <v>11</v>
      </c>
      <c r="C8" s="12" t="s">
        <v>12</v>
      </c>
      <c r="D8" s="12" t="s">
        <v>13</v>
      </c>
      <c r="E8" s="3"/>
      <c r="F8" s="3"/>
      <c r="G8" s="3"/>
      <c r="H8" s="3"/>
      <c r="I8" s="3"/>
    </row>
    <row r="9" spans="1:9" ht="16.2" thickBot="1" x14ac:dyDescent="0.35">
      <c r="A9" s="9" t="s">
        <v>14</v>
      </c>
      <c r="B9" s="10" t="s">
        <v>15</v>
      </c>
      <c r="C9" s="11" t="s">
        <v>16</v>
      </c>
      <c r="D9" s="12" t="s">
        <v>17</v>
      </c>
      <c r="E9" s="3"/>
      <c r="F9" s="3"/>
      <c r="G9" s="3"/>
      <c r="H9" s="3"/>
      <c r="I9" s="3"/>
    </row>
    <row r="10" spans="1:9" ht="16.2" thickBot="1" x14ac:dyDescent="0.35">
      <c r="A10" s="9" t="s">
        <v>18</v>
      </c>
      <c r="B10" s="13">
        <v>100</v>
      </c>
      <c r="C10" s="14">
        <v>2000</v>
      </c>
      <c r="D10" s="15">
        <v>500</v>
      </c>
      <c r="E10" s="3"/>
      <c r="F10" s="3"/>
      <c r="G10" s="3"/>
      <c r="H10" s="3"/>
      <c r="I10" s="3"/>
    </row>
    <row r="11" spans="1:9" ht="15.6" x14ac:dyDescent="0.3">
      <c r="A11" s="4"/>
      <c r="B11" s="3"/>
      <c r="C11" s="3"/>
      <c r="D11" s="3"/>
      <c r="E11" s="3"/>
      <c r="F11" s="3"/>
      <c r="G11" s="3"/>
      <c r="H11" s="3"/>
      <c r="I11" s="3"/>
    </row>
    <row r="12" spans="1:9" ht="15.6" x14ac:dyDescent="0.3">
      <c r="A12" s="4" t="s">
        <v>19</v>
      </c>
      <c r="B12" s="3"/>
      <c r="C12" s="3"/>
      <c r="D12" s="3"/>
      <c r="E12" s="3"/>
      <c r="F12" s="3"/>
      <c r="G12" s="3"/>
      <c r="H12" s="3"/>
      <c r="I12" s="3"/>
    </row>
    <row r="13" spans="1:9" ht="15.6" x14ac:dyDescent="0.3">
      <c r="A13" s="16"/>
      <c r="B13" s="3"/>
      <c r="C13" s="3"/>
      <c r="D13" s="3"/>
      <c r="E13" s="3"/>
      <c r="F13" s="3"/>
      <c r="G13" s="3"/>
      <c r="H13" s="3"/>
      <c r="I13" s="3"/>
    </row>
    <row r="14" spans="1:9" ht="15.6" x14ac:dyDescent="0.3">
      <c r="A14" s="17" t="s">
        <v>20</v>
      </c>
      <c r="B14" s="3"/>
      <c r="C14" s="3"/>
      <c r="D14" s="3"/>
      <c r="E14" s="3"/>
      <c r="F14" s="3"/>
      <c r="G14" s="3"/>
      <c r="H14" s="3"/>
      <c r="I14" s="3"/>
    </row>
    <row r="15" spans="1:9" ht="15.6" x14ac:dyDescent="0.3">
      <c r="A15" s="17" t="s">
        <v>21</v>
      </c>
      <c r="B15" s="3"/>
      <c r="C15" s="3"/>
      <c r="D15" s="3"/>
      <c r="E15" s="3"/>
      <c r="F15" s="3"/>
      <c r="G15" s="3"/>
      <c r="H15" s="3"/>
      <c r="I15" s="3"/>
    </row>
    <row r="16" spans="1:9" ht="15.6" x14ac:dyDescent="0.3">
      <c r="A16" s="17" t="s">
        <v>22</v>
      </c>
      <c r="B16" s="3"/>
      <c r="C16" s="3"/>
      <c r="D16" s="3"/>
      <c r="E16" s="3"/>
      <c r="F16" s="3"/>
      <c r="G16" s="3"/>
      <c r="H16" s="3"/>
      <c r="I16" s="3"/>
    </row>
    <row r="17" spans="1:9" ht="15.6" x14ac:dyDescent="0.3">
      <c r="A17" s="17" t="s">
        <v>23</v>
      </c>
      <c r="B17" s="3"/>
      <c r="C17" s="3"/>
      <c r="D17" s="3"/>
      <c r="E17" s="3"/>
      <c r="F17" s="3"/>
      <c r="G17" s="3"/>
      <c r="H17" s="3"/>
      <c r="I17" s="3"/>
    </row>
    <row r="18" spans="1:9" ht="15.6" x14ac:dyDescent="0.3">
      <c r="A18" s="17" t="s">
        <v>24</v>
      </c>
      <c r="B18" s="3"/>
      <c r="C18" s="3"/>
      <c r="D18" s="3"/>
      <c r="E18" s="3"/>
      <c r="F18" s="3"/>
      <c r="G18" s="3"/>
      <c r="H18" s="3"/>
      <c r="I18" s="3"/>
    </row>
    <row r="19" spans="1:9" ht="15.6" x14ac:dyDescent="0.3">
      <c r="A19" s="17" t="s">
        <v>25</v>
      </c>
      <c r="B19" s="3"/>
      <c r="C19" s="3"/>
      <c r="D19" s="3"/>
      <c r="E19" s="3"/>
      <c r="F19" s="3"/>
      <c r="G19" s="3"/>
      <c r="H19" s="3"/>
      <c r="I19" s="3"/>
    </row>
    <row r="20" spans="1:9" ht="15.6" x14ac:dyDescent="0.3">
      <c r="A20" s="17" t="s">
        <v>26</v>
      </c>
      <c r="B20" s="3"/>
      <c r="C20" s="3"/>
      <c r="D20" s="3"/>
      <c r="E20" s="3"/>
      <c r="F20" s="3"/>
      <c r="G20" s="3"/>
      <c r="H20" s="3"/>
      <c r="I20" s="3"/>
    </row>
    <row r="21" spans="1:9" ht="15.6" x14ac:dyDescent="0.3">
      <c r="A21" s="4"/>
      <c r="B21" s="3"/>
      <c r="C21" s="3"/>
      <c r="D21" s="3"/>
      <c r="E21" s="3"/>
      <c r="F21" s="3"/>
      <c r="G21" s="3"/>
      <c r="H21" s="3"/>
      <c r="I21" s="3"/>
    </row>
    <row r="22" spans="1:9" ht="15.6" x14ac:dyDescent="0.3">
      <c r="A22" s="18" t="s">
        <v>27</v>
      </c>
      <c r="B22" s="3"/>
      <c r="C22" s="3"/>
      <c r="D22" s="3"/>
      <c r="E22" s="3"/>
      <c r="F22" s="3"/>
      <c r="G22" s="3"/>
      <c r="H22" s="3"/>
      <c r="I22" s="3"/>
    </row>
    <row r="23" spans="1:9" ht="15.6" x14ac:dyDescent="0.3">
      <c r="A23" s="1" t="s">
        <v>29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/>
  </sheetViews>
  <sheetFormatPr defaultColWidth="8.88671875" defaultRowHeight="14.4" x14ac:dyDescent="0.3"/>
  <cols>
    <col min="1" max="1" width="35.44140625" bestFit="1" customWidth="1"/>
    <col min="2" max="2" width="21.109375" bestFit="1" customWidth="1"/>
    <col min="3" max="3" width="18" bestFit="1" customWidth="1"/>
    <col min="4" max="4" width="20.5546875" bestFit="1" customWidth="1"/>
  </cols>
  <sheetData>
    <row r="1" spans="1:10" ht="23.4" x14ac:dyDescent="0.45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</row>
    <row r="2" spans="1:10" ht="15.6" x14ac:dyDescent="0.3">
      <c r="A2" s="4" t="s">
        <v>30</v>
      </c>
      <c r="B2" s="3"/>
      <c r="C2" s="3"/>
      <c r="D2" s="3"/>
      <c r="E2" s="3"/>
      <c r="F2" s="3"/>
      <c r="G2" s="3"/>
      <c r="H2" s="3"/>
      <c r="I2" s="3"/>
      <c r="J2" s="3"/>
    </row>
    <row r="3" spans="1:10" ht="16.2" thickBot="1" x14ac:dyDescent="0.3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 ht="16.2" thickBot="1" x14ac:dyDescent="0.35">
      <c r="A4" s="19"/>
      <c r="B4" s="20" t="s">
        <v>31</v>
      </c>
      <c r="C4" s="20" t="s">
        <v>32</v>
      </c>
      <c r="D4" s="20" t="s">
        <v>33</v>
      </c>
      <c r="E4" s="3"/>
      <c r="F4" s="3"/>
      <c r="G4" s="3"/>
      <c r="H4" s="3"/>
      <c r="I4" s="3"/>
      <c r="J4" s="3"/>
    </row>
    <row r="5" spans="1:10" ht="16.2" thickBot="1" x14ac:dyDescent="0.35">
      <c r="A5" s="21" t="s">
        <v>34</v>
      </c>
      <c r="B5" s="22">
        <v>42461</v>
      </c>
      <c r="C5" s="22">
        <v>44013</v>
      </c>
      <c r="D5" s="22">
        <v>43282</v>
      </c>
      <c r="E5" s="3"/>
      <c r="F5" s="3"/>
      <c r="G5" s="3"/>
      <c r="H5" s="3"/>
      <c r="I5" s="3"/>
      <c r="J5" s="3"/>
    </row>
    <row r="6" spans="1:10" ht="16.2" thickBot="1" x14ac:dyDescent="0.35">
      <c r="A6" s="21" t="s">
        <v>35</v>
      </c>
      <c r="B6" s="11">
        <v>100</v>
      </c>
      <c r="C6" s="11">
        <v>1</v>
      </c>
      <c r="D6" s="11">
        <v>50</v>
      </c>
      <c r="E6" s="3"/>
      <c r="F6" s="3"/>
      <c r="G6" s="3"/>
      <c r="H6" s="3"/>
      <c r="I6" s="3"/>
      <c r="J6" s="3"/>
    </row>
    <row r="7" spans="1:10" ht="15.6" x14ac:dyDescent="0.3">
      <c r="A7" s="23" t="s">
        <v>36</v>
      </c>
      <c r="B7" s="98">
        <v>5695403</v>
      </c>
      <c r="C7" s="98">
        <v>0</v>
      </c>
      <c r="D7" s="98">
        <v>2175000</v>
      </c>
      <c r="E7" s="3"/>
      <c r="F7" s="3"/>
      <c r="G7" s="3"/>
      <c r="H7" s="3"/>
      <c r="I7" s="3"/>
      <c r="J7" s="3"/>
    </row>
    <row r="8" spans="1:10" ht="16.2" thickBot="1" x14ac:dyDescent="0.35">
      <c r="A8" s="21" t="s">
        <v>37</v>
      </c>
      <c r="B8" s="99"/>
      <c r="C8" s="99"/>
      <c r="D8" s="99"/>
      <c r="E8" s="3"/>
      <c r="F8" s="3"/>
      <c r="G8" s="3"/>
      <c r="H8" s="3"/>
      <c r="I8" s="3"/>
      <c r="J8" s="3"/>
    </row>
    <row r="9" spans="1:10" ht="15.6" x14ac:dyDescent="0.3">
      <c r="A9" s="23" t="s">
        <v>36</v>
      </c>
      <c r="B9" s="98">
        <v>6291667</v>
      </c>
      <c r="C9" s="98">
        <v>250000</v>
      </c>
      <c r="D9" s="98">
        <v>2450000</v>
      </c>
      <c r="E9" s="3"/>
      <c r="F9" s="3"/>
      <c r="G9" s="3"/>
      <c r="H9" s="3"/>
      <c r="I9" s="3"/>
      <c r="J9" s="3"/>
    </row>
    <row r="10" spans="1:10" ht="16.2" thickBot="1" x14ac:dyDescent="0.35">
      <c r="A10" s="21" t="s">
        <v>38</v>
      </c>
      <c r="B10" s="99"/>
      <c r="C10" s="99"/>
      <c r="D10" s="99"/>
      <c r="E10" s="3"/>
      <c r="F10" s="3"/>
      <c r="G10" s="3"/>
      <c r="H10" s="3"/>
      <c r="I10" s="3"/>
      <c r="J10" s="3"/>
    </row>
    <row r="11" spans="1:10" ht="16.2" thickBot="1" x14ac:dyDescent="0.35">
      <c r="A11" s="21" t="s">
        <v>39</v>
      </c>
      <c r="B11" s="14">
        <v>0</v>
      </c>
      <c r="C11" s="14">
        <v>12500</v>
      </c>
      <c r="D11" s="14">
        <v>0</v>
      </c>
      <c r="E11" s="3"/>
      <c r="F11" s="3"/>
      <c r="G11" s="3"/>
      <c r="H11" s="3"/>
      <c r="I11" s="3"/>
      <c r="J11" s="3"/>
    </row>
    <row r="12" spans="1:10" ht="16.2" thickBot="1" x14ac:dyDescent="0.35">
      <c r="A12" s="21" t="s">
        <v>40</v>
      </c>
      <c r="B12" s="14">
        <v>37500</v>
      </c>
      <c r="C12" s="14">
        <v>0</v>
      </c>
      <c r="D12" s="14">
        <v>0</v>
      </c>
      <c r="E12" s="3"/>
      <c r="F12" s="3"/>
      <c r="G12" s="3"/>
      <c r="H12" s="3"/>
      <c r="I12" s="3"/>
      <c r="J12" s="3"/>
    </row>
    <row r="13" spans="1:10" ht="16.2" thickBot="1" x14ac:dyDescent="0.35">
      <c r="A13" s="21" t="s">
        <v>41</v>
      </c>
      <c r="B13" s="14">
        <v>25000</v>
      </c>
      <c r="C13" s="14">
        <v>0</v>
      </c>
      <c r="D13" s="14">
        <v>0</v>
      </c>
      <c r="E13" s="3"/>
      <c r="F13" s="3"/>
      <c r="G13" s="3"/>
      <c r="H13" s="3"/>
      <c r="I13" s="3"/>
      <c r="J13" s="3"/>
    </row>
    <row r="14" spans="1:10" ht="16.2" thickBot="1" x14ac:dyDescent="0.35">
      <c r="A14" s="21" t="s">
        <v>209</v>
      </c>
      <c r="B14" s="24">
        <v>3.7499999999999999E-2</v>
      </c>
      <c r="C14" s="24">
        <v>3.7499999999999999E-2</v>
      </c>
      <c r="D14" s="24">
        <v>3.7499999999999999E-2</v>
      </c>
      <c r="E14" s="3"/>
      <c r="F14" s="3"/>
      <c r="G14" s="3"/>
      <c r="H14" s="3"/>
      <c r="I14" s="3"/>
      <c r="J14" s="3"/>
    </row>
    <row r="15" spans="1:10" ht="16.2" thickBot="1" x14ac:dyDescent="0.35">
      <c r="A15" s="21" t="s">
        <v>42</v>
      </c>
      <c r="B15" s="14">
        <v>56000</v>
      </c>
      <c r="C15" s="14">
        <v>0</v>
      </c>
      <c r="D15" s="14">
        <v>0</v>
      </c>
      <c r="E15" s="3"/>
      <c r="F15" s="3"/>
      <c r="G15" s="3"/>
      <c r="H15" s="3"/>
      <c r="I15" s="3"/>
      <c r="J15" s="3"/>
    </row>
    <row r="16" spans="1:10" ht="15.6" x14ac:dyDescent="0.3">
      <c r="A16" s="4"/>
      <c r="B16" s="3"/>
      <c r="C16" s="3"/>
      <c r="D16" s="3"/>
      <c r="E16" s="3"/>
      <c r="F16" s="3"/>
      <c r="G16" s="3"/>
      <c r="H16" s="3"/>
      <c r="I16" s="3"/>
      <c r="J16" s="3"/>
    </row>
    <row r="17" spans="1:10" ht="15.6" x14ac:dyDescent="0.3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5.6" x14ac:dyDescent="0.3">
      <c r="A18" s="1" t="s">
        <v>29</v>
      </c>
    </row>
  </sheetData>
  <mergeCells count="6">
    <mergeCell ref="B7:B8"/>
    <mergeCell ref="C7:C8"/>
    <mergeCell ref="D7:D8"/>
    <mergeCell ref="B9:B10"/>
    <mergeCell ref="C9:C10"/>
    <mergeCell ref="D9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/>
  </sheetViews>
  <sheetFormatPr defaultColWidth="8.88671875" defaultRowHeight="14.4" x14ac:dyDescent="0.3"/>
  <cols>
    <col min="1" max="1" width="23.88671875" bestFit="1" customWidth="1"/>
    <col min="2" max="2" width="10.33203125" bestFit="1" customWidth="1"/>
    <col min="3" max="3" width="14.5546875" bestFit="1" customWidth="1"/>
  </cols>
  <sheetData>
    <row r="1" spans="1:5" ht="23.4" x14ac:dyDescent="0.45">
      <c r="A1" s="2" t="s">
        <v>28</v>
      </c>
      <c r="B1" s="3"/>
      <c r="C1" s="3"/>
      <c r="D1" s="3"/>
      <c r="E1" s="3"/>
    </row>
    <row r="2" spans="1:5" ht="15.6" x14ac:dyDescent="0.3">
      <c r="A2" s="4" t="s">
        <v>46</v>
      </c>
      <c r="B2" s="3"/>
      <c r="C2" s="3"/>
      <c r="D2" s="3"/>
      <c r="E2" s="3"/>
    </row>
    <row r="3" spans="1:5" ht="16.2" thickBot="1" x14ac:dyDescent="0.35">
      <c r="A3" s="26"/>
      <c r="B3" s="3"/>
      <c r="C3" s="3"/>
      <c r="D3" s="3"/>
      <c r="E3" s="3"/>
    </row>
    <row r="4" spans="1:5" ht="47.25" customHeight="1" x14ac:dyDescent="0.3">
      <c r="A4" s="100" t="s">
        <v>47</v>
      </c>
      <c r="B4" s="102" t="s">
        <v>48</v>
      </c>
      <c r="C4" s="102" t="s">
        <v>49</v>
      </c>
      <c r="D4" s="27"/>
      <c r="E4" s="3"/>
    </row>
    <row r="5" spans="1:5" ht="15" thickBot="1" x14ac:dyDescent="0.35">
      <c r="A5" s="101"/>
      <c r="B5" s="103"/>
      <c r="C5" s="103"/>
      <c r="D5" s="27"/>
      <c r="E5" s="3"/>
    </row>
    <row r="6" spans="1:5" ht="15.6" x14ac:dyDescent="0.3">
      <c r="A6" s="23" t="s">
        <v>50</v>
      </c>
      <c r="B6" s="28">
        <v>900000</v>
      </c>
      <c r="C6" s="28">
        <v>600000</v>
      </c>
      <c r="D6" s="27"/>
      <c r="E6" s="3"/>
    </row>
    <row r="7" spans="1:5" ht="15.6" x14ac:dyDescent="0.3">
      <c r="A7" s="23" t="s">
        <v>51</v>
      </c>
      <c r="B7" s="28">
        <v>2000</v>
      </c>
      <c r="C7" s="28">
        <v>2000</v>
      </c>
      <c r="D7" s="27"/>
      <c r="E7" s="3"/>
    </row>
    <row r="8" spans="1:5" ht="15.6" x14ac:dyDescent="0.3">
      <c r="A8" s="23" t="s">
        <v>52</v>
      </c>
      <c r="B8" s="28">
        <v>60000</v>
      </c>
      <c r="C8" s="28">
        <v>20000</v>
      </c>
      <c r="D8" s="27"/>
      <c r="E8" s="3"/>
    </row>
    <row r="9" spans="1:5" ht="15.6" x14ac:dyDescent="0.3">
      <c r="A9" s="23" t="s">
        <v>53</v>
      </c>
      <c r="B9" s="28">
        <v>5000</v>
      </c>
      <c r="C9" s="28">
        <v>3000</v>
      </c>
      <c r="D9" s="27"/>
      <c r="E9" s="3"/>
    </row>
    <row r="10" spans="1:5" ht="15.6" x14ac:dyDescent="0.3">
      <c r="A10" s="23" t="s">
        <v>54</v>
      </c>
      <c r="B10" s="28">
        <v>400000</v>
      </c>
      <c r="C10" s="28">
        <v>250000</v>
      </c>
      <c r="D10" s="27"/>
      <c r="E10" s="3"/>
    </row>
    <row r="11" spans="1:5" ht="15.6" x14ac:dyDescent="0.3">
      <c r="A11" s="23" t="s">
        <v>55</v>
      </c>
      <c r="B11" s="28">
        <v>150000</v>
      </c>
      <c r="C11" s="28">
        <v>90000</v>
      </c>
      <c r="D11" s="27"/>
      <c r="E11" s="3"/>
    </row>
    <row r="12" spans="1:5" ht="16.2" thickBot="1" x14ac:dyDescent="0.35">
      <c r="A12" s="21" t="s">
        <v>56</v>
      </c>
      <c r="B12" s="14">
        <v>20000</v>
      </c>
      <c r="C12" s="14">
        <v>0</v>
      </c>
      <c r="D12" s="27"/>
      <c r="E12" s="3"/>
    </row>
    <row r="13" spans="1:5" ht="16.2" thickBot="1" x14ac:dyDescent="0.35">
      <c r="A13" s="4"/>
      <c r="B13" s="3"/>
      <c r="C13" s="3"/>
      <c r="D13" s="3"/>
      <c r="E13" s="3"/>
    </row>
    <row r="14" spans="1:5" ht="16.2" thickBot="1" x14ac:dyDescent="0.35">
      <c r="A14" s="19" t="s">
        <v>57</v>
      </c>
      <c r="B14" s="29" t="s">
        <v>58</v>
      </c>
      <c r="C14" s="3"/>
      <c r="D14" s="3"/>
      <c r="E14" s="3"/>
    </row>
    <row r="15" spans="1:5" ht="15.6" x14ac:dyDescent="0.3">
      <c r="A15" s="23" t="s">
        <v>59</v>
      </c>
      <c r="B15" s="28">
        <v>400000</v>
      </c>
      <c r="C15" s="3"/>
      <c r="D15" s="3"/>
      <c r="E15" s="3"/>
    </row>
    <row r="16" spans="1:5" ht="15.6" x14ac:dyDescent="0.3">
      <c r="A16" s="23" t="s">
        <v>60</v>
      </c>
      <c r="B16" s="28">
        <v>150000</v>
      </c>
      <c r="C16" s="3"/>
      <c r="D16" s="3"/>
      <c r="E16" s="3"/>
    </row>
    <row r="17" spans="1:5" ht="16.2" thickBot="1" x14ac:dyDescent="0.35">
      <c r="A17" s="21" t="s">
        <v>61</v>
      </c>
      <c r="B17" s="14">
        <v>50000</v>
      </c>
      <c r="C17" s="3"/>
      <c r="D17" s="3"/>
      <c r="E17" s="3"/>
    </row>
    <row r="18" spans="1:5" ht="15.6" x14ac:dyDescent="0.3">
      <c r="A18" s="26"/>
      <c r="B18" s="3"/>
      <c r="C18" s="3"/>
      <c r="D18" s="3"/>
      <c r="E18" s="3"/>
    </row>
    <row r="19" spans="1:5" ht="15.6" x14ac:dyDescent="0.3">
      <c r="A19" s="17" t="s">
        <v>62</v>
      </c>
      <c r="B19" s="3"/>
      <c r="C19" s="3"/>
      <c r="D19" s="3"/>
      <c r="E19" s="3"/>
    </row>
    <row r="20" spans="1:5" ht="15.6" x14ac:dyDescent="0.3">
      <c r="A20" s="26"/>
      <c r="B20" s="3"/>
      <c r="C20" s="3"/>
      <c r="D20" s="3"/>
      <c r="E20" s="3"/>
    </row>
    <row r="21" spans="1:5" ht="15.6" x14ac:dyDescent="0.3">
      <c r="A21" s="26" t="s">
        <v>63</v>
      </c>
      <c r="B21" s="26" t="s">
        <v>64</v>
      </c>
      <c r="C21" s="3"/>
      <c r="D21" s="3"/>
      <c r="E21" s="3"/>
    </row>
    <row r="22" spans="1:5" x14ac:dyDescent="0.3">
      <c r="A22" s="3"/>
      <c r="B22" s="3"/>
      <c r="C22" s="3"/>
      <c r="D22" s="3"/>
      <c r="E22" s="3"/>
    </row>
    <row r="23" spans="1:5" ht="15.6" x14ac:dyDescent="0.3">
      <c r="A23" s="30" t="s">
        <v>65</v>
      </c>
      <c r="B23" s="3"/>
      <c r="C23" s="3"/>
      <c r="D23" s="3"/>
      <c r="E23" s="3"/>
    </row>
    <row r="24" spans="1:5" x14ac:dyDescent="0.3">
      <c r="A24" s="3"/>
      <c r="B24" s="3"/>
      <c r="C24" s="3"/>
      <c r="D24" s="3"/>
      <c r="E24" s="3"/>
    </row>
    <row r="25" spans="1:5" ht="15.6" x14ac:dyDescent="0.3">
      <c r="A25" s="30" t="s">
        <v>66</v>
      </c>
      <c r="B25" s="3"/>
      <c r="C25" s="3"/>
      <c r="D25" s="3"/>
      <c r="E25" s="3"/>
    </row>
    <row r="26" spans="1:5" x14ac:dyDescent="0.3">
      <c r="A26" s="3"/>
      <c r="B26" s="3"/>
      <c r="C26" s="3"/>
      <c r="D26" s="3"/>
      <c r="E26" s="3"/>
    </row>
    <row r="27" spans="1:5" ht="15.6" x14ac:dyDescent="0.3">
      <c r="A27" s="30" t="s">
        <v>67</v>
      </c>
      <c r="B27" s="3"/>
      <c r="C27" s="3"/>
      <c r="D27" s="3"/>
      <c r="E27" s="3"/>
    </row>
    <row r="28" spans="1:5" ht="15.6" x14ac:dyDescent="0.3">
      <c r="A28" s="4"/>
      <c r="B28" s="3"/>
      <c r="C28" s="3"/>
      <c r="D28" s="3"/>
      <c r="E28" s="3"/>
    </row>
    <row r="29" spans="1:5" ht="15.6" x14ac:dyDescent="0.3">
      <c r="A29" s="31" t="s">
        <v>68</v>
      </c>
      <c r="B29" s="3"/>
      <c r="C29" s="3"/>
      <c r="D29" s="3"/>
      <c r="E29" s="3"/>
    </row>
    <row r="30" spans="1:5" ht="15.6" x14ac:dyDescent="0.3">
      <c r="A30" s="1" t="s">
        <v>29</v>
      </c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workbookViewId="0"/>
  </sheetViews>
  <sheetFormatPr defaultColWidth="8.88671875" defaultRowHeight="14.4" x14ac:dyDescent="0.3"/>
  <cols>
    <col min="2" max="2" width="13.109375" customWidth="1"/>
    <col min="3" max="3" width="13.109375" bestFit="1" customWidth="1"/>
    <col min="4" max="4" width="11.88671875" bestFit="1" customWidth="1"/>
    <col min="5" max="5" width="10.109375" bestFit="1" customWidth="1"/>
  </cols>
  <sheetData>
    <row r="1" spans="1:18" ht="23.4" x14ac:dyDescent="0.45">
      <c r="A1" s="2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8.600000000000001" x14ac:dyDescent="0.3">
      <c r="A2" s="4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6" x14ac:dyDescent="0.3">
      <c r="A4" s="4" t="s">
        <v>210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6.2" thickBot="1" x14ac:dyDescent="0.3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46.8" x14ac:dyDescent="0.3">
      <c r="A6" s="108"/>
      <c r="B6" s="34" t="s">
        <v>70</v>
      </c>
      <c r="C6" s="110" t="s">
        <v>72</v>
      </c>
      <c r="D6" s="34" t="s">
        <v>73</v>
      </c>
      <c r="E6" s="110" t="s">
        <v>75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47.4" thickBot="1" x14ac:dyDescent="0.35">
      <c r="A7" s="109"/>
      <c r="B7" s="35" t="s">
        <v>71</v>
      </c>
      <c r="C7" s="111"/>
      <c r="D7" s="35" t="s">
        <v>74</v>
      </c>
      <c r="E7" s="1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1.2" x14ac:dyDescent="0.3">
      <c r="A8" s="36" t="s">
        <v>76</v>
      </c>
      <c r="B8" s="104">
        <v>800</v>
      </c>
      <c r="C8" s="106">
        <v>42400000</v>
      </c>
      <c r="D8" s="106">
        <v>3120000</v>
      </c>
      <c r="E8" s="106"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1.8" thickBot="1" x14ac:dyDescent="0.35">
      <c r="A9" s="37" t="s">
        <v>77</v>
      </c>
      <c r="B9" s="105"/>
      <c r="C9" s="107"/>
      <c r="D9" s="107"/>
      <c r="E9" s="10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31.2" x14ac:dyDescent="0.3">
      <c r="A10" s="36" t="s">
        <v>76</v>
      </c>
      <c r="B10" s="104">
        <v>180</v>
      </c>
      <c r="C10" s="106">
        <v>22680000</v>
      </c>
      <c r="D10" s="106">
        <v>612000</v>
      </c>
      <c r="E10" s="106"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31.8" thickBot="1" x14ac:dyDescent="0.35">
      <c r="A11" s="37" t="s">
        <v>78</v>
      </c>
      <c r="B11" s="105"/>
      <c r="C11" s="107"/>
      <c r="D11" s="107"/>
      <c r="E11" s="10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6.2" thickBot="1" x14ac:dyDescent="0.35">
      <c r="A12" s="37" t="s">
        <v>79</v>
      </c>
      <c r="B12" s="38">
        <v>150</v>
      </c>
      <c r="C12" s="39">
        <v>10650000</v>
      </c>
      <c r="D12" s="39">
        <v>0</v>
      </c>
      <c r="E12" s="39">
        <v>630000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6.2" thickBot="1" x14ac:dyDescent="0.35">
      <c r="A13" s="37" t="s">
        <v>80</v>
      </c>
      <c r="B13" s="40">
        <v>1130</v>
      </c>
      <c r="C13" s="39">
        <v>75730000</v>
      </c>
      <c r="D13" s="39">
        <v>3732000</v>
      </c>
      <c r="E13" s="39">
        <v>630000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5.6" x14ac:dyDescent="0.3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6" x14ac:dyDescent="0.3">
      <c r="A15" s="4" t="s">
        <v>81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5.6" x14ac:dyDescent="0.3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.6" x14ac:dyDescent="0.3">
      <c r="A17" s="17" t="s">
        <v>82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.6" x14ac:dyDescent="0.3">
      <c r="A18" s="17" t="s">
        <v>83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.6" x14ac:dyDescent="0.3">
      <c r="A19" s="17" t="s">
        <v>84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.6" x14ac:dyDescent="0.3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.6" x14ac:dyDescent="0.3">
      <c r="A21" s="4" t="s">
        <v>85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.6" x14ac:dyDescent="0.3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6" x14ac:dyDescent="0.3">
      <c r="A23" s="17" t="s">
        <v>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.6" x14ac:dyDescent="0.3">
      <c r="A24" s="17" t="s">
        <v>87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5.6" x14ac:dyDescent="0.3">
      <c r="A25" s="17" t="s">
        <v>88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.6" x14ac:dyDescent="0.3">
      <c r="A26" s="17" t="s">
        <v>89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.6" x14ac:dyDescent="0.3">
      <c r="A27" s="17" t="s">
        <v>90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6" x14ac:dyDescent="0.3">
      <c r="A28" s="17" t="s">
        <v>91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5.6" x14ac:dyDescent="0.3">
      <c r="A29" s="17" t="s">
        <v>92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5.6" x14ac:dyDescent="0.3">
      <c r="A30" s="17" t="s">
        <v>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5.6" x14ac:dyDescent="0.3">
      <c r="A31" s="2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5.6" x14ac:dyDescent="0.3">
      <c r="A32" s="18" t="s">
        <v>94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" ht="15.6" x14ac:dyDescent="0.3">
      <c r="A33" s="1" t="s">
        <v>29</v>
      </c>
    </row>
    <row r="34" spans="1:1" x14ac:dyDescent="0.3">
      <c r="A34" s="32"/>
    </row>
    <row r="35" spans="1:1" x14ac:dyDescent="0.3">
      <c r="A35" s="32"/>
    </row>
    <row r="36" spans="1:1" x14ac:dyDescent="0.3">
      <c r="A36" s="33"/>
    </row>
  </sheetData>
  <mergeCells count="11">
    <mergeCell ref="B10:B11"/>
    <mergeCell ref="C10:C11"/>
    <mergeCell ref="D10:D11"/>
    <mergeCell ref="E10:E11"/>
    <mergeCell ref="A6:A7"/>
    <mergeCell ref="C6:C7"/>
    <mergeCell ref="E6:E7"/>
    <mergeCell ref="B8:B9"/>
    <mergeCell ref="C8:C9"/>
    <mergeCell ref="D8:D9"/>
    <mergeCell ref="E8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3"/>
  <sheetViews>
    <sheetView workbookViewId="0"/>
  </sheetViews>
  <sheetFormatPr defaultColWidth="8.88671875" defaultRowHeight="14.4" x14ac:dyDescent="0.3"/>
  <sheetData>
    <row r="1" spans="1:23" ht="23.4" x14ac:dyDescent="0.45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6" x14ac:dyDescent="0.3">
      <c r="A2" s="4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6" x14ac:dyDescent="0.3">
      <c r="A3" s="3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6" x14ac:dyDescent="0.3">
      <c r="A4" s="18" t="s">
        <v>100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6" x14ac:dyDescent="0.3">
      <c r="A5" s="2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6" x14ac:dyDescent="0.3">
      <c r="A6" s="30" t="s">
        <v>97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6" x14ac:dyDescent="0.3">
      <c r="A8" s="30" t="s">
        <v>98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6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6" x14ac:dyDescent="0.3">
      <c r="A10" s="26" t="s">
        <v>68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6" x14ac:dyDescent="0.3">
      <c r="A11" s="2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6" x14ac:dyDescent="0.3">
      <c r="A12" s="18" t="s">
        <v>101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6" x14ac:dyDescent="0.3">
      <c r="A13" s="1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72"/>
  <sheetViews>
    <sheetView zoomScaleNormal="100" workbookViewId="0">
      <pane xSplit="3" ySplit="5" topLeftCell="D6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ColWidth="9.109375" defaultRowHeight="14.4" x14ac:dyDescent="0.3"/>
  <cols>
    <col min="1" max="1" width="4.109375" style="56" customWidth="1"/>
    <col min="2" max="2" width="9.109375" style="56" customWidth="1"/>
    <col min="3" max="3" width="47.5546875" style="56" customWidth="1"/>
    <col min="4" max="4" width="11" style="56" customWidth="1"/>
    <col min="5" max="16384" width="9.109375" style="56"/>
  </cols>
  <sheetData>
    <row r="2" spans="2:23" ht="15.6" x14ac:dyDescent="0.3">
      <c r="B2" s="55" t="s">
        <v>154</v>
      </c>
    </row>
    <row r="3" spans="2:23" x14ac:dyDescent="0.3">
      <c r="B3" s="57"/>
    </row>
    <row r="4" spans="2:23" x14ac:dyDescent="0.3">
      <c r="B4" s="57"/>
    </row>
    <row r="5" spans="2:23" x14ac:dyDescent="0.3">
      <c r="D5" s="58">
        <v>1</v>
      </c>
      <c r="E5" s="58">
        <f t="shared" ref="E5:W5" si="0">D5+1</f>
        <v>2</v>
      </c>
      <c r="F5" s="58">
        <f t="shared" si="0"/>
        <v>3</v>
      </c>
      <c r="G5" s="58">
        <f t="shared" si="0"/>
        <v>4</v>
      </c>
      <c r="H5" s="58">
        <f t="shared" si="0"/>
        <v>5</v>
      </c>
      <c r="I5" s="58">
        <f t="shared" si="0"/>
        <v>6</v>
      </c>
      <c r="J5" s="58">
        <f t="shared" si="0"/>
        <v>7</v>
      </c>
      <c r="K5" s="58">
        <f t="shared" si="0"/>
        <v>8</v>
      </c>
      <c r="L5" s="58">
        <f t="shared" si="0"/>
        <v>9</v>
      </c>
      <c r="M5" s="58">
        <f t="shared" si="0"/>
        <v>10</v>
      </c>
      <c r="N5" s="58">
        <f t="shared" si="0"/>
        <v>11</v>
      </c>
      <c r="O5" s="58">
        <f t="shared" si="0"/>
        <v>12</v>
      </c>
      <c r="P5" s="58">
        <f t="shared" si="0"/>
        <v>13</v>
      </c>
      <c r="Q5" s="58">
        <f t="shared" si="0"/>
        <v>14</v>
      </c>
      <c r="R5" s="58">
        <f t="shared" si="0"/>
        <v>15</v>
      </c>
      <c r="S5" s="58">
        <f t="shared" si="0"/>
        <v>16</v>
      </c>
      <c r="T5" s="58">
        <f t="shared" si="0"/>
        <v>17</v>
      </c>
      <c r="U5" s="58">
        <f t="shared" si="0"/>
        <v>18</v>
      </c>
      <c r="V5" s="58">
        <f t="shared" si="0"/>
        <v>19</v>
      </c>
      <c r="W5" s="58">
        <f t="shared" si="0"/>
        <v>20</v>
      </c>
    </row>
    <row r="6" spans="2:23" x14ac:dyDescent="0.3">
      <c r="C6" s="56" t="s">
        <v>155</v>
      </c>
      <c r="D6" s="59">
        <v>200000</v>
      </c>
    </row>
    <row r="7" spans="2:23" x14ac:dyDescent="0.3">
      <c r="C7" s="56" t="s">
        <v>156</v>
      </c>
      <c r="D7" s="56">
        <v>1000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</row>
    <row r="8" spans="2:23" x14ac:dyDescent="0.3">
      <c r="C8" s="56" t="s">
        <v>157</v>
      </c>
      <c r="D8" s="60">
        <v>0.7</v>
      </c>
      <c r="E8" s="60">
        <v>0.7</v>
      </c>
      <c r="F8" s="60">
        <v>0.7</v>
      </c>
      <c r="G8" s="60">
        <v>0.7</v>
      </c>
      <c r="H8" s="60">
        <v>0.7</v>
      </c>
      <c r="I8" s="60">
        <v>0.7</v>
      </c>
      <c r="J8" s="60">
        <v>0.7</v>
      </c>
      <c r="K8" s="60">
        <v>0.7</v>
      </c>
      <c r="L8" s="60">
        <v>0.7</v>
      </c>
      <c r="M8" s="60">
        <v>0.7</v>
      </c>
      <c r="N8" s="60">
        <v>3</v>
      </c>
      <c r="O8" s="60">
        <v>3</v>
      </c>
      <c r="P8" s="60">
        <v>3</v>
      </c>
      <c r="Q8" s="60">
        <v>3</v>
      </c>
      <c r="R8" s="60">
        <v>3</v>
      </c>
      <c r="S8" s="60">
        <v>3</v>
      </c>
      <c r="T8" s="60">
        <v>3</v>
      </c>
      <c r="U8" s="60">
        <v>3</v>
      </c>
      <c r="V8" s="60">
        <v>3</v>
      </c>
      <c r="W8" s="60">
        <v>3</v>
      </c>
    </row>
    <row r="9" spans="2:23" x14ac:dyDescent="0.3">
      <c r="B9" s="61"/>
      <c r="C9" s="62" t="s">
        <v>158</v>
      </c>
      <c r="D9" s="63">
        <v>65</v>
      </c>
      <c r="E9" s="63">
        <v>65</v>
      </c>
      <c r="F9" s="63">
        <v>65</v>
      </c>
      <c r="G9" s="63">
        <v>65</v>
      </c>
      <c r="H9" s="63">
        <v>65</v>
      </c>
      <c r="I9" s="63">
        <v>65</v>
      </c>
      <c r="J9" s="63">
        <v>65</v>
      </c>
      <c r="K9" s="63">
        <v>65</v>
      </c>
      <c r="L9" s="63">
        <v>65</v>
      </c>
      <c r="M9" s="63">
        <v>65</v>
      </c>
      <c r="N9" s="63">
        <v>65</v>
      </c>
      <c r="O9" s="63">
        <v>65</v>
      </c>
      <c r="P9" s="63">
        <v>65</v>
      </c>
      <c r="Q9" s="63">
        <v>65</v>
      </c>
      <c r="R9" s="63">
        <v>65</v>
      </c>
      <c r="S9" s="63">
        <v>65</v>
      </c>
      <c r="T9" s="63">
        <v>65</v>
      </c>
      <c r="U9" s="63">
        <v>65</v>
      </c>
      <c r="V9" s="63">
        <v>65</v>
      </c>
      <c r="W9" s="63">
        <v>65</v>
      </c>
    </row>
    <row r="10" spans="2:23" x14ac:dyDescent="0.3">
      <c r="C10" s="56" t="s">
        <v>159</v>
      </c>
      <c r="D10" s="64">
        <v>0.8</v>
      </c>
      <c r="E10" s="64">
        <v>0.05</v>
      </c>
      <c r="F10" s="64">
        <v>0.05</v>
      </c>
      <c r="G10" s="64">
        <v>0.05</v>
      </c>
      <c r="H10" s="64">
        <v>0.05</v>
      </c>
      <c r="I10" s="64">
        <v>0.05</v>
      </c>
      <c r="J10" s="64">
        <v>0.05</v>
      </c>
      <c r="K10" s="64">
        <v>0.05</v>
      </c>
      <c r="L10" s="64">
        <v>0.05</v>
      </c>
      <c r="M10" s="64">
        <v>0.05</v>
      </c>
      <c r="N10" s="64">
        <v>0.05</v>
      </c>
      <c r="O10" s="64">
        <v>0.05</v>
      </c>
      <c r="P10" s="64">
        <v>0.05</v>
      </c>
      <c r="Q10" s="64">
        <v>0.05</v>
      </c>
      <c r="R10" s="64">
        <v>0.05</v>
      </c>
      <c r="S10" s="64">
        <v>0.05</v>
      </c>
      <c r="T10" s="64">
        <v>0.05</v>
      </c>
      <c r="U10" s="64">
        <v>0.05</v>
      </c>
      <c r="V10" s="64">
        <v>0.05</v>
      </c>
      <c r="W10" s="64">
        <v>0.05</v>
      </c>
    </row>
    <row r="11" spans="2:23" x14ac:dyDescent="0.3">
      <c r="C11" s="56" t="s">
        <v>160</v>
      </c>
      <c r="D11" s="63">
        <v>40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2:23" x14ac:dyDescent="0.3">
      <c r="C12" s="56" t="s">
        <v>161</v>
      </c>
      <c r="D12" s="65">
        <v>60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2:23" x14ac:dyDescent="0.3">
      <c r="B13" s="61"/>
      <c r="C13" s="62" t="s">
        <v>162</v>
      </c>
      <c r="D13" s="63">
        <v>30</v>
      </c>
      <c r="E13" s="63">
        <v>30</v>
      </c>
      <c r="F13" s="63">
        <v>30</v>
      </c>
      <c r="G13" s="63">
        <v>30</v>
      </c>
      <c r="H13" s="63">
        <v>30</v>
      </c>
      <c r="I13" s="63">
        <v>30</v>
      </c>
      <c r="J13" s="63">
        <v>30</v>
      </c>
      <c r="K13" s="63">
        <v>30</v>
      </c>
      <c r="L13" s="63">
        <v>30</v>
      </c>
      <c r="M13" s="63">
        <v>30</v>
      </c>
      <c r="N13" s="63">
        <v>30</v>
      </c>
      <c r="O13" s="63">
        <v>30</v>
      </c>
      <c r="P13" s="63">
        <v>30</v>
      </c>
      <c r="Q13" s="63">
        <v>30</v>
      </c>
      <c r="R13" s="63">
        <v>30</v>
      </c>
      <c r="S13" s="63">
        <v>30</v>
      </c>
      <c r="T13" s="63">
        <v>30</v>
      </c>
      <c r="U13" s="63">
        <v>30</v>
      </c>
      <c r="V13" s="63">
        <v>30</v>
      </c>
      <c r="W13" s="63">
        <v>30</v>
      </c>
    </row>
    <row r="14" spans="2:23" x14ac:dyDescent="0.3">
      <c r="B14" s="61"/>
      <c r="C14" s="62" t="s">
        <v>163</v>
      </c>
      <c r="D14" s="63">
        <v>20</v>
      </c>
      <c r="E14" s="63">
        <v>20</v>
      </c>
      <c r="F14" s="63">
        <v>20</v>
      </c>
      <c r="G14" s="63">
        <v>20</v>
      </c>
      <c r="H14" s="63">
        <v>20</v>
      </c>
      <c r="I14" s="63">
        <v>20</v>
      </c>
      <c r="J14" s="63">
        <v>20</v>
      </c>
      <c r="K14" s="63">
        <v>20</v>
      </c>
      <c r="L14" s="63">
        <v>20</v>
      </c>
      <c r="M14" s="63">
        <v>20</v>
      </c>
      <c r="N14" s="63">
        <v>20</v>
      </c>
      <c r="O14" s="63">
        <v>20</v>
      </c>
      <c r="P14" s="63">
        <v>20</v>
      </c>
      <c r="Q14" s="63">
        <v>20</v>
      </c>
      <c r="R14" s="63">
        <v>20</v>
      </c>
      <c r="S14" s="63">
        <v>20</v>
      </c>
      <c r="T14" s="63">
        <v>20</v>
      </c>
      <c r="U14" s="63">
        <v>20</v>
      </c>
      <c r="V14" s="63">
        <v>20</v>
      </c>
      <c r="W14" s="63">
        <v>20</v>
      </c>
    </row>
    <row r="15" spans="2:23" x14ac:dyDescent="0.3">
      <c r="B15" s="61"/>
      <c r="C15" s="62" t="s">
        <v>164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</row>
    <row r="16" spans="2:23" x14ac:dyDescent="0.3">
      <c r="B16" s="61"/>
      <c r="C16" s="62" t="s">
        <v>165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</row>
    <row r="17" spans="2:23" x14ac:dyDescent="0.3">
      <c r="B17" s="61"/>
      <c r="C17" s="62" t="s">
        <v>166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</row>
    <row r="18" spans="2:23" x14ac:dyDescent="0.3">
      <c r="C18" s="56" t="s">
        <v>167</v>
      </c>
      <c r="D18" s="66">
        <v>0.04</v>
      </c>
      <c r="E18" s="66">
        <v>0.04</v>
      </c>
      <c r="F18" s="66">
        <v>0.04</v>
      </c>
      <c r="G18" s="66">
        <v>0.04</v>
      </c>
      <c r="H18" s="66">
        <v>0.04</v>
      </c>
      <c r="I18" s="66">
        <v>0.04</v>
      </c>
      <c r="J18" s="66">
        <v>0.04</v>
      </c>
      <c r="K18" s="66">
        <v>0.04</v>
      </c>
      <c r="L18" s="66">
        <v>0.04</v>
      </c>
      <c r="M18" s="66">
        <v>0.04</v>
      </c>
      <c r="N18" s="66">
        <v>0.04</v>
      </c>
      <c r="O18" s="66">
        <v>0.04</v>
      </c>
      <c r="P18" s="66">
        <v>0.04</v>
      </c>
      <c r="Q18" s="66">
        <v>0.04</v>
      </c>
      <c r="R18" s="66">
        <v>0.04</v>
      </c>
      <c r="S18" s="66">
        <v>0.04</v>
      </c>
      <c r="T18" s="66">
        <v>0.04</v>
      </c>
      <c r="U18" s="66">
        <v>0.04</v>
      </c>
      <c r="V18" s="66">
        <v>0.04</v>
      </c>
      <c r="W18" s="66">
        <v>0.04</v>
      </c>
    </row>
    <row r="19" spans="2:23" x14ac:dyDescent="0.3">
      <c r="C19" s="56" t="s">
        <v>168</v>
      </c>
      <c r="D19" s="67">
        <v>4.4999999999999998E-2</v>
      </c>
      <c r="E19" s="67">
        <v>4.4999999999999998E-2</v>
      </c>
      <c r="F19" s="67">
        <v>4.4999999999999998E-2</v>
      </c>
      <c r="G19" s="67">
        <v>4.4999999999999998E-2</v>
      </c>
      <c r="H19" s="67">
        <v>4.4999999999999998E-2</v>
      </c>
      <c r="I19" s="67">
        <v>4.4999999999999998E-2</v>
      </c>
      <c r="J19" s="67">
        <v>4.4999999999999998E-2</v>
      </c>
      <c r="K19" s="67">
        <v>4.4999999999999998E-2</v>
      </c>
      <c r="L19" s="67">
        <v>4.4999999999999998E-2</v>
      </c>
      <c r="M19" s="67">
        <v>4.4999999999999998E-2</v>
      </c>
      <c r="N19" s="67">
        <v>4.4999999999999998E-2</v>
      </c>
      <c r="O19" s="67">
        <v>4.4999999999999998E-2</v>
      </c>
      <c r="P19" s="67">
        <v>4.4999999999999998E-2</v>
      </c>
      <c r="Q19" s="67">
        <v>4.4999999999999998E-2</v>
      </c>
      <c r="R19" s="67">
        <v>4.4999999999999998E-2</v>
      </c>
      <c r="S19" s="67">
        <v>4.4999999999999998E-2</v>
      </c>
      <c r="T19" s="67">
        <v>4.4999999999999998E-2</v>
      </c>
      <c r="U19" s="67">
        <v>4.4999999999999998E-2</v>
      </c>
      <c r="V19" s="67">
        <v>4.4999999999999998E-2</v>
      </c>
      <c r="W19" s="67">
        <v>4.4999999999999998E-2</v>
      </c>
    </row>
    <row r="20" spans="2:23" x14ac:dyDescent="0.3">
      <c r="C20" s="56" t="s">
        <v>169</v>
      </c>
      <c r="D20" s="66">
        <f>D18</f>
        <v>0.04</v>
      </c>
      <c r="E20" s="66">
        <f t="shared" ref="E20:W20" si="1">E18</f>
        <v>0.04</v>
      </c>
      <c r="F20" s="66">
        <f t="shared" si="1"/>
        <v>0.04</v>
      </c>
      <c r="G20" s="66">
        <f t="shared" si="1"/>
        <v>0.04</v>
      </c>
      <c r="H20" s="66">
        <f t="shared" si="1"/>
        <v>0.04</v>
      </c>
      <c r="I20" s="66">
        <f t="shared" si="1"/>
        <v>0.04</v>
      </c>
      <c r="J20" s="66">
        <f t="shared" si="1"/>
        <v>0.04</v>
      </c>
      <c r="K20" s="66">
        <f t="shared" si="1"/>
        <v>0.04</v>
      </c>
      <c r="L20" s="66">
        <f t="shared" si="1"/>
        <v>0.04</v>
      </c>
      <c r="M20" s="66">
        <f t="shared" si="1"/>
        <v>0.04</v>
      </c>
      <c r="N20" s="66">
        <f t="shared" si="1"/>
        <v>0.04</v>
      </c>
      <c r="O20" s="66">
        <f t="shared" si="1"/>
        <v>0.04</v>
      </c>
      <c r="P20" s="66">
        <f t="shared" si="1"/>
        <v>0.04</v>
      </c>
      <c r="Q20" s="66">
        <f t="shared" si="1"/>
        <v>0.04</v>
      </c>
      <c r="R20" s="66">
        <f t="shared" si="1"/>
        <v>0.04</v>
      </c>
      <c r="S20" s="66">
        <f t="shared" si="1"/>
        <v>0.04</v>
      </c>
      <c r="T20" s="66">
        <f t="shared" si="1"/>
        <v>0.04</v>
      </c>
      <c r="U20" s="66">
        <f t="shared" si="1"/>
        <v>0.04</v>
      </c>
      <c r="V20" s="66">
        <f t="shared" si="1"/>
        <v>0.04</v>
      </c>
      <c r="W20" s="66">
        <f t="shared" si="1"/>
        <v>0.04</v>
      </c>
    </row>
    <row r="21" spans="2:23" x14ac:dyDescent="0.3">
      <c r="C21" s="56" t="s">
        <v>170</v>
      </c>
      <c r="D21" s="64">
        <v>0.05</v>
      </c>
      <c r="E21" s="64">
        <v>0.05</v>
      </c>
      <c r="F21" s="64">
        <v>0.05</v>
      </c>
      <c r="G21" s="64">
        <v>0.05</v>
      </c>
      <c r="H21" s="64">
        <v>0.05</v>
      </c>
      <c r="I21" s="64">
        <v>0.05</v>
      </c>
      <c r="J21" s="64">
        <v>0.05</v>
      </c>
      <c r="K21" s="64">
        <v>0.05</v>
      </c>
      <c r="L21" s="64">
        <v>0.05</v>
      </c>
      <c r="M21" s="64">
        <v>0.75</v>
      </c>
      <c r="N21" s="64">
        <v>0.05</v>
      </c>
      <c r="O21" s="64">
        <v>0.05</v>
      </c>
      <c r="P21" s="64">
        <v>0.05</v>
      </c>
      <c r="Q21" s="64">
        <v>0.05</v>
      </c>
      <c r="R21" s="64">
        <v>0.05</v>
      </c>
      <c r="S21" s="64">
        <v>0.05</v>
      </c>
      <c r="T21" s="64">
        <v>0.05</v>
      </c>
      <c r="U21" s="64">
        <v>0.05</v>
      </c>
      <c r="V21" s="64">
        <v>0.05</v>
      </c>
      <c r="W21" s="64">
        <v>1</v>
      </c>
    </row>
    <row r="22" spans="2:23" x14ac:dyDescent="0.3">
      <c r="C22" s="56" t="s">
        <v>50</v>
      </c>
      <c r="D22" s="68">
        <v>4.0000000000000002E-4</v>
      </c>
      <c r="E22" s="68">
        <v>4.0000000000000002E-4</v>
      </c>
      <c r="F22" s="68">
        <v>5.0000000000000001E-4</v>
      </c>
      <c r="G22" s="68">
        <v>5.0000000000000001E-4</v>
      </c>
      <c r="H22" s="68">
        <v>6.0000000000000006E-4</v>
      </c>
      <c r="I22" s="68">
        <v>6.9999999999999999E-4</v>
      </c>
      <c r="J22" s="68">
        <v>6.9999999999999999E-4</v>
      </c>
      <c r="K22" s="68">
        <v>8.0000000000000004E-4</v>
      </c>
      <c r="L22" s="68">
        <v>8.9999999999999998E-4</v>
      </c>
      <c r="M22" s="68">
        <v>1E-3</v>
      </c>
      <c r="N22" s="68">
        <f>0.11%*(1+N23)</f>
        <v>1.9250000000000001E-3</v>
      </c>
      <c r="O22" s="68">
        <f>0.13%*(1+N23)</f>
        <v>2.2750000000000001E-3</v>
      </c>
      <c r="P22" s="68">
        <f>0.14%*(1+N23)</f>
        <v>2.4500000000000004E-3</v>
      </c>
      <c r="Q22" s="68">
        <f>0.15%*(1+N23)</f>
        <v>2.6250000000000002E-3</v>
      </c>
      <c r="R22" s="68">
        <f>0.17%*(1+N23)</f>
        <v>2.9750000000000002E-3</v>
      </c>
      <c r="S22" s="68">
        <f>0.18%*(1+N23)</f>
        <v>3.15E-3</v>
      </c>
      <c r="T22" s="68">
        <f>0.19%*(1+N23)</f>
        <v>3.3249999999999998E-3</v>
      </c>
      <c r="U22" s="68">
        <f>0.21%*(1+N23)</f>
        <v>3.6749999999999999E-3</v>
      </c>
      <c r="V22" s="68">
        <f>0.23%*(1+N23)</f>
        <v>4.0249999999999999E-3</v>
      </c>
      <c r="W22" s="68">
        <f>0.23%*(1+N23)</f>
        <v>4.0249999999999999E-3</v>
      </c>
    </row>
    <row r="23" spans="2:23" x14ac:dyDescent="0.3">
      <c r="C23" s="56" t="s">
        <v>171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>
        <v>0.75</v>
      </c>
      <c r="O23" s="69">
        <v>0.75</v>
      </c>
      <c r="P23" s="69">
        <v>0.75</v>
      </c>
      <c r="Q23" s="69">
        <v>0.75</v>
      </c>
      <c r="R23" s="69">
        <v>0.75</v>
      </c>
      <c r="S23" s="69">
        <v>0.75</v>
      </c>
      <c r="T23" s="69">
        <v>0.75</v>
      </c>
      <c r="U23" s="69">
        <v>0.75</v>
      </c>
      <c r="V23" s="69">
        <v>0.75</v>
      </c>
      <c r="W23" s="69">
        <v>0.75</v>
      </c>
    </row>
    <row r="24" spans="2:23" x14ac:dyDescent="0.3">
      <c r="C24" s="56" t="s">
        <v>172</v>
      </c>
      <c r="D24" s="64">
        <v>0.1</v>
      </c>
      <c r="E24" s="64">
        <v>0.1</v>
      </c>
      <c r="F24" s="64">
        <v>0.1</v>
      </c>
      <c r="G24" s="64">
        <v>0.1</v>
      </c>
      <c r="H24" s="64">
        <v>0.1</v>
      </c>
      <c r="I24" s="64">
        <v>0.1</v>
      </c>
      <c r="J24" s="64">
        <v>0.1</v>
      </c>
      <c r="K24" s="64">
        <v>0.1</v>
      </c>
      <c r="L24" s="64">
        <v>0.1</v>
      </c>
      <c r="M24" s="64">
        <v>0.1</v>
      </c>
      <c r="N24" s="64">
        <v>0.1</v>
      </c>
      <c r="O24" s="64">
        <v>0.1</v>
      </c>
      <c r="P24" s="64">
        <v>0.1</v>
      </c>
      <c r="Q24" s="64">
        <v>0.1</v>
      </c>
      <c r="R24" s="64">
        <v>0.1</v>
      </c>
      <c r="S24" s="64">
        <v>0.1</v>
      </c>
      <c r="T24" s="64">
        <v>0.1</v>
      </c>
      <c r="U24" s="64">
        <v>0.1</v>
      </c>
      <c r="V24" s="64">
        <v>0.1</v>
      </c>
      <c r="W24" s="64">
        <v>0.1</v>
      </c>
    </row>
    <row r="26" spans="2:23" x14ac:dyDescent="0.3">
      <c r="C26" s="70" t="s">
        <v>173</v>
      </c>
    </row>
    <row r="27" spans="2:23" x14ac:dyDescent="0.3">
      <c r="C27" s="70" t="s">
        <v>174</v>
      </c>
    </row>
    <row r="28" spans="2:23" x14ac:dyDescent="0.3">
      <c r="B28" s="61"/>
      <c r="C28" s="71" t="s">
        <v>175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2:23" x14ac:dyDescent="0.3">
      <c r="B29" s="61"/>
      <c r="C29" s="71" t="s">
        <v>176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2:23" x14ac:dyDescent="0.3">
      <c r="B30" s="61"/>
      <c r="C30" s="71" t="s">
        <v>177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2" spans="2:23" x14ac:dyDescent="0.3">
      <c r="C32" s="56" t="s">
        <v>178</v>
      </c>
      <c r="D32" s="63">
        <v>30</v>
      </c>
      <c r="E32" s="63">
        <v>30</v>
      </c>
      <c r="F32" s="63">
        <v>35</v>
      </c>
      <c r="G32" s="63">
        <v>35</v>
      </c>
      <c r="H32" s="63">
        <v>35</v>
      </c>
      <c r="I32" s="63">
        <v>35</v>
      </c>
      <c r="J32" s="63">
        <v>35</v>
      </c>
      <c r="K32" s="63">
        <v>35</v>
      </c>
      <c r="L32" s="63">
        <v>35</v>
      </c>
      <c r="M32" s="63">
        <v>35</v>
      </c>
      <c r="N32" s="63">
        <v>35</v>
      </c>
      <c r="O32" s="63">
        <v>35</v>
      </c>
      <c r="P32" s="63">
        <v>35</v>
      </c>
      <c r="Q32" s="63">
        <v>35</v>
      </c>
      <c r="R32" s="63">
        <v>35</v>
      </c>
      <c r="S32" s="63">
        <v>35</v>
      </c>
      <c r="T32" s="63">
        <v>35</v>
      </c>
      <c r="U32" s="63">
        <v>35</v>
      </c>
      <c r="V32" s="63">
        <v>35</v>
      </c>
      <c r="W32" s="63">
        <v>35</v>
      </c>
    </row>
    <row r="33" spans="2:23" x14ac:dyDescent="0.3">
      <c r="C33" s="56" t="s">
        <v>179</v>
      </c>
      <c r="D33" s="64">
        <v>0.05</v>
      </c>
      <c r="E33" s="64">
        <v>0.05</v>
      </c>
      <c r="F33" s="64">
        <v>0.05</v>
      </c>
      <c r="G33" s="64">
        <v>0.05</v>
      </c>
      <c r="H33" s="64">
        <v>0.05</v>
      </c>
      <c r="I33" s="64">
        <v>0.05</v>
      </c>
      <c r="J33" s="64">
        <v>0.05</v>
      </c>
      <c r="K33" s="64">
        <v>0.05</v>
      </c>
      <c r="L33" s="64">
        <v>0.1</v>
      </c>
      <c r="M33" s="64">
        <v>0.75</v>
      </c>
      <c r="N33" s="64">
        <v>0.05</v>
      </c>
      <c r="O33" s="64">
        <v>0.05</v>
      </c>
      <c r="P33" s="64">
        <v>0.05</v>
      </c>
      <c r="Q33" s="64">
        <v>0.05</v>
      </c>
      <c r="R33" s="64">
        <v>0.05</v>
      </c>
      <c r="S33" s="64">
        <v>0.05</v>
      </c>
      <c r="T33" s="64">
        <v>0.05</v>
      </c>
      <c r="U33" s="64">
        <v>0.05</v>
      </c>
      <c r="V33" s="64">
        <v>0.05</v>
      </c>
      <c r="W33" s="64">
        <v>1</v>
      </c>
    </row>
    <row r="37" spans="2:23" x14ac:dyDescent="0.3">
      <c r="B37" s="57"/>
    </row>
    <row r="38" spans="2:23" x14ac:dyDescent="0.3">
      <c r="B38" s="57"/>
    </row>
    <row r="47" spans="2:23" x14ac:dyDescent="0.3">
      <c r="B47" s="72"/>
      <c r="C47" s="62"/>
    </row>
    <row r="48" spans="2:23" x14ac:dyDescent="0.3">
      <c r="B48" s="64"/>
      <c r="C48" s="62"/>
    </row>
    <row r="49" spans="3:23" x14ac:dyDescent="0.3">
      <c r="C49" s="62"/>
    </row>
    <row r="50" spans="3:23" x14ac:dyDescent="0.3">
      <c r="C50" s="62"/>
    </row>
    <row r="51" spans="3:23" x14ac:dyDescent="0.3">
      <c r="C51" s="62"/>
    </row>
    <row r="52" spans="3:23" x14ac:dyDescent="0.3">
      <c r="C52" s="62"/>
    </row>
    <row r="53" spans="3:23" x14ac:dyDescent="0.3">
      <c r="C53" s="62"/>
      <c r="D53" s="73"/>
    </row>
    <row r="54" spans="3:23" x14ac:dyDescent="0.3">
      <c r="C54" s="74"/>
      <c r="D54" s="75"/>
    </row>
    <row r="55" spans="3:23" x14ac:dyDescent="0.3"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65" spans="2:23" x14ac:dyDescent="0.3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</row>
    <row r="72" spans="2:23" x14ac:dyDescent="0.3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</row>
  </sheetData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0"/>
  <sheetViews>
    <sheetView zoomScaleNormal="100" workbookViewId="0"/>
  </sheetViews>
  <sheetFormatPr defaultColWidth="8.88671875" defaultRowHeight="14.4" x14ac:dyDescent="0.3"/>
  <cols>
    <col min="1" max="1" width="7.109375" customWidth="1"/>
    <col min="2" max="2" width="16.109375" customWidth="1"/>
    <col min="3" max="3" width="46.6640625" customWidth="1"/>
    <col min="4" max="4" width="1.33203125" customWidth="1"/>
    <col min="5" max="5" width="11" customWidth="1"/>
    <col min="6" max="25" width="10.109375" customWidth="1"/>
  </cols>
  <sheetData>
    <row r="1" spans="1:25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5.6" x14ac:dyDescent="0.3">
      <c r="A2" s="56"/>
      <c r="B2" s="55" t="s">
        <v>180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x14ac:dyDescent="0.3">
      <c r="A3" s="56"/>
      <c r="B3" s="57" t="s">
        <v>181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3">
      <c r="A5" s="56"/>
      <c r="B5" s="56"/>
      <c r="C5" s="56"/>
      <c r="D5" s="56"/>
      <c r="E5" s="56">
        <v>0</v>
      </c>
      <c r="F5" s="56">
        <v>1</v>
      </c>
      <c r="G5" s="56">
        <f>F5+1</f>
        <v>2</v>
      </c>
      <c r="H5" s="56">
        <f t="shared" ref="H5:Y5" si="0">G5+1</f>
        <v>3</v>
      </c>
      <c r="I5" s="56">
        <f t="shared" si="0"/>
        <v>4</v>
      </c>
      <c r="J5" s="56">
        <f t="shared" si="0"/>
        <v>5</v>
      </c>
      <c r="K5" s="56">
        <f t="shared" si="0"/>
        <v>6</v>
      </c>
      <c r="L5" s="56">
        <f t="shared" si="0"/>
        <v>7</v>
      </c>
      <c r="M5" s="56">
        <f t="shared" si="0"/>
        <v>8</v>
      </c>
      <c r="N5" s="56">
        <f t="shared" si="0"/>
        <v>9</v>
      </c>
      <c r="O5" s="56">
        <f t="shared" si="0"/>
        <v>10</v>
      </c>
      <c r="P5" s="56">
        <f t="shared" si="0"/>
        <v>11</v>
      </c>
      <c r="Q5" s="56">
        <f t="shared" si="0"/>
        <v>12</v>
      </c>
      <c r="R5" s="56">
        <f t="shared" si="0"/>
        <v>13</v>
      </c>
      <c r="S5" s="56">
        <f t="shared" si="0"/>
        <v>14</v>
      </c>
      <c r="T5" s="56">
        <f t="shared" si="0"/>
        <v>15</v>
      </c>
      <c r="U5" s="56">
        <f t="shared" si="0"/>
        <v>16</v>
      </c>
      <c r="V5" s="56">
        <f t="shared" si="0"/>
        <v>17</v>
      </c>
      <c r="W5" s="56">
        <f t="shared" si="0"/>
        <v>18</v>
      </c>
      <c r="X5" s="56">
        <f t="shared" si="0"/>
        <v>19</v>
      </c>
      <c r="Y5" s="56">
        <f t="shared" si="0"/>
        <v>20</v>
      </c>
    </row>
    <row r="6" spans="1:25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x14ac:dyDescent="0.3">
      <c r="A7" s="56"/>
      <c r="B7" s="56"/>
      <c r="C7" s="61" t="s">
        <v>182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x14ac:dyDescent="0.3">
      <c r="A8" s="56"/>
      <c r="B8" s="56" t="s">
        <v>183</v>
      </c>
      <c r="C8" s="77" t="s">
        <v>184</v>
      </c>
      <c r="D8" s="78"/>
      <c r="E8" s="78"/>
      <c r="F8" s="78">
        <f>F36*('Assumptions for Q5'!D8*'Assumptions for Q5'!$D$6/1000+'Assumptions for Q5'!D9)</f>
        <v>205000</v>
      </c>
      <c r="G8" s="78">
        <f>G36*('Assumptions for Q5'!E8*'Assumptions for Q5'!$D$6/1000+'Assumptions for Q5'!E9)</f>
        <v>194668</v>
      </c>
      <c r="H8" s="78">
        <f>H36*('Assumptions for Q5'!F8*'Assumptions for Q5'!$D$6/1000+'Assumptions for Q5'!F9)</f>
        <v>184856.7328</v>
      </c>
      <c r="I8" s="78">
        <f>I36*('Assumptions for Q5'!G8*'Assumptions for Q5'!$D$6/1000+'Assumptions for Q5'!G9)</f>
        <v>175521.46779360002</v>
      </c>
      <c r="J8" s="78">
        <f>J36*('Assumptions for Q5'!H8*'Assumptions for Q5'!$D$6/1000+'Assumptions for Q5'!H9)</f>
        <v>166657.63367002321</v>
      </c>
      <c r="K8" s="78">
        <f>K36*('Assumptions for Q5'!I8*'Assumptions for Q5'!$D$6/1000+'Assumptions for Q5'!I9)</f>
        <v>158224.75740632004</v>
      </c>
      <c r="L8" s="78">
        <f>L36*('Assumptions for Q5'!J8*'Assumptions for Q5'!$D$6/1000+'Assumptions for Q5'!J9)</f>
        <v>150202.76220581963</v>
      </c>
      <c r="M8" s="78">
        <f>M36*('Assumptions for Q5'!K8*'Assumptions for Q5'!$D$6/1000+'Assumptions for Q5'!K9)</f>
        <v>142587.48216198458</v>
      </c>
      <c r="N8" s="78">
        <f>N36*('Assumptions for Q5'!L8*'Assumptions for Q5'!$D$6/1000+'Assumptions for Q5'!L9)</f>
        <v>135344.03806815576</v>
      </c>
      <c r="O8" s="78">
        <f>O36*('Assumptions for Q5'!M8*'Assumptions for Q5'!$D$6/1000+'Assumptions for Q5'!M9)</f>
        <v>128455.02653048662</v>
      </c>
      <c r="P8" s="78">
        <f>P36*('Assumptions for Q5'!N8*'Assumptions for Q5'!$D$6/1000+'Assumptions for Q5'!N9)</f>
        <v>103757.19789292989</v>
      </c>
      <c r="Q8" s="78">
        <f>Q36*('Assumptions for Q5'!O8*'Assumptions for Q5'!$D$6/1000+'Assumptions for Q5'!O9)</f>
        <v>98369.605392339523</v>
      </c>
      <c r="R8" s="78">
        <f>R36*('Assumptions for Q5'!P8*'Assumptions for Q5'!$D$6/1000+'Assumptions for Q5'!P9)</f>
        <v>93227.334270454972</v>
      </c>
      <c r="S8" s="78">
        <f>S36*('Assumptions for Q5'!Q8*'Assumptions for Q5'!$D$6/1000+'Assumptions for Q5'!Q9)</f>
        <v>88337.560587969609</v>
      </c>
      <c r="T8" s="78">
        <f>T36*('Assumptions for Q5'!R8*'Assumptions for Q5'!$D$6/1000+'Assumptions for Q5'!R9)</f>
        <v>83688.79646202772</v>
      </c>
      <c r="U8" s="78">
        <f>U36*('Assumptions for Q5'!S8*'Assumptions for Q5'!$D$6/1000+'Assumptions for Q5'!S9)</f>
        <v>79255.382469451797</v>
      </c>
      <c r="V8" s="78">
        <f>V36*('Assumptions for Q5'!T8*'Assumptions for Q5'!$D$6/1000+'Assumptions for Q5'!T9)</f>
        <v>75042.958891200426</v>
      </c>
      <c r="W8" s="78">
        <f>W36*('Assumptions for Q5'!U8*'Assumptions for Q5'!$D$6/1000+'Assumptions for Q5'!U9)</f>
        <v>71041.293108327169</v>
      </c>
      <c r="X8" s="78">
        <f>X36*('Assumptions for Q5'!V8*'Assumptions for Q5'!$D$6/1000+'Assumptions for Q5'!V9)</f>
        <v>67228.151700737697</v>
      </c>
      <c r="Y8" s="79">
        <f>Y36*('Assumptions for Q5'!W8*'Assumptions for Q5'!$D$6/1000+'Assumptions for Q5'!W9)</f>
        <v>63596.150805105346</v>
      </c>
    </row>
    <row r="9" spans="1:25" x14ac:dyDescent="0.3">
      <c r="A9" s="56"/>
      <c r="B9" s="56" t="s">
        <v>183</v>
      </c>
      <c r="C9" s="80" t="s">
        <v>185</v>
      </c>
      <c r="D9" s="81"/>
      <c r="E9" s="81"/>
      <c r="F9" s="81">
        <f>-F8*'Assumptions for Q5'!D10</f>
        <v>-164000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2">
        <v>0</v>
      </c>
    </row>
    <row r="10" spans="1:25" x14ac:dyDescent="0.3">
      <c r="A10" s="56"/>
      <c r="B10" s="56" t="s">
        <v>183</v>
      </c>
      <c r="C10" s="80" t="s">
        <v>186</v>
      </c>
      <c r="D10" s="81"/>
      <c r="E10" s="81"/>
      <c r="F10" s="81">
        <v>0</v>
      </c>
      <c r="G10" s="81">
        <f>-G8*'Assumptions for Q5'!E10</f>
        <v>-9733.4</v>
      </c>
      <c r="H10" s="81">
        <f>-H8*'Assumptions for Q5'!F10</f>
        <v>-9242.8366399999995</v>
      </c>
      <c r="I10" s="81">
        <f>-I8*'Assumptions for Q5'!G10</f>
        <v>-8776.0733896800011</v>
      </c>
      <c r="J10" s="81">
        <f>-J8*'Assumptions for Q5'!H10</f>
        <v>-8332.8816835011603</v>
      </c>
      <c r="K10" s="81">
        <f>-K8*'Assumptions for Q5'!I10</f>
        <v>-7911.237870316003</v>
      </c>
      <c r="L10" s="81">
        <f>-L8*'Assumptions for Q5'!J10</f>
        <v>-7510.1381102909818</v>
      </c>
      <c r="M10" s="81">
        <f>-M8*'Assumptions for Q5'!K10</f>
        <v>-7129.3741080992295</v>
      </c>
      <c r="N10" s="81">
        <f>-N8*'Assumptions for Q5'!L10</f>
        <v>-6767.2019034077884</v>
      </c>
      <c r="O10" s="81">
        <f>-O8*'Assumptions for Q5'!M10</f>
        <v>-6422.7513265243315</v>
      </c>
      <c r="P10" s="81">
        <f>-P8*'Assumptions for Q5'!N10</f>
        <v>-5187.8598946464954</v>
      </c>
      <c r="Q10" s="81">
        <f>-Q8*'Assumptions for Q5'!O10</f>
        <v>-4918.4802696169763</v>
      </c>
      <c r="R10" s="81">
        <f>-R8*'Assumptions for Q5'!P10</f>
        <v>-4661.3667135227488</v>
      </c>
      <c r="S10" s="81">
        <f>-S8*'Assumptions for Q5'!Q10</f>
        <v>-4416.878029398481</v>
      </c>
      <c r="T10" s="81">
        <f>-T8*'Assumptions for Q5'!R10</f>
        <v>-4184.4398231013865</v>
      </c>
      <c r="U10" s="81">
        <f>-U8*'Assumptions for Q5'!S10</f>
        <v>-3962.7691234725899</v>
      </c>
      <c r="V10" s="81">
        <f>-V8*'Assumptions for Q5'!T10</f>
        <v>-3752.1479445600216</v>
      </c>
      <c r="W10" s="81">
        <f>-W8*'Assumptions for Q5'!U10</f>
        <v>-3552.0646554163586</v>
      </c>
      <c r="X10" s="81">
        <f>-X8*'Assumptions for Q5'!V10</f>
        <v>-3361.4075850368849</v>
      </c>
      <c r="Y10" s="82">
        <f>-Y8*'Assumptions for Q5'!W10</f>
        <v>-3179.8075402552677</v>
      </c>
    </row>
    <row r="11" spans="1:25" x14ac:dyDescent="0.3">
      <c r="A11" s="56"/>
      <c r="B11" s="56" t="s">
        <v>183</v>
      </c>
      <c r="C11" s="80" t="s">
        <v>187</v>
      </c>
      <c r="D11" s="81"/>
      <c r="E11" s="81"/>
      <c r="F11" s="81">
        <f>-F36*'Assumptions for Q5'!D11</f>
        <v>-40000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2">
        <v>0</v>
      </c>
    </row>
    <row r="12" spans="1:25" x14ac:dyDescent="0.3">
      <c r="A12" s="56"/>
      <c r="B12" s="56" t="s">
        <v>188</v>
      </c>
      <c r="C12" s="80" t="s">
        <v>162</v>
      </c>
      <c r="D12" s="81"/>
      <c r="E12" s="81"/>
      <c r="F12" s="81">
        <f>-F36*'Assumptions for Q5'!D13</f>
        <v>-30000</v>
      </c>
      <c r="G12" s="81">
        <f>-G36*'Assumptions for Q5'!E13</f>
        <v>-28488</v>
      </c>
      <c r="H12" s="81">
        <f>-H36*'Assumptions for Q5'!F13</f>
        <v>-27052.204800000003</v>
      </c>
      <c r="I12" s="81">
        <f>-I36*'Assumptions for Q5'!G13</f>
        <v>-25686.068457600006</v>
      </c>
      <c r="J12" s="81">
        <f>-J36*'Assumptions for Q5'!H13</f>
        <v>-24388.922000491202</v>
      </c>
      <c r="K12" s="81">
        <f>-K36*'Assumptions for Q5'!I13</f>
        <v>-23154.842547266348</v>
      </c>
      <c r="L12" s="81">
        <f>-L36*'Assumptions for Q5'!J13</f>
        <v>-21980.892030119947</v>
      </c>
      <c r="M12" s="81">
        <f>-M36*'Assumptions for Q5'!K13</f>
        <v>-20866.460804192862</v>
      </c>
      <c r="N12" s="81">
        <f>-N36*'Assumptions for Q5'!L13</f>
        <v>-19806.444595339864</v>
      </c>
      <c r="O12" s="81">
        <f>-O36*'Assumptions for Q5'!M13</f>
        <v>-18798.296565437067</v>
      </c>
      <c r="P12" s="81">
        <f>-P36*'Assumptions for Q5'!N13</f>
        <v>-4680.7758447938295</v>
      </c>
      <c r="Q12" s="81">
        <f>-Q36*'Assumptions for Q5'!O13</f>
        <v>-4437.7265590529105</v>
      </c>
      <c r="R12" s="81">
        <f>-R36*'Assumptions for Q5'!P13</f>
        <v>-4205.7444031784198</v>
      </c>
      <c r="S12" s="81">
        <f>-S36*'Assumptions for Q5'!Q13</f>
        <v>-3985.1531092317118</v>
      </c>
      <c r="T12" s="81">
        <f>-T36*'Assumptions for Q5'!R13</f>
        <v>-3775.4344268583932</v>
      </c>
      <c r="U12" s="81">
        <f>-U36*'Assumptions for Q5'!S13</f>
        <v>-3575.4307880955698</v>
      </c>
      <c r="V12" s="81">
        <f>-V36*'Assumptions for Q5'!T13</f>
        <v>-3385.3966417082902</v>
      </c>
      <c r="W12" s="81">
        <f>-W36*'Assumptions for Q5'!U13</f>
        <v>-3204.8703657891956</v>
      </c>
      <c r="X12" s="81">
        <f>-X36*'Assumptions for Q5'!V13</f>
        <v>-3032.84894890546</v>
      </c>
      <c r="Y12" s="82">
        <f>-Y36*'Assumptions for Q5'!W13</f>
        <v>-2868.9992844408425</v>
      </c>
    </row>
    <row r="13" spans="1:25" x14ac:dyDescent="0.3">
      <c r="A13" s="56"/>
      <c r="B13" s="56" t="s">
        <v>183</v>
      </c>
      <c r="C13" s="80" t="s">
        <v>189</v>
      </c>
      <c r="D13" s="81"/>
      <c r="E13" s="81"/>
      <c r="F13" s="81">
        <f>-F36*'Assumptions for Q5'!D12</f>
        <v>-60000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2">
        <v>0</v>
      </c>
    </row>
    <row r="14" spans="1:25" x14ac:dyDescent="0.3">
      <c r="A14" s="56"/>
      <c r="B14" s="56" t="s">
        <v>188</v>
      </c>
      <c r="C14" s="80" t="s">
        <v>163</v>
      </c>
      <c r="D14" s="81"/>
      <c r="E14" s="81"/>
      <c r="F14" s="81">
        <f>-F36*'Assumptions for Q5'!D14</f>
        <v>-20000</v>
      </c>
      <c r="G14" s="81">
        <f>-G36*'Assumptions for Q5'!E14</f>
        <v>-18992</v>
      </c>
      <c r="H14" s="81">
        <f>-H36*'Assumptions for Q5'!F14</f>
        <v>-18034.803200000002</v>
      </c>
      <c r="I14" s="81">
        <f>-I36*'Assumptions for Q5'!G14</f>
        <v>-17124.045638400003</v>
      </c>
      <c r="J14" s="81">
        <f>-J36*'Assumptions for Q5'!H14</f>
        <v>-16259.281333660801</v>
      </c>
      <c r="K14" s="81">
        <f>-K36*'Assumptions for Q5'!I14</f>
        <v>-15436.561698177566</v>
      </c>
      <c r="L14" s="81">
        <f>-L36*'Assumptions for Q5'!J14</f>
        <v>-14653.928020079964</v>
      </c>
      <c r="M14" s="81">
        <f>-M36*'Assumptions for Q5'!K14</f>
        <v>-13910.973869461908</v>
      </c>
      <c r="N14" s="81">
        <f>-N36*'Assumptions for Q5'!L14</f>
        <v>-13204.296396893244</v>
      </c>
      <c r="O14" s="81">
        <f>-O36*'Assumptions for Q5'!M14</f>
        <v>-12532.197710291377</v>
      </c>
      <c r="P14" s="81">
        <f>-P36*'Assumptions for Q5'!N14</f>
        <v>-3120.517229862553</v>
      </c>
      <c r="Q14" s="81">
        <f>-Q36*'Assumptions for Q5'!O14</f>
        <v>-2958.4843727019406</v>
      </c>
      <c r="R14" s="81">
        <f>-R36*'Assumptions for Q5'!P14</f>
        <v>-2803.8296021189467</v>
      </c>
      <c r="S14" s="81">
        <f>-S36*'Assumptions for Q5'!Q14</f>
        <v>-2656.7687394878076</v>
      </c>
      <c r="T14" s="81">
        <f>-T36*'Assumptions for Q5'!R14</f>
        <v>-2516.9562845722621</v>
      </c>
      <c r="U14" s="81">
        <f>-U36*'Assumptions for Q5'!S14</f>
        <v>-2383.6205253970465</v>
      </c>
      <c r="V14" s="81">
        <f>-V36*'Assumptions for Q5'!T14</f>
        <v>-2256.9310944721933</v>
      </c>
      <c r="W14" s="81">
        <f>-W36*'Assumptions for Q5'!U14</f>
        <v>-2136.5802438594637</v>
      </c>
      <c r="X14" s="81">
        <f>-X36*'Assumptions for Q5'!V14</f>
        <v>-2021.8992992703068</v>
      </c>
      <c r="Y14" s="82">
        <f>-Y36*'Assumptions for Q5'!W14</f>
        <v>-1912.6661896272285</v>
      </c>
    </row>
    <row r="15" spans="1:25" x14ac:dyDescent="0.3">
      <c r="A15" s="56"/>
      <c r="B15" s="56" t="s">
        <v>188</v>
      </c>
      <c r="C15" s="80" t="s">
        <v>190</v>
      </c>
      <c r="D15" s="81"/>
      <c r="E15" s="81"/>
      <c r="F15" s="81">
        <f>-F37*'Assumptions for Q5'!$D$6</f>
        <v>-80000</v>
      </c>
      <c r="G15" s="81">
        <f>-G37*'Assumptions for Q5'!$D$6</f>
        <v>-75968</v>
      </c>
      <c r="H15" s="81">
        <f>-H37*'Assumptions for Q5'!$D$6</f>
        <v>-90174.016000000018</v>
      </c>
      <c r="I15" s="81">
        <f>-I37*'Assumptions for Q5'!$D$6</f>
        <v>-85620.22819200001</v>
      </c>
      <c r="J15" s="81">
        <f>-J37*'Assumptions for Q5'!$D$6</f>
        <v>-97555.688001964809</v>
      </c>
      <c r="K15" s="81">
        <f>-K37*'Assumptions for Q5'!$D$6</f>
        <v>-108055.93188724296</v>
      </c>
      <c r="L15" s="81">
        <f>-L37*'Assumptions for Q5'!$D$6</f>
        <v>-102577.49614055976</v>
      </c>
      <c r="M15" s="81">
        <f>-M37*'Assumptions for Q5'!$D$6</f>
        <v>-111287.79095569528</v>
      </c>
      <c r="N15" s="81">
        <f>-N37*'Assumptions for Q5'!$D$6</f>
        <v>-118838.66757203921</v>
      </c>
      <c r="O15" s="81">
        <f>-O37*'Assumptions for Q5'!$D$6</f>
        <v>-125321.97710291378</v>
      </c>
      <c r="P15" s="81">
        <f>-P37*'Assumptions for Q5'!$D$6</f>
        <v>-60069.956674854155</v>
      </c>
      <c r="Q15" s="81">
        <f>-Q37*'Assumptions for Q5'!$D$6</f>
        <v>-67305.519478969145</v>
      </c>
      <c r="R15" s="81">
        <f>-R37*'Assumptions for Q5'!$D$6</f>
        <v>-68693.825251914212</v>
      </c>
      <c r="S15" s="81">
        <f>-S37*'Assumptions for Q5'!$D$6</f>
        <v>-69740.179411554956</v>
      </c>
      <c r="T15" s="81">
        <f>-T37*'Assumptions for Q5'!$D$6</f>
        <v>-74879.449466024802</v>
      </c>
      <c r="U15" s="81">
        <f>-U37*'Assumptions for Q5'!$D$6</f>
        <v>-75084.046550006969</v>
      </c>
      <c r="V15" s="81">
        <f>-V37*'Assumptions for Q5'!$D$6</f>
        <v>-75042.958891200426</v>
      </c>
      <c r="W15" s="81">
        <f>-W37*'Assumptions for Q5'!$D$6</f>
        <v>-78519.323961835282</v>
      </c>
      <c r="X15" s="81">
        <f>-X37*'Assumptions for Q5'!$D$6</f>
        <v>-81381.446795629847</v>
      </c>
      <c r="Y15" s="82">
        <f>-Y37*'Assumptions for Q5'!$D$6</f>
        <v>-76984.814132495943</v>
      </c>
    </row>
    <row r="16" spans="1:25" x14ac:dyDescent="0.3">
      <c r="A16" s="56"/>
      <c r="B16" s="56"/>
      <c r="C16" s="83" t="s">
        <v>191</v>
      </c>
      <c r="D16" s="84"/>
      <c r="E16" s="84"/>
      <c r="F16" s="84">
        <f t="shared" ref="F16:Y16" si="1">SUM(F8:F15)</f>
        <v>-189000</v>
      </c>
      <c r="G16" s="84">
        <f>SUM(G8:G15)</f>
        <v>61486.600000000006</v>
      </c>
      <c r="H16" s="84">
        <f t="shared" si="1"/>
        <v>40352.872159999984</v>
      </c>
      <c r="I16" s="84">
        <f t="shared" si="1"/>
        <v>38315.052115920014</v>
      </c>
      <c r="J16" s="84">
        <f t="shared" si="1"/>
        <v>20120.860650405244</v>
      </c>
      <c r="K16" s="84">
        <f t="shared" si="1"/>
        <v>3666.1834033171763</v>
      </c>
      <c r="L16" s="84">
        <f t="shared" si="1"/>
        <v>3480.307904768968</v>
      </c>
      <c r="M16" s="84">
        <f t="shared" si="1"/>
        <v>-10607.117575464697</v>
      </c>
      <c r="N16" s="84">
        <f t="shared" si="1"/>
        <v>-23272.572399524346</v>
      </c>
      <c r="O16" s="84">
        <f t="shared" si="1"/>
        <v>-34620.196174679935</v>
      </c>
      <c r="P16" s="84">
        <f t="shared" si="1"/>
        <v>30698.088248772867</v>
      </c>
      <c r="Q16" s="84">
        <f t="shared" si="1"/>
        <v>18749.394711998539</v>
      </c>
      <c r="R16" s="84">
        <f t="shared" si="1"/>
        <v>12862.568299720646</v>
      </c>
      <c r="S16" s="84">
        <f t="shared" si="1"/>
        <v>7538.58129829666</v>
      </c>
      <c r="T16" s="84">
        <f t="shared" si="1"/>
        <v>-1667.4835385291371</v>
      </c>
      <c r="U16" s="84">
        <f t="shared" si="1"/>
        <v>-5750.4845175203809</v>
      </c>
      <c r="V16" s="84">
        <f t="shared" si="1"/>
        <v>-9394.4756807405065</v>
      </c>
      <c r="W16" s="84">
        <f t="shared" si="1"/>
        <v>-16371.546118573126</v>
      </c>
      <c r="X16" s="84">
        <f t="shared" si="1"/>
        <v>-22569.450928104801</v>
      </c>
      <c r="Y16" s="85">
        <f t="shared" si="1"/>
        <v>-21350.136341713936</v>
      </c>
    </row>
    <row r="17" spans="1:25" x14ac:dyDescent="0.3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x14ac:dyDescent="0.3">
      <c r="A18" s="56"/>
      <c r="B18" s="56"/>
      <c r="C18" s="61" t="s">
        <v>192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3">
      <c r="A19" s="56"/>
      <c r="B19" s="56" t="s">
        <v>183</v>
      </c>
      <c r="C19" s="77" t="s">
        <v>184</v>
      </c>
      <c r="D19" s="78"/>
      <c r="E19" s="78"/>
      <c r="F19" s="78">
        <f t="shared" ref="F19:Y25" si="2">F8</f>
        <v>205000</v>
      </c>
      <c r="G19" s="78">
        <f t="shared" si="2"/>
        <v>194668</v>
      </c>
      <c r="H19" s="78">
        <f t="shared" si="2"/>
        <v>184856.7328</v>
      </c>
      <c r="I19" s="78">
        <f t="shared" si="2"/>
        <v>175521.46779360002</v>
      </c>
      <c r="J19" s="78">
        <f t="shared" si="2"/>
        <v>166657.63367002321</v>
      </c>
      <c r="K19" s="78">
        <f t="shared" si="2"/>
        <v>158224.75740632004</v>
      </c>
      <c r="L19" s="78">
        <f t="shared" si="2"/>
        <v>150202.76220581963</v>
      </c>
      <c r="M19" s="78">
        <f t="shared" si="2"/>
        <v>142587.48216198458</v>
      </c>
      <c r="N19" s="78">
        <f t="shared" si="2"/>
        <v>135344.03806815576</v>
      </c>
      <c r="O19" s="78">
        <f t="shared" si="2"/>
        <v>128455.02653048662</v>
      </c>
      <c r="P19" s="78">
        <f t="shared" si="2"/>
        <v>103757.19789292989</v>
      </c>
      <c r="Q19" s="78">
        <f t="shared" si="2"/>
        <v>98369.605392339523</v>
      </c>
      <c r="R19" s="78">
        <f t="shared" si="2"/>
        <v>93227.334270454972</v>
      </c>
      <c r="S19" s="78">
        <f t="shared" si="2"/>
        <v>88337.560587969609</v>
      </c>
      <c r="T19" s="78">
        <f t="shared" si="2"/>
        <v>83688.79646202772</v>
      </c>
      <c r="U19" s="78">
        <f t="shared" si="2"/>
        <v>79255.382469451797</v>
      </c>
      <c r="V19" s="78">
        <f t="shared" si="2"/>
        <v>75042.958891200426</v>
      </c>
      <c r="W19" s="78">
        <f t="shared" si="2"/>
        <v>71041.293108327169</v>
      </c>
      <c r="X19" s="78">
        <f t="shared" si="2"/>
        <v>67228.151700737697</v>
      </c>
      <c r="Y19" s="79">
        <f t="shared" si="2"/>
        <v>63596.150805105346</v>
      </c>
    </row>
    <row r="20" spans="1:25" x14ac:dyDescent="0.3">
      <c r="A20" s="56"/>
      <c r="B20" s="56" t="s">
        <v>183</v>
      </c>
      <c r="C20" s="80" t="s">
        <v>185</v>
      </c>
      <c r="D20" s="81"/>
      <c r="E20" s="81"/>
      <c r="F20" s="81">
        <f t="shared" si="2"/>
        <v>-164000</v>
      </c>
      <c r="G20" s="81">
        <f t="shared" si="2"/>
        <v>0</v>
      </c>
      <c r="H20" s="81">
        <f t="shared" si="2"/>
        <v>0</v>
      </c>
      <c r="I20" s="81">
        <f t="shared" si="2"/>
        <v>0</v>
      </c>
      <c r="J20" s="81">
        <f t="shared" si="2"/>
        <v>0</v>
      </c>
      <c r="K20" s="81">
        <f t="shared" si="2"/>
        <v>0</v>
      </c>
      <c r="L20" s="81">
        <f t="shared" si="2"/>
        <v>0</v>
      </c>
      <c r="M20" s="81">
        <f t="shared" si="2"/>
        <v>0</v>
      </c>
      <c r="N20" s="81">
        <f t="shared" si="2"/>
        <v>0</v>
      </c>
      <c r="O20" s="81">
        <f t="shared" si="2"/>
        <v>0</v>
      </c>
      <c r="P20" s="81">
        <f t="shared" si="2"/>
        <v>0</v>
      </c>
      <c r="Q20" s="81">
        <f t="shared" si="2"/>
        <v>0</v>
      </c>
      <c r="R20" s="81">
        <f t="shared" si="2"/>
        <v>0</v>
      </c>
      <c r="S20" s="81">
        <f t="shared" si="2"/>
        <v>0</v>
      </c>
      <c r="T20" s="81">
        <f t="shared" si="2"/>
        <v>0</v>
      </c>
      <c r="U20" s="81">
        <f t="shared" si="2"/>
        <v>0</v>
      </c>
      <c r="V20" s="81">
        <f t="shared" si="2"/>
        <v>0</v>
      </c>
      <c r="W20" s="81">
        <f t="shared" si="2"/>
        <v>0</v>
      </c>
      <c r="X20" s="81">
        <f t="shared" si="2"/>
        <v>0</v>
      </c>
      <c r="Y20" s="82">
        <f t="shared" si="2"/>
        <v>0</v>
      </c>
    </row>
    <row r="21" spans="1:25" x14ac:dyDescent="0.3">
      <c r="A21" s="56"/>
      <c r="B21" s="56" t="s">
        <v>183</v>
      </c>
      <c r="C21" s="80" t="s">
        <v>186</v>
      </c>
      <c r="D21" s="81"/>
      <c r="E21" s="81"/>
      <c r="F21" s="81">
        <f t="shared" si="2"/>
        <v>0</v>
      </c>
      <c r="G21" s="81">
        <f t="shared" si="2"/>
        <v>-9733.4</v>
      </c>
      <c r="H21" s="81">
        <f t="shared" si="2"/>
        <v>-9242.8366399999995</v>
      </c>
      <c r="I21" s="81">
        <f t="shared" si="2"/>
        <v>-8776.0733896800011</v>
      </c>
      <c r="J21" s="81">
        <f t="shared" si="2"/>
        <v>-8332.8816835011603</v>
      </c>
      <c r="K21" s="81">
        <f t="shared" si="2"/>
        <v>-7911.237870316003</v>
      </c>
      <c r="L21" s="81">
        <f t="shared" si="2"/>
        <v>-7510.1381102909818</v>
      </c>
      <c r="M21" s="81">
        <f t="shared" si="2"/>
        <v>-7129.3741080992295</v>
      </c>
      <c r="N21" s="81">
        <f t="shared" si="2"/>
        <v>-6767.2019034077884</v>
      </c>
      <c r="O21" s="81">
        <f t="shared" si="2"/>
        <v>-6422.7513265243315</v>
      </c>
      <c r="P21" s="81">
        <f t="shared" si="2"/>
        <v>-5187.8598946464954</v>
      </c>
      <c r="Q21" s="81">
        <f t="shared" si="2"/>
        <v>-4918.4802696169763</v>
      </c>
      <c r="R21" s="81">
        <f t="shared" si="2"/>
        <v>-4661.3667135227488</v>
      </c>
      <c r="S21" s="81">
        <f t="shared" si="2"/>
        <v>-4416.878029398481</v>
      </c>
      <c r="T21" s="81">
        <f t="shared" si="2"/>
        <v>-4184.4398231013865</v>
      </c>
      <c r="U21" s="81">
        <f t="shared" si="2"/>
        <v>-3962.7691234725899</v>
      </c>
      <c r="V21" s="81">
        <f t="shared" si="2"/>
        <v>-3752.1479445600216</v>
      </c>
      <c r="W21" s="81">
        <f t="shared" si="2"/>
        <v>-3552.0646554163586</v>
      </c>
      <c r="X21" s="81">
        <f t="shared" si="2"/>
        <v>-3361.4075850368849</v>
      </c>
      <c r="Y21" s="82">
        <f t="shared" si="2"/>
        <v>-3179.8075402552677</v>
      </c>
    </row>
    <row r="22" spans="1:25" x14ac:dyDescent="0.3">
      <c r="A22" s="56"/>
      <c r="B22" s="56" t="s">
        <v>183</v>
      </c>
      <c r="C22" s="80" t="s">
        <v>187</v>
      </c>
      <c r="D22" s="81"/>
      <c r="E22" s="81"/>
      <c r="F22" s="81">
        <f t="shared" si="2"/>
        <v>-40000</v>
      </c>
      <c r="G22" s="81">
        <f t="shared" si="2"/>
        <v>0</v>
      </c>
      <c r="H22" s="81">
        <f t="shared" si="2"/>
        <v>0</v>
      </c>
      <c r="I22" s="81">
        <f t="shared" si="2"/>
        <v>0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  <c r="N22" s="81">
        <f t="shared" si="2"/>
        <v>0</v>
      </c>
      <c r="O22" s="81">
        <f t="shared" si="2"/>
        <v>0</v>
      </c>
      <c r="P22" s="81">
        <f t="shared" si="2"/>
        <v>0</v>
      </c>
      <c r="Q22" s="81">
        <f t="shared" si="2"/>
        <v>0</v>
      </c>
      <c r="R22" s="81">
        <f t="shared" si="2"/>
        <v>0</v>
      </c>
      <c r="S22" s="81">
        <f t="shared" si="2"/>
        <v>0</v>
      </c>
      <c r="T22" s="81">
        <f t="shared" si="2"/>
        <v>0</v>
      </c>
      <c r="U22" s="81">
        <f t="shared" si="2"/>
        <v>0</v>
      </c>
      <c r="V22" s="81">
        <f t="shared" si="2"/>
        <v>0</v>
      </c>
      <c r="W22" s="81">
        <f t="shared" si="2"/>
        <v>0</v>
      </c>
      <c r="X22" s="81">
        <f t="shared" si="2"/>
        <v>0</v>
      </c>
      <c r="Y22" s="82">
        <f t="shared" si="2"/>
        <v>0</v>
      </c>
    </row>
    <row r="23" spans="1:25" x14ac:dyDescent="0.3">
      <c r="A23" s="56"/>
      <c r="B23" s="56" t="s">
        <v>188</v>
      </c>
      <c r="C23" s="80" t="s">
        <v>162</v>
      </c>
      <c r="D23" s="81"/>
      <c r="E23" s="81"/>
      <c r="F23" s="81">
        <f t="shared" si="2"/>
        <v>-30000</v>
      </c>
      <c r="G23" s="81">
        <f t="shared" si="2"/>
        <v>-28488</v>
      </c>
      <c r="H23" s="81">
        <f t="shared" si="2"/>
        <v>-27052.204800000003</v>
      </c>
      <c r="I23" s="81">
        <f t="shared" si="2"/>
        <v>-25686.068457600006</v>
      </c>
      <c r="J23" s="81">
        <f t="shared" si="2"/>
        <v>-24388.922000491202</v>
      </c>
      <c r="K23" s="81">
        <f t="shared" si="2"/>
        <v>-23154.842547266348</v>
      </c>
      <c r="L23" s="81">
        <f t="shared" si="2"/>
        <v>-21980.892030119947</v>
      </c>
      <c r="M23" s="81">
        <f t="shared" si="2"/>
        <v>-20866.460804192862</v>
      </c>
      <c r="N23" s="81">
        <f t="shared" si="2"/>
        <v>-19806.444595339864</v>
      </c>
      <c r="O23" s="81">
        <f t="shared" si="2"/>
        <v>-18798.296565437067</v>
      </c>
      <c r="P23" s="81">
        <f t="shared" si="2"/>
        <v>-4680.7758447938295</v>
      </c>
      <c r="Q23" s="81">
        <f t="shared" si="2"/>
        <v>-4437.7265590529105</v>
      </c>
      <c r="R23" s="81">
        <f t="shared" si="2"/>
        <v>-4205.7444031784198</v>
      </c>
      <c r="S23" s="81">
        <f t="shared" si="2"/>
        <v>-3985.1531092317118</v>
      </c>
      <c r="T23" s="81">
        <f t="shared" si="2"/>
        <v>-3775.4344268583932</v>
      </c>
      <c r="U23" s="81">
        <f t="shared" si="2"/>
        <v>-3575.4307880955698</v>
      </c>
      <c r="V23" s="81">
        <f t="shared" si="2"/>
        <v>-3385.3966417082902</v>
      </c>
      <c r="W23" s="81">
        <f t="shared" si="2"/>
        <v>-3204.8703657891956</v>
      </c>
      <c r="X23" s="81">
        <f t="shared" si="2"/>
        <v>-3032.84894890546</v>
      </c>
      <c r="Y23" s="82">
        <f t="shared" si="2"/>
        <v>-2868.9992844408425</v>
      </c>
    </row>
    <row r="24" spans="1:25" x14ac:dyDescent="0.3">
      <c r="A24" s="56"/>
      <c r="B24" s="56" t="s">
        <v>183</v>
      </c>
      <c r="C24" s="80" t="s">
        <v>189</v>
      </c>
      <c r="D24" s="81"/>
      <c r="E24" s="81"/>
      <c r="F24" s="81">
        <f t="shared" si="2"/>
        <v>-60000</v>
      </c>
      <c r="G24" s="81">
        <f t="shared" si="2"/>
        <v>0</v>
      </c>
      <c r="H24" s="81">
        <f t="shared" si="2"/>
        <v>0</v>
      </c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  <c r="N24" s="81">
        <f t="shared" si="2"/>
        <v>0</v>
      </c>
      <c r="O24" s="81">
        <f t="shared" si="2"/>
        <v>0</v>
      </c>
      <c r="P24" s="81">
        <f t="shared" si="2"/>
        <v>0</v>
      </c>
      <c r="Q24" s="81">
        <f t="shared" si="2"/>
        <v>0</v>
      </c>
      <c r="R24" s="81">
        <f t="shared" si="2"/>
        <v>0</v>
      </c>
      <c r="S24" s="81">
        <f t="shared" si="2"/>
        <v>0</v>
      </c>
      <c r="T24" s="81">
        <f t="shared" si="2"/>
        <v>0</v>
      </c>
      <c r="U24" s="81">
        <f t="shared" si="2"/>
        <v>0</v>
      </c>
      <c r="V24" s="81">
        <f t="shared" si="2"/>
        <v>0</v>
      </c>
      <c r="W24" s="81">
        <f t="shared" si="2"/>
        <v>0</v>
      </c>
      <c r="X24" s="81">
        <f t="shared" si="2"/>
        <v>0</v>
      </c>
      <c r="Y24" s="82">
        <f t="shared" si="2"/>
        <v>0</v>
      </c>
    </row>
    <row r="25" spans="1:25" x14ac:dyDescent="0.3">
      <c r="A25" s="56"/>
      <c r="B25" s="56" t="s">
        <v>188</v>
      </c>
      <c r="C25" s="80" t="s">
        <v>163</v>
      </c>
      <c r="D25" s="81"/>
      <c r="E25" s="81"/>
      <c r="F25" s="81">
        <f>F14</f>
        <v>-20000</v>
      </c>
      <c r="G25" s="81">
        <f t="shared" si="2"/>
        <v>-18992</v>
      </c>
      <c r="H25" s="81">
        <f t="shared" si="2"/>
        <v>-18034.803200000002</v>
      </c>
      <c r="I25" s="81">
        <f t="shared" si="2"/>
        <v>-17124.045638400003</v>
      </c>
      <c r="J25" s="81">
        <f t="shared" si="2"/>
        <v>-16259.281333660801</v>
      </c>
      <c r="K25" s="81">
        <f t="shared" si="2"/>
        <v>-15436.561698177566</v>
      </c>
      <c r="L25" s="81">
        <f t="shared" si="2"/>
        <v>-14653.928020079964</v>
      </c>
      <c r="M25" s="81">
        <f t="shared" si="2"/>
        <v>-13910.973869461908</v>
      </c>
      <c r="N25" s="81">
        <f t="shared" si="2"/>
        <v>-13204.296396893244</v>
      </c>
      <c r="O25" s="81">
        <f t="shared" si="2"/>
        <v>-12532.197710291377</v>
      </c>
      <c r="P25" s="81">
        <f t="shared" si="2"/>
        <v>-3120.517229862553</v>
      </c>
      <c r="Q25" s="81">
        <f t="shared" si="2"/>
        <v>-2958.4843727019406</v>
      </c>
      <c r="R25" s="81">
        <f t="shared" si="2"/>
        <v>-2803.8296021189467</v>
      </c>
      <c r="S25" s="81">
        <f t="shared" si="2"/>
        <v>-2656.7687394878076</v>
      </c>
      <c r="T25" s="81">
        <f t="shared" si="2"/>
        <v>-2516.9562845722621</v>
      </c>
      <c r="U25" s="81">
        <f t="shared" si="2"/>
        <v>-2383.6205253970465</v>
      </c>
      <c r="V25" s="81">
        <f t="shared" si="2"/>
        <v>-2256.9310944721933</v>
      </c>
      <c r="W25" s="81">
        <f t="shared" si="2"/>
        <v>-2136.5802438594637</v>
      </c>
      <c r="X25" s="81">
        <f t="shared" si="2"/>
        <v>-2021.8992992703068</v>
      </c>
      <c r="Y25" s="82">
        <f t="shared" si="2"/>
        <v>-1912.6661896272285</v>
      </c>
    </row>
    <row r="26" spans="1:25" x14ac:dyDescent="0.3">
      <c r="A26" s="56"/>
      <c r="B26" s="56" t="s">
        <v>188</v>
      </c>
      <c r="C26" s="80" t="s">
        <v>190</v>
      </c>
      <c r="D26" s="81"/>
      <c r="E26" s="81"/>
      <c r="F26" s="81">
        <f t="shared" ref="F26:Y26" si="3">F15</f>
        <v>-80000</v>
      </c>
      <c r="G26" s="81">
        <f t="shared" si="3"/>
        <v>-75968</v>
      </c>
      <c r="H26" s="81">
        <f t="shared" si="3"/>
        <v>-90174.016000000018</v>
      </c>
      <c r="I26" s="81">
        <f t="shared" si="3"/>
        <v>-85620.22819200001</v>
      </c>
      <c r="J26" s="81">
        <f t="shared" si="3"/>
        <v>-97555.688001964809</v>
      </c>
      <c r="K26" s="81">
        <f t="shared" si="3"/>
        <v>-108055.93188724296</v>
      </c>
      <c r="L26" s="81">
        <f t="shared" si="3"/>
        <v>-102577.49614055976</v>
      </c>
      <c r="M26" s="81">
        <f t="shared" si="3"/>
        <v>-111287.79095569528</v>
      </c>
      <c r="N26" s="81">
        <f t="shared" si="3"/>
        <v>-118838.66757203921</v>
      </c>
      <c r="O26" s="81">
        <f t="shared" si="3"/>
        <v>-125321.97710291378</v>
      </c>
      <c r="P26" s="81">
        <f t="shared" si="3"/>
        <v>-60069.956674854155</v>
      </c>
      <c r="Q26" s="81">
        <f t="shared" si="3"/>
        <v>-67305.519478969145</v>
      </c>
      <c r="R26" s="81">
        <f t="shared" si="3"/>
        <v>-68693.825251914212</v>
      </c>
      <c r="S26" s="81">
        <f t="shared" si="3"/>
        <v>-69740.179411554956</v>
      </c>
      <c r="T26" s="81">
        <f t="shared" si="3"/>
        <v>-74879.449466024802</v>
      </c>
      <c r="U26" s="81">
        <f t="shared" si="3"/>
        <v>-75084.046550006969</v>
      </c>
      <c r="V26" s="81">
        <f t="shared" si="3"/>
        <v>-75042.958891200426</v>
      </c>
      <c r="W26" s="81">
        <f t="shared" si="3"/>
        <v>-78519.323961835282</v>
      </c>
      <c r="X26" s="81">
        <f t="shared" si="3"/>
        <v>-81381.446795629847</v>
      </c>
      <c r="Y26" s="82">
        <f t="shared" si="3"/>
        <v>-76984.814132495943</v>
      </c>
    </row>
    <row r="27" spans="1:25" x14ac:dyDescent="0.3">
      <c r="A27" s="56"/>
      <c r="B27" s="56"/>
      <c r="C27" s="83" t="s">
        <v>191</v>
      </c>
      <c r="D27" s="84"/>
      <c r="E27" s="84"/>
      <c r="F27" s="84">
        <f t="shared" ref="F27:Y27" si="4">SUM(F19:F26)</f>
        <v>-189000</v>
      </c>
      <c r="G27" s="84">
        <f t="shared" si="4"/>
        <v>61486.600000000006</v>
      </c>
      <c r="H27" s="84">
        <f t="shared" si="4"/>
        <v>40352.872159999984</v>
      </c>
      <c r="I27" s="84">
        <f t="shared" si="4"/>
        <v>38315.052115920014</v>
      </c>
      <c r="J27" s="84">
        <f t="shared" si="4"/>
        <v>20120.860650405244</v>
      </c>
      <c r="K27" s="84">
        <f t="shared" si="4"/>
        <v>3666.1834033171763</v>
      </c>
      <c r="L27" s="84">
        <f t="shared" si="4"/>
        <v>3480.307904768968</v>
      </c>
      <c r="M27" s="84">
        <f t="shared" si="4"/>
        <v>-10607.117575464697</v>
      </c>
      <c r="N27" s="84">
        <f t="shared" si="4"/>
        <v>-23272.572399524346</v>
      </c>
      <c r="O27" s="84">
        <f t="shared" si="4"/>
        <v>-34620.196174679935</v>
      </c>
      <c r="P27" s="84">
        <f t="shared" si="4"/>
        <v>30698.088248772867</v>
      </c>
      <c r="Q27" s="84">
        <f t="shared" si="4"/>
        <v>18749.394711998539</v>
      </c>
      <c r="R27" s="84">
        <f t="shared" si="4"/>
        <v>12862.568299720646</v>
      </c>
      <c r="S27" s="84">
        <f t="shared" si="4"/>
        <v>7538.58129829666</v>
      </c>
      <c r="T27" s="84">
        <f t="shared" si="4"/>
        <v>-1667.4835385291371</v>
      </c>
      <c r="U27" s="84">
        <f t="shared" si="4"/>
        <v>-5750.4845175203809</v>
      </c>
      <c r="V27" s="84">
        <f t="shared" si="4"/>
        <v>-9394.4756807405065</v>
      </c>
      <c r="W27" s="84">
        <f t="shared" si="4"/>
        <v>-16371.546118573126</v>
      </c>
      <c r="X27" s="84">
        <f t="shared" si="4"/>
        <v>-22569.450928104801</v>
      </c>
      <c r="Y27" s="85">
        <f t="shared" si="4"/>
        <v>-21350.136341713936</v>
      </c>
    </row>
    <row r="28" spans="1:25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3">
      <c r="A29" s="56"/>
      <c r="B29" s="56"/>
      <c r="C29" s="61" t="s">
        <v>193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3">
      <c r="A30" s="56"/>
      <c r="B30" s="66" t="s">
        <v>188</v>
      </c>
      <c r="C30" s="86" t="s">
        <v>190</v>
      </c>
      <c r="D30" s="87"/>
      <c r="E30" s="87"/>
      <c r="F30" s="87">
        <f>F15*'Assumptions for Q5'!D24</f>
        <v>-8000</v>
      </c>
      <c r="G30" s="87">
        <f>G15*'Assumptions for Q5'!E24</f>
        <v>-7596.8</v>
      </c>
      <c r="H30" s="87">
        <f>H15*'Assumptions for Q5'!F24</f>
        <v>-9017.4016000000029</v>
      </c>
      <c r="I30" s="87">
        <f>I15*'Assumptions for Q5'!G24</f>
        <v>-8562.0228192000013</v>
      </c>
      <c r="J30" s="87">
        <f>J15*'Assumptions for Q5'!H24</f>
        <v>-9755.5688001964809</v>
      </c>
      <c r="K30" s="87">
        <f>K15*'Assumptions for Q5'!I24</f>
        <v>-10805.593188724297</v>
      </c>
      <c r="L30" s="87">
        <f>L15*'Assumptions for Q5'!J24</f>
        <v>-10257.749614055976</v>
      </c>
      <c r="M30" s="87">
        <f>M15*'Assumptions for Q5'!K24</f>
        <v>-11128.779095569529</v>
      </c>
      <c r="N30" s="87">
        <f>N15*'Assumptions for Q5'!L24</f>
        <v>-11883.866757203921</v>
      </c>
      <c r="O30" s="87">
        <f>O15*'Assumptions for Q5'!M24</f>
        <v>-12532.197710291379</v>
      </c>
      <c r="P30" s="87">
        <f>P15*'Assumptions for Q5'!N24</f>
        <v>-6006.9956674854157</v>
      </c>
      <c r="Q30" s="87">
        <f>Q15*'Assumptions for Q5'!O24</f>
        <v>-6730.5519478969145</v>
      </c>
      <c r="R30" s="87">
        <f>R15*'Assumptions for Q5'!P24</f>
        <v>-6869.3825251914213</v>
      </c>
      <c r="S30" s="87">
        <f>S15*'Assumptions for Q5'!Q24</f>
        <v>-6974.0179411554964</v>
      </c>
      <c r="T30" s="87">
        <f>T15*'Assumptions for Q5'!R24</f>
        <v>-7487.9449466024807</v>
      </c>
      <c r="U30" s="87">
        <f>U15*'Assumptions for Q5'!S24</f>
        <v>-7508.4046550006969</v>
      </c>
      <c r="V30" s="87">
        <f>V15*'Assumptions for Q5'!T24</f>
        <v>-7504.2958891200433</v>
      </c>
      <c r="W30" s="87">
        <f>W15*'Assumptions for Q5'!U24</f>
        <v>-7851.9323961835289</v>
      </c>
      <c r="X30" s="87">
        <f>X15*'Assumptions for Q5'!V24</f>
        <v>-8138.1446795629854</v>
      </c>
      <c r="Y30" s="88">
        <f>Y15*'Assumptions for Q5'!W24</f>
        <v>-7698.4814132495949</v>
      </c>
    </row>
    <row r="31" spans="1:25" x14ac:dyDescent="0.3">
      <c r="A31" s="56"/>
      <c r="B31" s="66"/>
      <c r="C31" s="89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</row>
    <row r="32" spans="1:25" x14ac:dyDescent="0.3">
      <c r="A32" s="56"/>
      <c r="B32" s="66"/>
      <c r="C32" s="90" t="s">
        <v>194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x14ac:dyDescent="0.3">
      <c r="A33" s="56"/>
      <c r="B33" s="66" t="s">
        <v>188</v>
      </c>
      <c r="C33" s="86" t="s">
        <v>190</v>
      </c>
      <c r="D33" s="87"/>
      <c r="E33" s="87"/>
      <c r="F33" s="87">
        <f>F30</f>
        <v>-8000</v>
      </c>
      <c r="G33" s="87">
        <f t="shared" ref="G33:Y33" si="5">G30</f>
        <v>-7596.8</v>
      </c>
      <c r="H33" s="87">
        <f t="shared" si="5"/>
        <v>-9017.4016000000029</v>
      </c>
      <c r="I33" s="87">
        <f t="shared" si="5"/>
        <v>-8562.0228192000013</v>
      </c>
      <c r="J33" s="87">
        <f t="shared" si="5"/>
        <v>-9755.5688001964809</v>
      </c>
      <c r="K33" s="87">
        <f t="shared" si="5"/>
        <v>-10805.593188724297</v>
      </c>
      <c r="L33" s="87">
        <f t="shared" si="5"/>
        <v>-10257.749614055976</v>
      </c>
      <c r="M33" s="87">
        <f t="shared" si="5"/>
        <v>-11128.779095569529</v>
      </c>
      <c r="N33" s="87">
        <f t="shared" si="5"/>
        <v>-11883.866757203921</v>
      </c>
      <c r="O33" s="87">
        <f t="shared" si="5"/>
        <v>-12532.197710291379</v>
      </c>
      <c r="P33" s="87">
        <f t="shared" si="5"/>
        <v>-6006.9956674854157</v>
      </c>
      <c r="Q33" s="87">
        <f t="shared" si="5"/>
        <v>-6730.5519478969145</v>
      </c>
      <c r="R33" s="87">
        <f t="shared" si="5"/>
        <v>-6869.3825251914213</v>
      </c>
      <c r="S33" s="87">
        <f t="shared" si="5"/>
        <v>-6974.0179411554964</v>
      </c>
      <c r="T33" s="87">
        <f t="shared" si="5"/>
        <v>-7487.9449466024807</v>
      </c>
      <c r="U33" s="87">
        <f t="shared" si="5"/>
        <v>-7508.4046550006969</v>
      </c>
      <c r="V33" s="87">
        <f t="shared" si="5"/>
        <v>-7504.2958891200433</v>
      </c>
      <c r="W33" s="87">
        <f t="shared" si="5"/>
        <v>-7851.9323961835289</v>
      </c>
      <c r="X33" s="87">
        <f t="shared" si="5"/>
        <v>-8138.1446795629854</v>
      </c>
      <c r="Y33" s="88">
        <f t="shared" si="5"/>
        <v>-7698.4814132495949</v>
      </c>
    </row>
    <row r="34" spans="1:25" x14ac:dyDescent="0.3">
      <c r="A34" s="56"/>
      <c r="B34" s="56"/>
      <c r="C34" s="62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x14ac:dyDescent="0.3">
      <c r="A35" s="56"/>
      <c r="B35" s="56"/>
      <c r="C35" s="61" t="s">
        <v>195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x14ac:dyDescent="0.3">
      <c r="A36" s="56"/>
      <c r="B36" s="56"/>
      <c r="C36" s="91" t="s">
        <v>196</v>
      </c>
      <c r="D36" s="78"/>
      <c r="E36" s="78"/>
      <c r="F36" s="78">
        <f>'Assumptions for Q5'!D7</f>
        <v>1000</v>
      </c>
      <c r="G36" s="78">
        <f>F39</f>
        <v>949.6</v>
      </c>
      <c r="H36" s="78">
        <f t="shared" ref="H36:Y36" si="6">G39</f>
        <v>901.74016000000006</v>
      </c>
      <c r="I36" s="78">
        <f t="shared" si="6"/>
        <v>856.20228192000013</v>
      </c>
      <c r="J36" s="78">
        <f t="shared" si="6"/>
        <v>812.96406668304007</v>
      </c>
      <c r="K36" s="78">
        <f t="shared" si="6"/>
        <v>771.82808490887828</v>
      </c>
      <c r="L36" s="78">
        <f t="shared" si="6"/>
        <v>732.69640100399818</v>
      </c>
      <c r="M36" s="78">
        <f t="shared" si="6"/>
        <v>695.54869347309545</v>
      </c>
      <c r="N36" s="78">
        <f t="shared" si="6"/>
        <v>660.2148198446622</v>
      </c>
      <c r="O36" s="78">
        <f t="shared" si="6"/>
        <v>626.60988551456887</v>
      </c>
      <c r="P36" s="78">
        <f t="shared" si="6"/>
        <v>156.02586149312765</v>
      </c>
      <c r="Q36" s="78">
        <f t="shared" si="6"/>
        <v>147.92421863509702</v>
      </c>
      <c r="R36" s="78">
        <f t="shared" si="6"/>
        <v>140.19148010594733</v>
      </c>
      <c r="S36" s="78">
        <f t="shared" si="6"/>
        <v>132.83843697439039</v>
      </c>
      <c r="T36" s="78">
        <f t="shared" si="6"/>
        <v>125.8478142286131</v>
      </c>
      <c r="U36" s="78">
        <f t="shared" si="6"/>
        <v>119.18102626985232</v>
      </c>
      <c r="V36" s="78">
        <f t="shared" si="6"/>
        <v>112.84655472360967</v>
      </c>
      <c r="W36" s="78">
        <f t="shared" si="6"/>
        <v>106.82901219297318</v>
      </c>
      <c r="X36" s="78">
        <f t="shared" si="6"/>
        <v>101.09496496351534</v>
      </c>
      <c r="Y36" s="79">
        <f t="shared" si="6"/>
        <v>95.633309481361422</v>
      </c>
    </row>
    <row r="37" spans="1:25" x14ac:dyDescent="0.3">
      <c r="A37" s="56"/>
      <c r="B37" s="56"/>
      <c r="C37" s="92" t="s">
        <v>197</v>
      </c>
      <c r="D37" s="81"/>
      <c r="E37" s="81"/>
      <c r="F37" s="93">
        <f>F36*'Assumptions for Q5'!D22</f>
        <v>0.4</v>
      </c>
      <c r="G37" s="93">
        <f>G36*'Assumptions for Q5'!E22</f>
        <v>0.37984000000000001</v>
      </c>
      <c r="H37" s="93">
        <f>H36*'Assumptions for Q5'!F22</f>
        <v>0.45087008000000006</v>
      </c>
      <c r="I37" s="93">
        <f>I36*'Assumptions for Q5'!G22</f>
        <v>0.42810114096000007</v>
      </c>
      <c r="J37" s="93">
        <f>J36*'Assumptions for Q5'!H22</f>
        <v>0.48777844000982407</v>
      </c>
      <c r="K37" s="93">
        <f>K36*'Assumptions for Q5'!I22</f>
        <v>0.54027965943621481</v>
      </c>
      <c r="L37" s="93">
        <f>L36*'Assumptions for Q5'!J22</f>
        <v>0.51288748070279877</v>
      </c>
      <c r="M37" s="93">
        <f>M36*'Assumptions for Q5'!K22</f>
        <v>0.55643895477847638</v>
      </c>
      <c r="N37" s="93">
        <f>N36*'Assumptions for Q5'!L22</f>
        <v>0.59419333786019601</v>
      </c>
      <c r="O37" s="93">
        <f>O36*'Assumptions for Q5'!M22</f>
        <v>0.62660988551456887</v>
      </c>
      <c r="P37" s="93">
        <f>P36*'Assumptions for Q5'!N22</f>
        <v>0.30034978337427076</v>
      </c>
      <c r="Q37" s="93">
        <f>Q36*'Assumptions for Q5'!O22</f>
        <v>0.33652759739484572</v>
      </c>
      <c r="R37" s="93">
        <f>R36*'Assumptions for Q5'!P22</f>
        <v>0.34346912625957104</v>
      </c>
      <c r="S37" s="93">
        <f>S36*'Assumptions for Q5'!Q22</f>
        <v>0.34870089705777479</v>
      </c>
      <c r="T37" s="93">
        <f>T36*'Assumptions for Q5'!R22</f>
        <v>0.37439724733012403</v>
      </c>
      <c r="U37" s="93">
        <f>U36*'Assumptions for Q5'!S22</f>
        <v>0.37542023275003483</v>
      </c>
      <c r="V37" s="93">
        <f>V36*'Assumptions for Q5'!T22</f>
        <v>0.37521479445600214</v>
      </c>
      <c r="W37" s="93">
        <f>W36*'Assumptions for Q5'!U22</f>
        <v>0.39259661980917643</v>
      </c>
      <c r="X37" s="93">
        <f>X36*'Assumptions for Q5'!V22</f>
        <v>0.40690723397814921</v>
      </c>
      <c r="Y37" s="94">
        <f>Y36*'Assumptions for Q5'!W22</f>
        <v>0.38492407066247974</v>
      </c>
    </row>
    <row r="38" spans="1:25" x14ac:dyDescent="0.3">
      <c r="A38" s="56"/>
      <c r="B38" s="56"/>
      <c r="C38" s="92" t="s">
        <v>198</v>
      </c>
      <c r="D38" s="81"/>
      <c r="E38" s="81"/>
      <c r="F38" s="81">
        <f>F36*'Assumptions for Q5'!D21</f>
        <v>50</v>
      </c>
      <c r="G38" s="81">
        <f>G36*'Assumptions for Q5'!E21</f>
        <v>47.480000000000004</v>
      </c>
      <c r="H38" s="81">
        <f>H36*'Assumptions for Q5'!F21</f>
        <v>45.087008000000004</v>
      </c>
      <c r="I38" s="81">
        <f>I36*'Assumptions for Q5'!G21</f>
        <v>42.810114096000007</v>
      </c>
      <c r="J38" s="81">
        <f>J36*'Assumptions for Q5'!H21</f>
        <v>40.648203334152008</v>
      </c>
      <c r="K38" s="81">
        <f>K36*'Assumptions for Q5'!I21</f>
        <v>38.591404245443918</v>
      </c>
      <c r="L38" s="81">
        <f>L36*'Assumptions for Q5'!J21</f>
        <v>36.634820050199913</v>
      </c>
      <c r="M38" s="81">
        <f>M36*'Assumptions for Q5'!K21</f>
        <v>34.777434673654774</v>
      </c>
      <c r="N38" s="81">
        <f>N36*'Assumptions for Q5'!L21</f>
        <v>33.01074099223311</v>
      </c>
      <c r="O38" s="81">
        <f>O36*'Assumptions for Q5'!M21</f>
        <v>469.95741413592668</v>
      </c>
      <c r="P38" s="81">
        <f>P36*'Assumptions for Q5'!N21</f>
        <v>7.8012930746563827</v>
      </c>
      <c r="Q38" s="81">
        <f>Q36*'Assumptions for Q5'!O21</f>
        <v>7.396210931754851</v>
      </c>
      <c r="R38" s="81">
        <f>R36*'Assumptions for Q5'!P21</f>
        <v>7.0095740052973667</v>
      </c>
      <c r="S38" s="81">
        <f>S36*'Assumptions for Q5'!Q21</f>
        <v>6.6419218487195195</v>
      </c>
      <c r="T38" s="81">
        <f>T36*'Assumptions for Q5'!R21</f>
        <v>6.2923907114306559</v>
      </c>
      <c r="U38" s="81">
        <f>U36*'Assumptions for Q5'!S21</f>
        <v>5.9590513134926164</v>
      </c>
      <c r="V38" s="81">
        <f>V36*'Assumptions for Q5'!T21</f>
        <v>5.6423277361804836</v>
      </c>
      <c r="W38" s="81">
        <f>W36*'Assumptions for Q5'!U21</f>
        <v>5.3414506096486596</v>
      </c>
      <c r="X38" s="81">
        <f>X36*'Assumptions for Q5'!V21</f>
        <v>5.0547482481757671</v>
      </c>
      <c r="Y38" s="82">
        <f>Y36*'Assumptions for Q5'!W21</f>
        <v>95.633309481361422</v>
      </c>
    </row>
    <row r="39" spans="1:25" x14ac:dyDescent="0.3">
      <c r="A39" s="56"/>
      <c r="B39" s="56"/>
      <c r="C39" s="95" t="s">
        <v>199</v>
      </c>
      <c r="D39" s="84"/>
      <c r="E39" s="84"/>
      <c r="F39" s="84">
        <f>F36-F37-F38</f>
        <v>949.6</v>
      </c>
      <c r="G39" s="84">
        <f t="shared" ref="G39:Y39" si="7">G36-G37-G38</f>
        <v>901.74016000000006</v>
      </c>
      <c r="H39" s="84">
        <f t="shared" si="7"/>
        <v>856.20228192000013</v>
      </c>
      <c r="I39" s="84">
        <f t="shared" si="7"/>
        <v>812.96406668304007</v>
      </c>
      <c r="J39" s="84">
        <f t="shared" si="7"/>
        <v>771.82808490887828</v>
      </c>
      <c r="K39" s="84">
        <f t="shared" si="7"/>
        <v>732.69640100399818</v>
      </c>
      <c r="L39" s="84">
        <f t="shared" si="7"/>
        <v>695.54869347309545</v>
      </c>
      <c r="M39" s="84">
        <f t="shared" si="7"/>
        <v>660.2148198446622</v>
      </c>
      <c r="N39" s="84">
        <f t="shared" si="7"/>
        <v>626.60988551456887</v>
      </c>
      <c r="O39" s="84">
        <f t="shared" si="7"/>
        <v>156.02586149312765</v>
      </c>
      <c r="P39" s="84">
        <f t="shared" si="7"/>
        <v>147.92421863509702</v>
      </c>
      <c r="Q39" s="84">
        <f t="shared" si="7"/>
        <v>140.19148010594733</v>
      </c>
      <c r="R39" s="84">
        <f t="shared" si="7"/>
        <v>132.83843697439039</v>
      </c>
      <c r="S39" s="84">
        <f t="shared" si="7"/>
        <v>125.8478142286131</v>
      </c>
      <c r="T39" s="84">
        <f t="shared" si="7"/>
        <v>119.18102626985232</v>
      </c>
      <c r="U39" s="84">
        <f t="shared" si="7"/>
        <v>112.84655472360967</v>
      </c>
      <c r="V39" s="84">
        <f t="shared" si="7"/>
        <v>106.82901219297318</v>
      </c>
      <c r="W39" s="84">
        <f t="shared" si="7"/>
        <v>101.09496496351534</v>
      </c>
      <c r="X39" s="84">
        <f t="shared" si="7"/>
        <v>95.633309481361422</v>
      </c>
      <c r="Y39" s="85">
        <f t="shared" si="7"/>
        <v>-0.38492407066247836</v>
      </c>
    </row>
    <row r="40" spans="1:25" x14ac:dyDescent="0.3">
      <c r="A40" s="56"/>
      <c r="B40" s="56"/>
      <c r="C40" s="62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x14ac:dyDescent="0.3">
      <c r="A41" s="56"/>
      <c r="B41" s="56"/>
      <c r="C41" s="61" t="s">
        <v>200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x14ac:dyDescent="0.3">
      <c r="A42" s="56"/>
      <c r="B42" s="56"/>
      <c r="C42" s="91" t="s">
        <v>201</v>
      </c>
      <c r="D42" s="78"/>
      <c r="E42" s="79">
        <f>F8+NPV('Assumptions for Q5'!D18,'Base for Q5'!G8:Y8)</f>
        <v>1885365.7834938848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x14ac:dyDescent="0.3">
      <c r="A43" s="56"/>
      <c r="B43" s="56"/>
      <c r="C43" s="92" t="s">
        <v>202</v>
      </c>
      <c r="D43" s="81"/>
      <c r="E43" s="82">
        <f>F10+NPV('Assumptions for Q5'!D18,'Base for Q5'!G10:Y10)</f>
        <v>-84018.289174694233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3">
      <c r="A44" s="56"/>
      <c r="B44" s="56"/>
      <c r="C44" s="92" t="s">
        <v>203</v>
      </c>
      <c r="D44" s="81"/>
      <c r="E44" s="82">
        <f>NPV('Assumptions for Q5'!D18,F12:Y12)</f>
        <v>-218815.81366774798</v>
      </c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x14ac:dyDescent="0.3">
      <c r="A45" s="56"/>
      <c r="B45" s="56"/>
      <c r="C45" s="92" t="s">
        <v>204</v>
      </c>
      <c r="D45" s="81"/>
      <c r="E45" s="82">
        <f>NPV('Assumptions for Q5'!D18,F15:Y15)</f>
        <v>-1188819.6824108735</v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3">
      <c r="A46" s="56"/>
      <c r="B46" s="56"/>
      <c r="C46" s="92" t="s">
        <v>205</v>
      </c>
      <c r="D46" s="81"/>
      <c r="E46" s="82">
        <f>F9+F11</f>
        <v>-204000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3">
      <c r="A47" s="56"/>
      <c r="B47" s="56"/>
      <c r="C47" s="92" t="s">
        <v>206</v>
      </c>
      <c r="D47" s="81"/>
      <c r="E47" s="96">
        <f>NPV('Assumptions for Q5'!D18,F30:Y30)</f>
        <v>-118881.96824108734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3">
      <c r="A48" s="56"/>
      <c r="B48" s="56"/>
      <c r="C48" s="92" t="s">
        <v>80</v>
      </c>
      <c r="D48" s="81"/>
      <c r="E48" s="82">
        <f>SUM(E42:E47)</f>
        <v>70830.029999481805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3">
      <c r="A49" s="56"/>
      <c r="B49" s="56"/>
      <c r="C49" s="92" t="s">
        <v>207</v>
      </c>
      <c r="D49" s="81"/>
      <c r="E49" s="82">
        <f>MAX(0,E48)</f>
        <v>70830.029999481805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3">
      <c r="A50" s="56"/>
      <c r="B50" s="56"/>
      <c r="C50" s="95" t="s">
        <v>200</v>
      </c>
      <c r="D50" s="84"/>
      <c r="E50" s="85">
        <f>-E48+E49</f>
        <v>0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8"/>
  <sheetViews>
    <sheetView workbookViewId="0"/>
  </sheetViews>
  <sheetFormatPr defaultColWidth="8.88671875" defaultRowHeight="14.4" x14ac:dyDescent="0.3"/>
  <cols>
    <col min="1" max="1" width="75.88671875" bestFit="1" customWidth="1"/>
    <col min="2" max="2" width="22.33203125" bestFit="1" customWidth="1"/>
    <col min="3" max="3" width="41.6640625" bestFit="1" customWidth="1"/>
  </cols>
  <sheetData>
    <row r="1" spans="1:3" ht="23.4" x14ac:dyDescent="0.45">
      <c r="A1" s="2" t="s">
        <v>126</v>
      </c>
      <c r="B1" s="3"/>
      <c r="C1" s="3"/>
    </row>
    <row r="2" spans="1:3" ht="15.6" x14ac:dyDescent="0.3">
      <c r="A2" s="4" t="s">
        <v>102</v>
      </c>
      <c r="B2" s="3"/>
      <c r="C2" s="3"/>
    </row>
    <row r="3" spans="1:3" ht="16.2" thickBot="1" x14ac:dyDescent="0.35">
      <c r="A3" s="4"/>
      <c r="B3" s="3"/>
      <c r="C3" s="3"/>
    </row>
    <row r="4" spans="1:3" ht="16.2" thickBot="1" x14ac:dyDescent="0.35">
      <c r="A4" s="7" t="s">
        <v>103</v>
      </c>
      <c r="B4" s="20" t="s">
        <v>104</v>
      </c>
      <c r="C4" s="3"/>
    </row>
    <row r="5" spans="1:3" ht="16.2" thickBot="1" x14ac:dyDescent="0.35">
      <c r="A5" s="13">
        <v>40000</v>
      </c>
      <c r="B5" s="11">
        <v>50</v>
      </c>
      <c r="C5" s="3"/>
    </row>
    <row r="6" spans="1:3" ht="16.2" thickBot="1" x14ac:dyDescent="0.35">
      <c r="A6" s="13">
        <v>50000</v>
      </c>
      <c r="B6" s="11">
        <v>30</v>
      </c>
      <c r="C6" s="3"/>
    </row>
    <row r="7" spans="1:3" ht="16.2" thickBot="1" x14ac:dyDescent="0.35">
      <c r="A7" s="13">
        <v>60000</v>
      </c>
      <c r="B7" s="11">
        <v>40</v>
      </c>
      <c r="C7" s="3"/>
    </row>
    <row r="8" spans="1:3" ht="16.2" thickBot="1" x14ac:dyDescent="0.35">
      <c r="A8" s="13">
        <v>70000</v>
      </c>
      <c r="B8" s="11">
        <v>20</v>
      </c>
      <c r="C8" s="3"/>
    </row>
    <row r="9" spans="1:3" ht="16.2" thickBot="1" x14ac:dyDescent="0.35">
      <c r="A9" s="13">
        <v>80000</v>
      </c>
      <c r="B9" s="11">
        <v>10</v>
      </c>
      <c r="C9" s="3"/>
    </row>
    <row r="10" spans="1:3" ht="16.2" thickBot="1" x14ac:dyDescent="0.35">
      <c r="A10" s="13">
        <v>90000</v>
      </c>
      <c r="B10" s="11">
        <v>10</v>
      </c>
      <c r="C10" s="3"/>
    </row>
    <row r="11" spans="1:3" ht="15.6" x14ac:dyDescent="0.3">
      <c r="A11" s="4"/>
      <c r="B11" s="3"/>
      <c r="C11" s="3"/>
    </row>
    <row r="12" spans="1:3" ht="15.6" x14ac:dyDescent="0.3">
      <c r="A12" s="17" t="s">
        <v>105</v>
      </c>
      <c r="B12" s="3"/>
      <c r="C12" s="3"/>
    </row>
    <row r="13" spans="1:3" ht="15.6" x14ac:dyDescent="0.3">
      <c r="A13" s="17" t="s">
        <v>106</v>
      </c>
      <c r="B13" s="3"/>
      <c r="C13" s="3"/>
    </row>
    <row r="14" spans="1:3" ht="15.6" x14ac:dyDescent="0.3">
      <c r="A14" s="17" t="s">
        <v>107</v>
      </c>
      <c r="B14" s="3"/>
      <c r="C14" s="3"/>
    </row>
    <row r="15" spans="1:3" ht="22.8" x14ac:dyDescent="0.3">
      <c r="A15" s="41"/>
      <c r="B15" s="3"/>
      <c r="C15" s="3"/>
    </row>
    <row r="16" spans="1:3" ht="15.6" x14ac:dyDescent="0.3">
      <c r="A16" s="4" t="s">
        <v>108</v>
      </c>
      <c r="B16" s="3"/>
      <c r="C16" s="3"/>
    </row>
    <row r="17" spans="1:3" ht="16.2" thickBot="1" x14ac:dyDescent="0.35">
      <c r="A17" s="4"/>
      <c r="B17" s="3"/>
      <c r="C17" s="3"/>
    </row>
    <row r="18" spans="1:3" ht="31.8" thickBot="1" x14ac:dyDescent="0.35">
      <c r="A18" s="42" t="s">
        <v>109</v>
      </c>
      <c r="B18" s="8" t="s">
        <v>110</v>
      </c>
      <c r="C18" s="8" t="s">
        <v>111</v>
      </c>
    </row>
    <row r="19" spans="1:3" ht="16.2" thickBot="1" x14ac:dyDescent="0.35">
      <c r="A19" s="10" t="s">
        <v>112</v>
      </c>
      <c r="B19" s="24">
        <v>0</v>
      </c>
      <c r="C19" s="43">
        <v>0</v>
      </c>
    </row>
    <row r="20" spans="1:3" ht="16.2" thickBot="1" x14ac:dyDescent="0.35">
      <c r="A20" s="10" t="s">
        <v>113</v>
      </c>
      <c r="B20" s="24">
        <v>9.7999999999999997E-3</v>
      </c>
      <c r="C20" s="14">
        <v>7313</v>
      </c>
    </row>
    <row r="21" spans="1:3" ht="16.2" thickBot="1" x14ac:dyDescent="0.35">
      <c r="A21" s="10" t="s">
        <v>114</v>
      </c>
      <c r="B21" s="24">
        <v>1.46E-2</v>
      </c>
      <c r="C21" s="14">
        <v>14625</v>
      </c>
    </row>
    <row r="22" spans="1:3" ht="16.2" thickBot="1" x14ac:dyDescent="0.35">
      <c r="A22" s="10" t="s">
        <v>115</v>
      </c>
      <c r="B22" s="24">
        <v>1.7600000000000001E-2</v>
      </c>
      <c r="C22" s="14">
        <v>21938</v>
      </c>
    </row>
    <row r="23" spans="1:3" ht="16.2" thickBot="1" x14ac:dyDescent="0.35">
      <c r="A23" s="10" t="s">
        <v>116</v>
      </c>
      <c r="B23" s="24">
        <v>1.95E-2</v>
      </c>
      <c r="C23" s="14">
        <v>29250</v>
      </c>
    </row>
    <row r="24" spans="1:3" ht="16.2" thickBot="1" x14ac:dyDescent="0.35">
      <c r="A24" s="10" t="s">
        <v>117</v>
      </c>
      <c r="B24" s="24">
        <v>1.95E-2</v>
      </c>
      <c r="C24" s="11" t="s">
        <v>118</v>
      </c>
    </row>
    <row r="25" spans="1:3" ht="16.2" thickBot="1" x14ac:dyDescent="0.35">
      <c r="A25" s="4"/>
      <c r="B25" s="3"/>
      <c r="C25" s="3"/>
    </row>
    <row r="26" spans="1:3" ht="16.2" thickBot="1" x14ac:dyDescent="0.35">
      <c r="A26" s="19" t="s">
        <v>119</v>
      </c>
      <c r="B26" s="44">
        <v>100000</v>
      </c>
      <c r="C26" s="3"/>
    </row>
    <row r="27" spans="1:3" ht="16.2" thickBot="1" x14ac:dyDescent="0.35">
      <c r="A27" s="21" t="s">
        <v>120</v>
      </c>
      <c r="B27" s="45">
        <v>61600</v>
      </c>
      <c r="C27" s="3"/>
    </row>
    <row r="28" spans="1:3" ht="16.2" thickBot="1" x14ac:dyDescent="0.35">
      <c r="A28" s="21" t="s">
        <v>121</v>
      </c>
      <c r="B28" s="45">
        <v>56300</v>
      </c>
      <c r="C28" s="3"/>
    </row>
    <row r="29" spans="1:3" ht="16.2" thickBot="1" x14ac:dyDescent="0.35">
      <c r="A29" s="21" t="s">
        <v>122</v>
      </c>
      <c r="B29" s="46">
        <v>5.45E-2</v>
      </c>
      <c r="C29" s="3"/>
    </row>
    <row r="30" spans="1:3" ht="16.2" thickBot="1" x14ac:dyDescent="0.35">
      <c r="A30" s="21" t="s">
        <v>123</v>
      </c>
      <c r="B30" s="46">
        <v>2.2100000000000002E-2</v>
      </c>
      <c r="C30" s="3"/>
    </row>
    <row r="31" spans="1:3" ht="16.2" thickBot="1" x14ac:dyDescent="0.35">
      <c r="A31" s="21" t="s">
        <v>124</v>
      </c>
      <c r="B31" s="46">
        <v>1.55E-2</v>
      </c>
      <c r="C31" s="3"/>
    </row>
    <row r="32" spans="1:3" ht="15.6" x14ac:dyDescent="0.3">
      <c r="A32" s="47"/>
      <c r="B32" s="3"/>
      <c r="C32" s="3"/>
    </row>
    <row r="33" spans="1:3" ht="15.6" x14ac:dyDescent="0.3">
      <c r="A33" s="4" t="s">
        <v>125</v>
      </c>
      <c r="B33" s="3"/>
      <c r="C33" s="3"/>
    </row>
    <row r="34" spans="1:3" ht="15.6" x14ac:dyDescent="0.3">
      <c r="A34" s="48"/>
      <c r="B34" s="3"/>
      <c r="C34" s="3"/>
    </row>
    <row r="35" spans="1:3" ht="15.6" x14ac:dyDescent="0.3">
      <c r="A35" s="18" t="s">
        <v>208</v>
      </c>
      <c r="B35" s="3"/>
      <c r="C35" s="3"/>
    </row>
    <row r="36" spans="1:3" ht="15.6" x14ac:dyDescent="0.3">
      <c r="A36" s="1" t="s">
        <v>29</v>
      </c>
    </row>
    <row r="37" spans="1:3" x14ac:dyDescent="0.3">
      <c r="A37" s="32"/>
    </row>
    <row r="38" spans="1:3" x14ac:dyDescent="0.3">
      <c r="A38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workbookViewId="0"/>
  </sheetViews>
  <sheetFormatPr defaultColWidth="8.88671875" defaultRowHeight="14.4" x14ac:dyDescent="0.3"/>
  <cols>
    <col min="1" max="1" width="13.109375" bestFit="1" customWidth="1"/>
    <col min="2" max="3" width="12.6640625" bestFit="1" customWidth="1"/>
    <col min="4" max="4" width="16.5546875" bestFit="1" customWidth="1"/>
  </cols>
  <sheetData>
    <row r="1" spans="1:17" ht="23.4" x14ac:dyDescent="0.4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6" x14ac:dyDescent="0.3">
      <c r="A2" s="49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6" x14ac:dyDescent="0.3">
      <c r="A3" s="4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A4" s="50" t="s">
        <v>128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6" x14ac:dyDescent="0.3">
      <c r="A5" s="50" t="s">
        <v>129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50" t="s">
        <v>130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6" x14ac:dyDescent="0.3">
      <c r="A7" s="51" t="s">
        <v>131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.6" x14ac:dyDescent="0.3">
      <c r="A8" s="51" t="s">
        <v>132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6" x14ac:dyDescent="0.3">
      <c r="A9" s="51" t="s">
        <v>133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6" x14ac:dyDescent="0.3">
      <c r="A10" s="4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6" x14ac:dyDescent="0.3">
      <c r="A11" s="18" t="s">
        <v>134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6" x14ac:dyDescent="0.3">
      <c r="A13" s="49" t="s">
        <v>135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6" x14ac:dyDescent="0.3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6" x14ac:dyDescent="0.3">
      <c r="A15" s="49" t="s">
        <v>136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6" x14ac:dyDescent="0.3">
      <c r="A16" s="4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50" t="s">
        <v>137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50" t="s">
        <v>138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50" t="s">
        <v>139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50" t="s">
        <v>140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4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18" t="s">
        <v>141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4" t="s">
        <v>142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4" t="s">
        <v>143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6.2" thickBot="1" x14ac:dyDescent="0.35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6.2" thickBot="1" x14ac:dyDescent="0.35">
      <c r="A28" s="52"/>
      <c r="B28" s="53" t="s">
        <v>144</v>
      </c>
      <c r="C28" s="53" t="s">
        <v>145</v>
      </c>
      <c r="D28" s="53" t="s">
        <v>146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6.2" thickBot="1" x14ac:dyDescent="0.35">
      <c r="A29" s="21" t="s">
        <v>103</v>
      </c>
      <c r="B29" s="45">
        <v>30000</v>
      </c>
      <c r="C29" s="45">
        <v>50000</v>
      </c>
      <c r="D29" s="45">
        <v>70000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6.2" thickBot="1" x14ac:dyDescent="0.35">
      <c r="A30" s="21" t="s">
        <v>147</v>
      </c>
      <c r="B30" s="54" t="s">
        <v>148</v>
      </c>
      <c r="C30" s="54" t="s">
        <v>149</v>
      </c>
      <c r="D30" s="54" t="s">
        <v>150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4" t="s">
        <v>151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18" t="s">
        <v>152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</vt:lpstr>
      <vt:lpstr>Q2</vt:lpstr>
      <vt:lpstr>Q3</vt:lpstr>
      <vt:lpstr>Q4</vt:lpstr>
      <vt:lpstr>Q5</vt:lpstr>
      <vt:lpstr>Assumptions for Q5</vt:lpstr>
      <vt:lpstr>Base for Q5</vt:lpstr>
      <vt:lpstr>Q6</vt:lpstr>
      <vt:lpstr>Q7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2021-08-02T15:54:08Z</dcterms:created>
  <dcterms:modified xsi:type="dcterms:W3CDTF">2021-08-04T21:30:01Z</dcterms:modified>
</cp:coreProperties>
</file>