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Q:\Aleshia\Spring 2021 solutions\"/>
    </mc:Choice>
  </mc:AlternateContent>
  <xr:revisionPtr revIDLastSave="0" documentId="8_{FE7CD6ED-E139-428A-8DE3-5EB05ED45FA4}" xr6:coauthVersionLast="46" xr6:coauthVersionMax="46" xr10:uidLastSave="{00000000-0000-0000-0000-000000000000}"/>
  <bookViews>
    <workbookView xWindow="32115" yWindow="1425" windowWidth="19170" windowHeight="10770" xr2:uid="{00000000-000D-0000-FFFF-FFFF00000000}"/>
  </bookViews>
  <sheets>
    <sheet name="Question 5" sheetId="10" r:id="rId1"/>
    <sheet name="Question 6" sheetId="9" r:id="rId2"/>
    <sheet name="Question 9" sheetId="11" r:id="rId3"/>
  </sheets>
  <definedNames>
    <definedName name="__nAxPro_column__" localSheetId="2" hidden="1">'Question 9'!$XFD:$XFD</definedName>
    <definedName name="__nAxPro_row__" localSheetId="2" hidden="1">'Question 9'!#REF!</definedName>
    <definedName name="_xlnm.Print_Area" localSheetId="0">'Question 5'!$A$1:$AL$88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8" i="11" l="1"/>
  <c r="L27" i="11"/>
  <c r="L30" i="11" s="1"/>
  <c r="L20" i="11"/>
  <c r="P7" i="10" l="1"/>
  <c r="AB7" i="10"/>
  <c r="AC7" i="10"/>
  <c r="P9" i="10"/>
  <c r="AC10" i="10"/>
  <c r="AD15" i="10"/>
  <c r="AF15" i="10"/>
  <c r="AF16" i="10"/>
  <c r="AD17" i="10"/>
  <c r="AF17" i="10"/>
  <c r="Q18" i="10"/>
  <c r="AD18" i="10" s="1"/>
  <c r="Q23" i="10"/>
  <c r="Q27" i="10" s="1"/>
  <c r="Q25" i="10"/>
  <c r="AE26" i="10"/>
  <c r="AF26" i="10"/>
  <c r="AH26" i="10" s="1"/>
  <c r="AD28" i="10"/>
  <c r="AD29" i="10"/>
  <c r="AD31" i="10"/>
  <c r="AE31" i="10" s="1"/>
  <c r="AF31" i="10"/>
  <c r="AG31" i="10"/>
  <c r="AH31" i="10"/>
  <c r="P34" i="10"/>
  <c r="R34" i="10"/>
  <c r="P35" i="10"/>
  <c r="AC71" i="10" s="1"/>
  <c r="R35" i="10"/>
  <c r="P36" i="10"/>
  <c r="R36" i="10"/>
  <c r="P37" i="10"/>
  <c r="Q37" i="10"/>
  <c r="Q36" i="10" s="1"/>
  <c r="Q35" i="10" s="1"/>
  <c r="Q34" i="10" s="1"/>
  <c r="R37" i="10"/>
  <c r="P38" i="10"/>
  <c r="P39" i="10" s="1"/>
  <c r="P40" i="10" s="1"/>
  <c r="P41" i="10" s="1"/>
  <c r="P42" i="10" s="1"/>
  <c r="P43" i="10" s="1"/>
  <c r="Q38" i="10"/>
  <c r="R38" i="10"/>
  <c r="Q39" i="10"/>
  <c r="Q40" i="10"/>
  <c r="AD40" i="10"/>
  <c r="AD45" i="10" s="1"/>
  <c r="AD46" i="10" s="1"/>
  <c r="Q41" i="10"/>
  <c r="Q42" i="10"/>
  <c r="Q43" i="10"/>
  <c r="Q44" i="10" s="1"/>
  <c r="Q45" i="10" s="1"/>
  <c r="Q46" i="10" s="1"/>
  <c r="Q47" i="10" s="1"/>
  <c r="Q48" i="10" s="1"/>
  <c r="Q49" i="10" s="1"/>
  <c r="Q50" i="10" s="1"/>
  <c r="Q51" i="10" s="1"/>
  <c r="P44" i="10"/>
  <c r="P45" i="10" s="1"/>
  <c r="P46" i="10" s="1"/>
  <c r="P47" i="10" s="1"/>
  <c r="P48" i="10" s="1"/>
  <c r="P49" i="10" s="1"/>
  <c r="P50" i="10" s="1"/>
  <c r="P51" i="10"/>
  <c r="AD58" i="10"/>
  <c r="AD59" i="10" s="1"/>
  <c r="Q59" i="10"/>
  <c r="Q64" i="10" s="1"/>
  <c r="Q65" i="10" s="1"/>
  <c r="AD60" i="10"/>
  <c r="AD66" i="10"/>
  <c r="AC70" i="10"/>
  <c r="AD70" i="10"/>
  <c r="AD71" i="10"/>
  <c r="AC72" i="10"/>
  <c r="AD72" i="10"/>
  <c r="AC73" i="10"/>
  <c r="AD73" i="10"/>
  <c r="AD75" i="10"/>
  <c r="Q76" i="10"/>
  <c r="Q77" i="10" s="1"/>
  <c r="Q78" i="10" s="1"/>
  <c r="AD79" i="10"/>
  <c r="AD84" i="10" s="1"/>
  <c r="AD85" i="10" s="1"/>
  <c r="AD74" i="10" l="1"/>
  <c r="AD65" i="10" s="1"/>
  <c r="AD78" i="10" s="1"/>
  <c r="AD80" i="10" s="1"/>
  <c r="AD81" i="10" s="1"/>
  <c r="AD87" i="10" s="1"/>
  <c r="R39" i="10"/>
  <c r="R40" i="10" s="1"/>
  <c r="R41" i="10" s="1"/>
  <c r="R42" i="10" s="1"/>
  <c r="R43" i="10" s="1"/>
  <c r="R44" i="10" s="1"/>
  <c r="R45" i="10" s="1"/>
  <c r="R46" i="10" s="1"/>
  <c r="AF18" i="10"/>
  <c r="AE29" i="10"/>
  <c r="AF29" i="10" s="1"/>
  <c r="AC74" i="10"/>
  <c r="R47" i="10" l="1"/>
  <c r="R48" i="10" s="1"/>
  <c r="R49" i="10" s="1"/>
  <c r="R50" i="10" s="1"/>
  <c r="AG29" i="10"/>
  <c r="AH29" i="10" s="1"/>
  <c r="Q28" i="10" l="1"/>
  <c r="Q58" i="10" l="1"/>
  <c r="AD39" i="10"/>
  <c r="AD52" i="10" l="1"/>
  <c r="AD54" i="10" s="1"/>
  <c r="AD55" i="10" s="1"/>
  <c r="AD49" i="10" s="1"/>
  <c r="AD41" i="10"/>
  <c r="AD42" i="10" s="1"/>
  <c r="AD36" i="10" s="1"/>
  <c r="AF25" i="10" s="1"/>
  <c r="Q60" i="10"/>
  <c r="Q61" i="10" s="1"/>
  <c r="Q55" i="10" s="1"/>
  <c r="Q70" i="10"/>
  <c r="Q72" i="10" s="1"/>
  <c r="Q73" i="10" s="1"/>
  <c r="Q67" i="10" s="1"/>
  <c r="Q13" i="10" s="1"/>
  <c r="AD13" i="10" l="1"/>
  <c r="Q20" i="10"/>
  <c r="AD25" i="10"/>
  <c r="Q14" i="10"/>
  <c r="AD14" i="10" s="1"/>
  <c r="Q19" i="10"/>
  <c r="AD19" i="10" s="1"/>
  <c r="AF27" i="10"/>
  <c r="AG25" i="10"/>
  <c r="AG27" i="10" s="1"/>
  <c r="AH25" i="10" l="1"/>
  <c r="AE14" i="10" s="1"/>
  <c r="AE25" i="10"/>
  <c r="AE27" i="10" s="1"/>
  <c r="AD27" i="10"/>
  <c r="AD30" i="10" s="1"/>
  <c r="AH27" i="10"/>
  <c r="AF19" i="10"/>
  <c r="AE28" i="10"/>
  <c r="AD21" i="10"/>
  <c r="AF13" i="10"/>
  <c r="AF28" i="10" l="1"/>
  <c r="AE30" i="10"/>
  <c r="AF14" i="10"/>
  <c r="AG28" i="10" l="1"/>
  <c r="AG30" i="10" s="1"/>
  <c r="AE20" i="10" s="1"/>
  <c r="AF30" i="10"/>
  <c r="AF20" i="10" l="1"/>
  <c r="AF21" i="10" s="1"/>
  <c r="AE21" i="10"/>
  <c r="AH28" i="10"/>
  <c r="AH30" i="10" s="1"/>
  <c r="N31" i="9" l="1"/>
  <c r="N23" i="9"/>
  <c r="N44" i="9" s="1"/>
  <c r="N37" i="9" l="1"/>
</calcChain>
</file>

<file path=xl/sharedStrings.xml><?xml version="1.0" encoding="utf-8"?>
<sst xmlns="http://schemas.openxmlformats.org/spreadsheetml/2006/main" count="225" uniqueCount="158">
  <si>
    <t>Excerpt from question:</t>
  </si>
  <si>
    <t>Show all work.</t>
  </si>
  <si>
    <t>Exam RETDAUC:  Spring 2021</t>
  </si>
  <si>
    <t>Design and Accounting Exam – Canada &amp; US</t>
  </si>
  <si>
    <t>Question 6</t>
  </si>
  <si>
    <t>Provide answer here for part (a).  Show and label all work.</t>
  </si>
  <si>
    <t xml:space="preserve">Company ABC sponsors a defined benefit pension plan. The assets of the pension plan </t>
  </si>
  <si>
    <t xml:space="preserve">(a)  </t>
  </si>
  <si>
    <r>
      <t>(2</t>
    </r>
    <r>
      <rPr>
        <i/>
        <sz val="12"/>
        <color theme="1"/>
        <rFont val="Times New Roman"/>
        <family val="1"/>
      </rPr>
      <t xml:space="preserve"> points</t>
    </r>
    <r>
      <rPr>
        <sz val="12"/>
        <color theme="1"/>
        <rFont val="Times New Roman"/>
        <family val="1"/>
      </rPr>
      <t>)  Calculate the following for the pension plan portfolio:</t>
    </r>
  </si>
  <si>
    <t>are invested according to the following investment strategy:</t>
  </si>
  <si>
    <t>(i) Arithmetic return</t>
  </si>
  <si>
    <t>Asset Class</t>
  </si>
  <si>
    <t>Portfolio Allocation</t>
  </si>
  <si>
    <t>Arithmetic Return</t>
  </si>
  <si>
    <t>Geometric Return</t>
  </si>
  <si>
    <t>Standard Deviation</t>
  </si>
  <si>
    <t>Bond</t>
  </si>
  <si>
    <t>Equity</t>
  </si>
  <si>
    <t>(i) Arithmetic Return</t>
  </si>
  <si>
    <t>= r(b) * w(b) + r(e) * w(e)</t>
  </si>
  <si>
    <t>= 3.2% * 0.4 + 7.7% * 0.6</t>
  </si>
  <si>
    <t>= 5.9%</t>
  </si>
  <si>
    <t>(i) Geometric Return</t>
  </si>
  <si>
    <t>= 11.55%</t>
  </si>
  <si>
    <t>Expected Return = e ^ (ln(1+AR) – ln(1+(sd^2)/((1+AR)^2))/2)-1</t>
  </si>
  <si>
    <t>= 5.27%</t>
  </si>
  <si>
    <t>= (AR – (sd^2)/2)</t>
  </si>
  <si>
    <t>= 5.23%</t>
  </si>
  <si>
    <t>The correlation between bonds and equities is</t>
  </si>
  <si>
    <t>Formula =</t>
  </si>
  <si>
    <t>= e ^ (ln(1.059)-ln(1+(.1155^2)/(1.059^2))/2-1</t>
  </si>
  <si>
    <t>= (.059 – (.1155^2)/2)</t>
  </si>
  <si>
    <t>(ii) Geometric return</t>
  </si>
  <si>
    <t>= [.055^2 * .40^2 + .18^2 * .6^2 + 2*.4*.6*.055*.18*.25]^.5</t>
  </si>
  <si>
    <t>Standard deviation = [ sd(b)^2 * w(b)^2 + sd(e)^2 * w(e)^2 + 2*w(b)*w(e)*sd(b)*sd(e)*correlation(b,e)]^.5</t>
  </si>
  <si>
    <t>Full credit also provided if candidate calculated the expected geometric return using the approximation method.</t>
  </si>
  <si>
    <t>SRP ABO at 4/1/2021</t>
  </si>
  <si>
    <t>Limited ABO at 4/1/2021</t>
  </si>
  <si>
    <t>Limited benefit</t>
  </si>
  <si>
    <t>Limited ABO:</t>
  </si>
  <si>
    <t>Unlimited ABO at 4/1/2021</t>
  </si>
  <si>
    <t>Unlimited benefit</t>
  </si>
  <si>
    <t>Benefit Service at AA</t>
  </si>
  <si>
    <t>Best Average Earnings at 4/31/2021</t>
  </si>
  <si>
    <t>Limited SC at 1/1/2021</t>
  </si>
  <si>
    <t>ABO Post Curtailment</t>
  </si>
  <si>
    <t>Increase in Limited Benefit</t>
  </si>
  <si>
    <t>Service Increase</t>
  </si>
  <si>
    <t>2021 (to date)</t>
  </si>
  <si>
    <t>Limited SC:</t>
  </si>
  <si>
    <t>Unlimited SC at 1/1/2021</t>
  </si>
  <si>
    <t>Increase in Unlimited Benefit</t>
  </si>
  <si>
    <t>Best Average Earnings at RA</t>
  </si>
  <si>
    <t>Earnings</t>
  </si>
  <si>
    <t>Year</t>
  </si>
  <si>
    <t>Unlimited SC:</t>
  </si>
  <si>
    <t>Earnings History:</t>
  </si>
  <si>
    <t>SRP Service Cost</t>
  </si>
  <si>
    <t>Benefit Service</t>
  </si>
  <si>
    <t>Best Average Earnings</t>
  </si>
  <si>
    <t>Limited PBO at 1/1/2021</t>
  </si>
  <si>
    <t>Accrued Benefit at 3/31/2021</t>
  </si>
  <si>
    <t>Limited PBO:</t>
  </si>
  <si>
    <t>Remeasured Post Plan Freeze</t>
  </si>
  <si>
    <t>Unlimited PBO at 1/1/2021</t>
  </si>
  <si>
    <t>Unlimited PBO:</t>
  </si>
  <si>
    <t>SRP PBO:</t>
  </si>
  <si>
    <t>The response to this part is to be provided in the Excel spreadsheet.</t>
  </si>
  <si>
    <t>Projected Benefit Obligation (PBO) calculations:</t>
  </si>
  <si>
    <r>
      <t>(</t>
    </r>
    <r>
      <rPr>
        <i/>
        <sz val="12"/>
        <color theme="1"/>
        <rFont val="Times New Roman"/>
        <family val="1"/>
      </rPr>
      <t>8 points</t>
    </r>
    <r>
      <rPr>
        <sz val="12"/>
        <color theme="1"/>
        <rFont val="Times New Roman"/>
        <family val="1"/>
      </rPr>
      <t xml:space="preserve">)  Calculate the revised 2021 Net Periodic Pension Cost for the SRP under ASC 715 reflecting the plan freeze.  
</t>
    </r>
  </si>
  <si>
    <t>(b)</t>
  </si>
  <si>
    <t>SRP Service Cost at 1/1/2021</t>
  </si>
  <si>
    <t>All other assumptions remain the same.</t>
  </si>
  <si>
    <t>Earnings through March 31, 2021</t>
  </si>
  <si>
    <t>Age 62 Annuity Factor at 3.25%</t>
  </si>
  <si>
    <t>Discount Rate</t>
  </si>
  <si>
    <t>Limited:</t>
  </si>
  <si>
    <t>SRP ASC 715 assumptions as of March 31, 2021:</t>
  </si>
  <si>
    <t>Unlimited at 1/1/2021</t>
  </si>
  <si>
    <t xml:space="preserve">NOC has decided to freeze benefit accruals in both the National Oil Pension Plan and the SRP effective March 31, 2021.  </t>
  </si>
  <si>
    <t>Unlimited:</t>
  </si>
  <si>
    <t>Remeasured SRP PBO at 1/1/2021:</t>
  </si>
  <si>
    <r>
      <t>(</t>
    </r>
    <r>
      <rPr>
        <i/>
        <sz val="12"/>
        <color theme="1"/>
        <rFont val="Times New Roman"/>
        <family val="1"/>
      </rPr>
      <t>7 points</t>
    </r>
    <r>
      <rPr>
        <sz val="12"/>
        <color theme="1"/>
        <rFont val="Times New Roman"/>
        <family val="1"/>
      </rPr>
      <t>)  Calculate the 2021 Net Periodic Pension Cost for the SRP under ASC 715.</t>
    </r>
  </si>
  <si>
    <t>Age</t>
  </si>
  <si>
    <t>Annual PSC Amortization</t>
  </si>
  <si>
    <t>Unamortized (Gain)/Loss</t>
  </si>
  <si>
    <t>(Accrued)/Prepaid</t>
  </si>
  <si>
    <t>2021 Assets</t>
  </si>
  <si>
    <t>Unamortized Prior Service Credit (PSC)</t>
  </si>
  <si>
    <t>Unrecognized Prior Service Cost</t>
  </si>
  <si>
    <t xml:space="preserve">2021 Expected Benefit Payments </t>
  </si>
  <si>
    <t>Unamortized Transition Obligation</t>
  </si>
  <si>
    <t>Unrecognized (Gain)/Loss</t>
  </si>
  <si>
    <t>Funded Status</t>
  </si>
  <si>
    <t>Excerpt of SRP ASC 715 results as of December 31, 2020:</t>
  </si>
  <si>
    <t>Assets</t>
  </si>
  <si>
    <t>Assumed Retirement Age (RA)</t>
  </si>
  <si>
    <t>PBO</t>
  </si>
  <si>
    <t>Attained Age (AA)</t>
  </si>
  <si>
    <t>Age 62 Annuity Factor at 3.75%</t>
  </si>
  <si>
    <t>Impact</t>
  </si>
  <si>
    <t>Val Date</t>
  </si>
  <si>
    <t>Post Curtailment</t>
  </si>
  <si>
    <t>Curtailment</t>
  </si>
  <si>
    <t>Remeasured</t>
  </si>
  <si>
    <t>Expected</t>
  </si>
  <si>
    <t>Hire Age</t>
  </si>
  <si>
    <t>Salary Scale</t>
  </si>
  <si>
    <t>Participant Data:</t>
  </si>
  <si>
    <t>None</t>
  </si>
  <si>
    <t>Pre-retirement decrements</t>
  </si>
  <si>
    <t>2021 Defined Benefit Cost</t>
  </si>
  <si>
    <t>Retirement age</t>
  </si>
  <si>
    <t>2021 Net Periodic Pension Cost</t>
  </si>
  <si>
    <t>=&gt; (Gain)/Loss</t>
  </si>
  <si>
    <t>=&gt; Prior Service Cost</t>
  </si>
  <si>
    <t>SRP assumptions as of December 31, 2020 under U.S. Accounting Standard ASC 715 (ASC 715):</t>
  </si>
  <si>
    <t>=&gt; Transition Obligation</t>
  </si>
  <si>
    <t>Amortizations</t>
  </si>
  <si>
    <t>Expected Return on Assets</t>
  </si>
  <si>
    <t>Interest Cost</t>
  </si>
  <si>
    <t>Service Cost</t>
  </si>
  <si>
    <t>Total</t>
  </si>
  <si>
    <t>4/1/21 - 12/31/2021</t>
  </si>
  <si>
    <t>1/1/21 - 3/31/21</t>
  </si>
  <si>
    <t>Earnings History</t>
  </si>
  <si>
    <t>Date of Hire</t>
  </si>
  <si>
    <t>Date of Birth</t>
  </si>
  <si>
    <t>CEO Employee Data:</t>
  </si>
  <si>
    <t>Provide answer here.  Show and label all work.</t>
  </si>
  <si>
    <t xml:space="preserve">NOC sponsors an unfunded Supplemental Retirement Plan (SRP) for its CEO.  The SRP restores the annuity benefit not payable from the National Oil Pension Plan.  </t>
  </si>
  <si>
    <t>Question 5</t>
  </si>
  <si>
    <t>Design and Accounting Exam – U.S.</t>
  </si>
  <si>
    <t>Exam RETDAU:  Spring 2021</t>
  </si>
  <si>
    <t>Question 9</t>
  </si>
  <si>
    <t>Provide answer here for part (c).  Show and label all work.</t>
  </si>
  <si>
    <t>Part (c)</t>
  </si>
  <si>
    <t xml:space="preserve">(c)  </t>
  </si>
  <si>
    <r>
      <t>(2</t>
    </r>
    <r>
      <rPr>
        <i/>
        <sz val="12"/>
        <color theme="1"/>
        <rFont val="Times New Roman"/>
        <family val="1"/>
      </rPr>
      <t xml:space="preserve"> points</t>
    </r>
    <r>
      <rPr>
        <sz val="12"/>
        <color theme="1"/>
        <rFont val="Times New Roman"/>
        <family val="1"/>
      </rPr>
      <t>)  Derive the credibility factors to be applied to the standard mortality table for the following:</t>
    </r>
  </si>
  <si>
    <t xml:space="preserve">You are provided the following data from Plan A's 2017-2020 annuitant experience study.  </t>
  </si>
  <si>
    <t>(i) Males</t>
  </si>
  <si>
    <t>Male</t>
  </si>
  <si>
    <t>Female</t>
  </si>
  <si>
    <t>(ii) Females</t>
  </si>
  <si>
    <t>Actual deaths during period</t>
  </si>
  <si>
    <t>Expected deaths during period, based on standard mortality table</t>
  </si>
  <si>
    <t>Number of deaths on a counts-weighted basis for full credibility</t>
  </si>
  <si>
    <t>Actual deaths (1650) &gt; 1537.  Therefore fully credible</t>
  </si>
  <si>
    <t>Formula:</t>
  </si>
  <si>
    <t>=actual deaths / expected deaths since fully credible</t>
  </si>
  <si>
    <t>Factor:</t>
  </si>
  <si>
    <t>Actual deaths (201) &lt; 1537.  Therefore not fully credible (partial credibility only)</t>
  </si>
  <si>
    <t>Z</t>
  </si>
  <si>
    <t>(square root of actual deaths over fully credible amount)</t>
  </si>
  <si>
    <t>f</t>
  </si>
  <si>
    <t>(actual deaths over expected deaths)</t>
  </si>
  <si>
    <t>=(Z * f) + (1-Z)</t>
  </si>
  <si>
    <t>Curtailment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</si>
</sst>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0.000%"/>
    <numFmt numFmtId="167" formatCode="_(&quot;$&quot;* #,##0_);_(&quot;$&quot;* \(#,##0\);_(&quot;$&quot;* &quot;-&quot;??_);_(@_)"/>
    <numFmt numFmtId="168" formatCode="_(* #,##0_);_(* \(#,##0\);_(* &quot;-&quot;??_);_(@_)"/>
    <numFmt numFmtId="169" formatCode="&quot;$&quot;#,##0.00"/>
    <numFmt numFmtId="170" formatCode="0.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u val="singleAccounting"/>
      <sz val="12"/>
      <color theme="1"/>
      <name val="Times New Roman"/>
      <family val="1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u/>
      <sz val="10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i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 applyProtection="1">
      <protection locked="0"/>
    </xf>
    <xf numFmtId="0" fontId="1" fillId="3" borderId="0" xfId="0" applyFont="1" applyFill="1" applyProtection="1"/>
    <xf numFmtId="0" fontId="4" fillId="3" borderId="0" xfId="0" applyFont="1" applyFill="1" applyProtection="1"/>
    <xf numFmtId="0" fontId="3" fillId="3" borderId="0" xfId="0" applyFont="1" applyFill="1" applyProtection="1"/>
    <xf numFmtId="10" fontId="1" fillId="3" borderId="0" xfId="0" applyNumberFormat="1" applyFont="1" applyFill="1" applyProtection="1"/>
    <xf numFmtId="0" fontId="1" fillId="3" borderId="0" xfId="0" applyFont="1" applyFill="1" applyAlignment="1" applyProtection="1">
      <alignment vertical="top" wrapText="1"/>
    </xf>
    <xf numFmtId="0" fontId="1" fillId="2" borderId="0" xfId="0" applyFont="1" applyFill="1" applyProtection="1">
      <protection locked="0"/>
    </xf>
    <xf numFmtId="0" fontId="1" fillId="3" borderId="0" xfId="0" applyFont="1" applyFill="1" applyAlignment="1" applyProtection="1">
      <alignment horizontal="left" vertical="center"/>
    </xf>
    <xf numFmtId="0" fontId="1" fillId="3" borderId="0" xfId="0" applyFont="1" applyFill="1" applyAlignment="1" applyProtection="1">
      <alignment horizontal="left" vertical="center" indent="10"/>
    </xf>
    <xf numFmtId="0" fontId="1" fillId="3" borderId="0" xfId="0" applyFont="1" applyFill="1" applyAlignment="1" applyProtection="1">
      <alignment horizontal="left" indent="3"/>
    </xf>
    <xf numFmtId="9" fontId="1" fillId="3" borderId="0" xfId="0" applyNumberFormat="1" applyFont="1" applyFill="1" applyProtection="1"/>
    <xf numFmtId="0" fontId="1" fillId="3" borderId="0" xfId="0" applyFont="1" applyFill="1" applyAlignment="1" applyProtection="1">
      <alignment horizontal="left" vertical="top"/>
    </xf>
    <xf numFmtId="0" fontId="1" fillId="3" borderId="0" xfId="0" applyFont="1" applyFill="1" applyAlignment="1" applyProtection="1">
      <alignment horizontal="right"/>
    </xf>
    <xf numFmtId="164" fontId="1" fillId="0" borderId="0" xfId="0" applyNumberFormat="1" applyFont="1" applyProtection="1">
      <protection locked="0"/>
    </xf>
    <xf numFmtId="10" fontId="1" fillId="0" borderId="0" xfId="0" applyNumberFormat="1" applyFont="1" applyProtection="1">
      <protection locked="0"/>
    </xf>
    <xf numFmtId="43" fontId="1" fillId="0" borderId="0" xfId="1" applyFont="1" applyProtection="1">
      <protection locked="0"/>
    </xf>
    <xf numFmtId="43" fontId="6" fillId="0" borderId="0" xfId="1" applyFont="1" applyProtection="1">
      <protection locked="0"/>
    </xf>
    <xf numFmtId="43" fontId="1" fillId="0" borderId="0" xfId="0" applyNumberFormat="1" applyFont="1" applyProtection="1">
      <protection locked="0"/>
    </xf>
    <xf numFmtId="0" fontId="1" fillId="0" borderId="0" xfId="0" quotePrefix="1" applyFont="1" applyProtection="1">
      <protection locked="0"/>
    </xf>
    <xf numFmtId="0" fontId="1" fillId="0" borderId="0" xfId="0" applyFont="1" applyAlignment="1" applyProtection="1">
      <alignment horizontal="right" wrapText="1"/>
      <protection locked="0"/>
    </xf>
    <xf numFmtId="0" fontId="2" fillId="3" borderId="0" xfId="0" applyFont="1" applyFill="1"/>
    <xf numFmtId="0" fontId="1" fillId="3" borderId="0" xfId="0" applyFont="1" applyFill="1"/>
    <xf numFmtId="0" fontId="1" fillId="2" borderId="0" xfId="0" applyFont="1" applyFill="1"/>
    <xf numFmtId="0" fontId="1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indent="4"/>
      <protection locked="0"/>
    </xf>
    <xf numFmtId="0" fontId="1" fillId="3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 applyProtection="1">
      <alignment vertical="center" wrapText="1"/>
    </xf>
    <xf numFmtId="10" fontId="1" fillId="3" borderId="0" xfId="0" applyNumberFormat="1" applyFont="1" applyFill="1" applyBorder="1" applyAlignment="1" applyProtection="1">
      <alignment vertical="center" wrapText="1"/>
    </xf>
    <xf numFmtId="9" fontId="1" fillId="3" borderId="0" xfId="0" applyNumberFormat="1" applyFont="1" applyFill="1" applyBorder="1" applyProtection="1"/>
    <xf numFmtId="0" fontId="1" fillId="3" borderId="0" xfId="0" applyFont="1" applyFill="1" applyBorder="1" applyProtection="1"/>
    <xf numFmtId="0" fontId="2" fillId="0" borderId="0" xfId="0" quotePrefix="1" applyFont="1" applyAlignment="1" applyProtection="1">
      <alignment horizontal="left" vertical="center"/>
      <protection locked="0"/>
    </xf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vertical="center"/>
    </xf>
    <xf numFmtId="166" fontId="1" fillId="0" borderId="0" xfId="0" applyNumberFormat="1" applyFont="1" applyProtection="1">
      <protection locked="0"/>
    </xf>
    <xf numFmtId="10" fontId="1" fillId="0" borderId="0" xfId="2" applyNumberFormat="1" applyFont="1" applyProtection="1">
      <protection locked="0"/>
    </xf>
    <xf numFmtId="0" fontId="1" fillId="0" borderId="0" xfId="0" quotePrefix="1" applyFont="1"/>
    <xf numFmtId="0" fontId="1" fillId="3" borderId="0" xfId="0" applyFont="1" applyFill="1" applyAlignment="1" applyProtection="1">
      <alignment horizontal="left" vertical="top" wrapText="1"/>
    </xf>
    <xf numFmtId="0" fontId="1" fillId="2" borderId="0" xfId="0" applyFont="1" applyFill="1" applyProtection="1"/>
    <xf numFmtId="9" fontId="1" fillId="3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Protection="1">
      <protection locked="0"/>
    </xf>
    <xf numFmtId="166" fontId="1" fillId="4" borderId="0" xfId="0" applyNumberFormat="1" applyFont="1" applyFill="1" applyProtection="1">
      <protection locked="0"/>
    </xf>
    <xf numFmtId="10" fontId="1" fillId="4" borderId="0" xfId="2" applyNumberFormat="1" applyFont="1" applyFill="1" applyProtection="1"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/>
    <xf numFmtId="167" fontId="0" fillId="0" borderId="0" xfId="3" applyNumberFormat="1" applyFont="1"/>
    <xf numFmtId="167" fontId="8" fillId="0" borderId="0" xfId="3" applyNumberFormat="1" applyFont="1"/>
    <xf numFmtId="43" fontId="0" fillId="0" borderId="0" xfId="0" applyNumberFormat="1"/>
    <xf numFmtId="43" fontId="0" fillId="0" borderId="0" xfId="1" applyFont="1"/>
    <xf numFmtId="167" fontId="0" fillId="0" borderId="0" xfId="0" applyNumberFormat="1"/>
    <xf numFmtId="168" fontId="0" fillId="0" borderId="0" xfId="1" applyNumberFormat="1" applyFont="1"/>
    <xf numFmtId="168" fontId="0" fillId="0" borderId="0" xfId="0" applyNumberFormat="1"/>
    <xf numFmtId="13" fontId="0" fillId="0" borderId="0" xfId="1" applyNumberFormat="1" applyFont="1"/>
    <xf numFmtId="0" fontId="0" fillId="0" borderId="0" xfId="0" applyAlignment="1">
      <alignment horizontal="right"/>
    </xf>
    <xf numFmtId="16" fontId="0" fillId="0" borderId="0" xfId="0" applyNumberFormat="1" applyAlignment="1">
      <alignment wrapText="1"/>
    </xf>
    <xf numFmtId="16" fontId="0" fillId="0" borderId="0" xfId="0" quotePrefix="1" applyNumberFormat="1"/>
    <xf numFmtId="44" fontId="0" fillId="0" borderId="0" xfId="3" applyFont="1"/>
    <xf numFmtId="14" fontId="0" fillId="0" borderId="0" xfId="0" applyNumberForma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/>
    <xf numFmtId="43" fontId="0" fillId="0" borderId="0" xfId="1" applyFont="1" applyFill="1"/>
    <xf numFmtId="0" fontId="9" fillId="0" borderId="0" xfId="0" applyFont="1"/>
    <xf numFmtId="167" fontId="9" fillId="0" borderId="0" xfId="3" applyNumberFormat="1" applyFont="1"/>
    <xf numFmtId="37" fontId="9" fillId="0" borderId="0" xfId="3" applyNumberFormat="1" applyFont="1"/>
    <xf numFmtId="168" fontId="9" fillId="0" borderId="0" xfId="3" applyNumberFormat="1" applyFont="1"/>
    <xf numFmtId="0" fontId="10" fillId="0" borderId="0" xfId="0" applyFont="1"/>
    <xf numFmtId="0" fontId="11" fillId="0" borderId="0" xfId="0" applyFont="1"/>
    <xf numFmtId="168" fontId="12" fillId="0" borderId="0" xfId="3" applyNumberFormat="1" applyFont="1"/>
    <xf numFmtId="0" fontId="12" fillId="0" borderId="0" xfId="0" applyFont="1"/>
    <xf numFmtId="0" fontId="13" fillId="0" borderId="0" xfId="0" applyFont="1"/>
    <xf numFmtId="164" fontId="9" fillId="0" borderId="0" xfId="0" applyNumberFormat="1" applyFont="1"/>
    <xf numFmtId="0" fontId="9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168" fontId="9" fillId="0" borderId="0" xfId="0" applyNumberFormat="1" applyFont="1"/>
    <xf numFmtId="169" fontId="9" fillId="0" borderId="0" xfId="0" applyNumberFormat="1" applyFont="1"/>
    <xf numFmtId="168" fontId="12" fillId="0" borderId="0" xfId="0" applyNumberFormat="1" applyFont="1"/>
    <xf numFmtId="0" fontId="4" fillId="3" borderId="0" xfId="0" applyFont="1" applyFill="1" applyAlignment="1">
      <alignment horizontal="left" vertical="top"/>
    </xf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horizontal="left" vertical="top"/>
    </xf>
    <xf numFmtId="0" fontId="16" fillId="0" borderId="0" xfId="0" applyFont="1"/>
    <xf numFmtId="167" fontId="13" fillId="0" borderId="0" xfId="3" applyNumberFormat="1" applyFont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37" fontId="13" fillId="0" borderId="0" xfId="3" applyNumberFormat="1" applyFont="1"/>
    <xf numFmtId="0" fontId="1" fillId="3" borderId="1" xfId="0" applyFont="1" applyFill="1" applyBorder="1" applyAlignment="1">
      <alignment horizontal="left"/>
    </xf>
    <xf numFmtId="10" fontId="9" fillId="0" borderId="0" xfId="0" applyNumberFormat="1" applyFont="1"/>
    <xf numFmtId="168" fontId="10" fillId="0" borderId="0" xfId="0" applyNumberFormat="1" applyFont="1"/>
    <xf numFmtId="0" fontId="17" fillId="0" borderId="0" xfId="0" applyFont="1"/>
    <xf numFmtId="168" fontId="9" fillId="0" borderId="2" xfId="0" applyNumberFormat="1" applyFont="1" applyBorder="1"/>
    <xf numFmtId="6" fontId="10" fillId="0" borderId="2" xfId="0" applyNumberFormat="1" applyFont="1" applyBorder="1"/>
    <xf numFmtId="6" fontId="9" fillId="0" borderId="2" xfId="0" applyNumberFormat="1" applyFont="1" applyBorder="1"/>
    <xf numFmtId="6" fontId="9" fillId="0" borderId="0" xfId="0" applyNumberFormat="1" applyFont="1"/>
    <xf numFmtId="0" fontId="1" fillId="3" borderId="0" xfId="0" applyFont="1" applyFill="1" applyAlignment="1">
      <alignment horizontal="left"/>
    </xf>
    <xf numFmtId="0" fontId="10" fillId="0" borderId="2" xfId="0" applyFont="1" applyBorder="1"/>
    <xf numFmtId="0" fontId="9" fillId="0" borderId="2" xfId="0" applyFont="1" applyBorder="1"/>
    <xf numFmtId="14" fontId="9" fillId="0" borderId="2" xfId="0" applyNumberFormat="1" applyFont="1" applyBorder="1"/>
    <xf numFmtId="0" fontId="10" fillId="0" borderId="2" xfId="0" applyFont="1" applyBorder="1" applyAlignment="1">
      <alignment horizontal="center"/>
    </xf>
    <xf numFmtId="14" fontId="9" fillId="0" borderId="0" xfId="0" applyNumberFormat="1" applyFont="1"/>
    <xf numFmtId="0" fontId="10" fillId="0" borderId="0" xfId="0" applyFont="1" applyAlignment="1">
      <alignment horizontal="center"/>
    </xf>
    <xf numFmtId="0" fontId="1" fillId="3" borderId="0" xfId="0" applyFont="1" applyFill="1" applyAlignment="1">
      <alignment horizontal="left" indent="3"/>
    </xf>
    <xf numFmtId="168" fontId="9" fillId="0" borderId="5" xfId="0" applyNumberFormat="1" applyFont="1" applyBorder="1"/>
    <xf numFmtId="168" fontId="9" fillId="0" borderId="6" xfId="0" applyNumberFormat="1" applyFont="1" applyBorder="1"/>
    <xf numFmtId="0" fontId="1" fillId="3" borderId="0" xfId="0" applyFont="1" applyFill="1" applyAlignment="1">
      <alignment horizontal="left" vertical="center" wrapText="1"/>
    </xf>
    <xf numFmtId="0" fontId="9" fillId="0" borderId="7" xfId="0" applyFont="1" applyBorder="1"/>
    <xf numFmtId="0" fontId="9" fillId="0" borderId="0" xfId="0" quotePrefix="1" applyFont="1"/>
    <xf numFmtId="0" fontId="1" fillId="3" borderId="0" xfId="0" applyFont="1" applyFill="1" applyAlignment="1">
      <alignment horizontal="left" vertical="center"/>
    </xf>
    <xf numFmtId="167" fontId="1" fillId="3" borderId="6" xfId="3" applyNumberFormat="1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167" fontId="1" fillId="3" borderId="7" xfId="3" applyNumberFormat="1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168" fontId="9" fillId="0" borderId="7" xfId="0" applyNumberFormat="1" applyFont="1" applyBorder="1"/>
    <xf numFmtId="0" fontId="9" fillId="0" borderId="2" xfId="0" applyFont="1" applyBorder="1" applyAlignment="1">
      <alignment horizontal="center"/>
    </xf>
    <xf numFmtId="0" fontId="9" fillId="0" borderId="2" xfId="0" quotePrefix="1" applyFont="1" applyBorder="1" applyAlignment="1">
      <alignment horizontal="center"/>
    </xf>
    <xf numFmtId="167" fontId="1" fillId="3" borderId="5" xfId="3" applyNumberFormat="1" applyFont="1" applyFill="1" applyBorder="1"/>
    <xf numFmtId="0" fontId="1" fillId="3" borderId="12" xfId="0" applyFont="1" applyFill="1" applyBorder="1"/>
    <xf numFmtId="0" fontId="1" fillId="3" borderId="13" xfId="0" applyFont="1" applyFill="1" applyBorder="1"/>
    <xf numFmtId="0" fontId="1" fillId="3" borderId="0" xfId="0" applyFont="1" applyFill="1" applyAlignment="1">
      <alignment vertical="top" wrapText="1"/>
    </xf>
    <xf numFmtId="0" fontId="4" fillId="3" borderId="0" xfId="0" applyFont="1" applyFill="1"/>
    <xf numFmtId="0" fontId="3" fillId="3" borderId="0" xfId="0" applyFont="1" applyFill="1"/>
    <xf numFmtId="10" fontId="1" fillId="3" borderId="0" xfId="0" applyNumberFormat="1" applyFont="1" applyFill="1"/>
    <xf numFmtId="0" fontId="1" fillId="3" borderId="0" xfId="0" applyFont="1" applyFill="1" applyAlignment="1">
      <alignment horizontal="left" vertical="center" indent="10"/>
    </xf>
    <xf numFmtId="9" fontId="1" fillId="3" borderId="0" xfId="0" applyNumberFormat="1" applyFont="1" applyFill="1"/>
    <xf numFmtId="0" fontId="1" fillId="3" borderId="14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horizontal="right" vertical="center" wrapText="1"/>
    </xf>
    <xf numFmtId="0" fontId="1" fillId="3" borderId="16" xfId="0" applyFont="1" applyFill="1" applyBorder="1" applyAlignment="1">
      <alignment horizontal="right" vertical="center" wrapText="1"/>
    </xf>
    <xf numFmtId="0" fontId="1" fillId="3" borderId="17" xfId="0" applyFont="1" applyFill="1" applyBorder="1" applyAlignment="1">
      <alignment vertical="center" wrapText="1"/>
    </xf>
    <xf numFmtId="3" fontId="1" fillId="3" borderId="18" xfId="0" applyNumberFormat="1" applyFont="1" applyFill="1" applyBorder="1" applyAlignment="1">
      <alignment horizontal="right" vertical="center" wrapText="1"/>
    </xf>
    <xf numFmtId="0" fontId="1" fillId="3" borderId="19" xfId="0" applyFont="1" applyFill="1" applyBorder="1" applyAlignment="1">
      <alignment horizontal="right" vertical="center" wrapText="1"/>
    </xf>
    <xf numFmtId="10" fontId="1" fillId="3" borderId="0" xfId="0" applyNumberFormat="1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3" fontId="1" fillId="3" borderId="15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right"/>
    </xf>
    <xf numFmtId="0" fontId="3" fillId="0" borderId="0" xfId="0" applyFont="1" applyProtection="1">
      <protection locked="0"/>
    </xf>
    <xf numFmtId="0" fontId="2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center" inden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3" borderId="0" xfId="0" applyFont="1" applyFill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10" fontId="1" fillId="3" borderId="1" xfId="2" applyNumberFormat="1" applyFont="1" applyFill="1" applyBorder="1" applyAlignment="1">
      <alignment horizontal="center"/>
    </xf>
    <xf numFmtId="170" fontId="1" fillId="3" borderId="1" xfId="2" applyNumberFormat="1" applyFont="1" applyFill="1" applyBorder="1" applyAlignment="1">
      <alignment horizontal="center"/>
    </xf>
    <xf numFmtId="2" fontId="1" fillId="3" borderId="1" xfId="2" applyNumberFormat="1" applyFont="1" applyFill="1" applyBorder="1" applyAlignment="1">
      <alignment horizontal="center"/>
    </xf>
    <xf numFmtId="164" fontId="1" fillId="3" borderId="1" xfId="2" applyNumberFormat="1" applyFont="1" applyFill="1" applyBorder="1" applyAlignment="1">
      <alignment horizontal="center"/>
    </xf>
    <xf numFmtId="6" fontId="1" fillId="3" borderId="1" xfId="0" applyNumberFormat="1" applyFont="1" applyFill="1" applyBorder="1" applyAlignment="1">
      <alignment horizontal="center"/>
    </xf>
    <xf numFmtId="6" fontId="1" fillId="3" borderId="1" xfId="0" applyNumberFormat="1" applyFont="1" applyFill="1" applyBorder="1" applyAlignment="1">
      <alignment horizontal="center" wrapText="1"/>
    </xf>
    <xf numFmtId="14" fontId="1" fillId="3" borderId="1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left" vertical="center" wrapText="1"/>
    </xf>
    <xf numFmtId="170" fontId="18" fillId="3" borderId="1" xfId="2" applyNumberFormat="1" applyFont="1" applyFill="1" applyBorder="1" applyAlignment="1">
      <alignment horizontal="center"/>
    </xf>
    <xf numFmtId="170" fontId="18" fillId="3" borderId="4" xfId="2" applyNumberFormat="1" applyFont="1" applyFill="1" applyBorder="1" applyAlignment="1">
      <alignment horizontal="center"/>
    </xf>
    <xf numFmtId="170" fontId="18" fillId="3" borderId="3" xfId="2" applyNumberFormat="1" applyFont="1" applyFill="1" applyBorder="1" applyAlignment="1">
      <alignment horizontal="center"/>
    </xf>
    <xf numFmtId="0" fontId="1" fillId="3" borderId="0" xfId="0" applyFont="1" applyFill="1" applyAlignment="1" applyProtection="1">
      <alignment horizontal="left" vertical="top" wrapText="1"/>
    </xf>
    <xf numFmtId="0" fontId="1" fillId="3" borderId="0" xfId="0" applyFont="1" applyFill="1" applyBorder="1" applyAlignment="1" applyProtection="1">
      <alignment horizontal="right" vertical="center" wrapText="1"/>
    </xf>
    <xf numFmtId="164" fontId="1" fillId="3" borderId="0" xfId="0" applyNumberFormat="1" applyFont="1" applyFill="1" applyBorder="1" applyAlignment="1" applyProtection="1">
      <alignment horizontal="right" vertical="center" wrapText="1"/>
    </xf>
    <xf numFmtId="0" fontId="1" fillId="3" borderId="0" xfId="0" applyFont="1" applyFill="1" applyAlignment="1">
      <alignment horizontal="right" vertical="center" wrapText="1"/>
    </xf>
    <xf numFmtId="164" fontId="1" fillId="3" borderId="0" xfId="0" applyNumberFormat="1" applyFont="1" applyFill="1" applyAlignment="1">
      <alignment horizontal="right" vertical="center" wrapText="1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18BDB-2080-463C-9703-474D05D475E6}">
  <dimension ref="A1:AM201"/>
  <sheetViews>
    <sheetView tabSelected="1" zoomScale="80" zoomScaleNormal="80" workbookViewId="0"/>
  </sheetViews>
  <sheetFormatPr defaultRowHeight="15.75" x14ac:dyDescent="0.25"/>
  <cols>
    <col min="1" max="1" width="3.7109375" style="22" customWidth="1"/>
    <col min="2" max="2" width="36.42578125" style="22" customWidth="1"/>
    <col min="3" max="4" width="14.140625" style="22" customWidth="1"/>
    <col min="5" max="5" width="6.85546875" style="22" bestFit="1" customWidth="1"/>
    <col min="6" max="6" width="10" style="22" hidden="1" customWidth="1"/>
    <col min="7" max="7" width="6.85546875" style="22" hidden="1" customWidth="1"/>
    <col min="8" max="8" width="10" style="22" hidden="1" customWidth="1"/>
    <col min="9" max="9" width="6.85546875" style="22" hidden="1" customWidth="1"/>
    <col min="10" max="10" width="10" style="22" hidden="1" customWidth="1"/>
    <col min="11" max="11" width="6.85546875" style="22" hidden="1" customWidth="1"/>
    <col min="12" max="12" width="10" style="22" hidden="1" customWidth="1"/>
    <col min="13" max="13" width="7.85546875" style="22" customWidth="1"/>
    <col min="14" max="14" width="1" style="23" customWidth="1"/>
    <col min="15" max="15" width="4.85546875" customWidth="1"/>
    <col min="16" max="16" width="31.28515625" customWidth="1"/>
    <col min="17" max="17" width="17.28515625" customWidth="1"/>
    <col min="18" max="18" width="13.42578125" customWidth="1"/>
    <col min="19" max="19" width="12.5703125" bestFit="1" customWidth="1"/>
    <col min="20" max="20" width="15" customWidth="1"/>
    <col min="22" max="22" width="11" customWidth="1"/>
    <col min="24" max="26" width="14.7109375" customWidth="1"/>
    <col min="27" max="27" width="1" style="23" customWidth="1"/>
    <col min="28" max="28" width="4.85546875" customWidth="1"/>
    <col min="29" max="29" width="34.5703125" style="47" customWidth="1"/>
    <col min="30" max="30" width="14.28515625" bestFit="1" customWidth="1"/>
    <col min="31" max="31" width="17.28515625" bestFit="1" customWidth="1"/>
    <col min="32" max="32" width="15" customWidth="1"/>
    <col min="33" max="33" width="22.5703125" customWidth="1"/>
    <col min="34" max="34" width="15.5703125" bestFit="1" customWidth="1"/>
    <col min="36" max="36" width="10" customWidth="1"/>
    <col min="38" max="38" width="12.42578125" customWidth="1"/>
    <col min="39" max="39" width="1" style="23" customWidth="1"/>
  </cols>
  <sheetData>
    <row r="1" spans="1:38" x14ac:dyDescent="0.25">
      <c r="A1" s="21" t="s">
        <v>133</v>
      </c>
      <c r="O1" s="21" t="s">
        <v>133</v>
      </c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B1" s="21" t="s">
        <v>133</v>
      </c>
      <c r="AC1" s="22"/>
      <c r="AD1" s="22"/>
      <c r="AE1" s="22"/>
      <c r="AF1" s="22"/>
      <c r="AG1" s="22"/>
      <c r="AH1" s="22"/>
      <c r="AI1" s="22"/>
      <c r="AJ1" s="22"/>
      <c r="AK1" s="22"/>
      <c r="AL1" s="22"/>
    </row>
    <row r="2" spans="1:38" x14ac:dyDescent="0.25">
      <c r="A2" s="21" t="s">
        <v>132</v>
      </c>
      <c r="O2" s="21" t="s">
        <v>132</v>
      </c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B2" s="21" t="s">
        <v>132</v>
      </c>
      <c r="AC2" s="22"/>
      <c r="AD2" s="22"/>
      <c r="AE2" s="22"/>
      <c r="AF2" s="22"/>
      <c r="AG2" s="22"/>
      <c r="AH2" s="22"/>
      <c r="AI2" s="22"/>
      <c r="AJ2" s="22"/>
      <c r="AK2" s="22"/>
      <c r="AL2" s="22"/>
    </row>
    <row r="3" spans="1:38" x14ac:dyDescent="0.25">
      <c r="A3" s="21" t="s">
        <v>131</v>
      </c>
      <c r="O3" s="21" t="s">
        <v>131</v>
      </c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B3" s="21" t="s">
        <v>131</v>
      </c>
      <c r="AC3" s="22"/>
      <c r="AD3" s="22"/>
      <c r="AE3" s="22"/>
      <c r="AF3" s="22"/>
      <c r="AG3" s="22"/>
      <c r="AH3" s="22"/>
      <c r="AI3" s="22"/>
      <c r="AJ3" s="22"/>
      <c r="AK3" s="22"/>
      <c r="AL3" s="22"/>
    </row>
    <row r="4" spans="1:38" x14ac:dyDescent="0.25"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</row>
    <row r="5" spans="1:38" x14ac:dyDescent="0.25">
      <c r="A5" s="147" t="s">
        <v>130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O5" s="126" t="s">
        <v>129</v>
      </c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B5" s="126" t="s">
        <v>129</v>
      </c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pans="1:38" x14ac:dyDescent="0.25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</row>
    <row r="7" spans="1:38" ht="15.75" customHeight="1" x14ac:dyDescent="0.25">
      <c r="A7" s="126"/>
      <c r="O7" s="22" t="s">
        <v>7</v>
      </c>
      <c r="P7" s="22" t="str">
        <f>B34</f>
        <v>(7 points)  Calculate the 2021 Net Periodic Pension Cost for the SRP under ASC 715.</v>
      </c>
      <c r="Q7" s="22"/>
      <c r="R7" s="22"/>
      <c r="S7" s="22"/>
      <c r="T7" s="22"/>
      <c r="U7" s="22"/>
      <c r="V7" s="22"/>
      <c r="W7" s="22"/>
      <c r="X7" s="22"/>
      <c r="Y7" s="22"/>
      <c r="Z7" s="22"/>
      <c r="AB7" s="22" t="str">
        <f>A51</f>
        <v>(b)</v>
      </c>
      <c r="AC7" s="149" t="str">
        <f>B51</f>
        <v xml:space="preserve">(8 points)  Calculate the revised 2021 Net Periodic Pension Cost for the SRP under ASC 715 reflecting the plan freeze.  
</v>
      </c>
      <c r="AD7" s="149"/>
      <c r="AE7" s="149"/>
      <c r="AF7" s="149"/>
      <c r="AG7" s="149"/>
      <c r="AH7" s="149"/>
      <c r="AI7" s="149"/>
      <c r="AJ7" s="149"/>
      <c r="AK7" s="149"/>
      <c r="AL7" s="22"/>
    </row>
    <row r="8" spans="1:38" x14ac:dyDescent="0.25">
      <c r="A8" s="22" t="s">
        <v>128</v>
      </c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B8" s="22"/>
      <c r="AC8" s="149"/>
      <c r="AD8" s="149"/>
      <c r="AE8" s="149"/>
      <c r="AF8" s="149"/>
      <c r="AG8" s="149"/>
      <c r="AH8" s="149"/>
      <c r="AI8" s="149"/>
      <c r="AJ8" s="149"/>
      <c r="AK8" s="149"/>
      <c r="AL8" s="22"/>
    </row>
    <row r="9" spans="1:38" ht="15.75" customHeight="1" x14ac:dyDescent="0.25">
      <c r="O9" s="22"/>
      <c r="P9" s="149" t="str">
        <f>B37</f>
        <v>Show all work.</v>
      </c>
      <c r="Q9" s="149"/>
      <c r="R9" s="149"/>
      <c r="S9" s="149"/>
      <c r="T9" s="149"/>
      <c r="U9" s="149"/>
      <c r="V9" s="149"/>
      <c r="W9" s="149"/>
      <c r="X9" s="149"/>
      <c r="Y9" s="149"/>
      <c r="Z9" s="149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</row>
    <row r="10" spans="1:38" ht="15.75" customHeight="1" x14ac:dyDescent="0.25">
      <c r="B10" s="86" t="s">
        <v>127</v>
      </c>
      <c r="C10" s="156">
        <v>25934</v>
      </c>
      <c r="D10" s="156"/>
      <c r="E10" s="112"/>
      <c r="F10" s="112"/>
      <c r="G10" s="112"/>
      <c r="H10" s="112"/>
      <c r="I10" s="112"/>
      <c r="J10" s="112"/>
      <c r="K10" s="112"/>
      <c r="L10" s="112"/>
      <c r="O10" s="22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B10" s="22"/>
      <c r="AC10" s="149" t="str">
        <f>B54</f>
        <v>Show all work.</v>
      </c>
      <c r="AD10" s="149"/>
      <c r="AE10" s="149"/>
      <c r="AF10" s="149"/>
      <c r="AG10" s="125"/>
      <c r="AH10" s="125"/>
      <c r="AI10" s="125"/>
      <c r="AJ10" s="125"/>
      <c r="AK10" s="125"/>
      <c r="AL10" s="125"/>
    </row>
    <row r="11" spans="1:38" x14ac:dyDescent="0.25">
      <c r="B11" s="86" t="s">
        <v>126</v>
      </c>
      <c r="C11" s="156">
        <v>40544</v>
      </c>
      <c r="D11" s="156"/>
      <c r="E11" s="112"/>
      <c r="F11" s="112"/>
      <c r="G11" s="112"/>
      <c r="H11" s="112"/>
      <c r="I11" s="112"/>
      <c r="J11" s="112"/>
      <c r="K11" s="112"/>
      <c r="L11" s="112"/>
      <c r="AB11" s="22"/>
      <c r="AC11" s="83"/>
      <c r="AD11" s="88"/>
      <c r="AE11" s="88"/>
      <c r="AF11" s="88"/>
      <c r="AG11" s="88"/>
      <c r="AH11" s="88"/>
      <c r="AI11" s="88"/>
      <c r="AJ11" s="88"/>
      <c r="AK11" s="88"/>
      <c r="AL11" s="88"/>
    </row>
    <row r="12" spans="1:38" x14ac:dyDescent="0.25">
      <c r="B12" s="124" t="s">
        <v>125</v>
      </c>
      <c r="C12" s="123">
        <v>2016</v>
      </c>
      <c r="D12" s="122">
        <v>800000</v>
      </c>
      <c r="E12" s="112"/>
      <c r="F12" s="112"/>
      <c r="G12" s="112"/>
      <c r="H12" s="112"/>
      <c r="I12" s="112"/>
      <c r="J12" s="112"/>
      <c r="K12" s="112"/>
      <c r="L12" s="112"/>
      <c r="O12" s="65"/>
      <c r="P12" s="65"/>
      <c r="Q12" s="65"/>
      <c r="AB12" s="65"/>
      <c r="AC12" s="65"/>
      <c r="AD12" s="121" t="s">
        <v>124</v>
      </c>
      <c r="AE12" s="120" t="s">
        <v>123</v>
      </c>
      <c r="AF12" s="120" t="s">
        <v>122</v>
      </c>
      <c r="AG12" s="65"/>
      <c r="AH12" s="65"/>
      <c r="AI12" s="65"/>
      <c r="AJ12" s="65"/>
    </row>
    <row r="13" spans="1:38" x14ac:dyDescent="0.25">
      <c r="B13" s="118"/>
      <c r="C13" s="117">
        <v>2017</v>
      </c>
      <c r="D13" s="116">
        <v>850000</v>
      </c>
      <c r="E13" s="112"/>
      <c r="F13" s="112"/>
      <c r="G13" s="112"/>
      <c r="H13" s="112"/>
      <c r="I13" s="112"/>
      <c r="J13" s="112"/>
      <c r="K13" s="112"/>
      <c r="L13" s="112"/>
      <c r="O13" s="65"/>
      <c r="P13" s="65" t="s">
        <v>121</v>
      </c>
      <c r="Q13" s="78">
        <f>Q67*(1+C24)</f>
        <v>242328.98136833834</v>
      </c>
      <c r="R13" s="94"/>
      <c r="AB13" s="65"/>
      <c r="AC13" s="65" t="s">
        <v>121</v>
      </c>
      <c r="AD13" s="78">
        <f>Q13/4</f>
        <v>60582.245342084585</v>
      </c>
      <c r="AE13" s="119">
        <v>0</v>
      </c>
      <c r="AF13" s="78">
        <f t="shared" ref="AF13:AF20" si="0">AE13+AD13</f>
        <v>60582.245342084585</v>
      </c>
      <c r="AG13" s="65"/>
      <c r="AH13" s="65"/>
      <c r="AI13" s="65"/>
      <c r="AJ13" s="65"/>
    </row>
    <row r="14" spans="1:38" x14ac:dyDescent="0.25">
      <c r="B14" s="118"/>
      <c r="C14" s="117">
        <v>2018</v>
      </c>
      <c r="D14" s="116">
        <v>900000</v>
      </c>
      <c r="E14" s="112"/>
      <c r="F14" s="112"/>
      <c r="G14" s="112"/>
      <c r="H14" s="112"/>
      <c r="I14" s="112"/>
      <c r="J14" s="112"/>
      <c r="K14" s="112"/>
      <c r="L14" s="112"/>
      <c r="O14" s="65"/>
      <c r="P14" s="65" t="s">
        <v>120</v>
      </c>
      <c r="Q14" s="78">
        <f>Q55*C24</f>
        <v>87588.788446387363</v>
      </c>
      <c r="R14" s="94"/>
      <c r="AB14" s="65"/>
      <c r="AC14" s="65" t="s">
        <v>120</v>
      </c>
      <c r="AD14" s="78">
        <f>Q14/4</f>
        <v>21897.197111596841</v>
      </c>
      <c r="AE14" s="119">
        <f>-0.75*AH25*C45</f>
        <v>41045.182864901239</v>
      </c>
      <c r="AF14" s="78">
        <f t="shared" si="0"/>
        <v>62942.379976498079</v>
      </c>
      <c r="AG14" s="65"/>
      <c r="AH14" s="65"/>
      <c r="AI14" s="65"/>
      <c r="AJ14" s="65"/>
    </row>
    <row r="15" spans="1:38" x14ac:dyDescent="0.25">
      <c r="B15" s="118"/>
      <c r="C15" s="117">
        <v>2019</v>
      </c>
      <c r="D15" s="116">
        <v>950000</v>
      </c>
      <c r="E15" s="112"/>
      <c r="F15" s="112"/>
      <c r="G15" s="112"/>
      <c r="H15" s="112"/>
      <c r="I15" s="112"/>
      <c r="J15" s="112"/>
      <c r="K15" s="112"/>
      <c r="L15" s="112"/>
      <c r="O15" s="65"/>
      <c r="P15" s="65" t="s">
        <v>119</v>
      </c>
      <c r="Q15" s="78">
        <v>0</v>
      </c>
      <c r="AB15" s="65"/>
      <c r="AC15" s="65" t="s">
        <v>119</v>
      </c>
      <c r="AD15" s="78">
        <f>Q15/4</f>
        <v>0</v>
      </c>
      <c r="AE15" s="110">
        <v>0</v>
      </c>
      <c r="AF15" s="78">
        <f t="shared" si="0"/>
        <v>0</v>
      </c>
      <c r="AG15" s="65"/>
      <c r="AH15" s="65"/>
      <c r="AI15" s="65"/>
      <c r="AJ15" s="65"/>
    </row>
    <row r="16" spans="1:38" x14ac:dyDescent="0.25">
      <c r="B16" s="115"/>
      <c r="C16" s="114">
        <v>2020</v>
      </c>
      <c r="D16" s="113">
        <v>1000000</v>
      </c>
      <c r="E16" s="112"/>
      <c r="F16" s="112"/>
      <c r="G16" s="112"/>
      <c r="H16" s="112"/>
      <c r="I16" s="112"/>
      <c r="J16" s="112"/>
      <c r="K16" s="112"/>
      <c r="L16" s="112"/>
      <c r="O16" s="65"/>
      <c r="P16" s="65" t="s">
        <v>118</v>
      </c>
      <c r="Q16" s="78"/>
      <c r="AB16" s="65"/>
      <c r="AC16" s="65" t="s">
        <v>118</v>
      </c>
      <c r="AD16" s="65"/>
      <c r="AE16" s="110"/>
      <c r="AF16" s="78">
        <f t="shared" si="0"/>
        <v>0</v>
      </c>
      <c r="AG16" s="65"/>
      <c r="AH16" s="65"/>
      <c r="AI16" s="65"/>
      <c r="AJ16" s="65"/>
    </row>
    <row r="17" spans="1:36" x14ac:dyDescent="0.25">
      <c r="O17" s="65"/>
      <c r="P17" s="111" t="s">
        <v>117</v>
      </c>
      <c r="Q17" s="78">
        <v>0</v>
      </c>
      <c r="AB17" s="65"/>
      <c r="AC17" s="111" t="s">
        <v>117</v>
      </c>
      <c r="AD17" s="78">
        <f>Q17/4</f>
        <v>0</v>
      </c>
      <c r="AE17" s="110">
        <v>0</v>
      </c>
      <c r="AF17" s="78">
        <f t="shared" si="0"/>
        <v>0</v>
      </c>
      <c r="AG17" s="65"/>
      <c r="AH17" s="65"/>
      <c r="AI17" s="65"/>
      <c r="AJ17" s="65"/>
    </row>
    <row r="18" spans="1:36" x14ac:dyDescent="0.25">
      <c r="A18" s="157" t="s">
        <v>116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O18" s="65"/>
      <c r="P18" s="111" t="s">
        <v>115</v>
      </c>
      <c r="Q18" s="78">
        <f>C32</f>
        <v>7000</v>
      </c>
      <c r="AB18" s="65"/>
      <c r="AC18" s="111" t="s">
        <v>115</v>
      </c>
      <c r="AD18" s="78">
        <f>Q18/4</f>
        <v>1750</v>
      </c>
      <c r="AE18" s="110">
        <v>0</v>
      </c>
      <c r="AF18" s="78">
        <f t="shared" si="0"/>
        <v>1750</v>
      </c>
      <c r="AG18" s="65"/>
      <c r="AH18" s="65"/>
      <c r="AI18" s="65"/>
      <c r="AJ18" s="65"/>
    </row>
    <row r="19" spans="1:36" x14ac:dyDescent="0.25">
      <c r="A19" s="157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O19" s="65"/>
      <c r="P19" s="111" t="s">
        <v>114</v>
      </c>
      <c r="Q19" s="95">
        <f>(C31-0.1*Q55)/(Q26-Q25)</f>
        <v>38869.15812302503</v>
      </c>
      <c r="AB19" s="65"/>
      <c r="AC19" s="111" t="s">
        <v>114</v>
      </c>
      <c r="AD19" s="78">
        <f>Q19/4</f>
        <v>9717.2895307562576</v>
      </c>
      <c r="AE19" s="110">
        <v>0</v>
      </c>
      <c r="AF19" s="78">
        <f t="shared" si="0"/>
        <v>9717.2895307562576</v>
      </c>
      <c r="AG19" s="65"/>
      <c r="AH19" s="65"/>
      <c r="AI19" s="65"/>
      <c r="AJ19" s="65"/>
    </row>
    <row r="20" spans="1:36" x14ac:dyDescent="0.25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O20" s="65"/>
      <c r="P20" s="65" t="s">
        <v>113</v>
      </c>
      <c r="Q20" s="78">
        <f>SUM(Q13:Q19)</f>
        <v>375786.92793775076</v>
      </c>
      <c r="AB20" s="65"/>
      <c r="AC20" s="65" t="s">
        <v>157</v>
      </c>
      <c r="AD20" s="95">
        <v>0</v>
      </c>
      <c r="AE20" s="108">
        <f>-AG30</f>
        <v>14257.180825796095</v>
      </c>
      <c r="AF20" s="95">
        <f t="shared" si="0"/>
        <v>14257.180825796095</v>
      </c>
      <c r="AG20" s="65"/>
      <c r="AH20" s="65"/>
      <c r="AI20" s="65"/>
      <c r="AJ20" s="65"/>
    </row>
    <row r="21" spans="1:36" x14ac:dyDescent="0.25">
      <c r="B21" s="86" t="s">
        <v>112</v>
      </c>
      <c r="C21" s="158">
        <v>62</v>
      </c>
      <c r="D21" s="158"/>
      <c r="G21" s="106"/>
      <c r="H21" s="106"/>
      <c r="I21" s="106"/>
      <c r="J21" s="106"/>
      <c r="K21" s="106"/>
      <c r="L21" s="106"/>
      <c r="AB21" s="65"/>
      <c r="AC21" s="65" t="s">
        <v>111</v>
      </c>
      <c r="AD21" s="78">
        <f>SUM(AD13:AD20)</f>
        <v>93946.731984437691</v>
      </c>
      <c r="AE21" s="107">
        <f>SUM(AE13:AE20)</f>
        <v>55302.363690697333</v>
      </c>
      <c r="AF21" s="93">
        <f>SUM(AF13:AF20)</f>
        <v>149249.09567513503</v>
      </c>
      <c r="AG21" s="65"/>
      <c r="AH21" s="65"/>
      <c r="AI21" s="65"/>
      <c r="AJ21" s="65"/>
    </row>
    <row r="22" spans="1:36" x14ac:dyDescent="0.25">
      <c r="B22" s="86" t="s">
        <v>110</v>
      </c>
      <c r="C22" s="159" t="s">
        <v>109</v>
      </c>
      <c r="D22" s="160"/>
      <c r="G22" s="106"/>
      <c r="H22" s="106"/>
      <c r="I22" s="106"/>
      <c r="J22" s="106"/>
      <c r="K22" s="106"/>
      <c r="L22" s="106"/>
      <c r="P22" s="76" t="s">
        <v>108</v>
      </c>
      <c r="Q22" s="72"/>
      <c r="R22" s="72"/>
      <c r="AB22" s="65"/>
      <c r="AC22" s="65"/>
      <c r="AD22" s="65"/>
      <c r="AE22" s="65"/>
      <c r="AF22" s="65"/>
      <c r="AG22" s="65"/>
      <c r="AH22" s="65"/>
      <c r="AI22" s="65"/>
      <c r="AJ22" s="65"/>
    </row>
    <row r="23" spans="1:36" x14ac:dyDescent="0.25">
      <c r="B23" s="86" t="s">
        <v>107</v>
      </c>
      <c r="C23" s="150">
        <v>0.03</v>
      </c>
      <c r="D23" s="150"/>
      <c r="G23" s="106"/>
      <c r="H23" s="106"/>
      <c r="I23" s="106"/>
      <c r="J23" s="106"/>
      <c r="K23" s="106"/>
      <c r="L23" s="106"/>
      <c r="P23" s="65" t="s">
        <v>106</v>
      </c>
      <c r="Q23" s="65">
        <f>+DATEDIF(C10,C11,"M")/12</f>
        <v>40</v>
      </c>
      <c r="R23" s="72"/>
      <c r="AB23" s="65"/>
      <c r="AC23" s="65"/>
      <c r="AD23" s="65"/>
      <c r="AE23" s="65" t="s">
        <v>105</v>
      </c>
      <c r="AF23" s="65" t="s">
        <v>104</v>
      </c>
      <c r="AG23" s="105" t="s">
        <v>103</v>
      </c>
      <c r="AH23" s="65" t="s">
        <v>102</v>
      </c>
      <c r="AI23" s="65"/>
      <c r="AJ23" s="65"/>
    </row>
    <row r="24" spans="1:36" x14ac:dyDescent="0.25">
      <c r="B24" s="86" t="s">
        <v>75</v>
      </c>
      <c r="C24" s="150">
        <v>3.7499999999999999E-2</v>
      </c>
      <c r="D24" s="150"/>
      <c r="P24" s="65" t="s">
        <v>101</v>
      </c>
      <c r="Q24" s="104">
        <v>44197</v>
      </c>
      <c r="R24" s="72"/>
      <c r="AB24" s="65"/>
      <c r="AC24" s="65"/>
      <c r="AD24" s="102">
        <v>44197</v>
      </c>
      <c r="AE24" s="102">
        <v>44286</v>
      </c>
      <c r="AF24" s="102">
        <v>44286</v>
      </c>
      <c r="AG24" s="103" t="s">
        <v>100</v>
      </c>
      <c r="AH24" s="102">
        <v>44287</v>
      </c>
      <c r="AI24" s="65"/>
      <c r="AJ24" s="65"/>
    </row>
    <row r="25" spans="1:36" x14ac:dyDescent="0.25">
      <c r="B25" s="86" t="s">
        <v>99</v>
      </c>
      <c r="C25" s="151">
        <v>15.2</v>
      </c>
      <c r="D25" s="151"/>
      <c r="P25" s="65" t="s">
        <v>98</v>
      </c>
      <c r="Q25" s="65">
        <f>+DATEDIF(C10,Q24,"M")/12</f>
        <v>50</v>
      </c>
      <c r="R25" s="73"/>
      <c r="AB25" s="65"/>
      <c r="AC25" s="65" t="s">
        <v>97</v>
      </c>
      <c r="AD25" s="78">
        <f>-Q55</f>
        <v>-2335701.0252369964</v>
      </c>
      <c r="AE25" s="78">
        <f>AD25-AD13-AD14</f>
        <v>-2418180.4676906778</v>
      </c>
      <c r="AF25" s="78">
        <f>-(AD36+AD49/4+(AD36+AD49)*C45/4)</f>
        <v>-2710630.7903214619</v>
      </c>
      <c r="AG25" s="93">
        <f>-AD87-AF25</f>
        <v>1026725.8522742316</v>
      </c>
      <c r="AH25" s="78">
        <f>AF25+AG25</f>
        <v>-1683904.9380472302</v>
      </c>
      <c r="AI25" s="65"/>
      <c r="AJ25" s="65"/>
    </row>
    <row r="26" spans="1:36" x14ac:dyDescent="0.25">
      <c r="B26" s="87"/>
      <c r="C26" s="87"/>
      <c r="D26" s="87"/>
      <c r="P26" s="65" t="s">
        <v>96</v>
      </c>
      <c r="Q26" s="65">
        <v>62</v>
      </c>
      <c r="R26" s="73"/>
      <c r="AB26" s="65"/>
      <c r="AC26" s="65" t="s">
        <v>95</v>
      </c>
      <c r="AD26" s="101">
        <v>0</v>
      </c>
      <c r="AE26" s="101">
        <f>AD26</f>
        <v>0</v>
      </c>
      <c r="AF26" s="101">
        <f>AE26</f>
        <v>0</v>
      </c>
      <c r="AG26" s="100">
        <v>0</v>
      </c>
      <c r="AH26" s="95">
        <f>AF26+AG26</f>
        <v>0</v>
      </c>
      <c r="AI26" s="65"/>
      <c r="AJ26" s="65"/>
    </row>
    <row r="27" spans="1:36" x14ac:dyDescent="0.25">
      <c r="A27" s="99" t="s">
        <v>94</v>
      </c>
      <c r="C27" s="87"/>
      <c r="D27" s="87"/>
      <c r="P27" s="65" t="s">
        <v>42</v>
      </c>
      <c r="Q27" s="72">
        <f>Q25-Q23</f>
        <v>10</v>
      </c>
      <c r="R27" s="73"/>
      <c r="AB27" s="65"/>
      <c r="AC27" s="65" t="s">
        <v>93</v>
      </c>
      <c r="AD27" s="78">
        <f>SUM(AD25:AD26)</f>
        <v>-2335701.0252369964</v>
      </c>
      <c r="AE27" s="78">
        <f>SUM(AE25:AE26)</f>
        <v>-2418180.4676906778</v>
      </c>
      <c r="AF27" s="78">
        <f>SUM(AF25:AF26)</f>
        <v>-2710630.7903214619</v>
      </c>
      <c r="AG27" s="93">
        <f>SUM(AG25:AG26)</f>
        <v>1026725.8522742316</v>
      </c>
      <c r="AH27" s="78">
        <f>AF27+AG27</f>
        <v>-1683904.9380472302</v>
      </c>
      <c r="AI27" s="65"/>
      <c r="AJ27" s="65"/>
    </row>
    <row r="28" spans="1:36" x14ac:dyDescent="0.25">
      <c r="B28" s="87"/>
      <c r="C28" s="87"/>
      <c r="D28" s="87"/>
      <c r="P28" s="65" t="s">
        <v>52</v>
      </c>
      <c r="Q28" s="67">
        <f>AVERAGE(R46:R50)</f>
        <v>1345090.8804263216</v>
      </c>
      <c r="R28" s="73"/>
      <c r="AB28" s="65"/>
      <c r="AC28" s="65" t="s">
        <v>92</v>
      </c>
      <c r="AD28" s="98">
        <f>C31</f>
        <v>700000</v>
      </c>
      <c r="AE28" s="98">
        <f>AD28-AD19</f>
        <v>690282.7104692437</v>
      </c>
      <c r="AF28" s="78">
        <f>AE27-AF27+AE28</f>
        <v>982733.03310002771</v>
      </c>
      <c r="AG28" s="93">
        <f>-MIN(AF28,AG25)</f>
        <v>-982733.03310002771</v>
      </c>
      <c r="AH28" s="78">
        <f>AF28+AG28</f>
        <v>0</v>
      </c>
      <c r="AI28" s="65"/>
      <c r="AJ28" s="65"/>
    </row>
    <row r="29" spans="1:36" x14ac:dyDescent="0.25">
      <c r="B29" s="91" t="s">
        <v>91</v>
      </c>
      <c r="C29" s="154">
        <v>0</v>
      </c>
      <c r="D29" s="154"/>
      <c r="P29" s="65" t="s">
        <v>90</v>
      </c>
      <c r="Q29" s="65">
        <v>0</v>
      </c>
      <c r="R29" s="94"/>
      <c r="AB29" s="65"/>
      <c r="AC29" s="65" t="s">
        <v>89</v>
      </c>
      <c r="AD29" s="97">
        <f>C30</f>
        <v>60000</v>
      </c>
      <c r="AE29" s="97">
        <f>AD29-AD18</f>
        <v>58250</v>
      </c>
      <c r="AF29" s="97">
        <f>AE29</f>
        <v>58250</v>
      </c>
      <c r="AG29" s="96">
        <f>-AF29</f>
        <v>-58250</v>
      </c>
      <c r="AH29" s="95">
        <f>AF29+AG29</f>
        <v>0</v>
      </c>
      <c r="AI29" s="65"/>
      <c r="AJ29" s="65"/>
    </row>
    <row r="30" spans="1:36" x14ac:dyDescent="0.25">
      <c r="B30" s="91" t="s">
        <v>88</v>
      </c>
      <c r="C30" s="154">
        <v>60000</v>
      </c>
      <c r="D30" s="154"/>
      <c r="P30" s="65" t="s">
        <v>87</v>
      </c>
      <c r="Q30" s="65">
        <v>0</v>
      </c>
      <c r="R30" s="94"/>
      <c r="AB30" s="65"/>
      <c r="AC30" s="65" t="s">
        <v>86</v>
      </c>
      <c r="AD30" s="78">
        <f>SUM(AD27:AD29)</f>
        <v>-1575701.0252369964</v>
      </c>
      <c r="AE30" s="78">
        <f>SUM(AE27:AE29)</f>
        <v>-1669647.7572214343</v>
      </c>
      <c r="AF30" s="78">
        <f>SUM(AF27:AF29)</f>
        <v>-1669647.7572214343</v>
      </c>
      <c r="AG30" s="93">
        <f>SUM(AG27:AG29)</f>
        <v>-14257.180825796095</v>
      </c>
      <c r="AH30" s="78">
        <f>SUM(AH27:AH29)</f>
        <v>-1683904.9380472302</v>
      </c>
      <c r="AI30" s="65"/>
      <c r="AJ30" s="65"/>
    </row>
    <row r="31" spans="1:36" x14ac:dyDescent="0.25">
      <c r="B31" s="91" t="s">
        <v>85</v>
      </c>
      <c r="C31" s="155">
        <v>700000</v>
      </c>
      <c r="D31" s="155"/>
      <c r="AB31" s="65"/>
      <c r="AC31" s="65" t="s">
        <v>75</v>
      </c>
      <c r="AD31" s="92">
        <f>C24</f>
        <v>3.7499999999999999E-2</v>
      </c>
      <c r="AE31" s="92">
        <f>AD31</f>
        <v>3.7499999999999999E-2</v>
      </c>
      <c r="AF31" s="92">
        <f>C45</f>
        <v>3.2500000000000001E-2</v>
      </c>
      <c r="AG31" s="92">
        <f>AF31</f>
        <v>3.2500000000000001E-2</v>
      </c>
      <c r="AH31" s="92">
        <f>AF31</f>
        <v>3.2500000000000001E-2</v>
      </c>
      <c r="AI31" s="65"/>
      <c r="AJ31" s="65"/>
    </row>
    <row r="32" spans="1:36" x14ac:dyDescent="0.25">
      <c r="B32" s="91" t="s">
        <v>84</v>
      </c>
      <c r="C32" s="154">
        <v>7000</v>
      </c>
      <c r="D32" s="154"/>
      <c r="P32" s="70" t="s">
        <v>56</v>
      </c>
      <c r="Q32" s="73"/>
      <c r="R32" s="73"/>
      <c r="AB32" s="65"/>
      <c r="AC32" s="65"/>
      <c r="AD32" s="65"/>
      <c r="AE32" s="65"/>
      <c r="AF32" s="65"/>
      <c r="AG32" s="65"/>
      <c r="AH32" s="65"/>
      <c r="AI32" s="65"/>
      <c r="AJ32" s="65"/>
    </row>
    <row r="33" spans="1:36" x14ac:dyDescent="0.25">
      <c r="B33" s="87"/>
      <c r="C33" s="87"/>
      <c r="D33" s="87"/>
      <c r="P33" s="65" t="s">
        <v>54</v>
      </c>
      <c r="Q33" s="65" t="s">
        <v>83</v>
      </c>
      <c r="R33" s="65" t="s">
        <v>53</v>
      </c>
      <c r="AB33" s="65"/>
      <c r="AC33" s="65"/>
      <c r="AD33" s="65"/>
      <c r="AE33" s="65"/>
      <c r="AF33" s="65"/>
      <c r="AG33" s="78"/>
      <c r="AH33" s="65"/>
      <c r="AI33" s="65"/>
      <c r="AJ33" s="65"/>
    </row>
    <row r="34" spans="1:36" ht="15.75" customHeight="1" x14ac:dyDescent="0.25">
      <c r="A34" s="22" t="s">
        <v>7</v>
      </c>
      <c r="B34" s="149" t="s">
        <v>82</v>
      </c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P34" s="65">
        <f>+C12</f>
        <v>2016</v>
      </c>
      <c r="Q34" s="65">
        <f>+Q35-1</f>
        <v>45</v>
      </c>
      <c r="R34" s="90">
        <f>+D12</f>
        <v>800000</v>
      </c>
      <c r="AB34" s="65"/>
      <c r="AC34" s="65"/>
      <c r="AD34" s="65"/>
      <c r="AE34" s="65"/>
      <c r="AF34" s="65"/>
      <c r="AG34" s="65"/>
      <c r="AH34" s="65"/>
      <c r="AI34" s="65"/>
      <c r="AJ34" s="65"/>
    </row>
    <row r="35" spans="1:36" ht="15.75" customHeight="1" x14ac:dyDescent="0.25"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P35" s="65">
        <f>+C13</f>
        <v>2017</v>
      </c>
      <c r="Q35" s="65">
        <f>+Q36-1</f>
        <v>46</v>
      </c>
      <c r="R35" s="90">
        <f>+D13</f>
        <v>850000</v>
      </c>
      <c r="AB35" s="65"/>
      <c r="AC35" s="65"/>
      <c r="AD35" s="65"/>
      <c r="AE35" s="65"/>
      <c r="AF35" s="65"/>
      <c r="AG35" s="65"/>
      <c r="AH35" s="65"/>
      <c r="AI35" s="65"/>
      <c r="AJ35" s="65"/>
    </row>
    <row r="36" spans="1:36" ht="15.75" customHeight="1" x14ac:dyDescent="0.25"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P36" s="65">
        <f>+C14</f>
        <v>2018</v>
      </c>
      <c r="Q36" s="65">
        <f>+Q37-1</f>
        <v>47</v>
      </c>
      <c r="R36" s="90">
        <f>+D14</f>
        <v>900000</v>
      </c>
      <c r="S36" s="52"/>
      <c r="AB36" s="65"/>
      <c r="AC36" s="69" t="s">
        <v>81</v>
      </c>
      <c r="AD36" s="78">
        <f>AD42-AD46</f>
        <v>2621658.2630202132</v>
      </c>
      <c r="AE36" s="65"/>
      <c r="AF36" s="65"/>
      <c r="AG36" s="65"/>
      <c r="AH36" s="65"/>
      <c r="AI36" s="65"/>
      <c r="AJ36" s="65"/>
    </row>
    <row r="37" spans="1:36" x14ac:dyDescent="0.25">
      <c r="B37" s="83" t="s">
        <v>1</v>
      </c>
      <c r="C37" s="88"/>
      <c r="D37" s="88"/>
      <c r="E37" s="88"/>
      <c r="F37" s="88"/>
      <c r="G37" s="88"/>
      <c r="H37" s="88"/>
      <c r="I37" s="88"/>
      <c r="J37" s="88"/>
      <c r="K37" s="88"/>
      <c r="L37" s="88"/>
      <c r="P37" s="65">
        <f>+C15</f>
        <v>2019</v>
      </c>
      <c r="Q37" s="65">
        <f>+Q38-1</f>
        <v>48</v>
      </c>
      <c r="R37" s="90">
        <f>+D15</f>
        <v>950000</v>
      </c>
      <c r="AB37" s="65"/>
      <c r="AC37" s="65"/>
      <c r="AD37" s="65"/>
      <c r="AE37" s="65"/>
      <c r="AF37" s="65"/>
      <c r="AG37" s="65"/>
      <c r="AH37" s="65"/>
      <c r="AI37" s="65"/>
      <c r="AJ37" s="65"/>
    </row>
    <row r="38" spans="1:36" x14ac:dyDescent="0.25">
      <c r="B38" s="81" t="s">
        <v>67</v>
      </c>
      <c r="C38" s="88"/>
      <c r="D38" s="88"/>
      <c r="E38" s="88"/>
      <c r="F38" s="88"/>
      <c r="G38" s="88"/>
      <c r="H38" s="88"/>
      <c r="I38" s="88"/>
      <c r="J38" s="88"/>
      <c r="K38" s="88"/>
      <c r="L38" s="88"/>
      <c r="P38" s="65">
        <f>+C16</f>
        <v>2020</v>
      </c>
      <c r="Q38" s="65">
        <f>+Q39-1</f>
        <v>49</v>
      </c>
      <c r="R38" s="90">
        <f>+D16</f>
        <v>1000000</v>
      </c>
      <c r="S38" s="52"/>
      <c r="AB38" s="65"/>
      <c r="AC38" s="70" t="s">
        <v>80</v>
      </c>
      <c r="AD38" s="65"/>
      <c r="AE38" s="65"/>
      <c r="AF38" s="65"/>
      <c r="AG38" s="65"/>
      <c r="AH38" s="65"/>
      <c r="AI38" s="65"/>
      <c r="AJ38" s="65"/>
    </row>
    <row r="39" spans="1:36" x14ac:dyDescent="0.25">
      <c r="B39" s="81"/>
      <c r="C39" s="88"/>
      <c r="D39" s="88"/>
      <c r="E39" s="88"/>
      <c r="F39" s="88"/>
      <c r="G39" s="88"/>
      <c r="H39" s="88"/>
      <c r="I39" s="88"/>
      <c r="J39" s="88"/>
      <c r="K39" s="88"/>
      <c r="L39" s="88"/>
      <c r="P39" s="65">
        <f t="shared" ref="P39:P51" si="1">+P38+1</f>
        <v>2021</v>
      </c>
      <c r="Q39" s="65">
        <f>+Q25</f>
        <v>50</v>
      </c>
      <c r="R39" s="67">
        <f t="shared" ref="R39:R50" si="2">+R38*(1+$C$23)</f>
        <v>1030000</v>
      </c>
      <c r="S39" s="52"/>
      <c r="AB39" s="65"/>
      <c r="AC39" s="65" t="s">
        <v>52</v>
      </c>
      <c r="AD39" s="68">
        <f>Q28</f>
        <v>1345090.8804263216</v>
      </c>
      <c r="AE39" s="65"/>
      <c r="AF39" s="65"/>
      <c r="AG39" s="65"/>
      <c r="AH39" s="65"/>
      <c r="AI39" s="65"/>
      <c r="AJ39" s="65"/>
    </row>
    <row r="40" spans="1:36" ht="15.75" customHeight="1" x14ac:dyDescent="0.25">
      <c r="A40" s="149" t="s">
        <v>79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P40" s="65">
        <f t="shared" si="1"/>
        <v>2022</v>
      </c>
      <c r="Q40" s="65">
        <f t="shared" ref="Q40:Q51" si="3">+Q39+1</f>
        <v>51</v>
      </c>
      <c r="R40" s="67">
        <f t="shared" si="2"/>
        <v>1060900</v>
      </c>
      <c r="S40" s="52"/>
      <c r="AB40" s="65"/>
      <c r="AC40" s="65" t="s">
        <v>42</v>
      </c>
      <c r="AD40" s="68">
        <f>Q27</f>
        <v>10</v>
      </c>
      <c r="AE40" s="65"/>
      <c r="AF40" s="65"/>
      <c r="AG40" s="65"/>
      <c r="AH40" s="65"/>
      <c r="AI40" s="65"/>
      <c r="AJ40" s="65"/>
    </row>
    <row r="41" spans="1:36" x14ac:dyDescent="0.25">
      <c r="A41" s="149"/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P41" s="65">
        <f t="shared" si="1"/>
        <v>2023</v>
      </c>
      <c r="Q41" s="65">
        <f t="shared" si="3"/>
        <v>52</v>
      </c>
      <c r="R41" s="67">
        <f t="shared" si="2"/>
        <v>1092727</v>
      </c>
      <c r="S41" s="52"/>
      <c r="AB41" s="65"/>
      <c r="AC41" s="65" t="s">
        <v>41</v>
      </c>
      <c r="AD41" s="68">
        <f>0.02*AD39*AD40</f>
        <v>269018.17608526436</v>
      </c>
      <c r="AE41" s="65"/>
      <c r="AF41" s="65"/>
      <c r="AG41" s="65"/>
      <c r="AH41" s="65"/>
      <c r="AI41" s="65"/>
      <c r="AJ41" s="65"/>
    </row>
    <row r="42" spans="1:36" x14ac:dyDescent="0.25">
      <c r="B42" s="81"/>
      <c r="C42" s="88"/>
      <c r="D42" s="88"/>
      <c r="E42" s="88"/>
      <c r="F42" s="88"/>
      <c r="G42" s="88"/>
      <c r="H42" s="88"/>
      <c r="I42" s="88"/>
      <c r="J42" s="88"/>
      <c r="K42" s="88"/>
      <c r="L42" s="88"/>
      <c r="P42" s="65">
        <f t="shared" si="1"/>
        <v>2024</v>
      </c>
      <c r="Q42" s="65">
        <f t="shared" si="3"/>
        <v>53</v>
      </c>
      <c r="R42" s="67">
        <f t="shared" si="2"/>
        <v>1125508.81</v>
      </c>
      <c r="S42" s="52"/>
      <c r="AB42" s="65"/>
      <c r="AC42" s="65" t="s">
        <v>78</v>
      </c>
      <c r="AD42" s="68">
        <f>+AD41*(1+C45)^-(Q26-Q25)*C46</f>
        <v>2950711.6813784465</v>
      </c>
      <c r="AE42" s="78"/>
      <c r="AF42" s="65"/>
      <c r="AG42" s="65"/>
      <c r="AH42" s="65"/>
      <c r="AI42" s="65"/>
      <c r="AJ42" s="65"/>
    </row>
    <row r="43" spans="1:36" x14ac:dyDescent="0.25">
      <c r="A43" s="22" t="s">
        <v>77</v>
      </c>
      <c r="C43" s="87"/>
      <c r="D43" s="87"/>
      <c r="P43" s="65">
        <f t="shared" si="1"/>
        <v>2025</v>
      </c>
      <c r="Q43" s="65">
        <f t="shared" si="3"/>
        <v>54</v>
      </c>
      <c r="R43" s="67">
        <f t="shared" si="2"/>
        <v>1159274.0743</v>
      </c>
      <c r="S43" s="52"/>
      <c r="AB43" s="65"/>
      <c r="AC43" s="65"/>
      <c r="AD43" s="68"/>
      <c r="AE43" s="68"/>
      <c r="AF43" s="65"/>
      <c r="AG43" s="65"/>
      <c r="AH43" s="65"/>
      <c r="AI43" s="65"/>
      <c r="AJ43" s="65"/>
    </row>
    <row r="44" spans="1:36" x14ac:dyDescent="0.25">
      <c r="C44" s="87"/>
      <c r="D44" s="87"/>
      <c r="P44" s="65">
        <f t="shared" si="1"/>
        <v>2026</v>
      </c>
      <c r="Q44" s="65">
        <f t="shared" si="3"/>
        <v>55</v>
      </c>
      <c r="R44" s="67">
        <f t="shared" si="2"/>
        <v>1194052.2965289999</v>
      </c>
      <c r="S44" s="52"/>
      <c r="AB44" s="65"/>
      <c r="AC44" s="70" t="s">
        <v>76</v>
      </c>
      <c r="AD44" s="68"/>
      <c r="AE44" s="68"/>
      <c r="AF44" s="65"/>
      <c r="AG44" s="65"/>
      <c r="AH44" s="65"/>
      <c r="AI44" s="65"/>
      <c r="AJ44" s="65"/>
    </row>
    <row r="45" spans="1:36" x14ac:dyDescent="0.25">
      <c r="B45" s="86" t="s">
        <v>75</v>
      </c>
      <c r="C45" s="150">
        <v>3.2500000000000001E-2</v>
      </c>
      <c r="D45" s="150"/>
      <c r="P45" s="65">
        <f t="shared" si="1"/>
        <v>2027</v>
      </c>
      <c r="Q45" s="65">
        <f t="shared" si="3"/>
        <v>56</v>
      </c>
      <c r="R45" s="67">
        <f t="shared" si="2"/>
        <v>1229873.86542487</v>
      </c>
      <c r="S45" s="52"/>
      <c r="AB45" s="65"/>
      <c r="AC45" s="65" t="s">
        <v>38</v>
      </c>
      <c r="AD45" s="68">
        <f>+AD40*3000</f>
        <v>30000</v>
      </c>
      <c r="AE45" s="65"/>
      <c r="AF45" s="65"/>
      <c r="AG45" s="65"/>
      <c r="AH45" s="65"/>
      <c r="AI45" s="65"/>
      <c r="AJ45" s="65"/>
    </row>
    <row r="46" spans="1:36" x14ac:dyDescent="0.25">
      <c r="B46" s="86" t="s">
        <v>74</v>
      </c>
      <c r="C46" s="152">
        <v>16.100000000000001</v>
      </c>
      <c r="D46" s="152"/>
      <c r="P46" s="65">
        <f t="shared" si="1"/>
        <v>2028</v>
      </c>
      <c r="Q46" s="65">
        <f t="shared" si="3"/>
        <v>57</v>
      </c>
      <c r="R46" s="67">
        <f t="shared" si="2"/>
        <v>1266770.0813876162</v>
      </c>
      <c r="S46" s="52"/>
      <c r="AB46" s="65"/>
      <c r="AC46" s="65" t="s">
        <v>60</v>
      </c>
      <c r="AD46" s="68">
        <f>AD45*(1+C45)^-(Q26-Q25)*C46</f>
        <v>329053.41835823347</v>
      </c>
      <c r="AE46" s="65"/>
      <c r="AF46" s="65"/>
      <c r="AG46" s="65"/>
      <c r="AH46" s="65"/>
      <c r="AI46" s="65"/>
      <c r="AJ46" s="65"/>
    </row>
    <row r="47" spans="1:36" x14ac:dyDescent="0.25">
      <c r="B47" s="86" t="s">
        <v>73</v>
      </c>
      <c r="C47" s="153">
        <v>257500</v>
      </c>
      <c r="D47" s="153"/>
      <c r="P47" s="65">
        <f t="shared" si="1"/>
        <v>2029</v>
      </c>
      <c r="Q47" s="65">
        <f t="shared" si="3"/>
        <v>58</v>
      </c>
      <c r="R47" s="67">
        <f t="shared" si="2"/>
        <v>1304773.1838292447</v>
      </c>
      <c r="S47" s="52"/>
      <c r="AB47" s="65"/>
      <c r="AC47" s="65"/>
      <c r="AD47" s="65"/>
      <c r="AE47" s="68"/>
      <c r="AF47" s="65"/>
      <c r="AG47" s="65"/>
      <c r="AH47" s="65"/>
      <c r="AI47" s="65"/>
      <c r="AJ47" s="65"/>
    </row>
    <row r="48" spans="1:36" x14ac:dyDescent="0.25">
      <c r="P48" s="65">
        <f t="shared" si="1"/>
        <v>2030</v>
      </c>
      <c r="Q48" s="65">
        <f t="shared" si="3"/>
        <v>59</v>
      </c>
      <c r="R48" s="67">
        <f t="shared" si="2"/>
        <v>1343916.379344122</v>
      </c>
      <c r="S48" s="52"/>
      <c r="AB48" s="65"/>
      <c r="AC48" s="69"/>
      <c r="AD48" s="68"/>
      <c r="AE48" s="68"/>
      <c r="AF48" s="65"/>
      <c r="AG48" s="65"/>
      <c r="AH48" s="65"/>
      <c r="AI48" s="65"/>
      <c r="AJ48" s="65"/>
    </row>
    <row r="49" spans="1:36" x14ac:dyDescent="0.25">
      <c r="A49" s="22" t="s">
        <v>72</v>
      </c>
      <c r="P49" s="65">
        <f t="shared" si="1"/>
        <v>2031</v>
      </c>
      <c r="Q49" s="65">
        <f t="shared" si="3"/>
        <v>60</v>
      </c>
      <c r="R49" s="67">
        <f t="shared" si="2"/>
        <v>1384233.8707244457</v>
      </c>
      <c r="S49" s="52"/>
      <c r="AB49" s="65"/>
      <c r="AC49" s="69" t="s">
        <v>71</v>
      </c>
      <c r="AD49" s="68">
        <f>AD55-AD60</f>
        <v>262165.82630202128</v>
      </c>
      <c r="AE49" s="65"/>
      <c r="AF49" s="65"/>
      <c r="AG49" s="65"/>
      <c r="AH49" s="65"/>
      <c r="AI49" s="65"/>
      <c r="AJ49" s="65"/>
    </row>
    <row r="50" spans="1:36" x14ac:dyDescent="0.25">
      <c r="P50" s="65">
        <f t="shared" si="1"/>
        <v>2032</v>
      </c>
      <c r="Q50" s="65">
        <f t="shared" si="3"/>
        <v>61</v>
      </c>
      <c r="R50" s="67">
        <f t="shared" si="2"/>
        <v>1425760.8868461791</v>
      </c>
      <c r="S50" s="52"/>
      <c r="AB50" s="65"/>
      <c r="AC50" s="65"/>
      <c r="AD50" s="65"/>
      <c r="AE50" s="65"/>
      <c r="AF50" s="65"/>
      <c r="AG50" s="65"/>
      <c r="AH50" s="65"/>
      <c r="AI50" s="65"/>
      <c r="AJ50" s="65"/>
    </row>
    <row r="51" spans="1:36" ht="15.75" customHeight="1" x14ac:dyDescent="0.25">
      <c r="A51" s="22" t="s">
        <v>70</v>
      </c>
      <c r="B51" s="147" t="s">
        <v>69</v>
      </c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P51" s="65">
        <f t="shared" si="1"/>
        <v>2033</v>
      </c>
      <c r="Q51" s="65">
        <f t="shared" si="3"/>
        <v>62</v>
      </c>
      <c r="R51" s="85"/>
      <c r="S51" s="52"/>
      <c r="AB51" s="65"/>
      <c r="AC51" s="70" t="s">
        <v>55</v>
      </c>
      <c r="AD51" s="68"/>
      <c r="AE51" s="65"/>
      <c r="AF51" s="65"/>
      <c r="AG51" s="65"/>
      <c r="AH51" s="65"/>
      <c r="AI51" s="65"/>
      <c r="AJ51" s="65"/>
    </row>
    <row r="52" spans="1:36" x14ac:dyDescent="0.25"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S52" s="52"/>
      <c r="AB52" s="65"/>
      <c r="AC52" s="65" t="s">
        <v>52</v>
      </c>
      <c r="AD52" s="68">
        <f>AD39</f>
        <v>1345090.8804263216</v>
      </c>
      <c r="AE52" s="65"/>
      <c r="AF52" s="65"/>
      <c r="AG52" s="65"/>
      <c r="AH52" s="65"/>
      <c r="AI52" s="65"/>
      <c r="AJ52" s="65"/>
    </row>
    <row r="53" spans="1:36" x14ac:dyDescent="0.25"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P53" s="84" t="s">
        <v>68</v>
      </c>
      <c r="Q53" s="72"/>
      <c r="R53" s="72"/>
      <c r="S53" s="52"/>
      <c r="AB53" s="65"/>
      <c r="AC53" s="65" t="s">
        <v>47</v>
      </c>
      <c r="AD53" s="68">
        <v>1</v>
      </c>
      <c r="AE53" s="65"/>
      <c r="AF53" s="65"/>
      <c r="AG53" s="65"/>
      <c r="AH53" s="65"/>
      <c r="AI53" s="65"/>
      <c r="AJ53" s="65"/>
    </row>
    <row r="54" spans="1:36" x14ac:dyDescent="0.25">
      <c r="B54" s="83" t="s">
        <v>1</v>
      </c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P54" s="72"/>
      <c r="Q54" s="72"/>
      <c r="R54" s="72"/>
      <c r="S54" s="52"/>
      <c r="AB54" s="65"/>
      <c r="AC54" s="65" t="s">
        <v>51</v>
      </c>
      <c r="AD54" s="68">
        <f>0.02*AD53*AD52</f>
        <v>26901.817608526435</v>
      </c>
      <c r="AE54" s="65"/>
      <c r="AF54" s="65"/>
      <c r="AG54" s="65"/>
      <c r="AH54" s="65"/>
      <c r="AI54" s="65"/>
      <c r="AJ54" s="65"/>
    </row>
    <row r="55" spans="1:36" x14ac:dyDescent="0.25">
      <c r="B55" s="81" t="s">
        <v>67</v>
      </c>
      <c r="P55" s="77" t="s">
        <v>66</v>
      </c>
      <c r="Q55" s="80">
        <f>Q61-Q65</f>
        <v>2335701.0252369964</v>
      </c>
      <c r="R55" s="73"/>
      <c r="S55" s="52"/>
      <c r="AB55" s="65"/>
      <c r="AC55" s="65" t="s">
        <v>50</v>
      </c>
      <c r="AD55" s="68">
        <f>+AD54*(1+C45)^-(Q26-Q25)*C46</f>
        <v>295071.16813784465</v>
      </c>
      <c r="AE55" s="65"/>
      <c r="AF55" s="65"/>
      <c r="AG55" s="65"/>
      <c r="AH55" s="65"/>
      <c r="AI55" s="65"/>
      <c r="AJ55" s="65"/>
    </row>
    <row r="56" spans="1:36" x14ac:dyDescent="0.25">
      <c r="P56" s="72"/>
      <c r="Q56" s="72"/>
      <c r="R56" s="72"/>
      <c r="S56" s="52"/>
      <c r="AB56" s="65"/>
      <c r="AC56" s="65"/>
      <c r="AD56" s="65"/>
      <c r="AE56" s="65"/>
      <c r="AF56" s="65"/>
      <c r="AG56" s="65"/>
      <c r="AH56" s="65"/>
      <c r="AI56" s="65"/>
      <c r="AJ56" s="65"/>
    </row>
    <row r="57" spans="1:36" x14ac:dyDescent="0.25">
      <c r="P57" s="76" t="s">
        <v>65</v>
      </c>
      <c r="Q57" s="72"/>
      <c r="R57" s="72"/>
      <c r="S57" s="52"/>
      <c r="AB57" s="65"/>
      <c r="AC57" s="70" t="s">
        <v>49</v>
      </c>
      <c r="AD57" s="65"/>
      <c r="AE57" s="65"/>
      <c r="AF57" s="65"/>
      <c r="AG57" s="65"/>
      <c r="AH57" s="65"/>
      <c r="AI57" s="65"/>
      <c r="AJ57" s="65"/>
    </row>
    <row r="58" spans="1:36" x14ac:dyDescent="0.25">
      <c r="P58" s="72" t="s">
        <v>52</v>
      </c>
      <c r="Q58" s="71">
        <f>Q28</f>
        <v>1345090.8804263216</v>
      </c>
      <c r="R58" s="72"/>
      <c r="S58" s="52"/>
      <c r="AB58" s="65"/>
      <c r="AC58" s="65" t="s">
        <v>47</v>
      </c>
      <c r="AD58" s="68">
        <f>AD53</f>
        <v>1</v>
      </c>
      <c r="AE58" s="65"/>
      <c r="AF58" s="65"/>
      <c r="AG58" s="65"/>
      <c r="AH58" s="65"/>
      <c r="AI58" s="65"/>
      <c r="AJ58" s="65"/>
    </row>
    <row r="59" spans="1:36" x14ac:dyDescent="0.25">
      <c r="P59" s="72" t="s">
        <v>42</v>
      </c>
      <c r="Q59" s="71">
        <f>Q27</f>
        <v>10</v>
      </c>
      <c r="R59" s="72"/>
      <c r="AB59" s="65"/>
      <c r="AC59" s="65" t="s">
        <v>46</v>
      </c>
      <c r="AD59" s="68">
        <f>AD58*3000</f>
        <v>3000</v>
      </c>
      <c r="AE59" s="65"/>
      <c r="AF59" s="65"/>
      <c r="AG59" s="65"/>
      <c r="AH59" s="65"/>
      <c r="AI59" s="65"/>
      <c r="AJ59" s="65"/>
    </row>
    <row r="60" spans="1:36" x14ac:dyDescent="0.25">
      <c r="P60" s="72" t="s">
        <v>41</v>
      </c>
      <c r="Q60" s="71">
        <f>0.02*Q58*Q59</f>
        <v>269018.17608526436</v>
      </c>
      <c r="R60" s="72"/>
      <c r="AB60" s="65"/>
      <c r="AC60" s="65" t="s">
        <v>44</v>
      </c>
      <c r="AD60" s="68">
        <f>+AD59*(1+C45)^-(Q26-Q25)*C46</f>
        <v>32905.341835823347</v>
      </c>
      <c r="AE60" s="65"/>
      <c r="AF60" s="65"/>
      <c r="AG60" s="65"/>
      <c r="AH60" s="65"/>
      <c r="AI60" s="65"/>
      <c r="AJ60" s="65"/>
    </row>
    <row r="61" spans="1:36" x14ac:dyDescent="0.25">
      <c r="P61" s="72" t="s">
        <v>64</v>
      </c>
      <c r="Q61" s="71">
        <f>+Q60*(1+C24)^-(Q26-Q25)*C25</f>
        <v>2628862.9592152457</v>
      </c>
      <c r="R61" s="72"/>
      <c r="AB61" s="65"/>
      <c r="AC61" s="65"/>
      <c r="AD61" s="65"/>
      <c r="AE61" s="65"/>
      <c r="AF61" s="65"/>
      <c r="AG61" s="65"/>
      <c r="AH61" s="65"/>
      <c r="AI61" s="65"/>
      <c r="AJ61" s="65"/>
    </row>
    <row r="62" spans="1:36" x14ac:dyDescent="0.25">
      <c r="Q62" s="71"/>
      <c r="R62" s="72"/>
      <c r="AB62" s="65"/>
      <c r="AC62" s="69" t="s">
        <v>63</v>
      </c>
      <c r="AD62" s="65"/>
      <c r="AE62" s="65"/>
      <c r="AF62" s="65"/>
      <c r="AG62" s="65"/>
      <c r="AH62" s="65"/>
      <c r="AI62" s="65"/>
      <c r="AJ62" s="65"/>
    </row>
    <row r="63" spans="1:36" x14ac:dyDescent="0.25">
      <c r="P63" s="76" t="s">
        <v>62</v>
      </c>
      <c r="Q63" s="71"/>
      <c r="R63" s="72"/>
      <c r="AB63" s="65"/>
      <c r="AC63" s="65"/>
      <c r="AD63" s="65"/>
      <c r="AE63" s="65"/>
      <c r="AF63" s="65"/>
      <c r="AG63" s="65"/>
      <c r="AH63" s="65"/>
      <c r="AI63" s="65"/>
      <c r="AJ63" s="65"/>
    </row>
    <row r="64" spans="1:36" x14ac:dyDescent="0.25">
      <c r="P64" s="72" t="s">
        <v>38</v>
      </c>
      <c r="Q64" s="71">
        <f>+Q59*3000</f>
        <v>30000</v>
      </c>
      <c r="R64" s="72"/>
      <c r="AB64" s="65"/>
      <c r="AC64" s="65" t="s">
        <v>61</v>
      </c>
      <c r="AD64" s="65"/>
      <c r="AE64" s="65"/>
      <c r="AF64" s="65"/>
      <c r="AG64" s="65"/>
      <c r="AH64" s="65"/>
      <c r="AI64" s="65"/>
      <c r="AJ64" s="65"/>
    </row>
    <row r="65" spans="16:36" x14ac:dyDescent="0.25">
      <c r="P65" s="72" t="s">
        <v>60</v>
      </c>
      <c r="Q65" s="71">
        <f>(1+C24)^-(Q26-Q25)*C25*Q64</f>
        <v>293161.93397824949</v>
      </c>
      <c r="R65" s="72"/>
      <c r="AB65" s="65"/>
      <c r="AC65" s="65" t="s">
        <v>59</v>
      </c>
      <c r="AD65" s="79">
        <f>(0.75*AD70+SUM(AD71:AD75))/5</f>
        <v>911500</v>
      </c>
      <c r="AE65" s="65"/>
      <c r="AF65" s="65"/>
      <c r="AG65" s="65"/>
      <c r="AH65" s="65"/>
      <c r="AI65" s="65"/>
      <c r="AJ65" s="65"/>
    </row>
    <row r="66" spans="16:36" x14ac:dyDescent="0.25">
      <c r="P66" s="72"/>
      <c r="Q66" s="71"/>
      <c r="R66" s="72"/>
      <c r="AB66" s="65"/>
      <c r="AC66" s="65" t="s">
        <v>58</v>
      </c>
      <c r="AD66" s="78">
        <f>AD40</f>
        <v>10</v>
      </c>
      <c r="AE66" s="65"/>
      <c r="AF66" s="65"/>
      <c r="AG66" s="65"/>
      <c r="AH66" s="65"/>
      <c r="AI66" s="65"/>
      <c r="AJ66" s="65"/>
    </row>
    <row r="67" spans="16:36" x14ac:dyDescent="0.25">
      <c r="P67" s="77" t="s">
        <v>57</v>
      </c>
      <c r="Q67" s="71">
        <f>Q73-Q78</f>
        <v>233570.10252369958</v>
      </c>
      <c r="R67" s="72"/>
      <c r="AB67" s="65"/>
      <c r="AC67" s="65"/>
      <c r="AD67" s="65"/>
      <c r="AE67" s="65"/>
      <c r="AF67" s="65"/>
      <c r="AG67" s="65"/>
      <c r="AH67" s="65"/>
      <c r="AI67" s="65"/>
      <c r="AJ67" s="65"/>
    </row>
    <row r="68" spans="16:36" x14ac:dyDescent="0.25">
      <c r="R68" s="72"/>
      <c r="AB68" s="65"/>
      <c r="AC68" s="70" t="s">
        <v>56</v>
      </c>
      <c r="AD68" s="65"/>
      <c r="AE68" s="65"/>
      <c r="AF68" s="65"/>
      <c r="AG68" s="65"/>
      <c r="AH68" s="65"/>
      <c r="AI68" s="65"/>
      <c r="AJ68" s="65"/>
    </row>
    <row r="69" spans="16:36" x14ac:dyDescent="0.25">
      <c r="P69" s="76" t="s">
        <v>55</v>
      </c>
      <c r="Q69" s="71"/>
      <c r="R69" s="72"/>
      <c r="AB69" s="65"/>
      <c r="AC69" s="65" t="s">
        <v>54</v>
      </c>
      <c r="AD69" s="65" t="s">
        <v>53</v>
      </c>
      <c r="AE69" s="65"/>
      <c r="AF69" s="65"/>
      <c r="AG69" s="65"/>
      <c r="AH69" s="65"/>
      <c r="AI69" s="65"/>
      <c r="AJ69" s="65"/>
    </row>
    <row r="70" spans="16:36" x14ac:dyDescent="0.25">
      <c r="P70" s="72" t="s">
        <v>52</v>
      </c>
      <c r="Q70" s="71">
        <f>Q58</f>
        <v>1345090.8804263216</v>
      </c>
      <c r="R70" s="72"/>
      <c r="AB70" s="65"/>
      <c r="AC70" s="65">
        <f>P34</f>
        <v>2016</v>
      </c>
      <c r="AD70" s="74">
        <f>R34</f>
        <v>800000</v>
      </c>
      <c r="AE70" s="65"/>
      <c r="AF70" s="65"/>
      <c r="AG70" s="65"/>
      <c r="AH70" s="65"/>
      <c r="AI70" s="65"/>
      <c r="AJ70" s="65"/>
    </row>
    <row r="71" spans="16:36" x14ac:dyDescent="0.25">
      <c r="P71" s="72" t="s">
        <v>47</v>
      </c>
      <c r="Q71" s="71">
        <v>1</v>
      </c>
      <c r="R71" s="72"/>
      <c r="AB71" s="65"/>
      <c r="AC71" s="65">
        <f>P35</f>
        <v>2017</v>
      </c>
      <c r="AD71" s="74">
        <f>R35</f>
        <v>850000</v>
      </c>
      <c r="AE71" s="65"/>
      <c r="AF71" s="65"/>
      <c r="AG71" s="65"/>
      <c r="AH71" s="65"/>
      <c r="AI71" s="65"/>
      <c r="AJ71" s="65"/>
    </row>
    <row r="72" spans="16:36" x14ac:dyDescent="0.25">
      <c r="P72" s="72" t="s">
        <v>51</v>
      </c>
      <c r="Q72" s="71">
        <f>0.02*Q71*Q70</f>
        <v>26901.817608526435</v>
      </c>
      <c r="R72" s="73"/>
      <c r="AB72" s="65"/>
      <c r="AC72" s="65">
        <f>P36</f>
        <v>2018</v>
      </c>
      <c r="AD72" s="74">
        <f>R36</f>
        <v>900000</v>
      </c>
      <c r="AE72" s="65"/>
      <c r="AF72" s="65"/>
      <c r="AG72" s="65"/>
      <c r="AH72" s="65"/>
      <c r="AI72" s="65"/>
      <c r="AJ72" s="65"/>
    </row>
    <row r="73" spans="16:36" x14ac:dyDescent="0.25">
      <c r="P73" s="72" t="s">
        <v>50</v>
      </c>
      <c r="Q73" s="71">
        <f>+Q72*(1+C24)^-(Q26-Q25)*C25</f>
        <v>262886.29592152452</v>
      </c>
      <c r="R73" s="73"/>
      <c r="AB73" s="65"/>
      <c r="AC73" s="65">
        <f>P37</f>
        <v>2019</v>
      </c>
      <c r="AD73" s="74">
        <f>R37</f>
        <v>950000</v>
      </c>
      <c r="AE73" s="65"/>
      <c r="AF73" s="65"/>
      <c r="AG73" s="65"/>
      <c r="AH73" s="65"/>
      <c r="AI73" s="65"/>
      <c r="AJ73" s="65"/>
    </row>
    <row r="74" spans="16:36" x14ac:dyDescent="0.25">
      <c r="P74" s="73"/>
      <c r="Q74" s="73"/>
      <c r="R74" s="73"/>
      <c r="AB74" s="65"/>
      <c r="AC74" s="65">
        <f>P38</f>
        <v>2020</v>
      </c>
      <c r="AD74" s="74">
        <f>R38</f>
        <v>1000000</v>
      </c>
      <c r="AE74" s="65"/>
      <c r="AF74" s="65"/>
      <c r="AG74" s="65"/>
      <c r="AH74" s="65"/>
      <c r="AI74" s="65"/>
      <c r="AJ74" s="65"/>
    </row>
    <row r="75" spans="16:36" x14ac:dyDescent="0.25">
      <c r="P75" s="76" t="s">
        <v>49</v>
      </c>
      <c r="Q75" s="73"/>
      <c r="R75" s="73"/>
      <c r="AB75" s="65"/>
      <c r="AC75" s="75" t="s">
        <v>48</v>
      </c>
      <c r="AD75" s="74">
        <f>C47</f>
        <v>257500</v>
      </c>
      <c r="AE75" s="65"/>
      <c r="AF75" s="65"/>
      <c r="AG75" s="65"/>
      <c r="AH75" s="65"/>
      <c r="AI75" s="65"/>
      <c r="AJ75" s="65"/>
    </row>
    <row r="76" spans="16:36" x14ac:dyDescent="0.25">
      <c r="P76" s="72" t="s">
        <v>47</v>
      </c>
      <c r="Q76" s="71">
        <f>Q71</f>
        <v>1</v>
      </c>
      <c r="R76" s="73"/>
      <c r="AB76" s="65"/>
      <c r="AC76" s="65"/>
      <c r="AD76" s="65"/>
      <c r="AE76" s="65"/>
      <c r="AF76" s="65"/>
      <c r="AG76" s="65"/>
      <c r="AH76" s="65"/>
      <c r="AI76" s="65"/>
      <c r="AJ76" s="65"/>
    </row>
    <row r="77" spans="16:36" x14ac:dyDescent="0.25">
      <c r="P77" s="72" t="s">
        <v>46</v>
      </c>
      <c r="Q77" s="71">
        <f>Q76*3000</f>
        <v>3000</v>
      </c>
      <c r="AB77" s="65"/>
      <c r="AC77" s="70" t="s">
        <v>45</v>
      </c>
      <c r="AD77" s="65"/>
      <c r="AE77" s="65"/>
      <c r="AF77" s="65"/>
      <c r="AG77" s="65"/>
      <c r="AH77" s="65"/>
      <c r="AI77" s="65"/>
      <c r="AJ77" s="65"/>
    </row>
    <row r="78" spans="16:36" x14ac:dyDescent="0.25">
      <c r="P78" s="72" t="s">
        <v>44</v>
      </c>
      <c r="Q78" s="71">
        <f>+Q77*(1+C24)^-(Q26-Q25)*C25</f>
        <v>29316.193397824947</v>
      </c>
      <c r="AB78" s="65"/>
      <c r="AC78" s="65" t="s">
        <v>43</v>
      </c>
      <c r="AD78" s="68">
        <f>AD65</f>
        <v>911500</v>
      </c>
      <c r="AE78" s="67"/>
      <c r="AF78" s="65"/>
      <c r="AG78" s="65"/>
      <c r="AH78" s="65"/>
      <c r="AI78" s="65"/>
      <c r="AJ78" s="65"/>
    </row>
    <row r="79" spans="16:36" x14ac:dyDescent="0.25">
      <c r="AB79" s="65"/>
      <c r="AC79" s="65" t="s">
        <v>42</v>
      </c>
      <c r="AD79" s="68">
        <f>AD66</f>
        <v>10</v>
      </c>
      <c r="AE79" s="67"/>
      <c r="AF79" s="65"/>
      <c r="AG79" s="65"/>
      <c r="AH79" s="65"/>
      <c r="AI79" s="65"/>
      <c r="AJ79" s="65"/>
    </row>
    <row r="80" spans="16:36" x14ac:dyDescent="0.25">
      <c r="AB80" s="65"/>
      <c r="AC80" s="65" t="s">
        <v>41</v>
      </c>
      <c r="AD80" s="68">
        <f>0.02*AD78*AD79</f>
        <v>182300</v>
      </c>
      <c r="AE80" s="67"/>
      <c r="AF80" s="65"/>
      <c r="AG80" s="65"/>
      <c r="AH80" s="65"/>
      <c r="AI80" s="65"/>
      <c r="AJ80" s="65"/>
    </row>
    <row r="81" spans="17:36" x14ac:dyDescent="0.25">
      <c r="AB81" s="65"/>
      <c r="AC81" s="65" t="s">
        <v>40</v>
      </c>
      <c r="AD81" s="68">
        <f>+AD80*(1+C45)^-(Q26-Q25-0.25)*C46</f>
        <v>2015599.9356927779</v>
      </c>
      <c r="AE81" s="67"/>
      <c r="AF81" s="65"/>
      <c r="AG81" s="65"/>
      <c r="AH81" s="65"/>
      <c r="AI81" s="65"/>
      <c r="AJ81" s="65"/>
    </row>
    <row r="82" spans="17:36" x14ac:dyDescent="0.25">
      <c r="AB82" s="65"/>
      <c r="AC82" s="65"/>
      <c r="AD82" s="68"/>
      <c r="AE82" s="67"/>
      <c r="AF82" s="65"/>
      <c r="AG82" s="65"/>
      <c r="AH82" s="65"/>
      <c r="AI82" s="65"/>
      <c r="AJ82" s="65"/>
    </row>
    <row r="83" spans="17:36" x14ac:dyDescent="0.25">
      <c r="AB83" s="65"/>
      <c r="AC83" s="70" t="s">
        <v>39</v>
      </c>
      <c r="AD83" s="68"/>
      <c r="AE83" s="67"/>
      <c r="AF83" s="65"/>
      <c r="AG83" s="65"/>
      <c r="AH83" s="65"/>
      <c r="AI83" s="65"/>
      <c r="AJ83" s="65"/>
    </row>
    <row r="84" spans="17:36" x14ac:dyDescent="0.25">
      <c r="AB84" s="65"/>
      <c r="AC84" s="65" t="s">
        <v>38</v>
      </c>
      <c r="AD84" s="68">
        <f>+AD79*3000</f>
        <v>30000</v>
      </c>
      <c r="AE84" s="67"/>
      <c r="AF84" s="65"/>
      <c r="AG84" s="65"/>
      <c r="AH84" s="65"/>
      <c r="AI84" s="65"/>
      <c r="AJ84" s="65"/>
    </row>
    <row r="85" spans="17:36" x14ac:dyDescent="0.25">
      <c r="AB85" s="65"/>
      <c r="AC85" s="65" t="s">
        <v>37</v>
      </c>
      <c r="AD85" s="68">
        <f>AD84*(1+C45)^-(Q26-Q25-0.25)*C46</f>
        <v>331694.99764554767</v>
      </c>
      <c r="AE85" s="67"/>
      <c r="AF85" s="65"/>
      <c r="AG85" s="65"/>
      <c r="AH85" s="65"/>
      <c r="AI85" s="65"/>
      <c r="AJ85" s="65"/>
    </row>
    <row r="86" spans="17:36" x14ac:dyDescent="0.25">
      <c r="AB86" s="65"/>
      <c r="AC86" s="65"/>
      <c r="AD86" s="68"/>
      <c r="AE86" s="67"/>
      <c r="AF86" s="65"/>
      <c r="AG86" s="65"/>
      <c r="AH86" s="65"/>
      <c r="AI86" s="65"/>
      <c r="AJ86" s="65"/>
    </row>
    <row r="87" spans="17:36" x14ac:dyDescent="0.25">
      <c r="Q87" s="52"/>
      <c r="AB87" s="65"/>
      <c r="AC87" s="69" t="s">
        <v>36</v>
      </c>
      <c r="AD87" s="68">
        <f>AD81-AD85</f>
        <v>1683904.9380472302</v>
      </c>
      <c r="AE87" s="67"/>
      <c r="AF87" s="65"/>
      <c r="AG87" s="65"/>
      <c r="AH87" s="65"/>
      <c r="AI87" s="65"/>
      <c r="AJ87" s="65"/>
    </row>
    <row r="88" spans="17:36" x14ac:dyDescent="0.25">
      <c r="Q88" s="52"/>
      <c r="AB88" s="65"/>
      <c r="AC88" s="65"/>
      <c r="AD88" s="65"/>
      <c r="AE88" s="67"/>
      <c r="AF88" s="65"/>
      <c r="AG88" s="65"/>
      <c r="AH88" s="65"/>
      <c r="AI88" s="65"/>
      <c r="AJ88" s="65"/>
    </row>
    <row r="89" spans="17:36" x14ac:dyDescent="0.25">
      <c r="Q89" s="52"/>
      <c r="AB89" s="65"/>
      <c r="AC89" s="65"/>
      <c r="AD89" s="65"/>
      <c r="AE89" s="66"/>
      <c r="AF89" s="65"/>
      <c r="AG89" s="65"/>
      <c r="AH89" s="65"/>
      <c r="AI89" s="65"/>
      <c r="AJ89" s="65"/>
    </row>
    <row r="90" spans="17:36" x14ac:dyDescent="0.25">
      <c r="Q90" s="51"/>
      <c r="AB90" s="65"/>
      <c r="AC90" s="65"/>
      <c r="AD90" s="65"/>
      <c r="AE90" s="65"/>
      <c r="AF90" s="65"/>
      <c r="AG90" s="65"/>
      <c r="AH90" s="65"/>
      <c r="AI90" s="65"/>
      <c r="AJ90" s="65"/>
    </row>
    <row r="91" spans="17:36" x14ac:dyDescent="0.25">
      <c r="Q91" s="50"/>
      <c r="AB91" s="65"/>
      <c r="AC91" s="65"/>
      <c r="AD91" s="65"/>
      <c r="AE91" s="65"/>
      <c r="AF91" s="65"/>
      <c r="AG91" s="65"/>
      <c r="AH91" s="65"/>
      <c r="AI91" s="65"/>
      <c r="AJ91" s="65"/>
    </row>
    <row r="92" spans="17:36" x14ac:dyDescent="0.25">
      <c r="AB92" s="65"/>
      <c r="AC92" s="65"/>
      <c r="AD92" s="65"/>
      <c r="AE92" s="65"/>
      <c r="AF92" s="65"/>
      <c r="AG92" s="65"/>
      <c r="AH92" s="65"/>
      <c r="AI92" s="65"/>
      <c r="AJ92" s="65"/>
    </row>
    <row r="93" spans="17:36" x14ac:dyDescent="0.25">
      <c r="AB93" s="65"/>
      <c r="AC93" s="65"/>
      <c r="AD93" s="65"/>
      <c r="AE93" s="65"/>
      <c r="AF93" s="65"/>
      <c r="AG93" s="65"/>
      <c r="AH93" s="65"/>
      <c r="AI93" s="65"/>
      <c r="AJ93" s="65"/>
    </row>
    <row r="94" spans="17:36" x14ac:dyDescent="0.25">
      <c r="AB94" s="65"/>
      <c r="AC94" s="65"/>
      <c r="AD94" s="65"/>
      <c r="AE94" s="65"/>
      <c r="AF94" s="65"/>
      <c r="AG94" s="65"/>
      <c r="AH94" s="65"/>
      <c r="AI94" s="65"/>
      <c r="AJ94" s="65"/>
    </row>
    <row r="95" spans="17:36" x14ac:dyDescent="0.25">
      <c r="AB95" s="65"/>
      <c r="AC95" s="65"/>
      <c r="AD95" s="65"/>
      <c r="AE95" s="65"/>
      <c r="AF95" s="65"/>
      <c r="AG95" s="65"/>
      <c r="AH95" s="65"/>
      <c r="AI95" s="65"/>
      <c r="AJ95" s="65"/>
    </row>
    <row r="96" spans="17:36" x14ac:dyDescent="0.25">
      <c r="AB96" s="65"/>
      <c r="AC96" s="65"/>
      <c r="AD96" s="65"/>
      <c r="AE96" s="65"/>
      <c r="AF96" s="65"/>
      <c r="AG96" s="65"/>
      <c r="AH96" s="65"/>
      <c r="AI96" s="65"/>
      <c r="AJ96" s="65"/>
    </row>
    <row r="97" spans="15:36" x14ac:dyDescent="0.25">
      <c r="Q97" s="53"/>
      <c r="AB97" s="65"/>
      <c r="AC97" s="65"/>
      <c r="AD97" s="65"/>
      <c r="AE97" s="65"/>
      <c r="AF97" s="65"/>
      <c r="AG97" s="65"/>
      <c r="AH97" s="65"/>
      <c r="AI97" s="65"/>
      <c r="AJ97" s="65"/>
    </row>
    <row r="98" spans="15:36" x14ac:dyDescent="0.25">
      <c r="Q98" s="53"/>
    </row>
    <row r="99" spans="15:36" x14ac:dyDescent="0.25">
      <c r="Q99" s="53"/>
    </row>
    <row r="100" spans="15:36" x14ac:dyDescent="0.25">
      <c r="Q100" s="53"/>
    </row>
    <row r="101" spans="15:36" x14ac:dyDescent="0.25">
      <c r="Q101" s="53"/>
    </row>
    <row r="102" spans="15:36" x14ac:dyDescent="0.25">
      <c r="Q102" s="53"/>
    </row>
    <row r="103" spans="15:36" x14ac:dyDescent="0.25">
      <c r="Q103" s="53"/>
    </row>
    <row r="104" spans="15:36" x14ac:dyDescent="0.25">
      <c r="Q104" s="64"/>
    </row>
    <row r="105" spans="15:36" ht="15.75" customHeight="1" x14ac:dyDescent="0.25">
      <c r="O105" s="63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</row>
    <row r="106" spans="15:36" x14ac:dyDescent="0.25">
      <c r="O106" s="63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spans="15:36" x14ac:dyDescent="0.25">
      <c r="O107" s="63"/>
      <c r="P107" s="62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spans="15:36" x14ac:dyDescent="0.25">
      <c r="O108" s="63"/>
      <c r="P108" s="62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10" spans="15:36" x14ac:dyDescent="0.25">
      <c r="P110" s="60"/>
    </row>
    <row r="113" spans="16:16" x14ac:dyDescent="0.25">
      <c r="P113" s="55"/>
    </row>
    <row r="115" spans="16:16" x14ac:dyDescent="0.25">
      <c r="P115" s="54"/>
    </row>
    <row r="116" spans="16:16" x14ac:dyDescent="0.25">
      <c r="P116" s="54"/>
    </row>
    <row r="117" spans="16:16" x14ac:dyDescent="0.25">
      <c r="P117" s="54"/>
    </row>
    <row r="118" spans="16:16" x14ac:dyDescent="0.25">
      <c r="P118" s="54"/>
    </row>
    <row r="119" spans="16:16" x14ac:dyDescent="0.25">
      <c r="P119" s="54"/>
    </row>
    <row r="120" spans="16:16" x14ac:dyDescent="0.25">
      <c r="P120" s="54"/>
    </row>
    <row r="121" spans="16:16" x14ac:dyDescent="0.25">
      <c r="P121" s="53"/>
    </row>
    <row r="124" spans="16:16" x14ac:dyDescent="0.25">
      <c r="P124" s="53"/>
    </row>
    <row r="127" spans="16:16" x14ac:dyDescent="0.25">
      <c r="P127" s="51"/>
    </row>
    <row r="128" spans="16:16" x14ac:dyDescent="0.25">
      <c r="P128" s="51"/>
    </row>
    <row r="129" spans="16:16" x14ac:dyDescent="0.25">
      <c r="P129" s="53"/>
    </row>
    <row r="130" spans="16:16" x14ac:dyDescent="0.25">
      <c r="P130" s="53"/>
    </row>
    <row r="131" spans="16:16" x14ac:dyDescent="0.25">
      <c r="P131" s="53"/>
    </row>
    <row r="132" spans="16:16" x14ac:dyDescent="0.25">
      <c r="P132" s="51"/>
    </row>
    <row r="133" spans="16:16" x14ac:dyDescent="0.25">
      <c r="P133" s="53"/>
    </row>
    <row r="134" spans="16:16" x14ac:dyDescent="0.25">
      <c r="P134" s="53"/>
    </row>
    <row r="135" spans="16:16" x14ac:dyDescent="0.25">
      <c r="P135" s="53"/>
    </row>
    <row r="136" spans="16:16" x14ac:dyDescent="0.25">
      <c r="P136" s="51"/>
    </row>
    <row r="137" spans="16:16" x14ac:dyDescent="0.25">
      <c r="P137" s="53"/>
    </row>
    <row r="138" spans="16:16" x14ac:dyDescent="0.25">
      <c r="P138" s="53"/>
    </row>
    <row r="139" spans="16:16" x14ac:dyDescent="0.25">
      <c r="P139" s="51"/>
    </row>
    <row r="140" spans="16:16" x14ac:dyDescent="0.25">
      <c r="P140" s="51"/>
    </row>
    <row r="141" spans="16:16" x14ac:dyDescent="0.25">
      <c r="P141" s="51"/>
    </row>
    <row r="149" spans="17:18" x14ac:dyDescent="0.25">
      <c r="R149" s="53"/>
    </row>
    <row r="151" spans="17:18" x14ac:dyDescent="0.25">
      <c r="R151" s="53"/>
    </row>
    <row r="152" spans="17:18" x14ac:dyDescent="0.25">
      <c r="R152" s="53"/>
    </row>
    <row r="155" spans="17:18" x14ac:dyDescent="0.25">
      <c r="R155" s="48"/>
    </row>
    <row r="156" spans="17:18" x14ac:dyDescent="0.25">
      <c r="R156" s="53"/>
    </row>
    <row r="158" spans="17:18" x14ac:dyDescent="0.25">
      <c r="R158" s="52"/>
    </row>
    <row r="159" spans="17:18" x14ac:dyDescent="0.25">
      <c r="R159" s="59"/>
    </row>
    <row r="160" spans="17:18" x14ac:dyDescent="0.25">
      <c r="Q160" s="53"/>
    </row>
    <row r="161" spans="17:20" x14ac:dyDescent="0.25">
      <c r="Q161" s="53"/>
    </row>
    <row r="162" spans="17:20" x14ac:dyDescent="0.25">
      <c r="Q162" s="53"/>
    </row>
    <row r="164" spans="17:20" x14ac:dyDescent="0.25">
      <c r="Q164" s="58"/>
      <c r="R164" s="57"/>
      <c r="T164" s="57"/>
    </row>
    <row r="165" spans="17:20" x14ac:dyDescent="0.25">
      <c r="Q165" s="52"/>
      <c r="R165" s="52"/>
      <c r="S165" s="48"/>
      <c r="T165" s="52"/>
    </row>
    <row r="166" spans="17:20" x14ac:dyDescent="0.25">
      <c r="Q166" s="52"/>
      <c r="R166" s="52"/>
      <c r="S166" s="48"/>
      <c r="T166" s="52"/>
    </row>
    <row r="167" spans="17:20" x14ac:dyDescent="0.25">
      <c r="Q167" s="52"/>
      <c r="R167" s="52"/>
      <c r="S167" s="48"/>
      <c r="T167" s="52"/>
    </row>
    <row r="168" spans="17:20" x14ac:dyDescent="0.25">
      <c r="Q168" s="52"/>
      <c r="R168" s="52"/>
      <c r="S168" s="48"/>
      <c r="T168" s="52"/>
    </row>
    <row r="169" spans="17:20" x14ac:dyDescent="0.25">
      <c r="Q169" s="52"/>
      <c r="R169" s="52"/>
      <c r="S169" s="48"/>
      <c r="T169" s="52"/>
    </row>
    <row r="170" spans="17:20" x14ac:dyDescent="0.25">
      <c r="Q170" s="52"/>
      <c r="R170" s="52"/>
      <c r="S170" s="48"/>
      <c r="T170" s="52"/>
    </row>
    <row r="171" spans="17:20" x14ac:dyDescent="0.25">
      <c r="Q171" s="52"/>
      <c r="R171" s="52"/>
      <c r="S171" s="48"/>
      <c r="T171" s="52"/>
    </row>
    <row r="173" spans="17:20" x14ac:dyDescent="0.25">
      <c r="Q173" s="56"/>
      <c r="R173" s="53"/>
      <c r="S173" s="53"/>
      <c r="T173" s="54"/>
    </row>
    <row r="174" spans="17:20" x14ac:dyDescent="0.25">
      <c r="Q174" s="56"/>
      <c r="R174" s="53"/>
      <c r="T174" s="52"/>
    </row>
    <row r="175" spans="17:20" x14ac:dyDescent="0.25">
      <c r="Q175" s="56"/>
      <c r="R175" s="53"/>
      <c r="T175" s="53"/>
    </row>
    <row r="176" spans="17:20" x14ac:dyDescent="0.25">
      <c r="Q176" s="56"/>
      <c r="R176" s="53"/>
      <c r="T176" s="53"/>
    </row>
    <row r="177" spans="16:20" x14ac:dyDescent="0.25">
      <c r="R177" s="52"/>
      <c r="T177" s="52"/>
    </row>
    <row r="180" spans="16:20" x14ac:dyDescent="0.25">
      <c r="P180" s="55"/>
    </row>
    <row r="182" spans="16:20" x14ac:dyDescent="0.25">
      <c r="P182" s="54"/>
    </row>
    <row r="183" spans="16:20" x14ac:dyDescent="0.25">
      <c r="P183" s="54"/>
    </row>
    <row r="184" spans="16:20" x14ac:dyDescent="0.25">
      <c r="P184" s="54"/>
    </row>
    <row r="185" spans="16:20" x14ac:dyDescent="0.25">
      <c r="P185" s="54"/>
    </row>
    <row r="186" spans="16:20" x14ac:dyDescent="0.25">
      <c r="P186" s="54"/>
    </row>
    <row r="187" spans="16:20" x14ac:dyDescent="0.25">
      <c r="P187" s="54"/>
    </row>
    <row r="188" spans="16:20" x14ac:dyDescent="0.25">
      <c r="P188" s="53"/>
    </row>
    <row r="191" spans="16:20" x14ac:dyDescent="0.25">
      <c r="Q191" s="52"/>
    </row>
    <row r="192" spans="16:20" x14ac:dyDescent="0.25">
      <c r="Q192" s="52"/>
    </row>
    <row r="193" spans="16:17" x14ac:dyDescent="0.25">
      <c r="Q193" s="52"/>
    </row>
    <row r="194" spans="16:17" x14ac:dyDescent="0.25">
      <c r="Q194" s="51"/>
    </row>
    <row r="195" spans="16:17" x14ac:dyDescent="0.25">
      <c r="Q195" s="50"/>
    </row>
    <row r="198" spans="16:17" x14ac:dyDescent="0.25">
      <c r="P198" s="48"/>
    </row>
    <row r="199" spans="16:17" x14ac:dyDescent="0.25">
      <c r="P199" s="48"/>
    </row>
    <row r="200" spans="16:17" ht="18" x14ac:dyDescent="0.4">
      <c r="P200" s="49"/>
    </row>
    <row r="201" spans="16:17" x14ac:dyDescent="0.25">
      <c r="P201" s="48"/>
    </row>
  </sheetData>
  <mergeCells count="23">
    <mergeCell ref="A5:M6"/>
    <mergeCell ref="AC7:AK8"/>
    <mergeCell ref="P9:Z9"/>
    <mergeCell ref="C10:D10"/>
    <mergeCell ref="AC10:AF10"/>
    <mergeCell ref="C11:D11"/>
    <mergeCell ref="A18:M19"/>
    <mergeCell ref="C21:D21"/>
    <mergeCell ref="C22:D22"/>
    <mergeCell ref="C23:D23"/>
    <mergeCell ref="B51:M52"/>
    <mergeCell ref="P105:Z105"/>
    <mergeCell ref="A40:M41"/>
    <mergeCell ref="C24:D24"/>
    <mergeCell ref="C25:D25"/>
    <mergeCell ref="C45:D45"/>
    <mergeCell ref="C46:D46"/>
    <mergeCell ref="C47:D47"/>
    <mergeCell ref="C29:D29"/>
    <mergeCell ref="C30:D30"/>
    <mergeCell ref="C31:D31"/>
    <mergeCell ref="C32:D32"/>
    <mergeCell ref="B34:L35"/>
  </mergeCells>
  <pageMargins left="0.7" right="0.7" top="0.75" bottom="0.75" header="0.3" footer="0.3"/>
  <pageSetup scale="50" orientation="portrait" r:id="rId1"/>
  <colBreaks count="2" manualBreakCount="2">
    <brk id="14" max="1048575" man="1"/>
    <brk id="2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0"/>
  <sheetViews>
    <sheetView zoomScaleNormal="100" zoomScaleSheetLayoutView="100" workbookViewId="0"/>
  </sheetViews>
  <sheetFormatPr defaultColWidth="9.28515625" defaultRowHeight="15.75" x14ac:dyDescent="0.25"/>
  <cols>
    <col min="1" max="1" width="3.7109375" style="2" customWidth="1"/>
    <col min="2" max="6" width="20.7109375" style="2" customWidth="1"/>
    <col min="7" max="9" width="3.7109375" style="2" customWidth="1"/>
    <col min="10" max="10" width="1.7109375" style="41" customWidth="1"/>
    <col min="11" max="11" width="3.7109375" style="1" customWidth="1"/>
    <col min="12" max="22" width="10.7109375" style="1" customWidth="1"/>
    <col min="23" max="23" width="1.7109375" style="7" customWidth="1"/>
    <col min="24" max="16384" width="9.28515625" style="1"/>
  </cols>
  <sheetData>
    <row r="1" spans="1:22" x14ac:dyDescent="0.25">
      <c r="A1" s="21" t="s">
        <v>2</v>
      </c>
      <c r="B1" s="22"/>
      <c r="C1" s="22"/>
      <c r="D1" s="22"/>
      <c r="E1" s="22"/>
      <c r="F1" s="22"/>
      <c r="G1" s="22"/>
      <c r="H1" s="22"/>
      <c r="I1" s="22"/>
      <c r="J1" s="23"/>
      <c r="K1" s="21" t="s">
        <v>2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x14ac:dyDescent="0.25">
      <c r="A2" s="21" t="s">
        <v>3</v>
      </c>
      <c r="B2" s="22"/>
      <c r="C2" s="22"/>
      <c r="D2" s="22"/>
      <c r="E2" s="22"/>
      <c r="F2" s="22"/>
      <c r="G2" s="22"/>
      <c r="H2" s="22"/>
      <c r="I2" s="22"/>
      <c r="J2" s="23"/>
      <c r="K2" s="21" t="s">
        <v>3</v>
      </c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x14ac:dyDescent="0.25">
      <c r="A3" s="21" t="s">
        <v>4</v>
      </c>
      <c r="B3" s="22"/>
      <c r="C3" s="22"/>
      <c r="D3" s="22"/>
      <c r="E3" s="22"/>
      <c r="F3" s="22"/>
      <c r="G3" s="22"/>
      <c r="H3" s="22"/>
      <c r="I3" s="22"/>
      <c r="J3" s="23"/>
      <c r="K3" s="21" t="s">
        <v>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x14ac:dyDescent="0.25"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5">
      <c r="A5" s="3" t="s">
        <v>0</v>
      </c>
      <c r="K5" s="3" t="s">
        <v>5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25">
      <c r="A6" s="4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5.75" customHeight="1" x14ac:dyDescent="0.25">
      <c r="A7" s="4"/>
      <c r="B7" s="27" t="s">
        <v>6</v>
      </c>
      <c r="K7" s="2" t="s">
        <v>7</v>
      </c>
      <c r="L7" s="161" t="s">
        <v>8</v>
      </c>
      <c r="M7" s="161"/>
      <c r="N7" s="161"/>
      <c r="O7" s="161"/>
      <c r="P7" s="161"/>
      <c r="Q7" s="161"/>
      <c r="R7" s="161"/>
      <c r="S7" s="161"/>
      <c r="T7" s="161"/>
      <c r="U7" s="161"/>
      <c r="V7" s="161"/>
    </row>
    <row r="8" spans="1:22" x14ac:dyDescent="0.25">
      <c r="B8" s="2" t="s">
        <v>9</v>
      </c>
      <c r="K8" s="2"/>
      <c r="L8" s="10"/>
      <c r="M8" s="2"/>
      <c r="N8" s="2"/>
      <c r="O8" s="2"/>
      <c r="P8" s="2"/>
      <c r="Q8" s="5"/>
      <c r="R8" s="6"/>
      <c r="S8" s="6"/>
      <c r="T8" s="6"/>
      <c r="U8" s="6"/>
      <c r="V8" s="6"/>
    </row>
    <row r="9" spans="1:22" x14ac:dyDescent="0.25">
      <c r="B9" s="8"/>
      <c r="C9" s="8"/>
      <c r="D9" s="8"/>
      <c r="E9" s="8"/>
      <c r="F9" s="8"/>
      <c r="G9" s="8"/>
      <c r="H9" s="8"/>
      <c r="K9" s="2"/>
      <c r="L9" s="10" t="s">
        <v>10</v>
      </c>
      <c r="M9" s="2"/>
      <c r="N9" s="2"/>
      <c r="O9" s="2"/>
      <c r="P9" s="2"/>
      <c r="Q9" s="5"/>
      <c r="R9" s="6"/>
      <c r="S9" s="6"/>
      <c r="T9" s="6"/>
      <c r="U9" s="6"/>
      <c r="V9" s="6"/>
    </row>
    <row r="10" spans="1:22" x14ac:dyDescent="0.25">
      <c r="B10" s="28" t="s">
        <v>11</v>
      </c>
      <c r="C10" s="29" t="s">
        <v>13</v>
      </c>
      <c r="D10" s="29" t="s">
        <v>14</v>
      </c>
      <c r="E10" s="29" t="s">
        <v>15</v>
      </c>
      <c r="F10" s="46" t="s">
        <v>12</v>
      </c>
      <c r="G10" s="9"/>
      <c r="H10" s="9"/>
      <c r="K10" s="2"/>
      <c r="L10" s="10"/>
      <c r="M10" s="2"/>
      <c r="N10" s="2"/>
      <c r="O10" s="2"/>
      <c r="P10" s="2"/>
      <c r="Q10" s="11"/>
      <c r="R10" s="6"/>
      <c r="S10" s="6"/>
      <c r="T10" s="6"/>
      <c r="U10" s="6"/>
      <c r="V10" s="6"/>
    </row>
    <row r="11" spans="1:22" x14ac:dyDescent="0.25">
      <c r="B11" s="28" t="s">
        <v>16</v>
      </c>
      <c r="C11" s="29">
        <v>3.2000000000000001E-2</v>
      </c>
      <c r="D11" s="29">
        <v>0.03</v>
      </c>
      <c r="E11" s="29">
        <v>5.5E-2</v>
      </c>
      <c r="F11" s="42">
        <v>0.4</v>
      </c>
      <c r="G11" s="162"/>
      <c r="H11" s="162"/>
      <c r="K11" s="2"/>
      <c r="L11" s="10" t="s">
        <v>32</v>
      </c>
      <c r="M11" s="2"/>
      <c r="N11" s="2"/>
      <c r="O11" s="2"/>
      <c r="P11" s="2"/>
      <c r="Q11" s="11"/>
      <c r="R11" s="6"/>
      <c r="S11" s="6"/>
      <c r="T11" s="6"/>
      <c r="U11" s="6"/>
      <c r="V11" s="6"/>
    </row>
    <row r="12" spans="1:22" ht="15.75" customHeight="1" x14ac:dyDescent="0.25">
      <c r="B12" s="28" t="s">
        <v>17</v>
      </c>
      <c r="C12" s="29">
        <v>7.6999999999999999E-2</v>
      </c>
      <c r="D12" s="29">
        <v>6.6000000000000003E-2</v>
      </c>
      <c r="E12" s="29">
        <v>0.18</v>
      </c>
      <c r="F12" s="42">
        <v>0.6</v>
      </c>
      <c r="G12" s="163"/>
      <c r="H12" s="163"/>
      <c r="K12" s="2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spans="1:22" x14ac:dyDescent="0.25">
      <c r="B13" s="30"/>
      <c r="C13" s="31"/>
      <c r="D13" s="30"/>
      <c r="E13" s="31"/>
      <c r="F13" s="30"/>
      <c r="G13" s="31"/>
      <c r="H13" s="30"/>
      <c r="K13" s="2"/>
      <c r="L13" s="12" t="s">
        <v>1</v>
      </c>
      <c r="M13" s="40"/>
      <c r="N13" s="40"/>
      <c r="O13" s="40"/>
      <c r="P13" s="40"/>
      <c r="Q13" s="40"/>
      <c r="R13" s="40"/>
      <c r="S13" s="40"/>
      <c r="T13" s="40"/>
      <c r="U13" s="40"/>
      <c r="V13" s="40"/>
    </row>
    <row r="14" spans="1:22" x14ac:dyDescent="0.25">
      <c r="B14" s="27" t="s">
        <v>28</v>
      </c>
      <c r="C14" s="32">
        <v>0.25</v>
      </c>
      <c r="D14" s="33"/>
      <c r="E14" s="33"/>
      <c r="F14" s="33"/>
      <c r="K14" s="2"/>
      <c r="L14" s="10"/>
      <c r="M14" s="2"/>
      <c r="N14" s="2"/>
      <c r="O14" s="2"/>
      <c r="P14" s="2"/>
      <c r="Q14" s="11"/>
      <c r="R14" s="6"/>
      <c r="S14" s="6"/>
      <c r="T14" s="6"/>
      <c r="U14" s="6"/>
      <c r="V14" s="6"/>
    </row>
    <row r="15" spans="1:22" x14ac:dyDescent="0.25">
      <c r="B15" s="13"/>
      <c r="C15" s="5"/>
    </row>
    <row r="17" spans="2:16" x14ac:dyDescent="0.25">
      <c r="L17" s="34" t="s">
        <v>18</v>
      </c>
      <c r="M17" s="35"/>
    </row>
    <row r="19" spans="2:16" x14ac:dyDescent="0.25">
      <c r="B19" s="10"/>
      <c r="C19" s="10"/>
      <c r="D19" s="10"/>
      <c r="E19" s="10"/>
      <c r="F19" s="10"/>
      <c r="G19" s="10"/>
      <c r="H19" s="10"/>
      <c r="M19" s="35" t="s">
        <v>19</v>
      </c>
    </row>
    <row r="20" spans="2:16" x14ac:dyDescent="0.25">
      <c r="B20" s="10"/>
      <c r="C20" s="10"/>
      <c r="D20" s="10"/>
      <c r="E20" s="10"/>
      <c r="F20" s="10"/>
      <c r="G20" s="10"/>
      <c r="H20" s="10"/>
      <c r="L20" s="19"/>
      <c r="M20" s="36" t="s">
        <v>20</v>
      </c>
    </row>
    <row r="21" spans="2:16" x14ac:dyDescent="0.25">
      <c r="M21" s="36" t="s">
        <v>21</v>
      </c>
    </row>
    <row r="22" spans="2:16" x14ac:dyDescent="0.25">
      <c r="M22" s="36"/>
      <c r="P22" s="37"/>
    </row>
    <row r="23" spans="2:16" x14ac:dyDescent="0.25">
      <c r="M23" s="43" t="s">
        <v>29</v>
      </c>
      <c r="N23" s="44">
        <f>C11*F11+C12*F12</f>
        <v>5.8999999999999997E-2</v>
      </c>
      <c r="P23" s="37"/>
    </row>
    <row r="24" spans="2:16" x14ac:dyDescent="0.25">
      <c r="M24" s="20"/>
      <c r="N24" s="20"/>
      <c r="O24" s="20"/>
      <c r="P24" s="20"/>
    </row>
    <row r="25" spans="2:16" x14ac:dyDescent="0.25">
      <c r="L25" s="34" t="s">
        <v>22</v>
      </c>
      <c r="N25" s="14"/>
      <c r="O25" s="15"/>
      <c r="P25" s="16"/>
    </row>
    <row r="26" spans="2:16" x14ac:dyDescent="0.25">
      <c r="L26" s="26"/>
      <c r="N26" s="14"/>
      <c r="O26" s="15"/>
      <c r="P26" s="16"/>
    </row>
    <row r="27" spans="2:16" x14ac:dyDescent="0.25">
      <c r="L27" s="26"/>
      <c r="M27" s="36" t="s">
        <v>34</v>
      </c>
      <c r="N27" s="14"/>
      <c r="O27" s="15"/>
      <c r="P27" s="16"/>
    </row>
    <row r="28" spans="2:16" x14ac:dyDescent="0.25">
      <c r="L28" s="26"/>
      <c r="M28" s="36" t="s">
        <v>33</v>
      </c>
      <c r="N28" s="14"/>
      <c r="O28" s="15"/>
      <c r="P28" s="16"/>
    </row>
    <row r="29" spans="2:16" x14ac:dyDescent="0.25">
      <c r="L29" s="26"/>
      <c r="M29" s="36" t="s">
        <v>23</v>
      </c>
      <c r="N29" s="14"/>
      <c r="O29" s="15"/>
    </row>
    <row r="30" spans="2:16" x14ac:dyDescent="0.25">
      <c r="L30" s="26"/>
      <c r="M30" s="36"/>
      <c r="N30" s="14"/>
      <c r="O30" s="15"/>
      <c r="P30" s="38"/>
    </row>
    <row r="31" spans="2:16" x14ac:dyDescent="0.25">
      <c r="L31" s="26"/>
      <c r="M31" s="43" t="s">
        <v>29</v>
      </c>
      <c r="N31" s="45">
        <f>(E11^2*F11^2+E12^2*F12^2+2*F12*F11*E11*E12*C14)^0.5</f>
        <v>0.11548160026601639</v>
      </c>
      <c r="O31" s="15"/>
      <c r="P31" s="38"/>
    </row>
    <row r="32" spans="2:16" x14ac:dyDescent="0.25">
      <c r="L32" s="26"/>
      <c r="M32" s="35"/>
      <c r="P32" s="18"/>
    </row>
    <row r="33" spans="12:16" x14ac:dyDescent="0.25">
      <c r="M33" s="36" t="s">
        <v>24</v>
      </c>
    </row>
    <row r="34" spans="12:16" x14ac:dyDescent="0.25">
      <c r="M34" s="36" t="s">
        <v>30</v>
      </c>
      <c r="N34" s="24"/>
      <c r="P34" s="18"/>
    </row>
    <row r="35" spans="12:16" x14ac:dyDescent="0.25">
      <c r="M35" s="36" t="s">
        <v>25</v>
      </c>
    </row>
    <row r="37" spans="12:16" x14ac:dyDescent="0.25">
      <c r="L37" s="25"/>
      <c r="M37" s="43" t="s">
        <v>29</v>
      </c>
      <c r="N37" s="45">
        <f>EXP(LN(1+N23)-LN((1+(N31^2)/((1+N23)^2)/2)))-1</f>
        <v>5.2740709782129747E-2</v>
      </c>
    </row>
    <row r="39" spans="12:16" x14ac:dyDescent="0.25">
      <c r="M39" s="36" t="s">
        <v>35</v>
      </c>
    </row>
    <row r="40" spans="12:16" x14ac:dyDescent="0.25">
      <c r="L40" s="19"/>
      <c r="M40" s="36" t="s">
        <v>26</v>
      </c>
    </row>
    <row r="41" spans="12:16" x14ac:dyDescent="0.25">
      <c r="L41" s="26"/>
      <c r="M41" s="36" t="s">
        <v>31</v>
      </c>
    </row>
    <row r="42" spans="12:16" x14ac:dyDescent="0.25">
      <c r="M42" s="39" t="s">
        <v>27</v>
      </c>
    </row>
    <row r="43" spans="12:16" x14ac:dyDescent="0.25">
      <c r="N43" s="14"/>
      <c r="O43" s="15"/>
      <c r="P43" s="16"/>
    </row>
    <row r="44" spans="12:16" x14ac:dyDescent="0.25">
      <c r="M44" s="43" t="s">
        <v>29</v>
      </c>
      <c r="N44" s="45">
        <f>N23-((N31)^2/2)</f>
        <v>5.2331999999999997E-2</v>
      </c>
      <c r="O44" s="15"/>
      <c r="P44" s="16"/>
    </row>
    <row r="45" spans="12:16" x14ac:dyDescent="0.25">
      <c r="N45" s="14"/>
      <c r="O45" s="15"/>
      <c r="P45" s="16"/>
    </row>
    <row r="46" spans="12:16" x14ac:dyDescent="0.25">
      <c r="N46" s="14"/>
      <c r="O46" s="15"/>
      <c r="P46" s="16"/>
    </row>
    <row r="47" spans="12:16" ht="18" x14ac:dyDescent="0.4">
      <c r="N47" s="14"/>
      <c r="O47" s="15"/>
      <c r="P47" s="17"/>
    </row>
    <row r="48" spans="12:16" x14ac:dyDescent="0.25">
      <c r="P48" s="18"/>
    </row>
    <row r="50" spans="14:16" x14ac:dyDescent="0.25">
      <c r="N50" s="24"/>
      <c r="P50" s="18"/>
    </row>
  </sheetData>
  <sheetProtection formatCells="0" formatColumns="0" formatRows="0" insertColumns="0" insertRows="0"/>
  <mergeCells count="3">
    <mergeCell ref="L7:V7"/>
    <mergeCell ref="G11:H11"/>
    <mergeCell ref="G12:H12"/>
  </mergeCells>
  <pageMargins left="0.7" right="0.7" top="0.75" bottom="0.75" header="0.3" footer="0.3"/>
  <pageSetup scale="68" orientation="portrait" horizontalDpi="4294967293" verticalDpi="300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77579-79AB-4AC6-BD83-14E2A4715B30}">
  <dimension ref="A1:V47"/>
  <sheetViews>
    <sheetView zoomScale="70" zoomScaleNormal="70" zoomScaleSheetLayoutView="100" workbookViewId="0"/>
  </sheetViews>
  <sheetFormatPr defaultColWidth="9.28515625" defaultRowHeight="15.75" x14ac:dyDescent="0.25"/>
  <cols>
    <col min="1" max="1" width="3.7109375" style="22" customWidth="1"/>
    <col min="2" max="2" width="39" style="22" customWidth="1"/>
    <col min="3" max="4" width="12.5703125" style="22" customWidth="1"/>
    <col min="5" max="5" width="6.85546875" style="22" bestFit="1" customWidth="1"/>
    <col min="6" max="6" width="10" style="22" bestFit="1" customWidth="1"/>
    <col min="7" max="7" width="6.85546875" style="22" bestFit="1" customWidth="1"/>
    <col min="8" max="8" width="10" style="22" bestFit="1" customWidth="1"/>
    <col min="9" max="9" width="1" style="23" customWidth="1"/>
    <col min="10" max="10" width="4" style="1" customWidth="1"/>
    <col min="11" max="13" width="9.42578125" style="1" customWidth="1"/>
    <col min="14" max="15" width="13.5703125" style="1" customWidth="1"/>
    <col min="16" max="16" width="10.140625" style="1" customWidth="1"/>
    <col min="17" max="17" width="13.28515625" style="1" customWidth="1"/>
    <col min="18" max="21" width="10.140625" style="1" customWidth="1"/>
    <col min="22" max="22" width="4.7109375" style="7" customWidth="1"/>
    <col min="23" max="16384" width="9.28515625" style="1"/>
  </cols>
  <sheetData>
    <row r="1" spans="1:21" x14ac:dyDescent="0.25">
      <c r="A1" s="21" t="s">
        <v>2</v>
      </c>
      <c r="J1" s="21" t="s">
        <v>2</v>
      </c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x14ac:dyDescent="0.25">
      <c r="A2" s="21" t="s">
        <v>3</v>
      </c>
      <c r="J2" s="21" t="s">
        <v>3</v>
      </c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x14ac:dyDescent="0.25">
      <c r="A3" s="21" t="s">
        <v>134</v>
      </c>
      <c r="J3" s="21" t="s">
        <v>134</v>
      </c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x14ac:dyDescent="0.25"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1" x14ac:dyDescent="0.25">
      <c r="A5" s="126" t="s">
        <v>0</v>
      </c>
      <c r="J5" s="126" t="s">
        <v>135</v>
      </c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x14ac:dyDescent="0.25">
      <c r="A6" s="127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ht="15.75" customHeight="1" x14ac:dyDescent="0.25">
      <c r="A7" s="127" t="s">
        <v>136</v>
      </c>
      <c r="J7" s="22" t="s">
        <v>137</v>
      </c>
      <c r="K7" s="149" t="s">
        <v>138</v>
      </c>
      <c r="L7" s="149"/>
      <c r="M7" s="149"/>
      <c r="N7" s="149"/>
      <c r="O7" s="149"/>
      <c r="P7" s="149"/>
      <c r="Q7" s="149"/>
      <c r="R7" s="149"/>
      <c r="S7" s="149"/>
      <c r="T7" s="149"/>
      <c r="U7" s="149"/>
    </row>
    <row r="8" spans="1:21" x14ac:dyDescent="0.25">
      <c r="J8" s="22"/>
      <c r="K8" s="106"/>
      <c r="L8" s="22"/>
      <c r="M8" s="22"/>
      <c r="N8" s="22"/>
      <c r="O8" s="22"/>
      <c r="P8" s="128"/>
      <c r="Q8" s="125"/>
      <c r="R8" s="125"/>
      <c r="S8" s="125"/>
      <c r="T8" s="125"/>
      <c r="U8" s="125"/>
    </row>
    <row r="9" spans="1:21" x14ac:dyDescent="0.25">
      <c r="B9" s="112" t="s">
        <v>139</v>
      </c>
      <c r="C9" s="112"/>
      <c r="D9" s="112"/>
      <c r="E9" s="112"/>
      <c r="F9" s="112"/>
      <c r="G9" s="112"/>
      <c r="H9" s="112"/>
      <c r="J9" s="22"/>
      <c r="K9" s="83" t="s">
        <v>140</v>
      </c>
      <c r="L9" s="22"/>
      <c r="M9" s="22"/>
      <c r="N9" s="22"/>
      <c r="O9" s="22"/>
      <c r="P9" s="128"/>
      <c r="Q9" s="125"/>
      <c r="R9" s="125"/>
      <c r="S9" s="125"/>
      <c r="T9" s="125"/>
      <c r="U9" s="125"/>
    </row>
    <row r="10" spans="1:21" ht="16.5" thickBot="1" x14ac:dyDescent="0.3">
      <c r="B10" s="129"/>
      <c r="C10" s="129"/>
      <c r="D10" s="129"/>
      <c r="E10" s="129"/>
      <c r="F10" s="129"/>
      <c r="G10" s="129"/>
      <c r="H10" s="129"/>
      <c r="J10" s="22"/>
      <c r="K10" s="22"/>
      <c r="L10" s="22"/>
      <c r="M10" s="22"/>
      <c r="N10" s="22"/>
      <c r="O10" s="22"/>
      <c r="P10" s="130"/>
      <c r="Q10" s="125"/>
      <c r="R10" s="125"/>
      <c r="S10" s="125"/>
      <c r="T10" s="125"/>
      <c r="U10" s="125"/>
    </row>
    <row r="11" spans="1:21" ht="16.5" thickBot="1" x14ac:dyDescent="0.3">
      <c r="B11" s="131"/>
      <c r="C11" s="132" t="s">
        <v>141</v>
      </c>
      <c r="D11" s="133" t="s">
        <v>142</v>
      </c>
      <c r="E11" s="164"/>
      <c r="F11" s="164"/>
      <c r="G11" s="164"/>
      <c r="H11" s="164"/>
      <c r="J11" s="22"/>
      <c r="K11" s="83" t="s">
        <v>143</v>
      </c>
      <c r="L11" s="22"/>
      <c r="M11" s="22"/>
      <c r="N11" s="22"/>
      <c r="O11" s="22"/>
      <c r="P11" s="130"/>
      <c r="Q11" s="125"/>
      <c r="R11" s="125"/>
      <c r="S11" s="125"/>
      <c r="T11" s="125"/>
      <c r="U11" s="125"/>
    </row>
    <row r="12" spans="1:21" ht="15.75" customHeight="1" thickBot="1" x14ac:dyDescent="0.3">
      <c r="B12" s="134" t="s">
        <v>144</v>
      </c>
      <c r="C12" s="135">
        <v>1650</v>
      </c>
      <c r="D12" s="136">
        <v>201</v>
      </c>
      <c r="E12" s="165"/>
      <c r="F12" s="165"/>
      <c r="G12" s="165"/>
      <c r="H12" s="165"/>
      <c r="J12" s="22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</row>
    <row r="13" spans="1:21" ht="32.25" thickBot="1" x14ac:dyDescent="0.3">
      <c r="B13" s="134" t="s">
        <v>145</v>
      </c>
      <c r="C13" s="135">
        <v>1500</v>
      </c>
      <c r="D13" s="136">
        <v>233</v>
      </c>
      <c r="E13" s="137"/>
      <c r="F13" s="138"/>
      <c r="G13" s="137"/>
      <c r="H13" s="138"/>
      <c r="J13" s="22"/>
      <c r="K13" s="83" t="s">
        <v>1</v>
      </c>
      <c r="L13" s="89"/>
      <c r="M13" s="89"/>
      <c r="N13" s="89"/>
      <c r="O13" s="89"/>
      <c r="P13" s="89"/>
      <c r="Q13" s="89"/>
      <c r="R13" s="89"/>
      <c r="S13" s="89"/>
      <c r="T13" s="89"/>
      <c r="U13" s="89"/>
    </row>
    <row r="14" spans="1:21" ht="32.25" thickBot="1" x14ac:dyDescent="0.3">
      <c r="B14" s="131" t="s">
        <v>146</v>
      </c>
      <c r="C14" s="139">
        <v>1537</v>
      </c>
      <c r="D14" s="139">
        <v>1537</v>
      </c>
    </row>
    <row r="15" spans="1:21" x14ac:dyDescent="0.25">
      <c r="B15" s="140"/>
      <c r="C15" s="128"/>
      <c r="K15" s="1" t="s">
        <v>140</v>
      </c>
    </row>
    <row r="16" spans="1:21" x14ac:dyDescent="0.25">
      <c r="A16" s="22" t="s">
        <v>137</v>
      </c>
      <c r="B16" s="149" t="s">
        <v>138</v>
      </c>
      <c r="C16" s="149"/>
      <c r="D16" s="149"/>
      <c r="E16" s="149"/>
      <c r="F16" s="149"/>
      <c r="G16" s="149"/>
      <c r="H16" s="149"/>
      <c r="K16" s="25"/>
    </row>
    <row r="17" spans="2:19" x14ac:dyDescent="0.25">
      <c r="B17" s="106"/>
      <c r="G17" s="128"/>
      <c r="H17" s="125"/>
      <c r="K17" s="1" t="s">
        <v>147</v>
      </c>
    </row>
    <row r="18" spans="2:19" x14ac:dyDescent="0.25">
      <c r="B18" s="83" t="s">
        <v>140</v>
      </c>
      <c r="G18" s="130"/>
      <c r="H18" s="125"/>
    </row>
    <row r="19" spans="2:19" x14ac:dyDescent="0.25">
      <c r="G19" s="130"/>
      <c r="H19" s="125"/>
      <c r="K19" s="1" t="s">
        <v>148</v>
      </c>
      <c r="L19" s="19" t="s">
        <v>149</v>
      </c>
      <c r="S19" s="141"/>
    </row>
    <row r="20" spans="2:19" x14ac:dyDescent="0.25">
      <c r="B20" s="83" t="s">
        <v>143</v>
      </c>
      <c r="C20" s="89"/>
      <c r="D20" s="89"/>
      <c r="E20" s="89"/>
      <c r="F20" s="89"/>
      <c r="G20" s="89"/>
      <c r="H20" s="89"/>
      <c r="K20" s="142" t="s">
        <v>150</v>
      </c>
      <c r="L20" s="143">
        <f>C12/C13</f>
        <v>1.1000000000000001</v>
      </c>
    </row>
    <row r="21" spans="2:19" x14ac:dyDescent="0.25">
      <c r="B21" s="89"/>
      <c r="C21" s="89"/>
      <c r="D21" s="89"/>
      <c r="E21" s="89"/>
      <c r="F21" s="89"/>
      <c r="G21" s="89"/>
      <c r="H21" s="89"/>
    </row>
    <row r="22" spans="2:19" x14ac:dyDescent="0.25">
      <c r="B22" s="83" t="s">
        <v>1</v>
      </c>
      <c r="G22" s="130"/>
      <c r="H22" s="125"/>
      <c r="L22" s="20"/>
      <c r="M22" s="20"/>
      <c r="N22" s="20"/>
      <c r="O22" s="20"/>
    </row>
    <row r="23" spans="2:19" x14ac:dyDescent="0.25">
      <c r="K23" s="1" t="s">
        <v>143</v>
      </c>
      <c r="M23" s="14"/>
      <c r="N23" s="15"/>
      <c r="O23" s="16"/>
    </row>
    <row r="24" spans="2:19" x14ac:dyDescent="0.25">
      <c r="K24" s="26"/>
      <c r="M24" s="14"/>
      <c r="N24" s="15"/>
      <c r="O24" s="16"/>
    </row>
    <row r="25" spans="2:19" x14ac:dyDescent="0.25">
      <c r="K25" s="144" t="s">
        <v>151</v>
      </c>
      <c r="M25" s="14"/>
      <c r="N25" s="15"/>
      <c r="O25" s="16"/>
    </row>
    <row r="26" spans="2:19" x14ac:dyDescent="0.25">
      <c r="K26" s="26"/>
      <c r="M26" s="14"/>
      <c r="N26" s="15"/>
      <c r="O26" s="16"/>
    </row>
    <row r="27" spans="2:19" ht="18" x14ac:dyDescent="0.4">
      <c r="K27" s="145" t="s">
        <v>152</v>
      </c>
      <c r="L27" s="1">
        <f>SQRT(D12/D14)</f>
        <v>0.3616272051764739</v>
      </c>
      <c r="M27" s="144" t="s">
        <v>153</v>
      </c>
      <c r="N27" s="15"/>
      <c r="O27" s="17"/>
    </row>
    <row r="28" spans="2:19" x14ac:dyDescent="0.25">
      <c r="K28" s="145" t="s">
        <v>154</v>
      </c>
      <c r="L28" s="1">
        <f>D12/D13</f>
        <v>0.86266094420600858</v>
      </c>
      <c r="M28" s="144" t="s">
        <v>155</v>
      </c>
      <c r="O28" s="18"/>
      <c r="S28" s="141"/>
    </row>
    <row r="29" spans="2:19" x14ac:dyDescent="0.25">
      <c r="K29" s="146" t="s">
        <v>148</v>
      </c>
      <c r="L29" s="19" t="s">
        <v>156</v>
      </c>
      <c r="M29" s="144"/>
      <c r="O29" s="18"/>
      <c r="S29" s="141"/>
    </row>
    <row r="30" spans="2:19" x14ac:dyDescent="0.25">
      <c r="K30" s="143" t="s">
        <v>150</v>
      </c>
      <c r="L30" s="143">
        <f>(L27*L28) + (1-L27)</f>
        <v>0.95033446109164299</v>
      </c>
    </row>
    <row r="31" spans="2:19" x14ac:dyDescent="0.25">
      <c r="M31" s="24"/>
      <c r="O31" s="18"/>
    </row>
    <row r="34" spans="11:15" x14ac:dyDescent="0.25">
      <c r="K34" s="25"/>
    </row>
    <row r="37" spans="11:15" x14ac:dyDescent="0.25">
      <c r="K37" s="19"/>
    </row>
    <row r="38" spans="11:15" x14ac:dyDescent="0.25">
      <c r="K38" s="26"/>
    </row>
    <row r="39" spans="11:15" x14ac:dyDescent="0.25">
      <c r="L39" s="20"/>
      <c r="M39" s="20"/>
      <c r="N39" s="20"/>
      <c r="O39" s="20"/>
    </row>
    <row r="40" spans="11:15" x14ac:dyDescent="0.25">
      <c r="M40" s="14"/>
      <c r="N40" s="15"/>
      <c r="O40" s="16"/>
    </row>
    <row r="41" spans="11:15" x14ac:dyDescent="0.25">
      <c r="M41" s="14"/>
      <c r="N41" s="15"/>
      <c r="O41" s="16"/>
    </row>
    <row r="42" spans="11:15" x14ac:dyDescent="0.25">
      <c r="M42" s="14"/>
      <c r="N42" s="15"/>
      <c r="O42" s="16"/>
    </row>
    <row r="43" spans="11:15" x14ac:dyDescent="0.25">
      <c r="M43" s="14"/>
      <c r="N43" s="15"/>
      <c r="O43" s="16"/>
    </row>
    <row r="44" spans="11:15" ht="18" x14ac:dyDescent="0.4">
      <c r="M44" s="14"/>
      <c r="N44" s="15"/>
      <c r="O44" s="17"/>
    </row>
    <row r="45" spans="11:15" x14ac:dyDescent="0.25">
      <c r="O45" s="18"/>
    </row>
    <row r="47" spans="11:15" x14ac:dyDescent="0.25">
      <c r="M47" s="24"/>
      <c r="O47" s="18"/>
    </row>
  </sheetData>
  <sheetProtection formatCells="0" formatColumns="0" formatRows="0" insertColumns="0" insertRows="0"/>
  <mergeCells count="6">
    <mergeCell ref="B16:H16"/>
    <mergeCell ref="K7:U7"/>
    <mergeCell ref="E11:F11"/>
    <mergeCell ref="G11:H11"/>
    <mergeCell ref="E12:F12"/>
    <mergeCell ref="G12:H12"/>
  </mergeCells>
  <pageMargins left="0.7" right="0.7" top="0.75" bottom="0.75" header="0.3" footer="0.3"/>
  <pageSetup scale="68" orientation="portrait" horizontalDpi="4294967293" verticalDpi="300" r:id="rId1"/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A87F8BE90AF04C9C0E755B7A54BE1F" ma:contentTypeVersion="8" ma:contentTypeDescription="Create a new document." ma:contentTypeScope="" ma:versionID="baa9af011de380a07db3e5aa3ebf2d99">
  <xsd:schema xmlns:xsd="http://www.w3.org/2001/XMLSchema" xmlns:xs="http://www.w3.org/2001/XMLSchema" xmlns:p="http://schemas.microsoft.com/office/2006/metadata/properties" xmlns:ns3="1c1f44d3-7cb7-4840-a41f-b489ae367cc5" targetNamespace="http://schemas.microsoft.com/office/2006/metadata/properties" ma:root="true" ma:fieldsID="908ca2e89536b3c28c156e25406d657c" ns3:_="">
    <xsd:import namespace="1c1f44d3-7cb7-4840-a41f-b489ae367c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f44d3-7cb7-4840-a41f-b489ae367c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EC05C1-ABD7-4139-8128-684A1F3FE0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4EE503-2E66-41E4-8BF7-55E6043AA141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1c1f44d3-7cb7-4840-a41f-b489ae367cc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8DACA51-CA45-4334-9C12-A880297C73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1f44d3-7cb7-4840-a41f-b489ae367c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Question 5</vt:lpstr>
      <vt:lpstr>Question 6</vt:lpstr>
      <vt:lpstr>Question 9</vt:lpstr>
      <vt:lpstr>'Question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 Zionce</cp:lastModifiedBy>
  <cp:lastPrinted>2020-10-01T03:05:22Z</cp:lastPrinted>
  <dcterms:created xsi:type="dcterms:W3CDTF">2015-06-05T18:17:20Z</dcterms:created>
  <dcterms:modified xsi:type="dcterms:W3CDTF">2021-07-22T20:23:25Z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0x01010028A87F8BE90AF04C9C0E755B7A54BE1F</vt:lpwstr>
  </property>
</Properties>
</file>