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Nidhi\Spring 2024\"/>
    </mc:Choice>
  </mc:AlternateContent>
  <xr:revisionPtr revIDLastSave="0" documentId="8_{FBB834CC-884C-44AC-AC7B-DCC3BDCE84BE}" xr6:coauthVersionLast="47" xr6:coauthVersionMax="47" xr10:uidLastSave="{00000000-0000-0000-0000-000000000000}"/>
  <bookViews>
    <workbookView xWindow="2715" yWindow="105" windowWidth="23430" windowHeight="15210" xr2:uid="{2BE3BAD4-AE66-46DA-91CA-227767237BF3}"/>
  </bookViews>
  <sheets>
    <sheet name="Table 15.1-3" sheetId="13" r:id="rId1"/>
    <sheet name="support for Table 15.1" sheetId="14" r:id="rId2"/>
    <sheet name="Tables 15.4-7" sheetId="5" r:id="rId3"/>
    <sheet name="Table 15.8" sheetId="8" r:id="rId4"/>
    <sheet name="Table 15.9" sheetId="9" r:id="rId5"/>
    <sheet name="Table 15.10" sheetId="10" r:id="rId6"/>
    <sheet name="Table 15.11" sheetId="11" r:id="rId7"/>
    <sheet name="Table 15.12" sheetId="12" r:id="rId8"/>
    <sheet name="Table 15.13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4" l="1"/>
  <c r="J26" i="14"/>
  <c r="I54" i="14"/>
  <c r="I49" i="14"/>
  <c r="I44" i="14"/>
  <c r="I39" i="14"/>
  <c r="I34" i="14"/>
  <c r="I24" i="14"/>
  <c r="I19" i="14"/>
  <c r="I14" i="14"/>
  <c r="I9" i="14"/>
  <c r="I4" i="14"/>
  <c r="G54" i="14"/>
  <c r="G49" i="14"/>
  <c r="G50" i="14" s="1"/>
  <c r="G44" i="14"/>
  <c r="G39" i="14"/>
  <c r="G40" i="14" s="1"/>
  <c r="G34" i="14"/>
  <c r="G35" i="14" s="1"/>
  <c r="G24" i="14"/>
  <c r="G19" i="14"/>
  <c r="G14" i="14"/>
  <c r="G9" i="14"/>
  <c r="G4" i="14"/>
  <c r="E55" i="14"/>
  <c r="E56" i="14"/>
  <c r="E54" i="14"/>
  <c r="E50" i="14"/>
  <c r="F50" i="14" s="1"/>
  <c r="E51" i="14"/>
  <c r="F51" i="14" s="1"/>
  <c r="H51" i="14" s="1"/>
  <c r="J51" i="14" s="1"/>
  <c r="E49" i="14"/>
  <c r="E45" i="14"/>
  <c r="E46" i="14"/>
  <c r="E44" i="14"/>
  <c r="E40" i="14"/>
  <c r="E41" i="14"/>
  <c r="E39" i="14"/>
  <c r="F39" i="14" s="1"/>
  <c r="E35" i="14"/>
  <c r="F35" i="14" s="1"/>
  <c r="E36" i="14"/>
  <c r="F36" i="14" s="1"/>
  <c r="H36" i="14" s="1"/>
  <c r="J36" i="14" s="1"/>
  <c r="E34" i="14"/>
  <c r="E25" i="14"/>
  <c r="E26" i="14"/>
  <c r="E24" i="14"/>
  <c r="E20" i="14"/>
  <c r="E21" i="14"/>
  <c r="E19" i="14"/>
  <c r="F19" i="14" s="1"/>
  <c r="H19" i="14" s="1"/>
  <c r="E15" i="14"/>
  <c r="F15" i="14" s="1"/>
  <c r="H15" i="14" s="1"/>
  <c r="E16" i="14"/>
  <c r="F16" i="14" s="1"/>
  <c r="H16" i="14" s="1"/>
  <c r="J16" i="14" s="1"/>
  <c r="J15" i="14" s="1"/>
  <c r="E14" i="14"/>
  <c r="F14" i="14" s="1"/>
  <c r="H14" i="14" s="1"/>
  <c r="E10" i="14"/>
  <c r="E11" i="14"/>
  <c r="E9" i="14"/>
  <c r="F9" i="14" s="1"/>
  <c r="H9" i="14" s="1"/>
  <c r="E5" i="14"/>
  <c r="E6" i="14"/>
  <c r="E4" i="14"/>
  <c r="F48" i="13"/>
  <c r="F49" i="13"/>
  <c r="F50" i="13"/>
  <c r="F51" i="13"/>
  <c r="F47" i="13"/>
  <c r="F38" i="13"/>
  <c r="F39" i="13"/>
  <c r="F40" i="13"/>
  <c r="F41" i="13"/>
  <c r="F37" i="13"/>
  <c r="F4" i="14"/>
  <c r="F5" i="14"/>
  <c r="H5" i="14" s="1"/>
  <c r="F6" i="14"/>
  <c r="H6" i="14" s="1"/>
  <c r="J6" i="14" s="1"/>
  <c r="J5" i="14" s="1"/>
  <c r="J4" i="14" s="1"/>
  <c r="F10" i="14"/>
  <c r="H10" i="14" s="1"/>
  <c r="F11" i="14"/>
  <c r="H11" i="14" s="1"/>
  <c r="J11" i="14" s="1"/>
  <c r="J10" i="14" s="1"/>
  <c r="J9" i="14" s="1"/>
  <c r="F20" i="14"/>
  <c r="H20" i="14" s="1"/>
  <c r="F21" i="14"/>
  <c r="H21" i="14" s="1"/>
  <c r="J21" i="14" s="1"/>
  <c r="F24" i="14"/>
  <c r="H24" i="14" s="1"/>
  <c r="F25" i="14"/>
  <c r="H25" i="14" s="1"/>
  <c r="F26" i="14"/>
  <c r="H26" i="14" s="1"/>
  <c r="F34" i="14"/>
  <c r="H34" i="14" s="1"/>
  <c r="F40" i="14"/>
  <c r="F41" i="14"/>
  <c r="H41" i="14" s="1"/>
  <c r="J41" i="14" s="1"/>
  <c r="F44" i="14"/>
  <c r="H44" i="14" s="1"/>
  <c r="F45" i="14"/>
  <c r="G45" i="14"/>
  <c r="F46" i="14"/>
  <c r="H46" i="14" s="1"/>
  <c r="F49" i="14"/>
  <c r="F54" i="14"/>
  <c r="H54" i="14" s="1"/>
  <c r="F55" i="14"/>
  <c r="G55" i="14"/>
  <c r="F56" i="14"/>
  <c r="H56" i="14" s="1"/>
  <c r="J56" i="14" s="1"/>
  <c r="D30" i="12"/>
  <c r="D24" i="12"/>
  <c r="K22" i="12"/>
  <c r="F22" i="12"/>
  <c r="E22" i="12"/>
  <c r="M21" i="12"/>
  <c r="L21" i="12"/>
  <c r="K21" i="12"/>
  <c r="J21" i="12"/>
  <c r="I21" i="12"/>
  <c r="H21" i="12"/>
  <c r="G21" i="12"/>
  <c r="F21" i="12"/>
  <c r="E21" i="12"/>
  <c r="D21" i="12"/>
  <c r="G14" i="12"/>
  <c r="M12" i="12"/>
  <c r="M31" i="12" s="1"/>
  <c r="L12" i="12"/>
  <c r="L31" i="12" s="1"/>
  <c r="K12" i="12"/>
  <c r="K31" i="12" s="1"/>
  <c r="J12" i="12"/>
  <c r="J14" i="12" s="1"/>
  <c r="I12" i="12"/>
  <c r="I22" i="12" s="1"/>
  <c r="H12" i="12"/>
  <c r="H22" i="12" s="1"/>
  <c r="G12" i="12"/>
  <c r="F12" i="12"/>
  <c r="F31" i="12" s="1"/>
  <c r="E12" i="12"/>
  <c r="E31" i="12" s="1"/>
  <c r="D12" i="12"/>
  <c r="D31" i="12" s="1"/>
  <c r="M7" i="12"/>
  <c r="L7" i="12"/>
  <c r="K7" i="12"/>
  <c r="J7" i="12"/>
  <c r="I7" i="12"/>
  <c r="H7" i="12"/>
  <c r="G7" i="12"/>
  <c r="F7" i="12"/>
  <c r="E7" i="12"/>
  <c r="D7" i="12"/>
  <c r="F31" i="11"/>
  <c r="D30" i="11"/>
  <c r="D24" i="11"/>
  <c r="F22" i="11"/>
  <c r="M21" i="11"/>
  <c r="L21" i="11"/>
  <c r="K21" i="11"/>
  <c r="J21" i="11"/>
  <c r="I21" i="11"/>
  <c r="H21" i="11"/>
  <c r="G21" i="11"/>
  <c r="F21" i="11"/>
  <c r="E21" i="11"/>
  <c r="D21" i="11"/>
  <c r="G14" i="11"/>
  <c r="M12" i="11"/>
  <c r="M22" i="11" s="1"/>
  <c r="L12" i="11"/>
  <c r="K12" i="11"/>
  <c r="K14" i="11" s="1"/>
  <c r="J12" i="11"/>
  <c r="J31" i="11" s="1"/>
  <c r="I12" i="11"/>
  <c r="I31" i="11" s="1"/>
  <c r="H12" i="11"/>
  <c r="H31" i="11" s="1"/>
  <c r="G12" i="11"/>
  <c r="F12" i="11"/>
  <c r="F14" i="11" s="1"/>
  <c r="E12" i="11"/>
  <c r="E22" i="11" s="1"/>
  <c r="D12" i="11"/>
  <c r="M7" i="11"/>
  <c r="L7" i="11"/>
  <c r="K7" i="11"/>
  <c r="J7" i="11"/>
  <c r="I7" i="11"/>
  <c r="H7" i="11"/>
  <c r="G7" i="11"/>
  <c r="F7" i="11"/>
  <c r="E7" i="11"/>
  <c r="D7" i="11"/>
  <c r="K31" i="10"/>
  <c r="J31" i="10"/>
  <c r="D30" i="10"/>
  <c r="D24" i="10"/>
  <c r="M22" i="10"/>
  <c r="M21" i="10"/>
  <c r="L21" i="10"/>
  <c r="K21" i="10"/>
  <c r="J21" i="10"/>
  <c r="I21" i="10"/>
  <c r="H21" i="10"/>
  <c r="G21" i="10"/>
  <c r="F21" i="10"/>
  <c r="E21" i="10"/>
  <c r="D21" i="10"/>
  <c r="K14" i="10"/>
  <c r="J14" i="10"/>
  <c r="G14" i="10"/>
  <c r="M12" i="10"/>
  <c r="M31" i="10" s="1"/>
  <c r="L12" i="10"/>
  <c r="L31" i="10" s="1"/>
  <c r="K12" i="10"/>
  <c r="K22" i="10" s="1"/>
  <c r="J12" i="10"/>
  <c r="J22" i="10" s="1"/>
  <c r="I12" i="10"/>
  <c r="I22" i="10" s="1"/>
  <c r="H12" i="10"/>
  <c r="G12" i="10"/>
  <c r="F12" i="10"/>
  <c r="F22" i="10" s="1"/>
  <c r="E12" i="10"/>
  <c r="E31" i="10" s="1"/>
  <c r="D12" i="10"/>
  <c r="D31" i="10" s="1"/>
  <c r="M7" i="10"/>
  <c r="L7" i="10"/>
  <c r="K7" i="10"/>
  <c r="J7" i="10"/>
  <c r="I7" i="10"/>
  <c r="H7" i="10"/>
  <c r="G7" i="10"/>
  <c r="F7" i="10"/>
  <c r="E7" i="10"/>
  <c r="D7" i="10"/>
  <c r="G31" i="9"/>
  <c r="F31" i="9"/>
  <c r="D30" i="9"/>
  <c r="D24" i="9"/>
  <c r="G22" i="9"/>
  <c r="F22" i="9"/>
  <c r="M21" i="9"/>
  <c r="L21" i="9"/>
  <c r="K21" i="9"/>
  <c r="J21" i="9"/>
  <c r="I21" i="9"/>
  <c r="H21" i="9"/>
  <c r="G21" i="9"/>
  <c r="F21" i="9"/>
  <c r="E21" i="9"/>
  <c r="D21" i="9"/>
  <c r="G14" i="9"/>
  <c r="F14" i="9"/>
  <c r="M12" i="9"/>
  <c r="M22" i="9" s="1"/>
  <c r="L12" i="9"/>
  <c r="K12" i="9"/>
  <c r="K22" i="9" s="1"/>
  <c r="J12" i="9"/>
  <c r="J22" i="9" s="1"/>
  <c r="I12" i="9"/>
  <c r="I31" i="9" s="1"/>
  <c r="H12" i="9"/>
  <c r="H31" i="9" s="1"/>
  <c r="G12" i="9"/>
  <c r="F12" i="9"/>
  <c r="E12" i="9"/>
  <c r="E22" i="9" s="1"/>
  <c r="D12" i="9"/>
  <c r="M7" i="9"/>
  <c r="L7" i="9"/>
  <c r="K7" i="9"/>
  <c r="J7" i="9"/>
  <c r="I7" i="9"/>
  <c r="H7" i="9"/>
  <c r="G7" i="9"/>
  <c r="F7" i="9"/>
  <c r="E7" i="9"/>
  <c r="D7" i="9"/>
  <c r="K31" i="8"/>
  <c r="J31" i="8"/>
  <c r="F31" i="8"/>
  <c r="D30" i="8"/>
  <c r="D24" i="8"/>
  <c r="J22" i="8"/>
  <c r="M21" i="8"/>
  <c r="L21" i="8"/>
  <c r="K21" i="8"/>
  <c r="J21" i="8"/>
  <c r="I21" i="8"/>
  <c r="H21" i="8"/>
  <c r="G21" i="8"/>
  <c r="F21" i="8"/>
  <c r="E21" i="8"/>
  <c r="D21" i="8"/>
  <c r="K14" i="8"/>
  <c r="J14" i="8"/>
  <c r="G14" i="8"/>
  <c r="F14" i="8"/>
  <c r="M12" i="8"/>
  <c r="M31" i="8" s="1"/>
  <c r="L12" i="8"/>
  <c r="L31" i="8" s="1"/>
  <c r="K12" i="8"/>
  <c r="K22" i="8" s="1"/>
  <c r="J12" i="8"/>
  <c r="I12" i="8"/>
  <c r="I22" i="8" s="1"/>
  <c r="H12" i="8"/>
  <c r="G12" i="8"/>
  <c r="G22" i="8" s="1"/>
  <c r="F12" i="8"/>
  <c r="F22" i="8" s="1"/>
  <c r="E12" i="8"/>
  <c r="E31" i="8" s="1"/>
  <c r="D12" i="8"/>
  <c r="D31" i="8" s="1"/>
  <c r="M7" i="8"/>
  <c r="L7" i="8"/>
  <c r="K7" i="8"/>
  <c r="J7" i="8"/>
  <c r="I7" i="8"/>
  <c r="H7" i="8"/>
  <c r="G7" i="8"/>
  <c r="F7" i="8"/>
  <c r="E7" i="8"/>
  <c r="D7" i="8"/>
  <c r="J14" i="14" l="1"/>
  <c r="J20" i="14"/>
  <c r="J19" i="14" s="1"/>
  <c r="J35" i="14"/>
  <c r="J34" i="14" s="1"/>
  <c r="E22" i="10"/>
  <c r="J14" i="9"/>
  <c r="J31" i="9"/>
  <c r="J31" i="12"/>
  <c r="H49" i="14"/>
  <c r="M22" i="8"/>
  <c r="K14" i="9"/>
  <c r="K31" i="9"/>
  <c r="I22" i="11"/>
  <c r="K14" i="12"/>
  <c r="F14" i="10"/>
  <c r="J22" i="11"/>
  <c r="L14" i="12"/>
  <c r="J25" i="14"/>
  <c r="J24" i="14" s="1"/>
  <c r="F31" i="10"/>
  <c r="K22" i="11"/>
  <c r="G31" i="8"/>
  <c r="G31" i="12" s="1"/>
  <c r="J22" i="12"/>
  <c r="H14" i="11"/>
  <c r="K31" i="11"/>
  <c r="M22" i="12"/>
  <c r="E22" i="8"/>
  <c r="J14" i="11"/>
  <c r="D14" i="12"/>
  <c r="I22" i="9"/>
  <c r="F14" i="12"/>
  <c r="H39" i="14"/>
  <c r="H4" i="14"/>
  <c r="H55" i="14"/>
  <c r="H50" i="14"/>
  <c r="J50" i="14" s="1"/>
  <c r="J49" i="14" s="1"/>
  <c r="D50" i="13" s="1"/>
  <c r="E50" i="13" s="1"/>
  <c r="H45" i="14"/>
  <c r="J45" i="14" s="1"/>
  <c r="J44" i="14" s="1"/>
  <c r="D49" i="13" s="1"/>
  <c r="E49" i="13" s="1"/>
  <c r="H40" i="14"/>
  <c r="D41" i="13"/>
  <c r="E41" i="13" s="1"/>
  <c r="D39" i="13"/>
  <c r="E39" i="13" s="1"/>
  <c r="D38" i="13"/>
  <c r="E38" i="13" s="1"/>
  <c r="H35" i="14"/>
  <c r="D40" i="13"/>
  <c r="E40" i="13" s="1"/>
  <c r="D37" i="13"/>
  <c r="E37" i="13" s="1"/>
  <c r="H22" i="10"/>
  <c r="H14" i="10"/>
  <c r="H31" i="10"/>
  <c r="D22" i="11"/>
  <c r="D14" i="11"/>
  <c r="D31" i="11"/>
  <c r="L22" i="11"/>
  <c r="L14" i="11"/>
  <c r="L31" i="11"/>
  <c r="H22" i="8"/>
  <c r="H14" i="8"/>
  <c r="H31" i="8"/>
  <c r="D32" i="8" s="1"/>
  <c r="D33" i="8" s="1"/>
  <c r="G22" i="12"/>
  <c r="G22" i="10"/>
  <c r="G22" i="11"/>
  <c r="D22" i="9"/>
  <c r="D14" i="9"/>
  <c r="D31" i="9"/>
  <c r="L22" i="9"/>
  <c r="L14" i="9"/>
  <c r="L31" i="9"/>
  <c r="G31" i="10"/>
  <c r="D32" i="10" s="1"/>
  <c r="D33" i="10" s="1"/>
  <c r="D14" i="8"/>
  <c r="L14" i="8"/>
  <c r="H14" i="9"/>
  <c r="D14" i="10"/>
  <c r="L14" i="10"/>
  <c r="H31" i="12"/>
  <c r="E14" i="8"/>
  <c r="M14" i="8"/>
  <c r="D22" i="8"/>
  <c r="L22" i="8"/>
  <c r="I31" i="8"/>
  <c r="I14" i="9"/>
  <c r="H22" i="9"/>
  <c r="E31" i="9"/>
  <c r="M31" i="9"/>
  <c r="E14" i="10"/>
  <c r="M14" i="10"/>
  <c r="D22" i="10"/>
  <c r="L22" i="10"/>
  <c r="I31" i="10"/>
  <c r="I14" i="11"/>
  <c r="H22" i="11"/>
  <c r="E31" i="11"/>
  <c r="M31" i="11"/>
  <c r="E14" i="12"/>
  <c r="M14" i="12"/>
  <c r="D22" i="12"/>
  <c r="L22" i="12"/>
  <c r="I31" i="12"/>
  <c r="G31" i="11"/>
  <c r="H14" i="12"/>
  <c r="I14" i="8"/>
  <c r="E14" i="9"/>
  <c r="M14" i="9"/>
  <c r="I14" i="10"/>
  <c r="E14" i="11"/>
  <c r="M14" i="11"/>
  <c r="I14" i="12"/>
  <c r="D48" i="13" l="1"/>
  <c r="E48" i="13" s="1"/>
  <c r="D51" i="13"/>
  <c r="E51" i="13" s="1"/>
  <c r="D47" i="13"/>
  <c r="E47" i="13" s="1"/>
  <c r="J55" i="14"/>
  <c r="J54" i="14" s="1"/>
  <c r="J40" i="14"/>
  <c r="J39" i="14" s="1"/>
  <c r="G23" i="8"/>
  <c r="F23" i="8"/>
  <c r="D23" i="8"/>
  <c r="D25" i="8" s="1"/>
  <c r="M23" i="8"/>
  <c r="E23" i="8"/>
  <c r="J23" i="8"/>
  <c r="I23" i="8"/>
  <c r="H23" i="8"/>
  <c r="L23" i="8"/>
  <c r="K23" i="8"/>
  <c r="D25" i="10"/>
  <c r="E20" i="10" s="1"/>
  <c r="D32" i="9"/>
  <c r="D33" i="9" s="1"/>
  <c r="D32" i="11"/>
  <c r="D33" i="11" s="1"/>
  <c r="H23" i="10"/>
  <c r="G23" i="10"/>
  <c r="F23" i="10"/>
  <c r="L23" i="10"/>
  <c r="M23" i="10"/>
  <c r="E23" i="10"/>
  <c r="D23" i="10"/>
  <c r="J23" i="10"/>
  <c r="I23" i="10"/>
  <c r="K23" i="10"/>
  <c r="E24" i="10" l="1"/>
  <c r="E25" i="10"/>
  <c r="F20" i="10" s="1"/>
  <c r="L23" i="11"/>
  <c r="D23" i="11"/>
  <c r="D25" i="11" s="1"/>
  <c r="E20" i="11" s="1"/>
  <c r="K23" i="11"/>
  <c r="J23" i="11"/>
  <c r="I23" i="11"/>
  <c r="H23" i="11"/>
  <c r="F23" i="11"/>
  <c r="M23" i="11"/>
  <c r="E23" i="11"/>
  <c r="G23" i="11"/>
  <c r="E20" i="8"/>
  <c r="D26" i="8"/>
  <c r="D23" i="9"/>
  <c r="D25" i="9" s="1"/>
  <c r="E20" i="9" s="1"/>
  <c r="K23" i="9"/>
  <c r="H23" i="9"/>
  <c r="J23" i="9"/>
  <c r="I23" i="9"/>
  <c r="F23" i="9"/>
  <c r="L23" i="9"/>
  <c r="M23" i="9"/>
  <c r="E23" i="9"/>
  <c r="G23" i="9"/>
  <c r="D26" i="11" l="1"/>
  <c r="D16" i="11" s="1"/>
  <c r="D18" i="11" s="1"/>
  <c r="D26" i="9"/>
  <c r="D16" i="9" s="1"/>
  <c r="D18" i="9" s="1"/>
  <c r="D26" i="12"/>
  <c r="D16" i="12" s="1"/>
  <c r="D18" i="12" s="1"/>
  <c r="D26" i="10"/>
  <c r="D16" i="10" s="1"/>
  <c r="D18" i="10" s="1"/>
  <c r="D16" i="8"/>
  <c r="D18" i="8" s="1"/>
  <c r="E24" i="9"/>
  <c r="E25" i="9" s="1"/>
  <c r="F20" i="9" s="1"/>
  <c r="E24" i="8"/>
  <c r="E25" i="8" s="1"/>
  <c r="F24" i="10"/>
  <c r="F25" i="10"/>
  <c r="G20" i="10" s="1"/>
  <c r="E24" i="11"/>
  <c r="E25" i="11" s="1"/>
  <c r="F20" i="11" s="1"/>
  <c r="F20" i="8" l="1"/>
  <c r="E26" i="8"/>
  <c r="F24" i="9"/>
  <c r="F25" i="9" s="1"/>
  <c r="G20" i="9" s="1"/>
  <c r="F24" i="11"/>
  <c r="F25" i="11" s="1"/>
  <c r="G20" i="11" s="1"/>
  <c r="G24" i="10"/>
  <c r="G25" i="10" s="1"/>
  <c r="G26" i="10" l="1"/>
  <c r="H20" i="10"/>
  <c r="G24" i="9"/>
  <c r="G25" i="9" s="1"/>
  <c r="G24" i="11"/>
  <c r="G25" i="11" s="1"/>
  <c r="H20" i="11" s="1"/>
  <c r="E26" i="11"/>
  <c r="E16" i="11" s="1"/>
  <c r="E18" i="11" s="1"/>
  <c r="E26" i="9"/>
  <c r="E16" i="9" s="1"/>
  <c r="E18" i="9" s="1"/>
  <c r="E16" i="8"/>
  <c r="E18" i="8" s="1"/>
  <c r="E26" i="12"/>
  <c r="E16" i="12" s="1"/>
  <c r="E18" i="12" s="1"/>
  <c r="E26" i="10"/>
  <c r="E16" i="10" s="1"/>
  <c r="E18" i="10" s="1"/>
  <c r="F24" i="8"/>
  <c r="F25" i="8" s="1"/>
  <c r="H24" i="11" l="1"/>
  <c r="H25" i="11" s="1"/>
  <c r="I20" i="11" s="1"/>
  <c r="H20" i="9"/>
  <c r="G26" i="9"/>
  <c r="F26" i="8"/>
  <c r="G20" i="8"/>
  <c r="H24" i="10"/>
  <c r="H25" i="10" s="1"/>
  <c r="G26" i="12"/>
  <c r="G26" i="11"/>
  <c r="H26" i="10" l="1"/>
  <c r="I20" i="10"/>
  <c r="I24" i="11"/>
  <c r="I25" i="11" s="1"/>
  <c r="G24" i="8"/>
  <c r="G25" i="8"/>
  <c r="F26" i="11"/>
  <c r="F16" i="11" s="1"/>
  <c r="F18" i="11" s="1"/>
  <c r="F26" i="9"/>
  <c r="F16" i="9" s="1"/>
  <c r="F18" i="9" s="1"/>
  <c r="F16" i="8"/>
  <c r="F18" i="8" s="1"/>
  <c r="F26" i="12"/>
  <c r="F16" i="12" s="1"/>
  <c r="F18" i="12" s="1"/>
  <c r="F26" i="10"/>
  <c r="H24" i="9"/>
  <c r="H25" i="9"/>
  <c r="G16" i="12" l="1"/>
  <c r="G18" i="12" s="1"/>
  <c r="J20" i="11"/>
  <c r="I26" i="11"/>
  <c r="G26" i="8"/>
  <c r="G16" i="8" s="1"/>
  <c r="G18" i="8" s="1"/>
  <c r="H20" i="8"/>
  <c r="I20" i="9"/>
  <c r="H26" i="9"/>
  <c r="H16" i="9" s="1"/>
  <c r="H18" i="9" s="1"/>
  <c r="G16" i="9"/>
  <c r="G18" i="9" s="1"/>
  <c r="F16" i="10"/>
  <c r="F18" i="10" s="1"/>
  <c r="G16" i="10"/>
  <c r="G18" i="10" s="1"/>
  <c r="I24" i="10"/>
  <c r="I25" i="10" s="1"/>
  <c r="G16" i="11"/>
  <c r="G18" i="11" s="1"/>
  <c r="H16" i="10"/>
  <c r="H18" i="10" s="1"/>
  <c r="H26" i="12"/>
  <c r="H16" i="12" s="1"/>
  <c r="H18" i="12" s="1"/>
  <c r="H26" i="11"/>
  <c r="H16" i="11" s="1"/>
  <c r="H18" i="11" s="1"/>
  <c r="I26" i="12" l="1"/>
  <c r="I26" i="10"/>
  <c r="I16" i="10" s="1"/>
  <c r="I18" i="10" s="1"/>
  <c r="J20" i="10"/>
  <c r="I24" i="9"/>
  <c r="I25" i="9"/>
  <c r="H24" i="8"/>
  <c r="H25" i="8"/>
  <c r="I16" i="11"/>
  <c r="I18" i="11" s="1"/>
  <c r="J24" i="11"/>
  <c r="J25" i="11"/>
  <c r="J20" i="9" l="1"/>
  <c r="I26" i="9"/>
  <c r="I16" i="9" s="1"/>
  <c r="I18" i="9" s="1"/>
  <c r="H26" i="8"/>
  <c r="H16" i="8" s="1"/>
  <c r="H18" i="8" s="1"/>
  <c r="I20" i="8"/>
  <c r="J24" i="10"/>
  <c r="J25" i="10" s="1"/>
  <c r="J26" i="11"/>
  <c r="J16" i="11" s="1"/>
  <c r="J18" i="11" s="1"/>
  <c r="K20" i="11"/>
  <c r="I16" i="12"/>
  <c r="I18" i="12" s="1"/>
  <c r="D32" i="12"/>
  <c r="D33" i="12" s="1"/>
  <c r="J20" i="12"/>
  <c r="J26" i="10" l="1"/>
  <c r="J16" i="10" s="1"/>
  <c r="J18" i="10" s="1"/>
  <c r="K20" i="10"/>
  <c r="K24" i="11"/>
  <c r="K25" i="11" s="1"/>
  <c r="I24" i="8"/>
  <c r="I25" i="8" s="1"/>
  <c r="J24" i="12"/>
  <c r="J25" i="12" s="1"/>
  <c r="H23" i="12"/>
  <c r="G23" i="12"/>
  <c r="F23" i="12"/>
  <c r="D23" i="12"/>
  <c r="D25" i="12" s="1"/>
  <c r="E20" i="12" s="1"/>
  <c r="M23" i="12"/>
  <c r="E23" i="12"/>
  <c r="L23" i="12"/>
  <c r="K23" i="12"/>
  <c r="J23" i="12"/>
  <c r="I23" i="12"/>
  <c r="J24" i="9"/>
  <c r="J25" i="9"/>
  <c r="J26" i="12" l="1"/>
  <c r="J16" i="12" s="1"/>
  <c r="J18" i="12" s="1"/>
  <c r="K20" i="12"/>
  <c r="J20" i="8"/>
  <c r="I26" i="8"/>
  <c r="I16" i="8" s="1"/>
  <c r="I18" i="8" s="1"/>
  <c r="E24" i="12"/>
  <c r="E25" i="12"/>
  <c r="F20" i="12" s="1"/>
  <c r="K24" i="10"/>
  <c r="K25" i="10" s="1"/>
  <c r="J26" i="9"/>
  <c r="J16" i="9" s="1"/>
  <c r="J18" i="9" s="1"/>
  <c r="K20" i="9"/>
  <c r="K26" i="11"/>
  <c r="K16" i="11" s="1"/>
  <c r="K18" i="11" s="1"/>
  <c r="L20" i="11"/>
  <c r="L20" i="10" l="1"/>
  <c r="K26" i="10"/>
  <c r="K16" i="10" s="1"/>
  <c r="K18" i="10" s="1"/>
  <c r="F24" i="12"/>
  <c r="F25" i="12" s="1"/>
  <c r="G20" i="12" s="1"/>
  <c r="L24" i="11"/>
  <c r="L25" i="11" s="1"/>
  <c r="K24" i="9"/>
  <c r="K25" i="9"/>
  <c r="K24" i="12"/>
  <c r="K25" i="12" s="1"/>
  <c r="J24" i="8"/>
  <c r="J25" i="8"/>
  <c r="L20" i="12" l="1"/>
  <c r="K26" i="12"/>
  <c r="K16" i="12" s="1"/>
  <c r="K18" i="12" s="1"/>
  <c r="G24" i="12"/>
  <c r="G25" i="12" s="1"/>
  <c r="H20" i="12" s="1"/>
  <c r="L26" i="11"/>
  <c r="L16" i="11" s="1"/>
  <c r="L18" i="11" s="1"/>
  <c r="M20" i="11"/>
  <c r="K20" i="8"/>
  <c r="J26" i="8"/>
  <c r="J16" i="8" s="1"/>
  <c r="J18" i="8" s="1"/>
  <c r="K26" i="9"/>
  <c r="K16" i="9" s="1"/>
  <c r="K18" i="9" s="1"/>
  <c r="L20" i="9"/>
  <c r="L25" i="10"/>
  <c r="L24" i="10"/>
  <c r="H24" i="12" l="1"/>
  <c r="H25" i="12" s="1"/>
  <c r="I20" i="12" s="1"/>
  <c r="K24" i="8"/>
  <c r="K25" i="8" s="1"/>
  <c r="M20" i="10"/>
  <c r="L26" i="10"/>
  <c r="L16" i="10" s="1"/>
  <c r="L18" i="10" s="1"/>
  <c r="M24" i="11"/>
  <c r="M25" i="11" s="1"/>
  <c r="M26" i="11" s="1"/>
  <c r="M16" i="11" s="1"/>
  <c r="M18" i="11" s="1"/>
  <c r="L24" i="9"/>
  <c r="L25" i="9" s="1"/>
  <c r="L24" i="12"/>
  <c r="L25" i="12" s="1"/>
  <c r="L20" i="8" l="1"/>
  <c r="K26" i="8"/>
  <c r="K16" i="8" s="1"/>
  <c r="K18" i="8" s="1"/>
  <c r="M20" i="12"/>
  <c r="L26" i="12"/>
  <c r="L16" i="12" s="1"/>
  <c r="L18" i="12" s="1"/>
  <c r="M24" i="10"/>
  <c r="M25" i="10"/>
  <c r="M26" i="10" s="1"/>
  <c r="M16" i="10" s="1"/>
  <c r="M18" i="10" s="1"/>
  <c r="L26" i="9"/>
  <c r="L16" i="9" s="1"/>
  <c r="L18" i="9" s="1"/>
  <c r="M20" i="9"/>
  <c r="I24" i="12"/>
  <c r="I25" i="12"/>
  <c r="M24" i="9" l="1"/>
  <c r="M25" i="9" s="1"/>
  <c r="M26" i="9" s="1"/>
  <c r="M16" i="9" s="1"/>
  <c r="M18" i="9" s="1"/>
  <c r="M24" i="12"/>
  <c r="M25" i="12" s="1"/>
  <c r="M26" i="12" s="1"/>
  <c r="M16" i="12" s="1"/>
  <c r="M18" i="12" s="1"/>
  <c r="L24" i="8"/>
  <c r="L25" i="8" s="1"/>
  <c r="M20" i="8" l="1"/>
  <c r="L26" i="8"/>
  <c r="L16" i="8" s="1"/>
  <c r="L18" i="8" s="1"/>
  <c r="H7" i="6"/>
  <c r="G7" i="6"/>
  <c r="I7" i="6" s="1"/>
  <c r="D7" i="6"/>
  <c r="G8" i="6" s="1"/>
  <c r="G44" i="5"/>
  <c r="J44" i="5" s="1"/>
  <c r="C55" i="5"/>
  <c r="E55" i="5" s="1"/>
  <c r="C56" i="5"/>
  <c r="E56" i="5" s="1"/>
  <c r="C57" i="5"/>
  <c r="E57" i="5" s="1"/>
  <c r="C58" i="5"/>
  <c r="E58" i="5" s="1"/>
  <c r="C59" i="5"/>
  <c r="E59" i="5" s="1"/>
  <c r="B36" i="5"/>
  <c r="C51" i="5" s="1"/>
  <c r="B37" i="5"/>
  <c r="C52" i="5" s="1"/>
  <c r="B38" i="5"/>
  <c r="C53" i="5" s="1"/>
  <c r="B39" i="5"/>
  <c r="C38" i="5" s="1"/>
  <c r="B35" i="5"/>
  <c r="B19" i="5"/>
  <c r="C20" i="5"/>
  <c r="C21" i="5"/>
  <c r="E21" i="5" s="1"/>
  <c r="C22" i="5"/>
  <c r="E22" i="5" s="1"/>
  <c r="C23" i="5"/>
  <c r="E23" i="5" s="1"/>
  <c r="C24" i="5"/>
  <c r="E24" i="5" s="1"/>
  <c r="C25" i="5"/>
  <c r="E25" i="5" s="1"/>
  <c r="C26" i="5"/>
  <c r="E26" i="5" s="1"/>
  <c r="C27" i="5"/>
  <c r="E27" i="5" s="1"/>
  <c r="C28" i="5"/>
  <c r="C19" i="5"/>
  <c r="E19" i="5" s="1"/>
  <c r="G14" i="5"/>
  <c r="C43" i="5"/>
  <c r="H43" i="5" s="1"/>
  <c r="D59" i="5" s="1"/>
  <c r="C42" i="5"/>
  <c r="H42" i="5" s="1"/>
  <c r="C41" i="5"/>
  <c r="H41" i="5" s="1"/>
  <c r="C40" i="5"/>
  <c r="H40" i="5" s="1"/>
  <c r="C39" i="5"/>
  <c r="G39" i="5" s="1"/>
  <c r="J34" i="5"/>
  <c r="C13" i="5"/>
  <c r="G13" i="5" s="1"/>
  <c r="C12" i="5"/>
  <c r="G12" i="5" s="1"/>
  <c r="C11" i="5"/>
  <c r="G11" i="5" s="1"/>
  <c r="C10" i="5"/>
  <c r="G10" i="5" s="1"/>
  <c r="C9" i="5"/>
  <c r="C8" i="5"/>
  <c r="H38" i="5" s="1"/>
  <c r="C7" i="5"/>
  <c r="C6" i="5"/>
  <c r="C5" i="5"/>
  <c r="C4" i="5"/>
  <c r="H34" i="5" s="1"/>
  <c r="M24" i="8" l="1"/>
  <c r="M25" i="8"/>
  <c r="M26" i="8" s="1"/>
  <c r="M16" i="8" s="1"/>
  <c r="M18" i="8" s="1"/>
  <c r="D8" i="6"/>
  <c r="H8" i="6"/>
  <c r="I8" i="6" s="1"/>
  <c r="D24" i="5"/>
  <c r="D57" i="5"/>
  <c r="C35" i="5"/>
  <c r="C34" i="5"/>
  <c r="E34" i="5" s="1"/>
  <c r="F39" i="5" s="1"/>
  <c r="I39" i="5" s="1"/>
  <c r="D22" i="5"/>
  <c r="G40" i="5"/>
  <c r="D58" i="5"/>
  <c r="D20" i="5"/>
  <c r="D28" i="5"/>
  <c r="G5" i="5"/>
  <c r="D25" i="5"/>
  <c r="D56" i="5"/>
  <c r="G9" i="5"/>
  <c r="G24" i="5" s="1"/>
  <c r="G41" i="5"/>
  <c r="J41" i="5" s="1"/>
  <c r="D21" i="5"/>
  <c r="D27" i="5"/>
  <c r="C37" i="5"/>
  <c r="E52" i="5"/>
  <c r="E53" i="5"/>
  <c r="E51" i="5"/>
  <c r="C54" i="5"/>
  <c r="C36" i="5"/>
  <c r="G8" i="5"/>
  <c r="J38" i="5" s="1"/>
  <c r="D26" i="5"/>
  <c r="E28" i="5"/>
  <c r="E20" i="5"/>
  <c r="B50" i="5"/>
  <c r="G7" i="5"/>
  <c r="J37" i="5" s="1"/>
  <c r="G6" i="5"/>
  <c r="J36" i="5" s="1"/>
  <c r="D23" i="5"/>
  <c r="G43" i="5"/>
  <c r="C50" i="5"/>
  <c r="E50" i="5" s="1"/>
  <c r="D19" i="5"/>
  <c r="G42" i="5"/>
  <c r="J39" i="5"/>
  <c r="H39" i="5"/>
  <c r="D55" i="5" s="1"/>
  <c r="G26" i="5"/>
  <c r="H37" i="5"/>
  <c r="D53" i="5" s="1"/>
  <c r="E4" i="5"/>
  <c r="F44" i="5" s="1"/>
  <c r="H35" i="5"/>
  <c r="H36" i="5"/>
  <c r="D52" i="5" s="1"/>
  <c r="F43" i="5" l="1"/>
  <c r="I43" i="5" s="1"/>
  <c r="F59" i="5" s="1"/>
  <c r="F40" i="5"/>
  <c r="I40" i="5" s="1"/>
  <c r="F56" i="5" s="1"/>
  <c r="D9" i="6"/>
  <c r="G9" i="6"/>
  <c r="H9" i="6"/>
  <c r="F41" i="5"/>
  <c r="I41" i="5" s="1"/>
  <c r="F42" i="5"/>
  <c r="I42" i="5" s="1"/>
  <c r="F57" i="5" s="1"/>
  <c r="F55" i="5"/>
  <c r="G22" i="5"/>
  <c r="G53" i="5"/>
  <c r="G23" i="5"/>
  <c r="G21" i="5"/>
  <c r="D51" i="5"/>
  <c r="D50" i="5"/>
  <c r="D54" i="5"/>
  <c r="G54" i="5"/>
  <c r="G52" i="5"/>
  <c r="E54" i="5"/>
  <c r="F9" i="5"/>
  <c r="F6" i="5"/>
  <c r="I36" i="5" s="1"/>
  <c r="F10" i="5"/>
  <c r="F14" i="5"/>
  <c r="F11" i="5"/>
  <c r="F7" i="5"/>
  <c r="I37" i="5" s="1"/>
  <c r="F8" i="5"/>
  <c r="I38" i="5" s="1"/>
  <c r="F54" i="5" s="1"/>
  <c r="H19" i="5"/>
  <c r="H50" i="5" s="1"/>
  <c r="F13" i="5"/>
  <c r="F5" i="5"/>
  <c r="I35" i="5" s="1"/>
  <c r="F12" i="5"/>
  <c r="H59" i="5"/>
  <c r="H56" i="5"/>
  <c r="J43" i="5"/>
  <c r="J40" i="5"/>
  <c r="G55" i="5" s="1"/>
  <c r="G28" i="5"/>
  <c r="G27" i="5"/>
  <c r="H55" i="5"/>
  <c r="G25" i="5"/>
  <c r="J42" i="5"/>
  <c r="G57" i="5" s="1"/>
  <c r="G19" i="5"/>
  <c r="J35" i="5"/>
  <c r="G50" i="5" s="1"/>
  <c r="G20" i="5"/>
  <c r="F58" i="5" l="1"/>
  <c r="H57" i="5"/>
  <c r="I57" i="5" s="1"/>
  <c r="J57" i="5" s="1"/>
  <c r="D10" i="6"/>
  <c r="G10" i="6"/>
  <c r="H10" i="6"/>
  <c r="I9" i="6"/>
  <c r="H58" i="5"/>
  <c r="F27" i="5"/>
  <c r="F52" i="5"/>
  <c r="F53" i="5"/>
  <c r="F51" i="5"/>
  <c r="F50" i="5"/>
  <c r="F26" i="5"/>
  <c r="G51" i="5"/>
  <c r="F19" i="5"/>
  <c r="I19" i="5" s="1"/>
  <c r="F20" i="5"/>
  <c r="F21" i="5"/>
  <c r="F28" i="5"/>
  <c r="I55" i="5"/>
  <c r="J55" i="5" s="1"/>
  <c r="F24" i="5"/>
  <c r="F25" i="5"/>
  <c r="G56" i="5"/>
  <c r="I56" i="5" s="1"/>
  <c r="J56" i="5" s="1"/>
  <c r="G58" i="5"/>
  <c r="G59" i="5"/>
  <c r="I59" i="5" s="1"/>
  <c r="J59" i="5" s="1"/>
  <c r="F23" i="5"/>
  <c r="F22" i="5"/>
  <c r="H27" i="5"/>
  <c r="I27" i="5" s="1"/>
  <c r="J27" i="5" s="1"/>
  <c r="H21" i="5"/>
  <c r="H52" i="5" s="1"/>
  <c r="I52" i="5" s="1"/>
  <c r="J52" i="5" s="1"/>
  <c r="H24" i="5"/>
  <c r="H25" i="5"/>
  <c r="H20" i="5"/>
  <c r="H51" i="5" s="1"/>
  <c r="H28" i="5"/>
  <c r="H23" i="5"/>
  <c r="H54" i="5" s="1"/>
  <c r="I54" i="5" s="1"/>
  <c r="J54" i="5" s="1"/>
  <c r="H22" i="5"/>
  <c r="H53" i="5" s="1"/>
  <c r="H26" i="5"/>
  <c r="I58" i="5" l="1"/>
  <c r="J58" i="5" s="1"/>
  <c r="I26" i="5"/>
  <c r="I10" i="6"/>
  <c r="J10" i="6" s="1"/>
  <c r="J9" i="6" s="1"/>
  <c r="J8" i="6" s="1"/>
  <c r="I22" i="5"/>
  <c r="I53" i="5"/>
  <c r="J53" i="5" s="1"/>
  <c r="I21" i="5"/>
  <c r="J21" i="5" s="1"/>
  <c r="I23" i="5"/>
  <c r="J23" i="5" s="1"/>
  <c r="J19" i="5"/>
  <c r="I24" i="5"/>
  <c r="J24" i="5" s="1"/>
  <c r="I25" i="5"/>
  <c r="J25" i="5" s="1"/>
  <c r="I20" i="5"/>
  <c r="I51" i="5"/>
  <c r="J51" i="5" s="1"/>
  <c r="I28" i="5"/>
  <c r="J28" i="5" s="1"/>
  <c r="J22" i="5"/>
  <c r="J26" i="5"/>
  <c r="J20" i="5" l="1"/>
  <c r="I50" i="5"/>
  <c r="J50" i="5" l="1"/>
</calcChain>
</file>

<file path=xl/sharedStrings.xml><?xml version="1.0" encoding="utf-8"?>
<sst xmlns="http://schemas.openxmlformats.org/spreadsheetml/2006/main" count="308" uniqueCount="121">
  <si>
    <t>Single year's exposure</t>
  </si>
  <si>
    <t>Loss Ratio Range</t>
  </si>
  <si>
    <t>40% to 50%</t>
  </si>
  <si>
    <t>50% to 60%</t>
  </si>
  <si>
    <t>60% to 70%</t>
  </si>
  <si>
    <t>70% to 80%</t>
  </si>
  <si>
    <t>Expected loss payment run-off pattern</t>
  </si>
  <si>
    <t>Year 1</t>
  </si>
  <si>
    <t>Year 2</t>
  </si>
  <si>
    <t>Year 3</t>
  </si>
  <si>
    <t>Example 1 : 35%</t>
  </si>
  <si>
    <t>Example 2 : 1-minimum of (75%,Loss ratio)</t>
  </si>
  <si>
    <t>Present Value of Reinsurer's Net Cash Clow</t>
  </si>
  <si>
    <t>Probability of loss</t>
  </si>
  <si>
    <t>80% to 90%</t>
  </si>
  <si>
    <t>Assumed total Loss Ratio</t>
  </si>
  <si>
    <t>Run Off Pattern</t>
  </si>
  <si>
    <t>Ceded Claim Reimbursed</t>
  </si>
  <si>
    <t>Expense Allowance</t>
  </si>
  <si>
    <t>Reinsurer's Net Cash Clow</t>
  </si>
  <si>
    <t>Discount Rate</t>
  </si>
  <si>
    <t>Example 1</t>
  </si>
  <si>
    <t>Example 2</t>
  </si>
  <si>
    <t>Year</t>
  </si>
  <si>
    <t>Amount paid to Reinsurer</t>
  </si>
  <si>
    <t>Ceding Company's Gain</t>
  </si>
  <si>
    <t>Investment Income</t>
  </si>
  <si>
    <t>Booked Direct Claim Reserve</t>
  </si>
  <si>
    <t>Ceded paid claim</t>
  </si>
  <si>
    <t>Reinsurance Recoverable Asset</t>
  </si>
  <si>
    <t>Net GAAP Income</t>
  </si>
  <si>
    <t>Net GAAP Income as % of Paid Claims</t>
  </si>
  <si>
    <t>Less Projected paid claim</t>
  </si>
  <si>
    <t>Direct Claim Reserves</t>
  </si>
  <si>
    <t>Restated Direct Claim Reserves</t>
  </si>
  <si>
    <t>Actual/ Projected Paid Claims</t>
  </si>
  <si>
    <t>Projected Paid Claims</t>
  </si>
  <si>
    <t>Less Increase in Direct Reserves</t>
  </si>
  <si>
    <t>Premium Paid to Reinsurer</t>
  </si>
  <si>
    <t>Liabliity for Deferred Gain</t>
  </si>
  <si>
    <t>Ceding Premiums</t>
  </si>
  <si>
    <t>Less Increase in Liab. for Def. Gain</t>
  </si>
  <si>
    <t>Increase in Reins. Recov. Asset</t>
  </si>
  <si>
    <t>Invest. Income</t>
  </si>
  <si>
    <t>Restated Ceding Company Gain</t>
  </si>
  <si>
    <t>Restated Liab. for Deferred Gain</t>
  </si>
  <si>
    <t>Restated Reins. Recov. Asset</t>
  </si>
  <si>
    <t>Booked Reins. Recov. Asset</t>
  </si>
  <si>
    <t>Booked Liability for Deferred Gain</t>
  </si>
  <si>
    <t>Less Increase in Liab. for Deferred Gain</t>
  </si>
  <si>
    <t>Ceded Reserve (EOY)</t>
  </si>
  <si>
    <t>Expected Return on Assets</t>
  </si>
  <si>
    <t>Persistency Rate</t>
  </si>
  <si>
    <t>Risk-free Forward Rates</t>
  </si>
  <si>
    <t>Projected Total Return Payments</t>
  </si>
  <si>
    <t>Projected Floating-Rate Payments</t>
  </si>
  <si>
    <t>Projected Net Cash Flows</t>
  </si>
  <si>
    <t>Value of swap (BOY)</t>
  </si>
  <si>
    <t>Table 15.1 Group Health Coinsurance</t>
  </si>
  <si>
    <t>Ceded annual premiums : $10 milllion</t>
  </si>
  <si>
    <t>Expected loss ratio distribution of reinsured business:</t>
  </si>
  <si>
    <t>Probability of range</t>
  </si>
  <si>
    <t>Expected loss ratio on reinsured business from distribution above: 65%</t>
  </si>
  <si>
    <t>"Significant loss to reinsurer" defined as 10% or more of ceded premium</t>
  </si>
  <si>
    <t>"Reasonable probability of loss" for the reinsurer realizing a significant loss defined as 10%</t>
  </si>
  <si>
    <t>Expense allowance as a % of annual premium</t>
  </si>
  <si>
    <t>Example 1:</t>
  </si>
  <si>
    <t xml:space="preserve">Example 2:  </t>
  </si>
  <si>
    <t>1 - min(75%,loss ratio) with a tentative payment of 35% at beginning</t>
  </si>
  <si>
    <t>of first year and true up at end of second year.</t>
  </si>
  <si>
    <t xml:space="preserve">Discount rate: </t>
  </si>
  <si>
    <t>Claims paid at end of year</t>
  </si>
  <si>
    <t>Present value of reinsurer's net cash flow</t>
  </si>
  <si>
    <t>Present value as percent of premium</t>
  </si>
  <si>
    <t>Revenue</t>
  </si>
  <si>
    <t>COI charges</t>
  </si>
  <si>
    <t>Investment income</t>
  </si>
  <si>
    <t>Total Revenues</t>
  </si>
  <si>
    <t xml:space="preserve">Benefits </t>
  </si>
  <si>
    <t>YRT Premium</t>
  </si>
  <si>
    <t xml:space="preserve">Death benefit </t>
  </si>
  <si>
    <t>Ceded death benefit</t>
  </si>
  <si>
    <t>Interest credited</t>
  </si>
  <si>
    <t>Total Benefits</t>
  </si>
  <si>
    <t>Change in CoR</t>
  </si>
  <si>
    <t>Net Earnings</t>
  </si>
  <si>
    <t>Beginning CoR asset</t>
  </si>
  <si>
    <t>Reins prem</t>
  </si>
  <si>
    <t>Reins claim</t>
  </si>
  <si>
    <t>CoR amortized</t>
  </si>
  <si>
    <t>Interest</t>
  </si>
  <si>
    <t>Ending CoR</t>
  </si>
  <si>
    <t>Reported CoR</t>
  </si>
  <si>
    <t>Interest rate</t>
  </si>
  <si>
    <t xml:space="preserve">Face amount </t>
  </si>
  <si>
    <t xml:space="preserve">PV of face amount </t>
  </si>
  <si>
    <t>Cost of reinsurance</t>
  </si>
  <si>
    <t>PV of CoR</t>
  </si>
  <si>
    <t>CoR  factor</t>
  </si>
  <si>
    <t>extra DB in year 4</t>
  </si>
  <si>
    <t>no change in assumptions</t>
  </si>
  <si>
    <t>COR retrospectively calculated back to issue</t>
  </si>
  <si>
    <t>Actual COR in history</t>
  </si>
  <si>
    <t>Estimated COR in history</t>
  </si>
  <si>
    <t>Reins prem (est)</t>
  </si>
  <si>
    <t>Reins claim (est)</t>
  </si>
  <si>
    <t>Assumptions change at end of year 6</t>
  </si>
  <si>
    <t>COR pivot</t>
  </si>
  <si>
    <t>Table 15-1. Assumptions for Illustration of Whether a Coinsurance Treaty Meets Requirements for Reinsurance Accounting</t>
  </si>
  <si>
    <t>Table 15-2. Testing for Qualification of Group Health Coinsurance as Reinsurance: Example 1</t>
  </si>
  <si>
    <t>Table 15-3. Test for Qualification of Group Health Coinsurance as Reinsurance: Example 2</t>
  </si>
  <si>
    <t>Table 15-4. Computation of Liability for Deferred Gain and Reinsurance Recoverable Asset</t>
  </si>
  <si>
    <t>Table 15-5. Ceding Company's Profit Emergence</t>
  </si>
  <si>
    <t>Table 15-6. Recomputation when Future Paid Claims Are Expected to Change</t>
  </si>
  <si>
    <t>Table 15-7. Revisions to Ceding Company’s Profit Emergence</t>
  </si>
  <si>
    <t>Table 15-8. Cost of Reinsurance for YRT on Universal Life: Baseline Scenario</t>
  </si>
  <si>
    <t>Table 15-13. Total Return Swap with a Floating Leg</t>
  </si>
  <si>
    <t>Table 15-12. Cost of Reinsurance for YRT on Universal Life: Prospective Approach</t>
  </si>
  <si>
    <t>Table 15-11. Cost of Reinsurance for YRT on Universal Life: Assumption Unlock Scenario</t>
  </si>
  <si>
    <t>Table 15-10. Cost of Reinsurance for YRT on Universal Life: Approach Using Estimated Costs in Historical Periods</t>
  </si>
  <si>
    <t>Table 15-9. Cost of Reinsurance for YRT on Universal Life: Scenario with Extra Death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</si>
</sst>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9C0006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99">
    <xf numFmtId="0" fontId="0" fillId="0" borderId="0" xfId="0"/>
    <xf numFmtId="9" fontId="0" fillId="0" borderId="0" xfId="2" applyFont="1"/>
    <xf numFmtId="9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65" fontId="0" fillId="0" borderId="1" xfId="1" applyNumberFormat="1" applyFont="1" applyBorder="1"/>
    <xf numFmtId="0" fontId="0" fillId="0" borderId="2" xfId="0" quotePrefix="1" applyBorder="1" applyAlignment="1">
      <alignment horizontal="right" wrapText="1"/>
    </xf>
    <xf numFmtId="165" fontId="0" fillId="0" borderId="2" xfId="1" applyNumberFormat="1" applyFont="1" applyBorder="1"/>
    <xf numFmtId="0" fontId="0" fillId="0" borderId="3" xfId="0" applyBorder="1"/>
    <xf numFmtId="165" fontId="0" fillId="0" borderId="1" xfId="0" applyNumberFormat="1" applyBorder="1" applyAlignment="1">
      <alignment vertical="top"/>
    </xf>
    <xf numFmtId="10" fontId="0" fillId="0" borderId="1" xfId="2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0" fontId="0" fillId="0" borderId="1" xfId="0" quotePrefix="1" applyBorder="1" applyAlignment="1">
      <alignment horizontal="right"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3" fillId="0" borderId="0" xfId="0" applyFont="1"/>
    <xf numFmtId="165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/>
    <xf numFmtId="165" fontId="3" fillId="0" borderId="1" xfId="1" applyNumberFormat="1" applyFont="1" applyBorder="1" applyAlignment="1"/>
    <xf numFmtId="165" fontId="3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1" xfId="0" quotePrefix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165" fontId="5" fillId="0" borderId="1" xfId="0" applyNumberFormat="1" applyFont="1" applyBorder="1"/>
    <xf numFmtId="10" fontId="5" fillId="0" borderId="1" xfId="2" applyNumberFormat="1" applyFont="1" applyBorder="1"/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65" fontId="6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0" fontId="6" fillId="0" borderId="0" xfId="2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165" fontId="8" fillId="0" borderId="1" xfId="1" applyNumberFormat="1" applyFont="1" applyBorder="1"/>
    <xf numFmtId="43" fontId="8" fillId="0" borderId="1" xfId="1" applyFont="1" applyBorder="1"/>
    <xf numFmtId="43" fontId="0" fillId="0" borderId="0" xfId="1" applyFont="1"/>
    <xf numFmtId="9" fontId="8" fillId="0" borderId="1" xfId="2" applyFont="1" applyBorder="1"/>
    <xf numFmtId="0" fontId="8" fillId="0" borderId="0" xfId="0" applyFont="1"/>
    <xf numFmtId="0" fontId="9" fillId="0" borderId="0" xfId="0" applyFont="1"/>
    <xf numFmtId="165" fontId="8" fillId="3" borderId="1" xfId="1" applyNumberFormat="1" applyFont="1" applyFill="1" applyBorder="1"/>
    <xf numFmtId="43" fontId="8" fillId="3" borderId="1" xfId="1" applyFont="1" applyFill="1" applyBorder="1"/>
    <xf numFmtId="165" fontId="2" fillId="0" borderId="0" xfId="1" applyNumberFormat="1" applyFont="1"/>
    <xf numFmtId="0" fontId="7" fillId="0" borderId="0" xfId="3" applyFill="1"/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43" fontId="0" fillId="0" borderId="1" xfId="1" applyFont="1" applyBorder="1"/>
    <xf numFmtId="165" fontId="0" fillId="3" borderId="1" xfId="1" applyNumberFormat="1" applyFont="1" applyFill="1" applyBorder="1"/>
    <xf numFmtId="9" fontId="0" fillId="0" borderId="1" xfId="2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5" xfId="0" applyFont="1" applyBorder="1" applyAlignment="1">
      <alignment horizontal="right"/>
    </xf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193D-BE40-436F-8239-3774D9F4BD3F}">
  <dimension ref="A1:I51"/>
  <sheetViews>
    <sheetView tabSelected="1" workbookViewId="0">
      <selection activeCell="J23" sqref="J23"/>
    </sheetView>
  </sheetViews>
  <sheetFormatPr defaultColWidth="8.85546875" defaultRowHeight="15" x14ac:dyDescent="0.25"/>
  <cols>
    <col min="2" max="2" width="13.42578125" customWidth="1"/>
    <col min="3" max="3" width="24.42578125" customWidth="1"/>
    <col min="4" max="4" width="12.140625" customWidth="1"/>
    <col min="6" max="6" width="12.42578125" customWidth="1"/>
    <col min="7" max="7" width="13.42578125" customWidth="1"/>
    <col min="8" max="8" width="10.7109375" customWidth="1"/>
  </cols>
  <sheetData>
    <row r="1" spans="1:8" x14ac:dyDescent="0.25">
      <c r="A1" t="s">
        <v>58</v>
      </c>
    </row>
    <row r="3" spans="1:8" x14ac:dyDescent="0.25">
      <c r="A3" t="s">
        <v>108</v>
      </c>
    </row>
    <row r="4" spans="1:8" x14ac:dyDescent="0.25">
      <c r="B4" t="s">
        <v>0</v>
      </c>
    </row>
    <row r="5" spans="1:8" x14ac:dyDescent="0.25">
      <c r="B5" t="s">
        <v>59</v>
      </c>
    </row>
    <row r="6" spans="1:8" x14ac:dyDescent="0.25">
      <c r="B6" t="s">
        <v>60</v>
      </c>
    </row>
    <row r="8" spans="1:8" ht="30" x14ac:dyDescent="0.25">
      <c r="B8" s="74" t="s">
        <v>1</v>
      </c>
      <c r="C8" s="74"/>
      <c r="D8" s="56" t="s">
        <v>61</v>
      </c>
    </row>
    <row r="9" spans="1:8" x14ac:dyDescent="0.25">
      <c r="A9" s="2"/>
      <c r="B9" s="74" t="s">
        <v>2</v>
      </c>
      <c r="C9" s="74"/>
      <c r="D9" s="1">
        <v>0.1</v>
      </c>
      <c r="H9" s="72"/>
    </row>
    <row r="10" spans="1:8" x14ac:dyDescent="0.25">
      <c r="B10" s="74" t="s">
        <v>3</v>
      </c>
      <c r="C10" s="74"/>
      <c r="D10" s="1">
        <v>0.2</v>
      </c>
    </row>
    <row r="11" spans="1:8" x14ac:dyDescent="0.25">
      <c r="B11" s="74" t="s">
        <v>4</v>
      </c>
      <c r="C11" s="74"/>
      <c r="D11" s="1">
        <v>0.4</v>
      </c>
    </row>
    <row r="12" spans="1:8" x14ac:dyDescent="0.25">
      <c r="B12" s="74" t="s">
        <v>5</v>
      </c>
      <c r="C12" s="74"/>
      <c r="D12" s="1">
        <v>0.2</v>
      </c>
    </row>
    <row r="13" spans="1:8" x14ac:dyDescent="0.25">
      <c r="B13" s="74" t="s">
        <v>14</v>
      </c>
      <c r="C13" s="74"/>
      <c r="D13" s="1">
        <v>0.1</v>
      </c>
    </row>
    <row r="14" spans="1:8" x14ac:dyDescent="0.25">
      <c r="B14" t="s">
        <v>62</v>
      </c>
    </row>
    <row r="15" spans="1:8" x14ac:dyDescent="0.25">
      <c r="B15" t="s">
        <v>63</v>
      </c>
    </row>
    <row r="16" spans="1:8" x14ac:dyDescent="0.25">
      <c r="B16" t="s">
        <v>64</v>
      </c>
    </row>
    <row r="18" spans="2:4" x14ac:dyDescent="0.25">
      <c r="B18" t="s">
        <v>6</v>
      </c>
    </row>
    <row r="19" spans="2:4" x14ac:dyDescent="0.25">
      <c r="B19" s="74" t="s">
        <v>7</v>
      </c>
      <c r="C19" s="74"/>
      <c r="D19" s="1">
        <v>0.8</v>
      </c>
    </row>
    <row r="20" spans="2:4" x14ac:dyDescent="0.25">
      <c r="B20" s="74" t="s">
        <v>8</v>
      </c>
      <c r="C20" s="74"/>
      <c r="D20" s="1">
        <v>0.15</v>
      </c>
    </row>
    <row r="21" spans="2:4" x14ac:dyDescent="0.25">
      <c r="B21" s="74" t="s">
        <v>9</v>
      </c>
      <c r="C21" s="74"/>
      <c r="D21" s="1">
        <v>0.05</v>
      </c>
    </row>
    <row r="23" spans="2:4" x14ac:dyDescent="0.25">
      <c r="B23" t="s">
        <v>65</v>
      </c>
    </row>
    <row r="25" spans="2:4" x14ac:dyDescent="0.25">
      <c r="B25" t="s">
        <v>66</v>
      </c>
      <c r="C25" s="2">
        <v>0.35</v>
      </c>
    </row>
    <row r="27" spans="2:4" x14ac:dyDescent="0.25">
      <c r="B27" t="s">
        <v>67</v>
      </c>
      <c r="C27" t="s">
        <v>68</v>
      </c>
    </row>
    <row r="28" spans="2:4" x14ac:dyDescent="0.25">
      <c r="C28" t="s">
        <v>69</v>
      </c>
    </row>
    <row r="30" spans="2:4" x14ac:dyDescent="0.25">
      <c r="B30" t="s">
        <v>70</v>
      </c>
      <c r="C30" s="4">
        <v>6.5000000000000002E-2</v>
      </c>
    </row>
    <row r="31" spans="2:4" x14ac:dyDescent="0.25">
      <c r="B31" t="s">
        <v>71</v>
      </c>
    </row>
    <row r="33" spans="1:9" x14ac:dyDescent="0.25">
      <c r="A33" t="s">
        <v>109</v>
      </c>
    </row>
    <row r="35" spans="1:9" ht="90" x14ac:dyDescent="0.25">
      <c r="C35" s="57" t="s">
        <v>1</v>
      </c>
      <c r="D35" s="56" t="s">
        <v>72</v>
      </c>
      <c r="E35" s="56" t="s">
        <v>73</v>
      </c>
      <c r="F35" s="56" t="s">
        <v>13</v>
      </c>
      <c r="I35" s="3"/>
    </row>
    <row r="36" spans="1:9" x14ac:dyDescent="0.25">
      <c r="B36" t="s">
        <v>10</v>
      </c>
    </row>
    <row r="37" spans="1:9" x14ac:dyDescent="0.25">
      <c r="C37" t="s">
        <v>2</v>
      </c>
      <c r="D37" s="6">
        <f>+'support for Table 15.1'!J4</f>
        <v>2338332.2483336176</v>
      </c>
      <c r="E37" s="5">
        <f>+D37/10000000</f>
        <v>0.23383322483336175</v>
      </c>
      <c r="F37" s="1">
        <f>D9</f>
        <v>0.1</v>
      </c>
    </row>
    <row r="38" spans="1:9" x14ac:dyDescent="0.25">
      <c r="C38" t="s">
        <v>3</v>
      </c>
      <c r="D38" s="6">
        <f>+'support for Table 15.1'!J9</f>
        <v>1413517.1924077542</v>
      </c>
      <c r="E38" s="5">
        <f>+D38/10000000</f>
        <v>0.14135171924077541</v>
      </c>
      <c r="F38" s="1">
        <f t="shared" ref="F38:F41" si="0">D10</f>
        <v>0.2</v>
      </c>
    </row>
    <row r="39" spans="1:9" x14ac:dyDescent="0.25">
      <c r="C39" t="s">
        <v>4</v>
      </c>
      <c r="D39" s="6">
        <f>+'support for Table 15.1'!J14</f>
        <v>488702.13648189139</v>
      </c>
      <c r="E39" s="5">
        <f>+D39/10000000</f>
        <v>4.8870213648189137E-2</v>
      </c>
      <c r="F39" s="1">
        <f t="shared" si="0"/>
        <v>0.4</v>
      </c>
    </row>
    <row r="40" spans="1:9" x14ac:dyDescent="0.25">
      <c r="C40" t="s">
        <v>5</v>
      </c>
      <c r="D40" s="6">
        <f>+'support for Table 15.1'!J19</f>
        <v>-436112.91944397148</v>
      </c>
      <c r="E40" s="5">
        <f>+D40/10000000</f>
        <v>-4.3611291944397147E-2</v>
      </c>
      <c r="F40" s="1">
        <f t="shared" si="0"/>
        <v>0.2</v>
      </c>
    </row>
    <row r="41" spans="1:9" x14ac:dyDescent="0.25">
      <c r="C41" t="s">
        <v>14</v>
      </c>
      <c r="D41" s="6">
        <f>+'support for Table 15.1'!J24</f>
        <v>-1360927.9753698343</v>
      </c>
      <c r="E41" s="5">
        <f>+D41/10000000</f>
        <v>-0.13609279753698345</v>
      </c>
      <c r="F41" s="1">
        <f t="shared" si="0"/>
        <v>0.1</v>
      </c>
    </row>
    <row r="43" spans="1:9" x14ac:dyDescent="0.25">
      <c r="A43" t="s">
        <v>110</v>
      </c>
    </row>
    <row r="45" spans="1:9" ht="90" x14ac:dyDescent="0.25">
      <c r="C45" s="57" t="s">
        <v>1</v>
      </c>
      <c r="D45" s="56" t="s">
        <v>72</v>
      </c>
      <c r="E45" s="56" t="s">
        <v>73</v>
      </c>
      <c r="F45" s="56" t="s">
        <v>13</v>
      </c>
      <c r="I45" s="3"/>
    </row>
    <row r="46" spans="1:9" x14ac:dyDescent="0.25">
      <c r="B46" t="s">
        <v>11</v>
      </c>
    </row>
    <row r="47" spans="1:9" x14ac:dyDescent="0.25">
      <c r="C47" t="s">
        <v>2</v>
      </c>
      <c r="D47" s="6">
        <f>+'support for Table 15.1'!J34</f>
        <v>460397.97603314836</v>
      </c>
      <c r="E47" s="5">
        <f>+D47/10000000</f>
        <v>4.6039797603314836E-2</v>
      </c>
      <c r="F47" s="1">
        <f>D9</f>
        <v>0.1</v>
      </c>
    </row>
    <row r="48" spans="1:9" x14ac:dyDescent="0.25">
      <c r="C48" t="s">
        <v>3</v>
      </c>
      <c r="D48" s="6">
        <f>+'support for Table 15.1'!J39</f>
        <v>474550.05625751987</v>
      </c>
      <c r="E48" s="5">
        <f>+D48/10000000</f>
        <v>4.7455005625751986E-2</v>
      </c>
      <c r="F48" s="1">
        <f t="shared" ref="F48:F51" si="1">D10</f>
        <v>0.2</v>
      </c>
    </row>
    <row r="49" spans="3:6" x14ac:dyDescent="0.25">
      <c r="C49" t="s">
        <v>4</v>
      </c>
      <c r="D49" s="6">
        <f>+'support for Table 15.1'!J44</f>
        <v>488702.13648189139</v>
      </c>
      <c r="E49" s="5">
        <f>+D49/10000000</f>
        <v>4.8870213648189137E-2</v>
      </c>
      <c r="F49" s="1">
        <f t="shared" si="1"/>
        <v>0.4</v>
      </c>
    </row>
    <row r="50" spans="3:6" x14ac:dyDescent="0.25">
      <c r="C50" t="s">
        <v>5</v>
      </c>
      <c r="D50" s="6">
        <f>+'support for Table 15.1'!J49</f>
        <v>502854.21670626383</v>
      </c>
      <c r="E50" s="5">
        <f>+D50/10000000</f>
        <v>5.0285421670626385E-2</v>
      </c>
      <c r="F50" s="1">
        <f t="shared" si="1"/>
        <v>0.2</v>
      </c>
    </row>
    <row r="51" spans="3:6" x14ac:dyDescent="0.25">
      <c r="C51" t="s">
        <v>14</v>
      </c>
      <c r="D51" s="6">
        <f>+'support for Table 15.1'!J54</f>
        <v>-421960.83921959996</v>
      </c>
      <c r="E51" s="5">
        <f>+D51/10000000</f>
        <v>-4.2196083921959997E-2</v>
      </c>
      <c r="F51" s="1">
        <f t="shared" si="1"/>
        <v>0.1</v>
      </c>
    </row>
  </sheetData>
  <mergeCells count="9">
    <mergeCell ref="B19:C19"/>
    <mergeCell ref="B20:C20"/>
    <mergeCell ref="B21:C21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C42D-6B7F-43FA-A40F-D445791FBCD8}">
  <dimension ref="A2:J56"/>
  <sheetViews>
    <sheetView topLeftCell="A17" workbookViewId="0">
      <selection activeCell="J4" sqref="J4"/>
    </sheetView>
  </sheetViews>
  <sheetFormatPr defaultColWidth="8.85546875" defaultRowHeight="15" x14ac:dyDescent="0.25"/>
  <cols>
    <col min="3" max="3" width="10.28515625" customWidth="1"/>
    <col min="4" max="4" width="12.42578125" customWidth="1"/>
    <col min="6" max="6" width="12.28515625" customWidth="1"/>
    <col min="7" max="7" width="11.85546875" customWidth="1"/>
    <col min="8" max="8" width="12" customWidth="1"/>
    <col min="10" max="11" width="12.7109375" customWidth="1"/>
  </cols>
  <sheetData>
    <row r="2" spans="1:10" x14ac:dyDescent="0.25">
      <c r="A2" t="s">
        <v>21</v>
      </c>
    </row>
    <row r="3" spans="1:10" ht="63" customHeight="1" x14ac:dyDescent="0.25">
      <c r="C3" s="3" t="s">
        <v>1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12</v>
      </c>
    </row>
    <row r="4" spans="1:10" x14ac:dyDescent="0.25">
      <c r="B4" t="s">
        <v>7</v>
      </c>
      <c r="C4" t="s">
        <v>2</v>
      </c>
      <c r="D4" s="5">
        <v>0.45</v>
      </c>
      <c r="E4" s="5">
        <f>'Table 15.1-3'!D19</f>
        <v>0.8</v>
      </c>
      <c r="F4" s="6">
        <f>10000000*D$4*E4</f>
        <v>3600000</v>
      </c>
      <c r="G4" s="6">
        <f>'Table 15.1-3'!C$25*10000000</f>
        <v>3500000</v>
      </c>
      <c r="H4" s="7">
        <f>10000000-G4-F4</f>
        <v>2900000</v>
      </c>
      <c r="I4" s="5">
        <f>'Table 15.1-3'!C$30</f>
        <v>6.5000000000000002E-2</v>
      </c>
      <c r="J4" s="7">
        <f>10000000-G4+(-F4+J5)/(1+I4)</f>
        <v>2338332.2483336176</v>
      </c>
    </row>
    <row r="5" spans="1:10" x14ac:dyDescent="0.25">
      <c r="B5" t="s">
        <v>8</v>
      </c>
      <c r="D5" s="5"/>
      <c r="E5" s="5">
        <f>'Table 15.1-3'!D20</f>
        <v>0.15</v>
      </c>
      <c r="F5" s="6">
        <f>10000000*D$4*E5</f>
        <v>675000</v>
      </c>
      <c r="G5" s="6"/>
      <c r="H5" s="7">
        <f>-G5-F5</f>
        <v>-675000</v>
      </c>
      <c r="J5" s="7">
        <f>+(H5+J6)/(1+I4)</f>
        <v>-832176.1555246975</v>
      </c>
    </row>
    <row r="6" spans="1:10" x14ac:dyDescent="0.25">
      <c r="B6" t="s">
        <v>9</v>
      </c>
      <c r="D6" s="5"/>
      <c r="E6" s="5">
        <f>'Table 15.1-3'!D21</f>
        <v>0.05</v>
      </c>
      <c r="F6" s="6">
        <f>10000000*D$4*E6</f>
        <v>225000</v>
      </c>
      <c r="G6" s="6"/>
      <c r="H6" s="7">
        <f>-G6-F6</f>
        <v>-225000</v>
      </c>
      <c r="J6" s="7">
        <f>+(H6+J7)/(1+I4)</f>
        <v>-211267.60563380283</v>
      </c>
    </row>
    <row r="9" spans="1:10" x14ac:dyDescent="0.25">
      <c r="B9" t="s">
        <v>7</v>
      </c>
      <c r="C9" s="9" t="s">
        <v>3</v>
      </c>
      <c r="D9" s="5">
        <v>0.55000000000000004</v>
      </c>
      <c r="E9" s="5">
        <f>'Table 15.1-3'!D19</f>
        <v>0.8</v>
      </c>
      <c r="F9" s="6">
        <f>10000000*D$9*E9</f>
        <v>4400000</v>
      </c>
      <c r="G9" s="6">
        <f>'Table 15.1-3'!C$25*10000000</f>
        <v>3500000</v>
      </c>
      <c r="H9" s="7">
        <f>10000000-G9-F9</f>
        <v>2100000</v>
      </c>
      <c r="I9" s="5">
        <f>'Table 15.1-3'!C$30</f>
        <v>6.5000000000000002E-2</v>
      </c>
      <c r="J9" s="7">
        <f>10000000-G9+(-F9+J10)/1.065</f>
        <v>1413517.1924077542</v>
      </c>
    </row>
    <row r="10" spans="1:10" x14ac:dyDescent="0.25">
      <c r="B10" t="s">
        <v>8</v>
      </c>
      <c r="D10" s="5"/>
      <c r="E10" s="5">
        <f>'Table 15.1-3'!D20</f>
        <v>0.15</v>
      </c>
      <c r="F10" s="6">
        <f>10000000*D$9*E10</f>
        <v>825000</v>
      </c>
      <c r="G10" s="6"/>
      <c r="H10" s="7">
        <f>-G10-F10</f>
        <v>-825000</v>
      </c>
      <c r="J10" s="7">
        <f>+(H10+J11)/1.065</f>
        <v>-1017104.1900857413</v>
      </c>
    </row>
    <row r="11" spans="1:10" x14ac:dyDescent="0.25">
      <c r="B11" t="s">
        <v>9</v>
      </c>
      <c r="D11" s="5"/>
      <c r="E11" s="5">
        <f>'Table 15.1-3'!D21</f>
        <v>0.05</v>
      </c>
      <c r="F11" s="6">
        <f>10000000*D$9*E11</f>
        <v>275000</v>
      </c>
      <c r="G11" s="6"/>
      <c r="H11" s="7">
        <f>-G11-F11</f>
        <v>-275000</v>
      </c>
      <c r="J11" s="7">
        <f>+(H11+J12)/1.065</f>
        <v>-258215.96244131456</v>
      </c>
    </row>
    <row r="14" spans="1:10" x14ac:dyDescent="0.25">
      <c r="B14" t="s">
        <v>7</v>
      </c>
      <c r="C14" s="9" t="s">
        <v>4</v>
      </c>
      <c r="D14" s="5">
        <v>0.65</v>
      </c>
      <c r="E14" s="5">
        <f>'Table 15.1-3'!D19</f>
        <v>0.8</v>
      </c>
      <c r="F14" s="6">
        <f>10000000*D$14*E14</f>
        <v>5200000</v>
      </c>
      <c r="G14" s="6">
        <f>'Table 15.1-3'!C$25*10000000</f>
        <v>3500000</v>
      </c>
      <c r="H14" s="7">
        <f>10000000-G14-F14</f>
        <v>1300000</v>
      </c>
      <c r="I14" s="5">
        <f>'Table 15.1-3'!C$30</f>
        <v>6.5000000000000002E-2</v>
      </c>
      <c r="J14" s="7">
        <f>10000000-G14+(-F14+J15)/1.065</f>
        <v>488702.13648189139</v>
      </c>
    </row>
    <row r="15" spans="1:10" x14ac:dyDescent="0.25">
      <c r="B15" t="s">
        <v>8</v>
      </c>
      <c r="D15" s="5"/>
      <c r="E15" s="5">
        <f>'Table 15.1-3'!D20</f>
        <v>0.15</v>
      </c>
      <c r="F15" s="6">
        <f>10000000*D$14*E15</f>
        <v>975000</v>
      </c>
      <c r="G15" s="6"/>
      <c r="H15" s="7">
        <f>-G15-F15</f>
        <v>-975000</v>
      </c>
      <c r="J15" s="7">
        <f>+(H15+J16)/1.065</f>
        <v>-1202032.2246467853</v>
      </c>
    </row>
    <row r="16" spans="1:10" x14ac:dyDescent="0.25">
      <c r="B16" t="s">
        <v>9</v>
      </c>
      <c r="D16" s="5"/>
      <c r="E16" s="5">
        <f>'Table 15.1-3'!D21</f>
        <v>0.05</v>
      </c>
      <c r="F16" s="6">
        <f>10000000*D$14*E16</f>
        <v>325000</v>
      </c>
      <c r="G16" s="6"/>
      <c r="H16" s="7">
        <f>-G16-F16</f>
        <v>-325000</v>
      </c>
      <c r="J16" s="7">
        <f>+(H16+J17)/1.065</f>
        <v>-305164.3192488263</v>
      </c>
    </row>
    <row r="19" spans="1:10" x14ac:dyDescent="0.25">
      <c r="B19" t="s">
        <v>7</v>
      </c>
      <c r="C19" s="9" t="s">
        <v>5</v>
      </c>
      <c r="D19" s="5">
        <v>0.75</v>
      </c>
      <c r="E19" s="5">
        <f>'Table 15.1-3'!D19</f>
        <v>0.8</v>
      </c>
      <c r="F19" s="6">
        <f>10000000*D$19*E19</f>
        <v>6000000</v>
      </c>
      <c r="G19" s="6">
        <f>'Table 15.1-3'!C$25*10000000</f>
        <v>3500000</v>
      </c>
      <c r="H19" s="7">
        <f>10000000-G19-F19</f>
        <v>500000</v>
      </c>
      <c r="I19" s="5">
        <f>'Table 15.1-3'!C$30</f>
        <v>6.5000000000000002E-2</v>
      </c>
      <c r="J19" s="7">
        <f>10000000-G19+(-F19+J20)/1.065</f>
        <v>-436112.91944397148</v>
      </c>
    </row>
    <row r="20" spans="1:10" x14ac:dyDescent="0.25">
      <c r="B20" t="s">
        <v>8</v>
      </c>
      <c r="D20" s="5"/>
      <c r="E20" s="5">
        <f>'Table 15.1-3'!D20</f>
        <v>0.15</v>
      </c>
      <c r="F20" s="6">
        <f>10000000*D$19*E20</f>
        <v>1125000</v>
      </c>
      <c r="G20" s="6"/>
      <c r="H20" s="7">
        <f>-G20-F20</f>
        <v>-1125000</v>
      </c>
      <c r="J20" s="7">
        <f>+(H20+J21)/1.065</f>
        <v>-1386960.2592078291</v>
      </c>
    </row>
    <row r="21" spans="1:10" x14ac:dyDescent="0.25">
      <c r="B21" t="s">
        <v>9</v>
      </c>
      <c r="D21" s="5"/>
      <c r="E21" s="5">
        <f>'Table 15.1-3'!D21</f>
        <v>0.05</v>
      </c>
      <c r="F21" s="6">
        <f>10000000*D$19*E21</f>
        <v>375000</v>
      </c>
      <c r="G21" s="6"/>
      <c r="H21" s="7">
        <f>-G21-F21</f>
        <v>-375000</v>
      </c>
      <c r="J21" s="7">
        <f>+(H21+J22)/1.065</f>
        <v>-352112.67605633807</v>
      </c>
    </row>
    <row r="24" spans="1:10" x14ac:dyDescent="0.25">
      <c r="B24" t="s">
        <v>7</v>
      </c>
      <c r="C24" s="9" t="s">
        <v>14</v>
      </c>
      <c r="D24" s="5">
        <v>0.85</v>
      </c>
      <c r="E24" s="5">
        <f>'Table 15.1-3'!D19</f>
        <v>0.8</v>
      </c>
      <c r="F24" s="6">
        <f>10000000*D$24*E24</f>
        <v>6800000</v>
      </c>
      <c r="G24" s="6">
        <f>'Table 15.1-3'!C$25*10000000</f>
        <v>3500000</v>
      </c>
      <c r="H24" s="7">
        <f>10000000-G24-F24</f>
        <v>-300000</v>
      </c>
      <c r="I24" s="5">
        <f>'Table 15.1-3'!C$30</f>
        <v>6.5000000000000002E-2</v>
      </c>
      <c r="J24" s="7">
        <f>10000000-G24+(-F24+J25)/1.065</f>
        <v>-1360927.9753698343</v>
      </c>
    </row>
    <row r="25" spans="1:10" x14ac:dyDescent="0.25">
      <c r="B25" t="s">
        <v>8</v>
      </c>
      <c r="D25" s="5"/>
      <c r="E25" s="5">
        <f>'Table 15.1-3'!D20</f>
        <v>0.15</v>
      </c>
      <c r="F25" s="6">
        <f>10000000*D$24*E25</f>
        <v>1275000</v>
      </c>
      <c r="G25" s="6"/>
      <c r="H25" s="7">
        <f>-G25-F25</f>
        <v>-1275000</v>
      </c>
      <c r="J25" s="7">
        <f>+(H25+J26)/1.065</f>
        <v>-1571888.2937688732</v>
      </c>
    </row>
    <row r="26" spans="1:10" x14ac:dyDescent="0.25">
      <c r="B26" t="s">
        <v>9</v>
      </c>
      <c r="D26" s="5"/>
      <c r="E26" s="5">
        <f>'Table 15.1-3'!D21</f>
        <v>0.05</v>
      </c>
      <c r="F26" s="6">
        <f>10000000*D$24*E26</f>
        <v>425000</v>
      </c>
      <c r="G26" s="6"/>
      <c r="H26" s="7">
        <f>-G26-F26</f>
        <v>-425000</v>
      </c>
      <c r="J26" s="7">
        <f>+(H26+J27)/1.065</f>
        <v>-399061.03286384977</v>
      </c>
    </row>
    <row r="32" spans="1:10" x14ac:dyDescent="0.25">
      <c r="A32" t="s">
        <v>22</v>
      </c>
    </row>
    <row r="33" spans="2:10" ht="75" x14ac:dyDescent="0.25">
      <c r="C33" s="3" t="s">
        <v>1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 t="s">
        <v>12</v>
      </c>
    </row>
    <row r="34" spans="2:10" x14ac:dyDescent="0.25">
      <c r="B34" t="s">
        <v>7</v>
      </c>
      <c r="C34" t="s">
        <v>2</v>
      </c>
      <c r="D34" s="5">
        <v>0.45</v>
      </c>
      <c r="E34" s="5">
        <f>'Table 15.1-3'!D19</f>
        <v>0.8</v>
      </c>
      <c r="F34" s="6">
        <f>10000000*D$4*E34</f>
        <v>3600000</v>
      </c>
      <c r="G34" s="6">
        <f>'Table 15.1-3'!C$25*10000000</f>
        <v>3500000</v>
      </c>
      <c r="H34" s="7">
        <f>10000000-G34-F34</f>
        <v>2900000</v>
      </c>
      <c r="I34" s="5">
        <f>'Table 15.1-3'!C$30</f>
        <v>6.5000000000000002E-2</v>
      </c>
      <c r="J34" s="7">
        <f>10000000-G34+(-F34+J35)/(1+I34)</f>
        <v>460397.97603314836</v>
      </c>
    </row>
    <row r="35" spans="2:10" x14ac:dyDescent="0.25">
      <c r="B35" t="s">
        <v>8</v>
      </c>
      <c r="D35" s="5"/>
      <c r="E35" s="5">
        <f>'Table 15.1-3'!D20</f>
        <v>0.15</v>
      </c>
      <c r="F35" s="6">
        <f>10000000*D$4*E35</f>
        <v>675000</v>
      </c>
      <c r="G35" s="71">
        <f>(1-MIN(0.75,D34))*10000000-G34</f>
        <v>2000000</v>
      </c>
      <c r="H35" s="7">
        <f>-G35-F35</f>
        <v>-2675000</v>
      </c>
      <c r="J35" s="7">
        <f>+(H35+G35+J36)/(1+I34)-G35</f>
        <v>-2832176.1555246976</v>
      </c>
    </row>
    <row r="36" spans="2:10" x14ac:dyDescent="0.25">
      <c r="B36" t="s">
        <v>9</v>
      </c>
      <c r="D36" s="5"/>
      <c r="E36" s="5">
        <f>'Table 15.1-3'!D21</f>
        <v>0.05</v>
      </c>
      <c r="F36" s="6">
        <f>10000000*D$4*E36</f>
        <v>225000</v>
      </c>
      <c r="G36" s="6"/>
      <c r="H36" s="7">
        <f>-G36-F36</f>
        <v>-225000</v>
      </c>
      <c r="J36" s="7">
        <f>+(H36+J37)/(1+I34)</f>
        <v>-211267.60563380283</v>
      </c>
    </row>
    <row r="39" spans="2:10" x14ac:dyDescent="0.25">
      <c r="B39" t="s">
        <v>7</v>
      </c>
      <c r="C39" s="9" t="s">
        <v>3</v>
      </c>
      <c r="D39" s="5">
        <v>0.55000000000000004</v>
      </c>
      <c r="E39" s="5">
        <f>'Table 15.1-3'!D19</f>
        <v>0.8</v>
      </c>
      <c r="F39" s="6">
        <f>10000000*D$9*E39</f>
        <v>4400000</v>
      </c>
      <c r="G39" s="6">
        <f>'Table 15.1-3'!C$25*10000000</f>
        <v>3500000</v>
      </c>
      <c r="H39" s="7">
        <f>10000000-G39-F39</f>
        <v>2100000</v>
      </c>
      <c r="I39" s="5">
        <f>'Table 15.1-3'!C$30</f>
        <v>6.5000000000000002E-2</v>
      </c>
      <c r="J39" s="7">
        <f>10000000-G39+(-F39+J40)/(1+I39)</f>
        <v>474550.05625751987</v>
      </c>
    </row>
    <row r="40" spans="2:10" x14ac:dyDescent="0.25">
      <c r="B40" t="s">
        <v>8</v>
      </c>
      <c r="D40" s="5"/>
      <c r="E40" s="5">
        <f>'Table 15.1-3'!D20</f>
        <v>0.15</v>
      </c>
      <c r="F40" s="6">
        <f>10000000*D$9*E40</f>
        <v>825000</v>
      </c>
      <c r="G40" s="71">
        <f>(1-MIN(0.75,D39))*10000000-G39</f>
        <v>1000000</v>
      </c>
      <c r="H40" s="7">
        <f>-G40-F40</f>
        <v>-1825000</v>
      </c>
      <c r="J40" s="7">
        <f>+(H40+G40+J41)/(1+I39)-G40</f>
        <v>-2017104.1900857412</v>
      </c>
    </row>
    <row r="41" spans="2:10" x14ac:dyDescent="0.25">
      <c r="B41" t="s">
        <v>9</v>
      </c>
      <c r="D41" s="5"/>
      <c r="E41" s="5">
        <f>'Table 15.1-3'!D21</f>
        <v>0.05</v>
      </c>
      <c r="F41" s="6">
        <f>10000000*D$9*E41</f>
        <v>275000</v>
      </c>
      <c r="G41" s="6"/>
      <c r="H41" s="7">
        <f>-G41-F41</f>
        <v>-275000</v>
      </c>
      <c r="J41" s="7">
        <f>+(H41+J42)/(1+I39)</f>
        <v>-258215.96244131456</v>
      </c>
    </row>
    <row r="44" spans="2:10" x14ac:dyDescent="0.25">
      <c r="B44" t="s">
        <v>7</v>
      </c>
      <c r="C44" s="9" t="s">
        <v>4</v>
      </c>
      <c r="D44" s="5">
        <v>0.65</v>
      </c>
      <c r="E44" s="5">
        <f>'Table 15.1-3'!D19</f>
        <v>0.8</v>
      </c>
      <c r="F44" s="6">
        <f>10000000*D$14*E44</f>
        <v>5200000</v>
      </c>
      <c r="G44" s="6">
        <f>'Table 15.1-3'!C$25*10000000</f>
        <v>3500000</v>
      </c>
      <c r="H44" s="7">
        <f>10000000-G44-F44</f>
        <v>1300000</v>
      </c>
      <c r="I44" s="5">
        <f>'Table 15.1-3'!C$30</f>
        <v>6.5000000000000002E-2</v>
      </c>
      <c r="J44" s="7">
        <f>10000000-G44+(-F44+J45)/(1+I44)</f>
        <v>488702.13648189139</v>
      </c>
    </row>
    <row r="45" spans="2:10" x14ac:dyDescent="0.25">
      <c r="B45" t="s">
        <v>8</v>
      </c>
      <c r="D45" s="5"/>
      <c r="E45" s="5">
        <f>'Table 15.1-3'!D20</f>
        <v>0.15</v>
      </c>
      <c r="F45" s="6">
        <f>10000000*D$14*E45</f>
        <v>975000</v>
      </c>
      <c r="G45" s="6">
        <f>(1-MIN(0.75,D44))*10000000-G44</f>
        <v>0</v>
      </c>
      <c r="H45" s="7">
        <f>-G45-F45</f>
        <v>-975000</v>
      </c>
      <c r="J45" s="7">
        <f>+(H45+G45+J46)/(1+I44)-G45</f>
        <v>-1202032.2246467853</v>
      </c>
    </row>
    <row r="46" spans="2:10" x14ac:dyDescent="0.25">
      <c r="B46" t="s">
        <v>9</v>
      </c>
      <c r="D46" s="5"/>
      <c r="E46" s="5">
        <f>'Table 15.1-3'!D21</f>
        <v>0.05</v>
      </c>
      <c r="F46" s="6">
        <f>10000000*D$14*E46</f>
        <v>325000</v>
      </c>
      <c r="G46" s="6"/>
      <c r="H46" s="7">
        <f>-G46-F46</f>
        <v>-325000</v>
      </c>
      <c r="J46" s="7">
        <f>+(H46+J47)/(1+I44)</f>
        <v>-305164.3192488263</v>
      </c>
    </row>
    <row r="49" spans="2:10" x14ac:dyDescent="0.25">
      <c r="B49" t="s">
        <v>7</v>
      </c>
      <c r="C49" s="9" t="s">
        <v>5</v>
      </c>
      <c r="D49" s="5">
        <v>0.75</v>
      </c>
      <c r="E49" s="5">
        <f>'Table 15.1-3'!D19</f>
        <v>0.8</v>
      </c>
      <c r="F49" s="6">
        <f>10000000*D$19*E49</f>
        <v>6000000</v>
      </c>
      <c r="G49" s="6">
        <f>'Table 15.1-3'!C$25*10000000</f>
        <v>3500000</v>
      </c>
      <c r="H49" s="7">
        <f>10000000-G49-F49</f>
        <v>500000</v>
      </c>
      <c r="I49" s="5">
        <f>'Table 15.1-3'!C$30</f>
        <v>6.5000000000000002E-2</v>
      </c>
      <c r="J49" s="7">
        <f>10000000-G49+(-F49+J50)/(1+I49)</f>
        <v>502854.21670626383</v>
      </c>
    </row>
    <row r="50" spans="2:10" x14ac:dyDescent="0.25">
      <c r="B50" t="s">
        <v>8</v>
      </c>
      <c r="D50" s="5"/>
      <c r="E50" s="5">
        <f>'Table 15.1-3'!D20</f>
        <v>0.15</v>
      </c>
      <c r="F50" s="6">
        <f>10000000*D$19*E50</f>
        <v>1125000</v>
      </c>
      <c r="G50" s="71">
        <f>(1-MIN(0.75,D49))*10000000-G49</f>
        <v>-1000000</v>
      </c>
      <c r="H50" s="7">
        <f>-G50-F50</f>
        <v>-125000</v>
      </c>
      <c r="J50" s="7">
        <f>+(H50+G50+J51)/(1+I49)-G50</f>
        <v>-386960.25920782913</v>
      </c>
    </row>
    <row r="51" spans="2:10" x14ac:dyDescent="0.25">
      <c r="B51" t="s">
        <v>9</v>
      </c>
      <c r="D51" s="5"/>
      <c r="E51" s="5">
        <f>'Table 15.1-3'!D21</f>
        <v>0.05</v>
      </c>
      <c r="F51" s="6">
        <f>10000000*D$19*E51</f>
        <v>375000</v>
      </c>
      <c r="G51" s="6"/>
      <c r="H51" s="7">
        <f>-G51-F51</f>
        <v>-375000</v>
      </c>
      <c r="J51" s="7">
        <f>+(H51+J52)/(1+I49)</f>
        <v>-352112.67605633807</v>
      </c>
    </row>
    <row r="54" spans="2:10" x14ac:dyDescent="0.25">
      <c r="B54" t="s">
        <v>7</v>
      </c>
      <c r="C54" s="9" t="s">
        <v>14</v>
      </c>
      <c r="D54" s="5">
        <v>0.85</v>
      </c>
      <c r="E54" s="5">
        <f>'Table 15.1-3'!D19</f>
        <v>0.8</v>
      </c>
      <c r="F54" s="6">
        <f>10000000*D$24*E54</f>
        <v>6800000</v>
      </c>
      <c r="G54" s="6">
        <f>'Table 15.1-3'!C$25*10000000</f>
        <v>3500000</v>
      </c>
      <c r="H54" s="7">
        <f>10000000-G54-F54</f>
        <v>-300000</v>
      </c>
      <c r="I54" s="5">
        <f>'Table 15.1-3'!C$30</f>
        <v>6.5000000000000002E-2</v>
      </c>
      <c r="J54" s="7">
        <f>10000000-G54+(-F54+J55)/(1+I54)</f>
        <v>-421960.83921959996</v>
      </c>
    </row>
    <row r="55" spans="2:10" x14ac:dyDescent="0.25">
      <c r="B55" t="s">
        <v>8</v>
      </c>
      <c r="D55" s="5"/>
      <c r="E55" s="5">
        <f>'Table 15.1-3'!D20</f>
        <v>0.15</v>
      </c>
      <c r="F55" s="6">
        <f>10000000*D$24*E55</f>
        <v>1275000</v>
      </c>
      <c r="G55" s="71">
        <f>(1-MIN(0.75,D54))*10000000-G54</f>
        <v>-1000000</v>
      </c>
      <c r="H55" s="7">
        <f>-G55-F55</f>
        <v>-275000</v>
      </c>
      <c r="J55" s="7">
        <f>+(H55+G55+J56)/(1+I54)-G55</f>
        <v>-571888.29376887321</v>
      </c>
    </row>
    <row r="56" spans="2:10" x14ac:dyDescent="0.25">
      <c r="B56" t="s">
        <v>9</v>
      </c>
      <c r="D56" s="5"/>
      <c r="E56" s="5">
        <f>'Table 15.1-3'!D21</f>
        <v>0.05</v>
      </c>
      <c r="F56" s="6">
        <f>10000000*D$24*E56</f>
        <v>425000</v>
      </c>
      <c r="G56" s="6"/>
      <c r="H56" s="7">
        <f>-G56-F56</f>
        <v>-425000</v>
      </c>
      <c r="J56" s="7">
        <f>+(H56+J57)/(1+I54)</f>
        <v>-399061.03286384977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EAF0-B4E5-4171-BB9B-25B1A310E044}">
  <dimension ref="A1:K61"/>
  <sheetViews>
    <sheetView workbookViewId="0">
      <selection activeCell="A46" sqref="A46"/>
    </sheetView>
  </sheetViews>
  <sheetFormatPr defaultColWidth="8.85546875" defaultRowHeight="15" x14ac:dyDescent="0.25"/>
  <cols>
    <col min="1" max="1" width="4.42578125" customWidth="1"/>
    <col min="2" max="2" width="11.28515625" customWidth="1"/>
    <col min="3" max="3" width="9.140625" customWidth="1"/>
    <col min="4" max="4" width="9.28515625" customWidth="1"/>
    <col min="5" max="5" width="8.85546875" customWidth="1"/>
    <col min="6" max="7" width="8.7109375" customWidth="1"/>
    <col min="8" max="8" width="9.42578125" customWidth="1"/>
    <col min="9" max="9" width="9.28515625" customWidth="1"/>
    <col min="10" max="10" width="10.7109375" customWidth="1"/>
  </cols>
  <sheetData>
    <row r="1" spans="1:8" x14ac:dyDescent="0.25">
      <c r="A1" s="75" t="s">
        <v>111</v>
      </c>
      <c r="B1" s="75"/>
      <c r="C1" s="75"/>
      <c r="D1" s="75"/>
      <c r="E1" s="75"/>
      <c r="F1" s="75"/>
      <c r="G1" s="75"/>
      <c r="H1" s="75"/>
    </row>
    <row r="2" spans="1:8" x14ac:dyDescent="0.25">
      <c r="A2" s="74"/>
      <c r="B2" s="74"/>
      <c r="C2" s="74"/>
      <c r="D2" s="74"/>
      <c r="E2" s="74"/>
      <c r="F2" s="74"/>
      <c r="G2" s="74"/>
      <c r="H2" s="74"/>
    </row>
    <row r="3" spans="1:8" ht="75" x14ac:dyDescent="0.25">
      <c r="A3" s="11" t="s">
        <v>23</v>
      </c>
      <c r="B3" s="12" t="s">
        <v>36</v>
      </c>
      <c r="C3" s="12" t="s">
        <v>33</v>
      </c>
      <c r="D3" s="12" t="s">
        <v>24</v>
      </c>
      <c r="E3" s="12" t="s">
        <v>25</v>
      </c>
      <c r="F3" s="12" t="s">
        <v>39</v>
      </c>
      <c r="G3" s="14" t="s">
        <v>29</v>
      </c>
      <c r="H3" s="16"/>
    </row>
    <row r="4" spans="1:8" x14ac:dyDescent="0.25">
      <c r="A4" s="10">
        <v>0</v>
      </c>
      <c r="B4" s="10"/>
      <c r="C4" s="13">
        <f>NPV(0.05,B5:B$14)</f>
        <v>498021.59205412085</v>
      </c>
      <c r="D4" s="13">
        <v>400000</v>
      </c>
      <c r="E4" s="13">
        <f>+C4-D4</f>
        <v>98021.592054120847</v>
      </c>
      <c r="F4" s="13"/>
      <c r="G4" s="15"/>
      <c r="H4" s="16"/>
    </row>
    <row r="5" spans="1:8" x14ac:dyDescent="0.25">
      <c r="A5" s="10">
        <v>1</v>
      </c>
      <c r="B5" s="13">
        <v>89500</v>
      </c>
      <c r="C5" s="13">
        <f>NPV(0.05,B6:B$14)</f>
        <v>433422.67165682686</v>
      </c>
      <c r="D5" s="10"/>
      <c r="E5" s="13"/>
      <c r="F5" s="13">
        <f t="shared" ref="F5:F14" si="0">+E$4/C$4*C5</f>
        <v>85307.105125545946</v>
      </c>
      <c r="G5" s="15">
        <f>C5</f>
        <v>433422.67165682686</v>
      </c>
      <c r="H5" s="16"/>
    </row>
    <row r="6" spans="1:8" x14ac:dyDescent="0.25">
      <c r="A6" s="10">
        <v>2</v>
      </c>
      <c r="B6" s="13">
        <v>82300</v>
      </c>
      <c r="C6" s="13">
        <f>NPV(0.05,B7:B$14)</f>
        <v>372793.80523966829</v>
      </c>
      <c r="D6" s="10"/>
      <c r="E6" s="13"/>
      <c r="F6" s="13">
        <f t="shared" si="0"/>
        <v>73374.012051941478</v>
      </c>
      <c r="G6" s="15">
        <f t="shared" ref="G6:G14" si="1">C6</f>
        <v>372793.80523966829</v>
      </c>
      <c r="H6" s="16"/>
    </row>
    <row r="7" spans="1:8" x14ac:dyDescent="0.25">
      <c r="A7" s="10">
        <v>3</v>
      </c>
      <c r="B7" s="13">
        <v>79600</v>
      </c>
      <c r="C7" s="13">
        <f>NPV(0.05,B8:B$14)</f>
        <v>311833.49550165166</v>
      </c>
      <c r="D7" s="10"/>
      <c r="E7" s="13"/>
      <c r="F7" s="13">
        <f t="shared" si="0"/>
        <v>61375.683650181425</v>
      </c>
      <c r="G7" s="15">
        <f t="shared" si="1"/>
        <v>311833.49550165166</v>
      </c>
      <c r="H7" s="16"/>
    </row>
    <row r="8" spans="1:8" x14ac:dyDescent="0.25">
      <c r="A8" s="10">
        <v>4</v>
      </c>
      <c r="B8" s="13">
        <v>78400</v>
      </c>
      <c r="C8" s="13">
        <f>NPV(0.05,B9:B$14)</f>
        <v>249025.17027673431</v>
      </c>
      <c r="D8" s="10"/>
      <c r="E8" s="13"/>
      <c r="F8" s="13">
        <f t="shared" si="0"/>
        <v>49013.625195233246</v>
      </c>
      <c r="G8" s="15">
        <f t="shared" si="1"/>
        <v>249025.17027673431</v>
      </c>
      <c r="H8" s="16"/>
    </row>
    <row r="9" spans="1:8" x14ac:dyDescent="0.25">
      <c r="A9" s="10">
        <v>5</v>
      </c>
      <c r="B9" s="13">
        <v>74300</v>
      </c>
      <c r="C9" s="13">
        <f>NPV(0.05,B10:B$14)</f>
        <v>187176.42879057105</v>
      </c>
      <c r="D9" s="10"/>
      <c r="E9" s="13"/>
      <c r="F9" s="13">
        <f t="shared" si="0"/>
        <v>36840.43390444549</v>
      </c>
      <c r="G9" s="15">
        <f t="shared" si="1"/>
        <v>187176.42879057105</v>
      </c>
      <c r="H9" s="16"/>
    </row>
    <row r="10" spans="1:8" x14ac:dyDescent="0.25">
      <c r="A10" s="10">
        <v>6</v>
      </c>
      <c r="B10" s="13">
        <v>72000</v>
      </c>
      <c r="C10" s="13">
        <f>NPV(0.05,B11:B$14)</f>
        <v>124535.25023009958</v>
      </c>
      <c r="D10" s="10"/>
      <c r="E10" s="13"/>
      <c r="F10" s="13">
        <f t="shared" si="0"/>
        <v>24511.273585676401</v>
      </c>
      <c r="G10" s="15">
        <f t="shared" si="1"/>
        <v>124535.25023009958</v>
      </c>
      <c r="H10" s="16"/>
    </row>
    <row r="11" spans="1:8" x14ac:dyDescent="0.25">
      <c r="A11" s="10">
        <v>7</v>
      </c>
      <c r="B11" s="13">
        <v>67000</v>
      </c>
      <c r="C11" s="13">
        <f>NPV(0.05,B12:B$14)</f>
        <v>63762.012741604573</v>
      </c>
      <c r="D11" s="10"/>
      <c r="E11" s="13"/>
      <c r="F11" s="13">
        <f t="shared" si="0"/>
        <v>12549.765113051595</v>
      </c>
      <c r="G11" s="15">
        <f t="shared" si="1"/>
        <v>63762.012741604573</v>
      </c>
      <c r="H11" s="16"/>
    </row>
    <row r="12" spans="1:8" x14ac:dyDescent="0.25">
      <c r="A12" s="10">
        <v>8</v>
      </c>
      <c r="B12" s="13">
        <v>39000</v>
      </c>
      <c r="C12" s="13">
        <f>NPV(0.05,B13:B$14)</f>
        <v>27950.113378684804</v>
      </c>
      <c r="D12" s="10"/>
      <c r="E12" s="13"/>
      <c r="F12" s="13">
        <f t="shared" si="0"/>
        <v>5501.196444458853</v>
      </c>
      <c r="G12" s="15">
        <f t="shared" si="1"/>
        <v>27950.113378684804</v>
      </c>
      <c r="H12" s="16"/>
    </row>
    <row r="13" spans="1:8" x14ac:dyDescent="0.25">
      <c r="A13" s="10">
        <v>9</v>
      </c>
      <c r="B13" s="13">
        <v>20300</v>
      </c>
      <c r="C13" s="13">
        <f>NPV(0.05,B14:B$14)</f>
        <v>9047.6190476190477</v>
      </c>
      <c r="D13" s="10"/>
      <c r="E13" s="13"/>
      <c r="F13" s="13">
        <f t="shared" si="0"/>
        <v>1780.7702266258987</v>
      </c>
      <c r="G13" s="15">
        <f t="shared" si="1"/>
        <v>9047.6190476190477</v>
      </c>
      <c r="H13" s="16"/>
    </row>
    <row r="14" spans="1:8" x14ac:dyDescent="0.25">
      <c r="A14" s="10">
        <v>10</v>
      </c>
      <c r="B14" s="13">
        <v>9500</v>
      </c>
      <c r="C14" s="13"/>
      <c r="D14" s="10"/>
      <c r="E14" s="13"/>
      <c r="F14" s="13">
        <f t="shared" si="0"/>
        <v>0</v>
      </c>
      <c r="G14" s="15">
        <f t="shared" si="1"/>
        <v>0</v>
      </c>
      <c r="H14" s="16"/>
    </row>
    <row r="16" spans="1:8" x14ac:dyDescent="0.25">
      <c r="A16" s="8" t="s">
        <v>112</v>
      </c>
    </row>
    <row r="18" spans="1:11" ht="75" x14ac:dyDescent="0.25">
      <c r="A18" s="11" t="s">
        <v>23</v>
      </c>
      <c r="B18" s="20" t="s">
        <v>40</v>
      </c>
      <c r="C18" s="21" t="s">
        <v>32</v>
      </c>
      <c r="D18" s="21" t="s">
        <v>37</v>
      </c>
      <c r="E18" s="21" t="s">
        <v>28</v>
      </c>
      <c r="F18" s="21" t="s">
        <v>41</v>
      </c>
      <c r="G18" s="21" t="s">
        <v>42</v>
      </c>
      <c r="H18" s="21" t="s">
        <v>43</v>
      </c>
      <c r="I18" s="21" t="s">
        <v>30</v>
      </c>
      <c r="J18" s="22" t="s">
        <v>31</v>
      </c>
      <c r="K18" s="23"/>
    </row>
    <row r="19" spans="1:11" x14ac:dyDescent="0.25">
      <c r="A19" s="19">
        <v>1</v>
      </c>
      <c r="B19" s="17">
        <f>-D4</f>
        <v>-400000</v>
      </c>
      <c r="C19" s="17">
        <f t="shared" ref="C19:C28" si="2">-B5</f>
        <v>-89500</v>
      </c>
      <c r="D19" s="17">
        <f t="shared" ref="D19:D28" si="3">C4-C5</f>
        <v>64598.920397293987</v>
      </c>
      <c r="E19" s="17">
        <f>-C19</f>
        <v>89500</v>
      </c>
      <c r="F19" s="17">
        <f t="shared" ref="F19:F28" si="4">F4-F5</f>
        <v>-85307.105125545946</v>
      </c>
      <c r="G19" s="17">
        <f t="shared" ref="G19:G28" si="5">G5-G4</f>
        <v>433422.67165682686</v>
      </c>
      <c r="H19" s="17">
        <f t="shared" ref="H19:H28" si="6">(+E4+F4)*0.05</f>
        <v>4901.0796027060424</v>
      </c>
      <c r="I19" s="17">
        <f>SUM(B19:H19)</f>
        <v>17615.566531280958</v>
      </c>
      <c r="J19" s="18">
        <f>-I19/C19</f>
        <v>0.196821972416547</v>
      </c>
    </row>
    <row r="20" spans="1:11" x14ac:dyDescent="0.25">
      <c r="A20" s="19">
        <v>2</v>
      </c>
      <c r="B20" s="19"/>
      <c r="C20" s="17">
        <f t="shared" si="2"/>
        <v>-82300</v>
      </c>
      <c r="D20" s="17">
        <f t="shared" si="3"/>
        <v>60628.86641715857</v>
      </c>
      <c r="E20" s="17">
        <f t="shared" ref="E20:E28" si="7">-C20</f>
        <v>82300</v>
      </c>
      <c r="F20" s="17">
        <f t="shared" si="4"/>
        <v>11933.093073604468</v>
      </c>
      <c r="G20" s="17">
        <f t="shared" si="5"/>
        <v>-60628.86641715857</v>
      </c>
      <c r="H20" s="17">
        <f t="shared" si="6"/>
        <v>4265.3552562772975</v>
      </c>
      <c r="I20" s="17">
        <f t="shared" ref="I20:I28" si="8">SUM(B20:H20)</f>
        <v>16198.448329881765</v>
      </c>
      <c r="J20" s="18">
        <f t="shared" ref="J20:J28" si="9">-I20/C20</f>
        <v>0.19682197241654636</v>
      </c>
    </row>
    <row r="21" spans="1:11" x14ac:dyDescent="0.25">
      <c r="A21" s="19">
        <v>3</v>
      </c>
      <c r="B21" s="19"/>
      <c r="C21" s="17">
        <f t="shared" si="2"/>
        <v>-79600</v>
      </c>
      <c r="D21" s="17">
        <f t="shared" si="3"/>
        <v>60960.309738016629</v>
      </c>
      <c r="E21" s="17">
        <f t="shared" si="7"/>
        <v>79600</v>
      </c>
      <c r="F21" s="17">
        <f t="shared" si="4"/>
        <v>11998.328401760053</v>
      </c>
      <c r="G21" s="17">
        <f t="shared" si="5"/>
        <v>-60960.309738016629</v>
      </c>
      <c r="H21" s="17">
        <f t="shared" si="6"/>
        <v>3668.7006025970741</v>
      </c>
      <c r="I21" s="17">
        <f t="shared" si="8"/>
        <v>15667.029004357126</v>
      </c>
      <c r="J21" s="18">
        <f t="shared" si="9"/>
        <v>0.19682197241654681</v>
      </c>
    </row>
    <row r="22" spans="1:11" x14ac:dyDescent="0.25">
      <c r="A22" s="19">
        <v>4</v>
      </c>
      <c r="B22" s="19"/>
      <c r="C22" s="17">
        <f t="shared" si="2"/>
        <v>-78400</v>
      </c>
      <c r="D22" s="17">
        <f t="shared" si="3"/>
        <v>62808.325224917353</v>
      </c>
      <c r="E22" s="17">
        <f t="shared" si="7"/>
        <v>78400</v>
      </c>
      <c r="F22" s="17">
        <f t="shared" si="4"/>
        <v>12362.058454948179</v>
      </c>
      <c r="G22" s="17">
        <f t="shared" si="5"/>
        <v>-62808.325224917353</v>
      </c>
      <c r="H22" s="17">
        <f t="shared" si="6"/>
        <v>3068.7841825090713</v>
      </c>
      <c r="I22" s="17">
        <f t="shared" si="8"/>
        <v>15430.842637457257</v>
      </c>
      <c r="J22" s="18">
        <f t="shared" si="9"/>
        <v>0.19682197241654664</v>
      </c>
    </row>
    <row r="23" spans="1:11" x14ac:dyDescent="0.25">
      <c r="A23" s="19">
        <v>5</v>
      </c>
      <c r="B23" s="19"/>
      <c r="C23" s="17">
        <f t="shared" si="2"/>
        <v>-74300</v>
      </c>
      <c r="D23" s="17">
        <f t="shared" si="3"/>
        <v>61848.741486163257</v>
      </c>
      <c r="E23" s="17">
        <f t="shared" si="7"/>
        <v>74300</v>
      </c>
      <c r="F23" s="17">
        <f t="shared" si="4"/>
        <v>12173.191290787756</v>
      </c>
      <c r="G23" s="17">
        <f t="shared" si="5"/>
        <v>-61848.741486163257</v>
      </c>
      <c r="H23" s="17">
        <f t="shared" si="6"/>
        <v>2450.6812597616622</v>
      </c>
      <c r="I23" s="17">
        <f t="shared" si="8"/>
        <v>14623.872550549419</v>
      </c>
      <c r="J23" s="18">
        <f t="shared" si="9"/>
        <v>0.19682197241654667</v>
      </c>
    </row>
    <row r="24" spans="1:11" x14ac:dyDescent="0.25">
      <c r="A24" s="19">
        <v>6</v>
      </c>
      <c r="B24" s="19"/>
      <c r="C24" s="17">
        <f t="shared" si="2"/>
        <v>-72000</v>
      </c>
      <c r="D24" s="17">
        <f t="shared" si="3"/>
        <v>62641.178560471468</v>
      </c>
      <c r="E24" s="17">
        <f t="shared" si="7"/>
        <v>72000</v>
      </c>
      <c r="F24" s="17">
        <f t="shared" si="4"/>
        <v>12329.160318769089</v>
      </c>
      <c r="G24" s="17">
        <f t="shared" si="5"/>
        <v>-62641.178560471468</v>
      </c>
      <c r="H24" s="17">
        <f t="shared" si="6"/>
        <v>1842.0216952222745</v>
      </c>
      <c r="I24" s="17">
        <f t="shared" si="8"/>
        <v>14171.182013991367</v>
      </c>
      <c r="J24" s="18">
        <f t="shared" si="9"/>
        <v>0.19682197241654675</v>
      </c>
    </row>
    <row r="25" spans="1:11" x14ac:dyDescent="0.25">
      <c r="A25" s="19">
        <v>7</v>
      </c>
      <c r="B25" s="19"/>
      <c r="C25" s="17">
        <f t="shared" si="2"/>
        <v>-67000</v>
      </c>
      <c r="D25" s="17">
        <f t="shared" si="3"/>
        <v>60773.237488495011</v>
      </c>
      <c r="E25" s="17">
        <f t="shared" si="7"/>
        <v>67000</v>
      </c>
      <c r="F25" s="17">
        <f t="shared" si="4"/>
        <v>11961.508472624806</v>
      </c>
      <c r="G25" s="17">
        <f t="shared" si="5"/>
        <v>-60773.237488495011</v>
      </c>
      <c r="H25" s="17">
        <f t="shared" si="6"/>
        <v>1225.5636792838202</v>
      </c>
      <c r="I25" s="17">
        <f t="shared" si="8"/>
        <v>13187.072151908622</v>
      </c>
      <c r="J25" s="18">
        <f t="shared" si="9"/>
        <v>0.19682197241654659</v>
      </c>
    </row>
    <row r="26" spans="1:11" x14ac:dyDescent="0.25">
      <c r="A26" s="19">
        <v>8</v>
      </c>
      <c r="B26" s="19"/>
      <c r="C26" s="17">
        <f t="shared" si="2"/>
        <v>-39000</v>
      </c>
      <c r="D26" s="17">
        <f t="shared" si="3"/>
        <v>35811.899362919765</v>
      </c>
      <c r="E26" s="17">
        <f t="shared" si="7"/>
        <v>39000</v>
      </c>
      <c r="F26" s="17">
        <f t="shared" si="4"/>
        <v>7048.5686685927421</v>
      </c>
      <c r="G26" s="17">
        <f t="shared" si="5"/>
        <v>-35811.899362919765</v>
      </c>
      <c r="H26" s="17">
        <f t="shared" si="6"/>
        <v>627.48825565257982</v>
      </c>
      <c r="I26" s="17">
        <f t="shared" si="8"/>
        <v>7676.056924245323</v>
      </c>
      <c r="J26" s="18">
        <f t="shared" si="9"/>
        <v>0.19682197241654675</v>
      </c>
    </row>
    <row r="27" spans="1:11" x14ac:dyDescent="0.25">
      <c r="A27" s="19">
        <v>9</v>
      </c>
      <c r="B27" s="19"/>
      <c r="C27" s="17">
        <f t="shared" si="2"/>
        <v>-20300</v>
      </c>
      <c r="D27" s="17">
        <f t="shared" si="3"/>
        <v>18902.494331065755</v>
      </c>
      <c r="E27" s="17">
        <f t="shared" si="7"/>
        <v>20300</v>
      </c>
      <c r="F27" s="17">
        <f t="shared" si="4"/>
        <v>3720.4262178329545</v>
      </c>
      <c r="G27" s="17">
        <f t="shared" si="5"/>
        <v>-18902.494331065755</v>
      </c>
      <c r="H27" s="17">
        <f t="shared" si="6"/>
        <v>275.05982222294267</v>
      </c>
      <c r="I27" s="17">
        <f t="shared" si="8"/>
        <v>3995.4860400558982</v>
      </c>
      <c r="J27" s="18">
        <f t="shared" si="9"/>
        <v>0.1968219724165467</v>
      </c>
    </row>
    <row r="28" spans="1:11" x14ac:dyDescent="0.25">
      <c r="A28" s="19">
        <v>10</v>
      </c>
      <c r="B28" s="19"/>
      <c r="C28" s="17">
        <f t="shared" si="2"/>
        <v>-9500</v>
      </c>
      <c r="D28" s="17">
        <f t="shared" si="3"/>
        <v>9047.6190476190477</v>
      </c>
      <c r="E28" s="17">
        <f t="shared" si="7"/>
        <v>9500</v>
      </c>
      <c r="F28" s="17">
        <f t="shared" si="4"/>
        <v>1780.7702266258987</v>
      </c>
      <c r="G28" s="17">
        <f t="shared" si="5"/>
        <v>-9047.6190476190477</v>
      </c>
      <c r="H28" s="17">
        <f t="shared" si="6"/>
        <v>89.038511331294941</v>
      </c>
      <c r="I28" s="17">
        <f t="shared" si="8"/>
        <v>1869.8087379571934</v>
      </c>
      <c r="J28" s="18">
        <f t="shared" si="9"/>
        <v>0.19682197241654667</v>
      </c>
    </row>
    <row r="29" spans="1:11" x14ac:dyDescent="0.25">
      <c r="D29" s="7"/>
    </row>
    <row r="30" spans="1:11" x14ac:dyDescent="0.25">
      <c r="D30" s="7"/>
      <c r="I30" s="26"/>
    </row>
    <row r="31" spans="1:11" x14ac:dyDescent="0.25">
      <c r="A31" s="24" t="s">
        <v>113</v>
      </c>
      <c r="B31" s="25"/>
      <c r="C31" s="25"/>
      <c r="D31" s="25"/>
      <c r="E31" s="25"/>
      <c r="F31" s="25"/>
      <c r="G31" s="25"/>
      <c r="H31" s="25"/>
      <c r="J31" s="25"/>
    </row>
    <row r="32" spans="1:1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64.5" x14ac:dyDescent="0.25">
      <c r="A33" s="27" t="s">
        <v>23</v>
      </c>
      <c r="B33" s="28" t="s">
        <v>35</v>
      </c>
      <c r="C33" s="28" t="s">
        <v>34</v>
      </c>
      <c r="D33" s="28" t="s">
        <v>38</v>
      </c>
      <c r="E33" s="28" t="s">
        <v>44</v>
      </c>
      <c r="F33" s="28" t="s">
        <v>45</v>
      </c>
      <c r="G33" s="29" t="s">
        <v>46</v>
      </c>
      <c r="H33" s="28" t="s">
        <v>27</v>
      </c>
      <c r="I33" s="28" t="s">
        <v>48</v>
      </c>
      <c r="J33" s="29" t="s">
        <v>47</v>
      </c>
    </row>
    <row r="34" spans="1:10" x14ac:dyDescent="0.25">
      <c r="A34" s="30">
        <v>0</v>
      </c>
      <c r="B34" s="30"/>
      <c r="C34" s="31">
        <f>NPV(0.05,B35:B$44)</f>
        <v>509598.90286661248</v>
      </c>
      <c r="D34" s="31">
        <v>400000</v>
      </c>
      <c r="E34" s="31">
        <f>+C34-D34</f>
        <v>109598.90286661248</v>
      </c>
      <c r="F34" s="31"/>
      <c r="G34" s="31"/>
      <c r="H34" s="32">
        <f>+C4</f>
        <v>498021.59205412085</v>
      </c>
      <c r="I34" s="32"/>
      <c r="J34" s="32">
        <f>+G4</f>
        <v>0</v>
      </c>
    </row>
    <row r="35" spans="1:10" x14ac:dyDescent="0.25">
      <c r="A35" s="30">
        <v>1</v>
      </c>
      <c r="B35" s="32">
        <f>B5</f>
        <v>89500</v>
      </c>
      <c r="C35" s="31">
        <f>NPV(0.05,B36:B$44)</f>
        <v>445578.84800994309</v>
      </c>
      <c r="D35" s="30"/>
      <c r="E35" s="31"/>
      <c r="F35" s="31"/>
      <c r="G35" s="31"/>
      <c r="H35" s="32">
        <f>+C5</f>
        <v>433422.67165682686</v>
      </c>
      <c r="I35" s="32">
        <f>F5</f>
        <v>85307.105125545946</v>
      </c>
      <c r="J35" s="32">
        <f>+G5</f>
        <v>433422.67165682686</v>
      </c>
    </row>
    <row r="36" spans="1:10" x14ac:dyDescent="0.25">
      <c r="A36" s="30">
        <v>2</v>
      </c>
      <c r="B36" s="32">
        <f>B6</f>
        <v>82300</v>
      </c>
      <c r="C36" s="31">
        <f>NPV(0.05,B37:B$44)</f>
        <v>385557.7904104403</v>
      </c>
      <c r="D36" s="30"/>
      <c r="E36" s="31"/>
      <c r="F36" s="31"/>
      <c r="G36" s="31"/>
      <c r="H36" s="32">
        <f>+C6</f>
        <v>372793.80523966829</v>
      </c>
      <c r="I36" s="32">
        <f>F6</f>
        <v>73374.012051941478</v>
      </c>
      <c r="J36" s="32">
        <f>+G6</f>
        <v>372793.80523966829</v>
      </c>
    </row>
    <row r="37" spans="1:10" x14ac:dyDescent="0.25">
      <c r="A37" s="30">
        <v>3</v>
      </c>
      <c r="B37" s="32">
        <f>B7</f>
        <v>79600</v>
      </c>
      <c r="C37" s="31">
        <f>NPV(0.05,B38:B$44)</f>
        <v>325235.67993096233</v>
      </c>
      <c r="D37" s="30"/>
      <c r="E37" s="31"/>
      <c r="F37" s="31"/>
      <c r="G37" s="31"/>
      <c r="H37" s="32">
        <f>+C7</f>
        <v>311833.49550165166</v>
      </c>
      <c r="I37" s="32">
        <f>F7</f>
        <v>61375.683650181425</v>
      </c>
      <c r="J37" s="32">
        <f>+G7</f>
        <v>311833.49550165166</v>
      </c>
    </row>
    <row r="38" spans="1:10" x14ac:dyDescent="0.25">
      <c r="A38" s="30">
        <v>4</v>
      </c>
      <c r="B38" s="32">
        <f>B8</f>
        <v>78400</v>
      </c>
      <c r="C38" s="31">
        <f>NPV(0.05,B39:B$44)</f>
        <v>263097.46392751037</v>
      </c>
      <c r="D38" s="30"/>
      <c r="E38" s="31"/>
      <c r="F38" s="31"/>
      <c r="G38" s="31"/>
      <c r="H38" s="32">
        <f>+C8</f>
        <v>249025.17027673431</v>
      </c>
      <c r="I38" s="32">
        <f>F8</f>
        <v>49013.625195233246</v>
      </c>
      <c r="J38" s="32">
        <f>+G8</f>
        <v>249025.17027673431</v>
      </c>
    </row>
    <row r="39" spans="1:10" x14ac:dyDescent="0.25">
      <c r="A39" s="30">
        <v>5</v>
      </c>
      <c r="B39" s="32">
        <f>B9</f>
        <v>74300</v>
      </c>
      <c r="C39" s="31">
        <f>NPV(0.05,B40:B$44)</f>
        <v>201952.33712388604</v>
      </c>
      <c r="D39" s="30"/>
      <c r="E39" s="31"/>
      <c r="F39" s="31">
        <f>+E$34/C$34*C39</f>
        <v>43433.677850597094</v>
      </c>
      <c r="G39" s="31">
        <f>C39</f>
        <v>201952.33712388604</v>
      </c>
      <c r="H39" s="32">
        <f>C39</f>
        <v>201952.33712388604</v>
      </c>
      <c r="I39" s="32">
        <f>F39</f>
        <v>43433.677850597094</v>
      </c>
      <c r="J39" s="32">
        <f>G39</f>
        <v>201952.33712388604</v>
      </c>
    </row>
    <row r="40" spans="1:10" x14ac:dyDescent="0.25">
      <c r="A40" s="30">
        <v>6</v>
      </c>
      <c r="B40" s="31">
        <v>79100</v>
      </c>
      <c r="C40" s="31">
        <f>NPV(0.05,B41:B$44)</f>
        <v>132949.95398008032</v>
      </c>
      <c r="D40" s="30"/>
      <c r="E40" s="31"/>
      <c r="F40" s="31">
        <f>+E$34/C$34*C40</f>
        <v>28593.407502287002</v>
      </c>
      <c r="G40" s="31">
        <f t="shared" ref="G40:G44" si="10">C40</f>
        <v>132949.95398008032</v>
      </c>
      <c r="H40" s="32">
        <f>C40</f>
        <v>132949.95398008032</v>
      </c>
      <c r="I40" s="32">
        <f t="shared" ref="I40:I43" si="11">F40</f>
        <v>28593.407502287002</v>
      </c>
      <c r="J40" s="32">
        <f>G40</f>
        <v>132949.95398008032</v>
      </c>
    </row>
    <row r="41" spans="1:10" x14ac:dyDescent="0.25">
      <c r="A41" s="30">
        <v>7</v>
      </c>
      <c r="B41" s="31">
        <v>72000</v>
      </c>
      <c r="C41" s="31">
        <f>NPV(0.05,B42:B$44)</f>
        <v>67597.451679084334</v>
      </c>
      <c r="D41" s="30"/>
      <c r="E41" s="31"/>
      <c r="F41" s="31">
        <f>+E$34/C$34*C41</f>
        <v>14538.113208115949</v>
      </c>
      <c r="G41" s="31">
        <f t="shared" si="10"/>
        <v>67597.451679084334</v>
      </c>
      <c r="H41" s="32">
        <f>C41</f>
        <v>67597.451679084334</v>
      </c>
      <c r="I41" s="32">
        <f t="shared" si="11"/>
        <v>14538.113208115949</v>
      </c>
      <c r="J41" s="32">
        <f>G41</f>
        <v>67597.451679084334</v>
      </c>
    </row>
    <row r="42" spans="1:10" x14ac:dyDescent="0.25">
      <c r="A42" s="30">
        <v>8</v>
      </c>
      <c r="B42" s="31">
        <v>41000</v>
      </c>
      <c r="C42" s="31">
        <f>NPV(0.05,B43:B$44)</f>
        <v>29977.324263038547</v>
      </c>
      <c r="D42" s="30"/>
      <c r="E42" s="31"/>
      <c r="F42" s="31">
        <f>+E$34/C$34*C42</f>
        <v>6447.1917651786671</v>
      </c>
      <c r="G42" s="31">
        <f t="shared" si="10"/>
        <v>29977.324263038547</v>
      </c>
      <c r="H42" s="32">
        <f>C42</f>
        <v>29977.324263038547</v>
      </c>
      <c r="I42" s="32">
        <f t="shared" si="11"/>
        <v>6447.1917651786671</v>
      </c>
      <c r="J42" s="32">
        <f>G42</f>
        <v>29977.324263038547</v>
      </c>
    </row>
    <row r="43" spans="1:10" x14ac:dyDescent="0.25">
      <c r="A43" s="30">
        <v>9</v>
      </c>
      <c r="B43" s="31">
        <v>21000</v>
      </c>
      <c r="C43" s="31">
        <f>NPV(0.05,B44:B$44)</f>
        <v>10476.190476190475</v>
      </c>
      <c r="D43" s="30"/>
      <c r="E43" s="31"/>
      <c r="F43" s="31">
        <f>+E$34/C$34*C43</f>
        <v>2253.1033248960243</v>
      </c>
      <c r="G43" s="31">
        <f t="shared" si="10"/>
        <v>10476.190476190475</v>
      </c>
      <c r="H43" s="32">
        <f>C43</f>
        <v>10476.190476190475</v>
      </c>
      <c r="I43" s="32">
        <f t="shared" si="11"/>
        <v>2253.1033248960243</v>
      </c>
      <c r="J43" s="32">
        <f>G43</f>
        <v>10476.190476190475</v>
      </c>
    </row>
    <row r="44" spans="1:10" x14ac:dyDescent="0.25">
      <c r="A44" s="30">
        <v>10</v>
      </c>
      <c r="B44" s="31">
        <v>11000</v>
      </c>
      <c r="C44" s="31"/>
      <c r="D44" s="30"/>
      <c r="E44" s="31"/>
      <c r="F44" s="31">
        <f>+E$4/C$4*C44</f>
        <v>0</v>
      </c>
      <c r="G44" s="31">
        <f t="shared" si="10"/>
        <v>0</v>
      </c>
      <c r="H44" s="30"/>
      <c r="I44" s="32"/>
      <c r="J44" s="32">
        <f>G44</f>
        <v>0</v>
      </c>
    </row>
    <row r="46" spans="1:10" x14ac:dyDescent="0.25">
      <c r="A46" s="73" t="s">
        <v>114</v>
      </c>
      <c r="B46" s="33"/>
      <c r="C46" s="33"/>
      <c r="D46" s="33"/>
      <c r="E46" s="33"/>
      <c r="F46" s="33"/>
      <c r="G46" s="33"/>
      <c r="H46" s="33"/>
      <c r="I46" s="33"/>
      <c r="J46" s="33"/>
    </row>
    <row r="47" spans="1:10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76.5" x14ac:dyDescent="0.25">
      <c r="A48" s="34" t="s">
        <v>23</v>
      </c>
      <c r="B48" s="35" t="s">
        <v>40</v>
      </c>
      <c r="C48" s="36" t="s">
        <v>32</v>
      </c>
      <c r="D48" s="36" t="s">
        <v>37</v>
      </c>
      <c r="E48" s="36" t="s">
        <v>28</v>
      </c>
      <c r="F48" s="36" t="s">
        <v>49</v>
      </c>
      <c r="G48" s="36" t="s">
        <v>42</v>
      </c>
      <c r="H48" s="36" t="s">
        <v>26</v>
      </c>
      <c r="I48" s="36" t="s">
        <v>30</v>
      </c>
      <c r="J48" s="35" t="s">
        <v>31</v>
      </c>
    </row>
    <row r="49" spans="1:10" x14ac:dyDescent="0.25">
      <c r="A49" s="37">
        <v>0</v>
      </c>
      <c r="B49" s="37"/>
      <c r="C49" s="37"/>
      <c r="D49" s="37"/>
      <c r="E49" s="37"/>
      <c r="F49" s="37"/>
      <c r="G49" s="37"/>
      <c r="H49" s="37"/>
      <c r="I49" s="37"/>
      <c r="J49" s="37"/>
    </row>
    <row r="50" spans="1:10" x14ac:dyDescent="0.25">
      <c r="A50" s="37">
        <v>1</v>
      </c>
      <c r="B50" s="38">
        <f>B19</f>
        <v>-400000</v>
      </c>
      <c r="C50" s="38">
        <f>-B35</f>
        <v>-89500</v>
      </c>
      <c r="D50" s="38">
        <f>H34-H35</f>
        <v>64598.920397293987</v>
      </c>
      <c r="E50" s="38">
        <f>-C50</f>
        <v>89500</v>
      </c>
      <c r="F50" s="38">
        <f>I34-I35</f>
        <v>-85307.105125545946</v>
      </c>
      <c r="G50" s="38">
        <f t="shared" ref="G50:G59" si="12">J35-J34</f>
        <v>433422.67165682686</v>
      </c>
      <c r="H50" s="38">
        <f>+H19</f>
        <v>4901.0796027060424</v>
      </c>
      <c r="I50" s="38">
        <f>SUM(B50:H50)</f>
        <v>17615.566531280958</v>
      </c>
      <c r="J50" s="39">
        <f>-I50/C50</f>
        <v>0.196821972416547</v>
      </c>
    </row>
    <row r="51" spans="1:10" x14ac:dyDescent="0.25">
      <c r="A51" s="37">
        <v>2</v>
      </c>
      <c r="B51" s="37"/>
      <c r="C51" s="38">
        <f t="shared" ref="C51:C59" si="13">-B36</f>
        <v>-82300</v>
      </c>
      <c r="D51" s="38">
        <f t="shared" ref="D51:D59" si="14">H35-H36</f>
        <v>60628.86641715857</v>
      </c>
      <c r="E51" s="38">
        <f t="shared" ref="E51:E59" si="15">-C51</f>
        <v>82300</v>
      </c>
      <c r="F51" s="38">
        <f t="shared" ref="F51:F59" si="16">I35-I36</f>
        <v>11933.093073604468</v>
      </c>
      <c r="G51" s="38">
        <f t="shared" si="12"/>
        <v>-60628.86641715857</v>
      </c>
      <c r="H51" s="38">
        <f>+H20</f>
        <v>4265.3552562772975</v>
      </c>
      <c r="I51" s="38">
        <f t="shared" ref="I51:I59" si="17">SUM(B51:H51)</f>
        <v>16198.448329881765</v>
      </c>
      <c r="J51" s="39">
        <f t="shared" ref="J51:J59" si="18">-I51/C51</f>
        <v>0.19682197241654636</v>
      </c>
    </row>
    <row r="52" spans="1:10" x14ac:dyDescent="0.25">
      <c r="A52" s="37">
        <v>3</v>
      </c>
      <c r="B52" s="37"/>
      <c r="C52" s="38">
        <f t="shared" si="13"/>
        <v>-79600</v>
      </c>
      <c r="D52" s="38">
        <f t="shared" si="14"/>
        <v>60960.309738016629</v>
      </c>
      <c r="E52" s="38">
        <f t="shared" si="15"/>
        <v>79600</v>
      </c>
      <c r="F52" s="38">
        <f t="shared" si="16"/>
        <v>11998.328401760053</v>
      </c>
      <c r="G52" s="38">
        <f t="shared" si="12"/>
        <v>-60960.309738016629</v>
      </c>
      <c r="H52" s="38">
        <f>+H21</f>
        <v>3668.7006025970741</v>
      </c>
      <c r="I52" s="38">
        <f t="shared" si="17"/>
        <v>15667.029004357126</v>
      </c>
      <c r="J52" s="39">
        <f t="shared" si="18"/>
        <v>0.19682197241654681</v>
      </c>
    </row>
    <row r="53" spans="1:10" x14ac:dyDescent="0.25">
      <c r="A53" s="37">
        <v>4</v>
      </c>
      <c r="B53" s="37"/>
      <c r="C53" s="38">
        <f t="shared" si="13"/>
        <v>-78400</v>
      </c>
      <c r="D53" s="38">
        <f t="shared" si="14"/>
        <v>62808.325224917353</v>
      </c>
      <c r="E53" s="38">
        <f t="shared" si="15"/>
        <v>78400</v>
      </c>
      <c r="F53" s="38">
        <f t="shared" si="16"/>
        <v>12362.058454948179</v>
      </c>
      <c r="G53" s="38">
        <f t="shared" si="12"/>
        <v>-62808.325224917353</v>
      </c>
      <c r="H53" s="38">
        <f>+H22</f>
        <v>3068.7841825090713</v>
      </c>
      <c r="I53" s="38">
        <f t="shared" si="17"/>
        <v>15430.842637457257</v>
      </c>
      <c r="J53" s="39">
        <f t="shared" si="18"/>
        <v>0.19682197241654664</v>
      </c>
    </row>
    <row r="54" spans="1:10" x14ac:dyDescent="0.25">
      <c r="A54" s="37">
        <v>5</v>
      </c>
      <c r="B54" s="37"/>
      <c r="C54" s="38">
        <f t="shared" si="13"/>
        <v>-74300</v>
      </c>
      <c r="D54" s="38">
        <f t="shared" si="14"/>
        <v>47072.833152848267</v>
      </c>
      <c r="E54" s="38">
        <f t="shared" si="15"/>
        <v>74300</v>
      </c>
      <c r="F54" s="38">
        <f t="shared" si="16"/>
        <v>5579.9473446361517</v>
      </c>
      <c r="G54" s="38">
        <f t="shared" si="12"/>
        <v>-47072.833152848267</v>
      </c>
      <c r="H54" s="38">
        <f>+H23</f>
        <v>2450.6812597616622</v>
      </c>
      <c r="I54" s="38">
        <f t="shared" si="17"/>
        <v>8030.6286043978143</v>
      </c>
      <c r="J54" s="39">
        <f t="shared" si="18"/>
        <v>0.10808383047641743</v>
      </c>
    </row>
    <row r="55" spans="1:10" x14ac:dyDescent="0.25">
      <c r="A55" s="37">
        <v>6</v>
      </c>
      <c r="B55" s="37"/>
      <c r="C55" s="38">
        <f t="shared" si="13"/>
        <v>-79100</v>
      </c>
      <c r="D55" s="38">
        <f t="shared" si="14"/>
        <v>69002.383143805724</v>
      </c>
      <c r="E55" s="38">
        <f t="shared" si="15"/>
        <v>79100</v>
      </c>
      <c r="F55" s="38">
        <f t="shared" si="16"/>
        <v>14840.270348310092</v>
      </c>
      <c r="G55" s="38">
        <f t="shared" si="12"/>
        <v>-69002.383143805724</v>
      </c>
      <c r="H55" s="38">
        <f>(+E39+F39)*0.05</f>
        <v>2171.6838925298548</v>
      </c>
      <c r="I55" s="38">
        <f t="shared" si="17"/>
        <v>17011.954240839947</v>
      </c>
      <c r="J55" s="39">
        <f t="shared" si="18"/>
        <v>0.21506895374007517</v>
      </c>
    </row>
    <row r="56" spans="1:10" x14ac:dyDescent="0.25">
      <c r="A56" s="37">
        <v>7</v>
      </c>
      <c r="B56" s="37"/>
      <c r="C56" s="38">
        <f t="shared" si="13"/>
        <v>-72000</v>
      </c>
      <c r="D56" s="38">
        <f t="shared" si="14"/>
        <v>65352.502300995984</v>
      </c>
      <c r="E56" s="38">
        <f t="shared" si="15"/>
        <v>72000</v>
      </c>
      <c r="F56" s="38">
        <f t="shared" si="16"/>
        <v>14055.294294171053</v>
      </c>
      <c r="G56" s="38">
        <f t="shared" si="12"/>
        <v>-65352.502300995984</v>
      </c>
      <c r="H56" s="38">
        <f>(+E40+F40)*0.05</f>
        <v>1429.6703751143502</v>
      </c>
      <c r="I56" s="38">
        <f t="shared" si="17"/>
        <v>15484.9646692854</v>
      </c>
      <c r="J56" s="39">
        <f t="shared" si="18"/>
        <v>0.21506895374007501</v>
      </c>
    </row>
    <row r="57" spans="1:10" x14ac:dyDescent="0.25">
      <c r="A57" s="37">
        <v>8</v>
      </c>
      <c r="B57" s="37"/>
      <c r="C57" s="38">
        <f t="shared" si="13"/>
        <v>-41000</v>
      </c>
      <c r="D57" s="38">
        <f t="shared" si="14"/>
        <v>37620.127416045783</v>
      </c>
      <c r="E57" s="38">
        <f t="shared" si="15"/>
        <v>41000</v>
      </c>
      <c r="F57" s="38">
        <f t="shared" si="16"/>
        <v>8090.9214429372814</v>
      </c>
      <c r="G57" s="38">
        <f t="shared" si="12"/>
        <v>-37620.127416045783</v>
      </c>
      <c r="H57" s="38">
        <f>(+E41+F41)*0.05</f>
        <v>726.90566040579745</v>
      </c>
      <c r="I57" s="38">
        <f t="shared" si="17"/>
        <v>8817.8271033430774</v>
      </c>
      <c r="J57" s="39">
        <f t="shared" si="18"/>
        <v>0.21506895374007506</v>
      </c>
    </row>
    <row r="58" spans="1:10" x14ac:dyDescent="0.25">
      <c r="A58" s="37">
        <v>9</v>
      </c>
      <c r="B58" s="37"/>
      <c r="C58" s="38">
        <f t="shared" si="13"/>
        <v>-21000</v>
      </c>
      <c r="D58" s="38">
        <f t="shared" si="14"/>
        <v>19501.13378684807</v>
      </c>
      <c r="E58" s="38">
        <f t="shared" si="15"/>
        <v>21000</v>
      </c>
      <c r="F58" s="38">
        <f t="shared" si="16"/>
        <v>4194.0884402826432</v>
      </c>
      <c r="G58" s="38">
        <f t="shared" si="12"/>
        <v>-19501.13378684807</v>
      </c>
      <c r="H58" s="38">
        <f>(+E42+F42)*0.05</f>
        <v>322.3595882589334</v>
      </c>
      <c r="I58" s="38">
        <f t="shared" si="17"/>
        <v>4516.4480285415748</v>
      </c>
      <c r="J58" s="39">
        <f t="shared" si="18"/>
        <v>0.21506895374007498</v>
      </c>
    </row>
    <row r="59" spans="1:10" x14ac:dyDescent="0.25">
      <c r="A59" s="37">
        <v>10</v>
      </c>
      <c r="B59" s="37"/>
      <c r="C59" s="38">
        <f t="shared" si="13"/>
        <v>-11000</v>
      </c>
      <c r="D59" s="38">
        <f t="shared" si="14"/>
        <v>10476.190476190475</v>
      </c>
      <c r="E59" s="38">
        <f t="shared" si="15"/>
        <v>11000</v>
      </c>
      <c r="F59" s="38">
        <f t="shared" si="16"/>
        <v>2253.1033248960243</v>
      </c>
      <c r="G59" s="38">
        <f t="shared" si="12"/>
        <v>-10476.190476190475</v>
      </c>
      <c r="H59" s="38">
        <f>(+E43+F43)*0.05</f>
        <v>112.65516624480122</v>
      </c>
      <c r="I59" s="38">
        <f t="shared" si="17"/>
        <v>2365.7584911408262</v>
      </c>
      <c r="J59" s="39">
        <f t="shared" si="18"/>
        <v>0.21506895374007512</v>
      </c>
    </row>
    <row r="60" spans="1:10" x14ac:dyDescent="0.25">
      <c r="D60" s="7"/>
      <c r="F60" s="7"/>
      <c r="G60" s="7"/>
    </row>
    <row r="61" spans="1:10" x14ac:dyDescent="0.25">
      <c r="D61" s="7"/>
      <c r="F61" s="7"/>
      <c r="G61" s="7"/>
      <c r="I61" s="7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6902-450E-4DCD-9C14-9CFFE6ADA6E0}">
  <dimension ref="B1:M33"/>
  <sheetViews>
    <sheetView zoomScale="120" zoomScaleNormal="120" workbookViewId="0">
      <selection activeCell="M43" sqref="M43"/>
    </sheetView>
  </sheetViews>
  <sheetFormatPr defaultColWidth="8.85546875" defaultRowHeight="15" x14ac:dyDescent="0.25"/>
  <cols>
    <col min="3" max="3" width="7.7109375" customWidth="1"/>
    <col min="4" max="13" width="6.42578125" customWidth="1"/>
  </cols>
  <sheetData>
    <row r="1" spans="2:13" x14ac:dyDescent="0.25">
      <c r="B1" s="33" t="s">
        <v>115</v>
      </c>
      <c r="C1" s="33"/>
      <c r="D1" s="33"/>
      <c r="E1" s="33"/>
      <c r="F1" s="33"/>
      <c r="G1" s="33"/>
      <c r="H1" s="33"/>
    </row>
    <row r="3" spans="2:13" x14ac:dyDescent="0.25">
      <c r="B3" s="58"/>
      <c r="C3" s="59" t="s">
        <v>23</v>
      </c>
      <c r="D3" s="58">
        <v>1</v>
      </c>
      <c r="E3" s="58">
        <v>2</v>
      </c>
      <c r="F3" s="58">
        <v>3</v>
      </c>
      <c r="G3" s="58">
        <v>4</v>
      </c>
      <c r="H3" s="58">
        <v>5</v>
      </c>
      <c r="I3" s="58">
        <v>6</v>
      </c>
      <c r="J3" s="58">
        <v>7</v>
      </c>
      <c r="K3" s="58">
        <v>8</v>
      </c>
      <c r="L3" s="58">
        <v>9</v>
      </c>
      <c r="M3" s="58">
        <v>10</v>
      </c>
    </row>
    <row r="4" spans="2:13" x14ac:dyDescent="0.25">
      <c r="B4" s="58" t="s">
        <v>74</v>
      </c>
      <c r="C4" s="60"/>
      <c r="D4" s="61"/>
      <c r="E4" s="61"/>
      <c r="F4" s="61"/>
      <c r="G4" s="61"/>
      <c r="H4" s="61"/>
      <c r="I4" s="61"/>
      <c r="J4" s="61"/>
      <c r="K4" s="61"/>
      <c r="L4" s="61"/>
      <c r="M4" s="62"/>
    </row>
    <row r="5" spans="2:13" x14ac:dyDescent="0.25">
      <c r="B5" s="58" t="s">
        <v>75</v>
      </c>
      <c r="C5" s="58"/>
      <c r="D5" s="63">
        <v>150</v>
      </c>
      <c r="E5" s="63">
        <v>144</v>
      </c>
      <c r="F5" s="63">
        <v>140</v>
      </c>
      <c r="G5" s="63">
        <v>135</v>
      </c>
      <c r="H5" s="63">
        <v>130</v>
      </c>
      <c r="I5" s="63">
        <v>126</v>
      </c>
      <c r="J5" s="63">
        <v>122</v>
      </c>
      <c r="K5" s="63">
        <v>117</v>
      </c>
      <c r="L5" s="63">
        <v>112</v>
      </c>
      <c r="M5" s="63">
        <v>105</v>
      </c>
    </row>
    <row r="6" spans="2:13" x14ac:dyDescent="0.25">
      <c r="B6" s="58" t="s">
        <v>76</v>
      </c>
      <c r="C6" s="58"/>
      <c r="D6" s="63">
        <v>10</v>
      </c>
      <c r="E6" s="63">
        <v>20</v>
      </c>
      <c r="F6" s="63">
        <v>25</v>
      </c>
      <c r="G6" s="63">
        <v>27</v>
      </c>
      <c r="H6" s="63">
        <v>30</v>
      </c>
      <c r="I6" s="63">
        <v>33</v>
      </c>
      <c r="J6" s="63">
        <v>33</v>
      </c>
      <c r="K6" s="63">
        <v>30</v>
      </c>
      <c r="L6" s="63">
        <v>27</v>
      </c>
      <c r="M6" s="63">
        <v>22</v>
      </c>
    </row>
    <row r="7" spans="2:13" x14ac:dyDescent="0.25">
      <c r="B7" s="58" t="s">
        <v>77</v>
      </c>
      <c r="C7" s="58"/>
      <c r="D7" s="63">
        <f>D5+D6</f>
        <v>160</v>
      </c>
      <c r="E7" s="63">
        <f t="shared" ref="E7:M7" si="0">E5+E6</f>
        <v>164</v>
      </c>
      <c r="F7" s="63">
        <f t="shared" si="0"/>
        <v>165</v>
      </c>
      <c r="G7" s="63">
        <f t="shared" si="0"/>
        <v>162</v>
      </c>
      <c r="H7" s="63">
        <f t="shared" si="0"/>
        <v>160</v>
      </c>
      <c r="I7" s="63">
        <f t="shared" si="0"/>
        <v>159</v>
      </c>
      <c r="J7" s="63">
        <f t="shared" si="0"/>
        <v>155</v>
      </c>
      <c r="K7" s="63">
        <f t="shared" si="0"/>
        <v>147</v>
      </c>
      <c r="L7" s="63">
        <f t="shared" si="0"/>
        <v>139</v>
      </c>
      <c r="M7" s="63">
        <f t="shared" si="0"/>
        <v>127</v>
      </c>
    </row>
    <row r="8" spans="2:13" x14ac:dyDescent="0.25">
      <c r="B8" s="76"/>
      <c r="C8" s="79"/>
      <c r="D8" s="79"/>
      <c r="E8" s="79"/>
      <c r="F8" s="79"/>
      <c r="G8" s="79"/>
      <c r="H8" s="79"/>
      <c r="I8" s="79"/>
      <c r="J8" s="79"/>
      <c r="K8" s="79"/>
      <c r="L8" s="79"/>
      <c r="M8" s="77"/>
    </row>
    <row r="9" spans="2:13" x14ac:dyDescent="0.25">
      <c r="B9" s="58" t="s">
        <v>78</v>
      </c>
      <c r="C9" s="76"/>
      <c r="D9" s="79"/>
      <c r="E9" s="79"/>
      <c r="F9" s="79"/>
      <c r="G9" s="79"/>
      <c r="H9" s="79"/>
      <c r="I9" s="79"/>
      <c r="J9" s="79"/>
      <c r="K9" s="79"/>
      <c r="L9" s="79"/>
      <c r="M9" s="77"/>
    </row>
    <row r="10" spans="2:13" x14ac:dyDescent="0.25">
      <c r="B10" s="58" t="s">
        <v>79</v>
      </c>
      <c r="C10" s="58"/>
      <c r="D10" s="63">
        <v>140</v>
      </c>
      <c r="E10" s="63">
        <v>135</v>
      </c>
      <c r="F10" s="63">
        <v>134</v>
      </c>
      <c r="G10" s="63">
        <v>126</v>
      </c>
      <c r="H10" s="63">
        <v>118</v>
      </c>
      <c r="I10" s="63">
        <v>110</v>
      </c>
      <c r="J10" s="63">
        <v>102</v>
      </c>
      <c r="K10" s="63">
        <v>95</v>
      </c>
      <c r="L10" s="63">
        <v>90</v>
      </c>
      <c r="M10" s="63">
        <v>80</v>
      </c>
    </row>
    <row r="11" spans="2:13" x14ac:dyDescent="0.25">
      <c r="B11" s="58" t="s">
        <v>80</v>
      </c>
      <c r="C11" s="58"/>
      <c r="D11" s="63">
        <v>127</v>
      </c>
      <c r="E11" s="63">
        <v>122</v>
      </c>
      <c r="F11" s="63">
        <v>119</v>
      </c>
      <c r="G11" s="63">
        <v>115</v>
      </c>
      <c r="H11" s="63">
        <v>110</v>
      </c>
      <c r="I11" s="63">
        <v>107</v>
      </c>
      <c r="J11" s="63">
        <v>104</v>
      </c>
      <c r="K11" s="63">
        <v>99</v>
      </c>
      <c r="L11" s="63">
        <v>95</v>
      </c>
      <c r="M11" s="63">
        <v>89</v>
      </c>
    </row>
    <row r="12" spans="2:13" x14ac:dyDescent="0.25">
      <c r="B12" s="58" t="s">
        <v>81</v>
      </c>
      <c r="C12" s="58"/>
      <c r="D12" s="63">
        <f>D11</f>
        <v>127</v>
      </c>
      <c r="E12" s="63">
        <f t="shared" ref="E12:M12" si="1">E11</f>
        <v>122</v>
      </c>
      <c r="F12" s="63">
        <f t="shared" si="1"/>
        <v>119</v>
      </c>
      <c r="G12" s="63">
        <f t="shared" si="1"/>
        <v>115</v>
      </c>
      <c r="H12" s="63">
        <f t="shared" si="1"/>
        <v>110</v>
      </c>
      <c r="I12" s="63">
        <f t="shared" si="1"/>
        <v>107</v>
      </c>
      <c r="J12" s="63">
        <f t="shared" si="1"/>
        <v>104</v>
      </c>
      <c r="K12" s="63">
        <f t="shared" si="1"/>
        <v>99</v>
      </c>
      <c r="L12" s="63">
        <f t="shared" si="1"/>
        <v>95</v>
      </c>
      <c r="M12" s="63">
        <f t="shared" si="1"/>
        <v>89</v>
      </c>
    </row>
    <row r="13" spans="2:13" x14ac:dyDescent="0.25">
      <c r="B13" s="58" t="s">
        <v>82</v>
      </c>
      <c r="C13" s="58"/>
      <c r="D13" s="63">
        <v>8</v>
      </c>
      <c r="E13" s="63">
        <v>16</v>
      </c>
      <c r="F13" s="63">
        <v>20</v>
      </c>
      <c r="G13" s="63">
        <v>22</v>
      </c>
      <c r="H13" s="63">
        <v>23</v>
      </c>
      <c r="I13" s="63">
        <v>25</v>
      </c>
      <c r="J13" s="63">
        <v>25</v>
      </c>
      <c r="K13" s="63">
        <v>22</v>
      </c>
      <c r="L13" s="63">
        <v>18</v>
      </c>
      <c r="M13" s="63">
        <v>15</v>
      </c>
    </row>
    <row r="14" spans="2:13" x14ac:dyDescent="0.25">
      <c r="B14" s="58" t="s">
        <v>83</v>
      </c>
      <c r="C14" s="58"/>
      <c r="D14" s="63">
        <f>D10+D11-D12+D13</f>
        <v>148</v>
      </c>
      <c r="E14" s="63">
        <f t="shared" ref="E14:M14" si="2">E10+E11-E12+E13</f>
        <v>151</v>
      </c>
      <c r="F14" s="63">
        <f t="shared" si="2"/>
        <v>154</v>
      </c>
      <c r="G14" s="63">
        <f t="shared" si="2"/>
        <v>148</v>
      </c>
      <c r="H14" s="63">
        <f t="shared" si="2"/>
        <v>141</v>
      </c>
      <c r="I14" s="63">
        <f t="shared" si="2"/>
        <v>135</v>
      </c>
      <c r="J14" s="63">
        <f t="shared" si="2"/>
        <v>127</v>
      </c>
      <c r="K14" s="63">
        <f t="shared" si="2"/>
        <v>117</v>
      </c>
      <c r="L14" s="63">
        <f t="shared" si="2"/>
        <v>108</v>
      </c>
      <c r="M14" s="63">
        <f t="shared" si="2"/>
        <v>95</v>
      </c>
    </row>
    <row r="15" spans="2:13" x14ac:dyDescent="0.25">
      <c r="B15" s="76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7"/>
    </row>
    <row r="16" spans="2:13" x14ac:dyDescent="0.25">
      <c r="B16" s="58" t="s">
        <v>84</v>
      </c>
      <c r="C16" s="58"/>
      <c r="D16" s="64">
        <f>D26</f>
        <v>6.6522682158407767</v>
      </c>
      <c r="E16" s="64">
        <f>E26-D26</f>
        <v>7.2599500039463694</v>
      </c>
      <c r="F16" s="64">
        <f t="shared" ref="F16:M16" si="3">F26-E26</f>
        <v>9.8133794576684821</v>
      </c>
      <c r="G16" s="64">
        <f t="shared" si="3"/>
        <v>6.5367985959710708</v>
      </c>
      <c r="H16" s="64">
        <f t="shared" si="3"/>
        <v>4.0942727805940855</v>
      </c>
      <c r="I16" s="64">
        <f t="shared" si="3"/>
        <v>-0.50846571625672254</v>
      </c>
      <c r="J16" s="64">
        <f t="shared" si="3"/>
        <v>-5.3434570485447814</v>
      </c>
      <c r="K16" s="64">
        <f t="shared" si="3"/>
        <v>-7.3884592885264411</v>
      </c>
      <c r="L16" s="64">
        <f t="shared" si="3"/>
        <v>-8.5145525345600035</v>
      </c>
      <c r="M16" s="64">
        <f t="shared" si="3"/>
        <v>-12.601734466132836</v>
      </c>
    </row>
    <row r="17" spans="2:13" x14ac:dyDescent="0.25">
      <c r="B17" s="76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7"/>
    </row>
    <row r="18" spans="2:13" x14ac:dyDescent="0.25">
      <c r="B18" s="58" t="s">
        <v>85</v>
      </c>
      <c r="C18" s="58"/>
      <c r="D18" s="64">
        <f>D7-D14+D16</f>
        <v>18.652268215840778</v>
      </c>
      <c r="E18" s="64">
        <f t="shared" ref="E18:M18" si="4">E7-E14+E16</f>
        <v>20.259950003946368</v>
      </c>
      <c r="F18" s="64">
        <f t="shared" si="4"/>
        <v>20.813379457668482</v>
      </c>
      <c r="G18" s="64">
        <f t="shared" si="4"/>
        <v>20.536798595971071</v>
      </c>
      <c r="H18" s="64">
        <f t="shared" si="4"/>
        <v>23.094272780594086</v>
      </c>
      <c r="I18" s="64">
        <f t="shared" si="4"/>
        <v>23.491534283743277</v>
      </c>
      <c r="J18" s="64">
        <f t="shared" si="4"/>
        <v>22.656542951455219</v>
      </c>
      <c r="K18" s="64">
        <f t="shared" si="4"/>
        <v>22.611540711473559</v>
      </c>
      <c r="L18" s="64">
        <f t="shared" si="4"/>
        <v>22.485447465439997</v>
      </c>
      <c r="M18" s="64">
        <f t="shared" si="4"/>
        <v>19.398265533867164</v>
      </c>
    </row>
    <row r="19" spans="2:13" x14ac:dyDescent="0.25">
      <c r="B19" s="76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7"/>
    </row>
    <row r="20" spans="2:13" x14ac:dyDescent="0.25">
      <c r="B20" s="58" t="s">
        <v>86</v>
      </c>
      <c r="C20" s="58"/>
      <c r="D20" s="64">
        <v>0</v>
      </c>
      <c r="E20" s="64">
        <f>D25</f>
        <v>6.6522682158407767</v>
      </c>
      <c r="F20" s="64">
        <f t="shared" ref="F20:M20" si="5">E25</f>
        <v>13.912218219787146</v>
      </c>
      <c r="G20" s="64">
        <f t="shared" si="5"/>
        <v>23.725597677455628</v>
      </c>
      <c r="H20" s="64">
        <f t="shared" si="5"/>
        <v>30.262396273426699</v>
      </c>
      <c r="I20" s="64">
        <f t="shared" si="5"/>
        <v>34.356669054020784</v>
      </c>
      <c r="J20" s="64">
        <f t="shared" si="5"/>
        <v>33.848203337764062</v>
      </c>
      <c r="K20" s="64">
        <f t="shared" si="5"/>
        <v>28.50474628921928</v>
      </c>
      <c r="L20" s="64">
        <f t="shared" si="5"/>
        <v>21.116287000692839</v>
      </c>
      <c r="M20" s="64">
        <f t="shared" si="5"/>
        <v>12.601734466132836</v>
      </c>
    </row>
    <row r="21" spans="2:13" s="65" customFormat="1" x14ac:dyDescent="0.25">
      <c r="B21" s="64" t="s">
        <v>87</v>
      </c>
      <c r="C21" s="64"/>
      <c r="D21" s="63">
        <f t="shared" ref="D21:M21" si="6">D10</f>
        <v>140</v>
      </c>
      <c r="E21" s="63">
        <f t="shared" si="6"/>
        <v>135</v>
      </c>
      <c r="F21" s="63">
        <f t="shared" si="6"/>
        <v>134</v>
      </c>
      <c r="G21" s="63">
        <f t="shared" si="6"/>
        <v>126</v>
      </c>
      <c r="H21" s="63">
        <f t="shared" si="6"/>
        <v>118</v>
      </c>
      <c r="I21" s="63">
        <f t="shared" si="6"/>
        <v>110</v>
      </c>
      <c r="J21" s="63">
        <f t="shared" si="6"/>
        <v>102</v>
      </c>
      <c r="K21" s="63">
        <f t="shared" si="6"/>
        <v>95</v>
      </c>
      <c r="L21" s="63">
        <f t="shared" si="6"/>
        <v>90</v>
      </c>
      <c r="M21" s="63">
        <f t="shared" si="6"/>
        <v>80</v>
      </c>
    </row>
    <row r="22" spans="2:13" s="65" customFormat="1" x14ac:dyDescent="0.25">
      <c r="B22" s="64" t="s">
        <v>88</v>
      </c>
      <c r="C22" s="64"/>
      <c r="D22" s="63">
        <f t="shared" ref="D22:M22" si="7">D12</f>
        <v>127</v>
      </c>
      <c r="E22" s="63">
        <f t="shared" si="7"/>
        <v>122</v>
      </c>
      <c r="F22" s="63">
        <f t="shared" si="7"/>
        <v>119</v>
      </c>
      <c r="G22" s="63">
        <f t="shared" si="7"/>
        <v>115</v>
      </c>
      <c r="H22" s="63">
        <f t="shared" si="7"/>
        <v>110</v>
      </c>
      <c r="I22" s="63">
        <f t="shared" si="7"/>
        <v>107</v>
      </c>
      <c r="J22" s="63">
        <f t="shared" si="7"/>
        <v>104</v>
      </c>
      <c r="K22" s="63">
        <f t="shared" si="7"/>
        <v>99</v>
      </c>
      <c r="L22" s="63">
        <f t="shared" si="7"/>
        <v>95</v>
      </c>
      <c r="M22" s="63">
        <f t="shared" si="7"/>
        <v>89</v>
      </c>
    </row>
    <row r="23" spans="2:13" s="65" customFormat="1" x14ac:dyDescent="0.25">
      <c r="B23" s="64" t="s">
        <v>89</v>
      </c>
      <c r="C23" s="64"/>
      <c r="D23" s="64">
        <f t="shared" ref="D23:M23" si="8">D29*$D$33</f>
        <v>6.3477317841592233</v>
      </c>
      <c r="E23" s="64">
        <f t="shared" si="8"/>
        <v>6.0726634068456571</v>
      </c>
      <c r="F23" s="64">
        <f t="shared" si="8"/>
        <v>5.8822314533208804</v>
      </c>
      <c r="G23" s="64">
        <f t="shared" si="8"/>
        <v>5.6494812879017084</v>
      </c>
      <c r="H23" s="64">
        <f t="shared" si="8"/>
        <v>5.4188470330772569</v>
      </c>
      <c r="I23" s="64">
        <f t="shared" si="8"/>
        <v>5.2262991689577598</v>
      </c>
      <c r="J23" s="64">
        <f t="shared" si="8"/>
        <v>5.035867215432984</v>
      </c>
      <c r="K23" s="64">
        <f t="shared" si="8"/>
        <v>4.8136966029874104</v>
      </c>
      <c r="L23" s="64">
        <f t="shared" si="8"/>
        <v>4.5703668845946401</v>
      </c>
      <c r="M23" s="64">
        <f t="shared" si="8"/>
        <v>4.2318211894394819</v>
      </c>
    </row>
    <row r="24" spans="2:13" s="65" customFormat="1" x14ac:dyDescent="0.25">
      <c r="B24" s="64" t="s">
        <v>90</v>
      </c>
      <c r="C24" s="64"/>
      <c r="D24" s="64">
        <f t="shared" ref="D24:M24" si="9">D20*$D$28</f>
        <v>0</v>
      </c>
      <c r="E24" s="64">
        <f t="shared" si="9"/>
        <v>0.33261341079203888</v>
      </c>
      <c r="F24" s="64">
        <f t="shared" si="9"/>
        <v>0.69561091098935735</v>
      </c>
      <c r="G24" s="64">
        <f t="shared" si="9"/>
        <v>1.1862798838727815</v>
      </c>
      <c r="H24" s="64">
        <f t="shared" si="9"/>
        <v>1.5131198136713351</v>
      </c>
      <c r="I24" s="64">
        <f t="shared" si="9"/>
        <v>1.7178334527010393</v>
      </c>
      <c r="J24" s="64">
        <f t="shared" si="9"/>
        <v>1.6924101668882032</v>
      </c>
      <c r="K24" s="64">
        <f t="shared" si="9"/>
        <v>1.425237314460964</v>
      </c>
      <c r="L24" s="64">
        <f t="shared" si="9"/>
        <v>1.055814350034642</v>
      </c>
      <c r="M24" s="64">
        <f t="shared" si="9"/>
        <v>0.63008672330664184</v>
      </c>
    </row>
    <row r="25" spans="2:13" s="65" customFormat="1" x14ac:dyDescent="0.25">
      <c r="B25" s="64" t="s">
        <v>91</v>
      </c>
      <c r="C25" s="64"/>
      <c r="D25" s="64">
        <f t="shared" ref="D25:M25" si="10">D20+D21-D22-D23+D24</f>
        <v>6.6522682158407767</v>
      </c>
      <c r="E25" s="64">
        <f t="shared" si="10"/>
        <v>13.912218219787146</v>
      </c>
      <c r="F25" s="64">
        <f t="shared" si="10"/>
        <v>23.725597677455628</v>
      </c>
      <c r="G25" s="64">
        <f t="shared" si="10"/>
        <v>30.262396273426699</v>
      </c>
      <c r="H25" s="64">
        <f t="shared" si="10"/>
        <v>34.356669054020784</v>
      </c>
      <c r="I25" s="64">
        <f t="shared" si="10"/>
        <v>33.848203337764062</v>
      </c>
      <c r="J25" s="64">
        <f t="shared" si="10"/>
        <v>28.50474628921928</v>
      </c>
      <c r="K25" s="64">
        <f t="shared" si="10"/>
        <v>21.116287000692839</v>
      </c>
      <c r="L25" s="64">
        <f t="shared" si="10"/>
        <v>12.601734466132836</v>
      </c>
      <c r="M25" s="64">
        <f t="shared" si="10"/>
        <v>0</v>
      </c>
    </row>
    <row r="26" spans="2:13" x14ac:dyDescent="0.25">
      <c r="B26" s="64" t="s">
        <v>92</v>
      </c>
      <c r="C26" s="58"/>
      <c r="D26" s="64">
        <f>D25</f>
        <v>6.6522682158407767</v>
      </c>
      <c r="E26" s="64">
        <f t="shared" ref="E26:M26" si="11">E25</f>
        <v>13.912218219787146</v>
      </c>
      <c r="F26" s="64">
        <f t="shared" si="11"/>
        <v>23.725597677455628</v>
      </c>
      <c r="G26" s="64">
        <f t="shared" si="11"/>
        <v>30.262396273426699</v>
      </c>
      <c r="H26" s="64">
        <f t="shared" si="11"/>
        <v>34.356669054020784</v>
      </c>
      <c r="I26" s="64">
        <f t="shared" si="11"/>
        <v>33.848203337764062</v>
      </c>
      <c r="J26" s="64">
        <f t="shared" si="11"/>
        <v>28.50474628921928</v>
      </c>
      <c r="K26" s="64">
        <f t="shared" si="11"/>
        <v>21.116287000692839</v>
      </c>
      <c r="L26" s="64">
        <f t="shared" si="11"/>
        <v>12.601734466132836</v>
      </c>
      <c r="M26" s="64">
        <f t="shared" si="11"/>
        <v>0</v>
      </c>
    </row>
    <row r="27" spans="2:13" x14ac:dyDescent="0.25">
      <c r="B27" s="76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7"/>
    </row>
    <row r="28" spans="2:13" hidden="1" x14ac:dyDescent="0.25">
      <c r="B28" s="58" t="s">
        <v>93</v>
      </c>
      <c r="C28" s="58"/>
      <c r="D28" s="66">
        <v>0.05</v>
      </c>
      <c r="E28" s="58"/>
      <c r="F28" s="58"/>
      <c r="G28" s="58"/>
      <c r="H28" s="58"/>
      <c r="I28" s="58"/>
      <c r="J28" s="58"/>
      <c r="K28" s="58"/>
      <c r="L28" s="58"/>
      <c r="M28" s="58"/>
    </row>
    <row r="29" spans="2:13" x14ac:dyDescent="0.25">
      <c r="B29" s="58" t="s">
        <v>94</v>
      </c>
      <c r="C29" s="58"/>
      <c r="D29" s="63">
        <v>15000</v>
      </c>
      <c r="E29" s="63">
        <v>14350</v>
      </c>
      <c r="F29" s="63">
        <v>13900</v>
      </c>
      <c r="G29" s="63">
        <v>13350</v>
      </c>
      <c r="H29" s="63">
        <v>12805</v>
      </c>
      <c r="I29" s="63">
        <v>12350</v>
      </c>
      <c r="J29" s="63">
        <v>11900</v>
      </c>
      <c r="K29" s="63">
        <v>11375</v>
      </c>
      <c r="L29" s="63">
        <v>10800</v>
      </c>
      <c r="M29" s="63">
        <v>10000</v>
      </c>
    </row>
    <row r="30" spans="2:13" x14ac:dyDescent="0.25">
      <c r="B30" s="58" t="s">
        <v>95</v>
      </c>
      <c r="C30" s="58"/>
      <c r="D30" s="63">
        <f>NPV($D$28,$D$29:M29)</f>
        <v>98797.885071921963</v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2:13" hidden="1" x14ac:dyDescent="0.25">
      <c r="B31" s="58" t="s">
        <v>96</v>
      </c>
      <c r="C31" s="58"/>
      <c r="D31" s="63">
        <f t="shared" ref="D31:M31" si="12">D10-D12</f>
        <v>13</v>
      </c>
      <c r="E31" s="63">
        <f t="shared" si="12"/>
        <v>13</v>
      </c>
      <c r="F31" s="63">
        <f t="shared" si="12"/>
        <v>15</v>
      </c>
      <c r="G31" s="63">
        <f t="shared" si="12"/>
        <v>11</v>
      </c>
      <c r="H31" s="63">
        <f t="shared" si="12"/>
        <v>8</v>
      </c>
      <c r="I31" s="63">
        <f t="shared" si="12"/>
        <v>3</v>
      </c>
      <c r="J31" s="63">
        <f t="shared" si="12"/>
        <v>-2</v>
      </c>
      <c r="K31" s="63">
        <f t="shared" si="12"/>
        <v>-4</v>
      </c>
      <c r="L31" s="63">
        <f t="shared" si="12"/>
        <v>-5</v>
      </c>
      <c r="M31" s="63">
        <f t="shared" si="12"/>
        <v>-9</v>
      </c>
    </row>
    <row r="32" spans="2:13" x14ac:dyDescent="0.25">
      <c r="B32" s="76" t="s">
        <v>97</v>
      </c>
      <c r="C32" s="77"/>
      <c r="D32" s="64">
        <f>NPV($D$28,$D$31:M31)</f>
        <v>41.809498351916602</v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2:13" x14ac:dyDescent="0.25">
      <c r="B33" s="76" t="s">
        <v>98</v>
      </c>
      <c r="C33" s="77"/>
      <c r="D33" s="78">
        <f>D32/D30</f>
        <v>4.231821189439482E-4</v>
      </c>
      <c r="E33" s="78"/>
      <c r="F33" s="58"/>
      <c r="G33" s="58"/>
      <c r="H33" s="58"/>
      <c r="I33" s="58"/>
      <c r="J33" s="58"/>
      <c r="K33" s="58"/>
      <c r="L33" s="58"/>
      <c r="M33" s="58"/>
    </row>
  </sheetData>
  <mergeCells count="9">
    <mergeCell ref="B32:C32"/>
    <mergeCell ref="B33:C33"/>
    <mergeCell ref="D33:E33"/>
    <mergeCell ref="B8:M8"/>
    <mergeCell ref="C9:M9"/>
    <mergeCell ref="B15:M15"/>
    <mergeCell ref="B17:M17"/>
    <mergeCell ref="B19:M19"/>
    <mergeCell ref="B27:M27"/>
  </mergeCells>
  <pageMargins left="0.7" right="0.7" top="0.75" bottom="0.75" header="0.3" footer="0.3"/>
  <pageSetup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73B6-1849-4572-88D0-DAF58D34EE65}">
  <dimension ref="B1:O33"/>
  <sheetViews>
    <sheetView workbookViewId="0">
      <selection activeCell="I40" sqref="I40"/>
    </sheetView>
  </sheetViews>
  <sheetFormatPr defaultColWidth="8.85546875" defaultRowHeight="15" x14ac:dyDescent="0.25"/>
  <cols>
    <col min="2" max="2" width="7.140625" customWidth="1"/>
    <col min="3" max="3" width="10.28515625" customWidth="1"/>
    <col min="4" max="13" width="7.140625" customWidth="1"/>
  </cols>
  <sheetData>
    <row r="1" spans="2:15" x14ac:dyDescent="0.25">
      <c r="B1" s="67" t="s">
        <v>120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2:15" x14ac:dyDescent="0.2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2:15" x14ac:dyDescent="0.25">
      <c r="B3" s="80" t="s">
        <v>23</v>
      </c>
      <c r="C3" s="81"/>
      <c r="D3" s="58">
        <v>1</v>
      </c>
      <c r="E3" s="58">
        <v>2</v>
      </c>
      <c r="F3" s="58">
        <v>3</v>
      </c>
      <c r="G3" s="58">
        <v>4</v>
      </c>
      <c r="H3" s="58">
        <v>5</v>
      </c>
      <c r="I3" s="58">
        <v>6</v>
      </c>
      <c r="J3" s="58">
        <v>7</v>
      </c>
      <c r="K3" s="58">
        <v>8</v>
      </c>
      <c r="L3" s="58">
        <v>9</v>
      </c>
      <c r="M3" s="58">
        <v>10</v>
      </c>
    </row>
    <row r="4" spans="2:15" x14ac:dyDescent="0.25">
      <c r="B4" s="58" t="s">
        <v>74</v>
      </c>
      <c r="C4" s="76"/>
      <c r="D4" s="79"/>
      <c r="E4" s="79"/>
      <c r="F4" s="79"/>
      <c r="G4" s="79"/>
      <c r="H4" s="79"/>
      <c r="I4" s="79"/>
      <c r="J4" s="79"/>
      <c r="K4" s="79"/>
      <c r="L4" s="79"/>
      <c r="M4" s="77"/>
      <c r="O4" t="s">
        <v>99</v>
      </c>
    </row>
    <row r="5" spans="2:15" x14ac:dyDescent="0.25">
      <c r="B5" s="58" t="s">
        <v>75</v>
      </c>
      <c r="C5" s="58"/>
      <c r="D5" s="63">
        <v>150</v>
      </c>
      <c r="E5" s="63">
        <v>144</v>
      </c>
      <c r="F5" s="63">
        <v>140</v>
      </c>
      <c r="G5" s="63">
        <v>135</v>
      </c>
      <c r="H5" s="63">
        <v>130</v>
      </c>
      <c r="I5" s="63">
        <v>126</v>
      </c>
      <c r="J5" s="63">
        <v>122</v>
      </c>
      <c r="K5" s="63">
        <v>117</v>
      </c>
      <c r="L5" s="63">
        <v>112</v>
      </c>
      <c r="M5" s="63">
        <v>105</v>
      </c>
      <c r="O5" t="s">
        <v>100</v>
      </c>
    </row>
    <row r="6" spans="2:15" x14ac:dyDescent="0.25">
      <c r="B6" s="58" t="s">
        <v>76</v>
      </c>
      <c r="C6" s="58"/>
      <c r="D6" s="63">
        <v>10</v>
      </c>
      <c r="E6" s="63">
        <v>20</v>
      </c>
      <c r="F6" s="63">
        <v>25</v>
      </c>
      <c r="G6" s="63">
        <v>27</v>
      </c>
      <c r="H6" s="63">
        <v>29</v>
      </c>
      <c r="I6" s="63">
        <v>31</v>
      </c>
      <c r="J6" s="63">
        <v>32</v>
      </c>
      <c r="K6" s="63">
        <v>29</v>
      </c>
      <c r="L6" s="63">
        <v>26</v>
      </c>
      <c r="M6" s="63">
        <v>21</v>
      </c>
      <c r="O6" t="s">
        <v>101</v>
      </c>
    </row>
    <row r="7" spans="2:15" x14ac:dyDescent="0.25">
      <c r="B7" s="58" t="s">
        <v>77</v>
      </c>
      <c r="C7" s="58"/>
      <c r="D7" s="63">
        <f>D5+D6</f>
        <v>160</v>
      </c>
      <c r="E7" s="63">
        <f t="shared" ref="E7:M7" si="0">E5+E6</f>
        <v>164</v>
      </c>
      <c r="F7" s="63">
        <f t="shared" si="0"/>
        <v>165</v>
      </c>
      <c r="G7" s="63">
        <f t="shared" si="0"/>
        <v>162</v>
      </c>
      <c r="H7" s="63">
        <f t="shared" si="0"/>
        <v>159</v>
      </c>
      <c r="I7" s="63">
        <f t="shared" si="0"/>
        <v>157</v>
      </c>
      <c r="J7" s="63">
        <f t="shared" si="0"/>
        <v>154</v>
      </c>
      <c r="K7" s="63">
        <f t="shared" si="0"/>
        <v>146</v>
      </c>
      <c r="L7" s="63">
        <f t="shared" si="0"/>
        <v>138</v>
      </c>
      <c r="M7" s="63">
        <f t="shared" si="0"/>
        <v>126</v>
      </c>
      <c r="O7" t="s">
        <v>102</v>
      </c>
    </row>
    <row r="8" spans="2:15" x14ac:dyDescent="0.25">
      <c r="B8" s="76"/>
      <c r="C8" s="79"/>
      <c r="D8" s="79"/>
      <c r="E8" s="79"/>
      <c r="F8" s="79"/>
      <c r="G8" s="79"/>
      <c r="H8" s="79"/>
      <c r="I8" s="79"/>
      <c r="J8" s="79"/>
      <c r="K8" s="79"/>
      <c r="L8" s="79"/>
      <c r="M8" s="77"/>
    </row>
    <row r="9" spans="2:15" x14ac:dyDescent="0.25">
      <c r="B9" s="58" t="s">
        <v>78</v>
      </c>
      <c r="C9" s="76"/>
      <c r="D9" s="79"/>
      <c r="E9" s="79"/>
      <c r="F9" s="79"/>
      <c r="G9" s="79"/>
      <c r="H9" s="79"/>
      <c r="I9" s="79"/>
      <c r="J9" s="79"/>
      <c r="K9" s="79"/>
      <c r="L9" s="79"/>
      <c r="M9" s="77"/>
    </row>
    <row r="10" spans="2:15" x14ac:dyDescent="0.25">
      <c r="B10" s="58" t="s">
        <v>79</v>
      </c>
      <c r="C10" s="58"/>
      <c r="D10" s="63">
        <v>140</v>
      </c>
      <c r="E10" s="63">
        <v>135</v>
      </c>
      <c r="F10" s="63">
        <v>134</v>
      </c>
      <c r="G10" s="63">
        <v>126</v>
      </c>
      <c r="H10" s="63">
        <v>112</v>
      </c>
      <c r="I10" s="63">
        <v>104</v>
      </c>
      <c r="J10" s="63">
        <v>97</v>
      </c>
      <c r="K10" s="63">
        <v>90</v>
      </c>
      <c r="L10" s="63">
        <v>86</v>
      </c>
      <c r="M10" s="63">
        <v>76</v>
      </c>
    </row>
    <row r="11" spans="2:15" x14ac:dyDescent="0.25">
      <c r="B11" s="58" t="s">
        <v>80</v>
      </c>
      <c r="C11" s="58"/>
      <c r="D11" s="63">
        <v>127</v>
      </c>
      <c r="E11" s="63">
        <v>122</v>
      </c>
      <c r="F11" s="63">
        <v>119</v>
      </c>
      <c r="G11" s="69">
        <v>600</v>
      </c>
      <c r="H11" s="63">
        <v>105</v>
      </c>
      <c r="I11" s="63">
        <v>102</v>
      </c>
      <c r="J11" s="63">
        <v>100</v>
      </c>
      <c r="K11" s="63">
        <v>95</v>
      </c>
      <c r="L11" s="63">
        <v>90</v>
      </c>
      <c r="M11" s="63">
        <v>85</v>
      </c>
    </row>
    <row r="12" spans="2:15" x14ac:dyDescent="0.25">
      <c r="B12" s="58" t="s">
        <v>81</v>
      </c>
      <c r="C12" s="58"/>
      <c r="D12" s="63">
        <f>D11</f>
        <v>127</v>
      </c>
      <c r="E12" s="63">
        <f t="shared" ref="E12:M12" si="1">E11</f>
        <v>122</v>
      </c>
      <c r="F12" s="63">
        <f t="shared" si="1"/>
        <v>119</v>
      </c>
      <c r="G12" s="63">
        <f t="shared" si="1"/>
        <v>600</v>
      </c>
      <c r="H12" s="63">
        <f t="shared" si="1"/>
        <v>105</v>
      </c>
      <c r="I12" s="63">
        <f t="shared" si="1"/>
        <v>102</v>
      </c>
      <c r="J12" s="63">
        <f t="shared" si="1"/>
        <v>100</v>
      </c>
      <c r="K12" s="63">
        <f t="shared" si="1"/>
        <v>95</v>
      </c>
      <c r="L12" s="63">
        <f t="shared" si="1"/>
        <v>90</v>
      </c>
      <c r="M12" s="63">
        <f t="shared" si="1"/>
        <v>85</v>
      </c>
    </row>
    <row r="13" spans="2:15" x14ac:dyDescent="0.25">
      <c r="B13" s="58" t="s">
        <v>82</v>
      </c>
      <c r="C13" s="58"/>
      <c r="D13" s="63">
        <v>8</v>
      </c>
      <c r="E13" s="63">
        <v>16</v>
      </c>
      <c r="F13" s="63">
        <v>20</v>
      </c>
      <c r="G13" s="63">
        <v>22</v>
      </c>
      <c r="H13" s="63">
        <v>22</v>
      </c>
      <c r="I13" s="63">
        <v>24</v>
      </c>
      <c r="J13" s="63">
        <v>24</v>
      </c>
      <c r="K13" s="63">
        <v>21</v>
      </c>
      <c r="L13" s="63">
        <v>17</v>
      </c>
      <c r="M13" s="63">
        <v>14</v>
      </c>
    </row>
    <row r="14" spans="2:15" x14ac:dyDescent="0.25">
      <c r="B14" s="58" t="s">
        <v>83</v>
      </c>
      <c r="C14" s="58"/>
      <c r="D14" s="63">
        <f>D10+D11-D12+D13</f>
        <v>148</v>
      </c>
      <c r="E14" s="63">
        <f t="shared" ref="E14:M14" si="2">E10+E11-E12+E13</f>
        <v>151</v>
      </c>
      <c r="F14" s="63">
        <f t="shared" si="2"/>
        <v>154</v>
      </c>
      <c r="G14" s="63">
        <f t="shared" si="2"/>
        <v>148</v>
      </c>
      <c r="H14" s="63">
        <f t="shared" si="2"/>
        <v>134</v>
      </c>
      <c r="I14" s="63">
        <f t="shared" si="2"/>
        <v>128</v>
      </c>
      <c r="J14" s="63">
        <f t="shared" si="2"/>
        <v>121</v>
      </c>
      <c r="K14" s="63">
        <f t="shared" si="2"/>
        <v>111</v>
      </c>
      <c r="L14" s="63">
        <f t="shared" si="2"/>
        <v>103</v>
      </c>
      <c r="M14" s="63">
        <f t="shared" si="2"/>
        <v>90</v>
      </c>
    </row>
    <row r="15" spans="2:15" x14ac:dyDescent="0.25">
      <c r="B15" s="76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7"/>
    </row>
    <row r="16" spans="2:15" x14ac:dyDescent="0.25">
      <c r="B16" s="58" t="s">
        <v>84</v>
      </c>
      <c r="C16" s="58"/>
      <c r="D16" s="64">
        <f>D26</f>
        <v>6.6522682158407767</v>
      </c>
      <c r="E16" s="64">
        <f>E26-D26</f>
        <v>7.2599500039463694</v>
      </c>
      <c r="F16" s="64">
        <f t="shared" ref="F16:M16" si="3">F26-E26</f>
        <v>9.8133794576684821</v>
      </c>
      <c r="G16" s="64">
        <f t="shared" si="3"/>
        <v>-225.87913837401535</v>
      </c>
      <c r="H16" s="64">
        <f t="shared" si="3"/>
        <v>42.528093080684926</v>
      </c>
      <c r="I16" s="64">
        <f t="shared" si="3"/>
        <v>37.929944048923659</v>
      </c>
      <c r="J16" s="64">
        <f t="shared" si="3"/>
        <v>33.287323445767427</v>
      </c>
      <c r="K16" s="64">
        <f t="shared" si="3"/>
        <v>31.282766696318227</v>
      </c>
      <c r="L16" s="64">
        <f t="shared" si="3"/>
        <v>31.788566760991138</v>
      </c>
      <c r="M16" s="64">
        <f t="shared" si="3"/>
        <v>25.33684666387445</v>
      </c>
    </row>
    <row r="17" spans="2:13" x14ac:dyDescent="0.25">
      <c r="B17" s="76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7"/>
    </row>
    <row r="18" spans="2:13" x14ac:dyDescent="0.25">
      <c r="B18" s="58" t="s">
        <v>85</v>
      </c>
      <c r="C18" s="58"/>
      <c r="D18" s="64">
        <f>D7-D14+D16</f>
        <v>18.652268215840778</v>
      </c>
      <c r="E18" s="64">
        <f t="shared" ref="E18:M18" si="4">E7-E14+E16</f>
        <v>20.259950003946368</v>
      </c>
      <c r="F18" s="64">
        <f t="shared" si="4"/>
        <v>20.813379457668482</v>
      </c>
      <c r="G18" s="64">
        <f t="shared" si="4"/>
        <v>-211.87913837401535</v>
      </c>
      <c r="H18" s="64">
        <f t="shared" si="4"/>
        <v>67.528093080684926</v>
      </c>
      <c r="I18" s="64">
        <f t="shared" si="4"/>
        <v>66.929944048923659</v>
      </c>
      <c r="J18" s="64">
        <f t="shared" si="4"/>
        <v>66.287323445767427</v>
      </c>
      <c r="K18" s="64">
        <f t="shared" si="4"/>
        <v>66.28276669631822</v>
      </c>
      <c r="L18" s="64">
        <f t="shared" si="4"/>
        <v>66.788566760991131</v>
      </c>
      <c r="M18" s="64">
        <f t="shared" si="4"/>
        <v>61.336846663874454</v>
      </c>
    </row>
    <row r="19" spans="2:13" x14ac:dyDescent="0.25">
      <c r="B19" s="76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7"/>
    </row>
    <row r="20" spans="2:13" x14ac:dyDescent="0.25">
      <c r="B20" s="58" t="s">
        <v>86</v>
      </c>
      <c r="C20" s="58"/>
      <c r="D20" s="64">
        <v>0</v>
      </c>
      <c r="E20" s="64">
        <f>D25</f>
        <v>68.630764057919009</v>
      </c>
      <c r="F20" s="64">
        <f t="shared" ref="F20:M20" si="5">E25</f>
        <v>138.28239987622416</v>
      </c>
      <c r="G20" s="64">
        <f t="shared" si="5"/>
        <v>211.747694563707</v>
      </c>
      <c r="H20" s="64">
        <f t="shared" si="5"/>
        <v>-202.15354069655973</v>
      </c>
      <c r="I20" s="64">
        <f t="shared" si="5"/>
        <v>-159.6254476158748</v>
      </c>
      <c r="J20" s="64">
        <f t="shared" si="5"/>
        <v>-121.69550356695115</v>
      </c>
      <c r="K20" s="64">
        <f t="shared" si="5"/>
        <v>-88.408180121183719</v>
      </c>
      <c r="L20" s="64">
        <f t="shared" si="5"/>
        <v>-57.125413424865492</v>
      </c>
      <c r="M20" s="64">
        <f t="shared" si="5"/>
        <v>-25.336846663874354</v>
      </c>
    </row>
    <row r="21" spans="2:13" s="65" customFormat="1" x14ac:dyDescent="0.25">
      <c r="B21" s="64" t="s">
        <v>87</v>
      </c>
      <c r="C21" s="64"/>
      <c r="D21" s="63">
        <f t="shared" ref="D21:M21" si="6">D10</f>
        <v>140</v>
      </c>
      <c r="E21" s="63">
        <f t="shared" si="6"/>
        <v>135</v>
      </c>
      <c r="F21" s="63">
        <f t="shared" si="6"/>
        <v>134</v>
      </c>
      <c r="G21" s="63">
        <f t="shared" si="6"/>
        <v>126</v>
      </c>
      <c r="H21" s="63">
        <f t="shared" si="6"/>
        <v>112</v>
      </c>
      <c r="I21" s="63">
        <f t="shared" si="6"/>
        <v>104</v>
      </c>
      <c r="J21" s="63">
        <f t="shared" si="6"/>
        <v>97</v>
      </c>
      <c r="K21" s="63">
        <f t="shared" si="6"/>
        <v>90</v>
      </c>
      <c r="L21" s="63">
        <f t="shared" si="6"/>
        <v>86</v>
      </c>
      <c r="M21" s="63">
        <f t="shared" si="6"/>
        <v>76</v>
      </c>
    </row>
    <row r="22" spans="2:13" s="65" customFormat="1" x14ac:dyDescent="0.25">
      <c r="B22" s="64" t="s">
        <v>88</v>
      </c>
      <c r="C22" s="64"/>
      <c r="D22" s="63">
        <f t="shared" ref="D22:M22" si="7">D12</f>
        <v>127</v>
      </c>
      <c r="E22" s="63">
        <f t="shared" si="7"/>
        <v>122</v>
      </c>
      <c r="F22" s="63">
        <f t="shared" si="7"/>
        <v>119</v>
      </c>
      <c r="G22" s="63">
        <f t="shared" si="7"/>
        <v>600</v>
      </c>
      <c r="H22" s="63">
        <f t="shared" si="7"/>
        <v>105</v>
      </c>
      <c r="I22" s="63">
        <f t="shared" si="7"/>
        <v>102</v>
      </c>
      <c r="J22" s="63">
        <f t="shared" si="7"/>
        <v>100</v>
      </c>
      <c r="K22" s="63">
        <f t="shared" si="7"/>
        <v>95</v>
      </c>
      <c r="L22" s="63">
        <f t="shared" si="7"/>
        <v>90</v>
      </c>
      <c r="M22" s="63">
        <f t="shared" si="7"/>
        <v>85</v>
      </c>
    </row>
    <row r="23" spans="2:13" s="65" customFormat="1" x14ac:dyDescent="0.25">
      <c r="B23" s="64" t="s">
        <v>89</v>
      </c>
      <c r="C23" s="64"/>
      <c r="D23" s="64">
        <f t="shared" ref="D23:M23" si="8">D29*$D$33</f>
        <v>-55.630764057919016</v>
      </c>
      <c r="E23" s="64">
        <f t="shared" si="8"/>
        <v>-53.220097615409195</v>
      </c>
      <c r="F23" s="64">
        <f t="shared" si="8"/>
        <v>-51.551174693671619</v>
      </c>
      <c r="G23" s="64">
        <f t="shared" si="8"/>
        <v>-49.511380011547921</v>
      </c>
      <c r="H23" s="64">
        <f t="shared" si="8"/>
        <v>-45.635770115512898</v>
      </c>
      <c r="I23" s="64">
        <f t="shared" si="8"/>
        <v>-43.911216429717406</v>
      </c>
      <c r="J23" s="64">
        <f t="shared" si="8"/>
        <v>-42.372098624114983</v>
      </c>
      <c r="K23" s="64">
        <f t="shared" si="8"/>
        <v>-40.703175702377415</v>
      </c>
      <c r="L23" s="64">
        <f t="shared" si="8"/>
        <v>-38.644837432234411</v>
      </c>
      <c r="M23" s="64">
        <f t="shared" si="8"/>
        <v>-35.603688997068168</v>
      </c>
    </row>
    <row r="24" spans="2:13" s="65" customFormat="1" x14ac:dyDescent="0.25">
      <c r="B24" s="64" t="s">
        <v>90</v>
      </c>
      <c r="C24" s="64"/>
      <c r="D24" s="64">
        <f t="shared" ref="D24:M24" si="9">D20*$D$28</f>
        <v>0</v>
      </c>
      <c r="E24" s="64">
        <f t="shared" si="9"/>
        <v>3.4315382028959505</v>
      </c>
      <c r="F24" s="64">
        <f t="shared" si="9"/>
        <v>6.9141199938112088</v>
      </c>
      <c r="G24" s="64">
        <f t="shared" si="9"/>
        <v>10.58738472818535</v>
      </c>
      <c r="H24" s="64">
        <f t="shared" si="9"/>
        <v>-10.107677034827987</v>
      </c>
      <c r="I24" s="64">
        <f t="shared" si="9"/>
        <v>-7.9812723807937402</v>
      </c>
      <c r="J24" s="64">
        <f t="shared" si="9"/>
        <v>-6.0847751783475577</v>
      </c>
      <c r="K24" s="64">
        <f t="shared" si="9"/>
        <v>-4.4204090060591863</v>
      </c>
      <c r="L24" s="64">
        <f t="shared" si="9"/>
        <v>-2.8562706712432746</v>
      </c>
      <c r="M24" s="64">
        <f t="shared" si="9"/>
        <v>-1.2668423331937178</v>
      </c>
    </row>
    <row r="25" spans="2:13" s="65" customFormat="1" x14ac:dyDescent="0.25">
      <c r="B25" s="64" t="s">
        <v>91</v>
      </c>
      <c r="C25" s="64"/>
      <c r="D25" s="64">
        <f t="shared" ref="D25:M25" si="10">D20+D21-D22-D23+D24</f>
        <v>68.630764057919009</v>
      </c>
      <c r="E25" s="64">
        <f t="shared" si="10"/>
        <v>138.28239987622416</v>
      </c>
      <c r="F25" s="64">
        <f t="shared" si="10"/>
        <v>211.747694563707</v>
      </c>
      <c r="G25" s="64">
        <f t="shared" si="10"/>
        <v>-202.15354069655973</v>
      </c>
      <c r="H25" s="64">
        <f t="shared" si="10"/>
        <v>-159.6254476158748</v>
      </c>
      <c r="I25" s="64">
        <f t="shared" si="10"/>
        <v>-121.69550356695115</v>
      </c>
      <c r="J25" s="64">
        <f t="shared" si="10"/>
        <v>-88.408180121183719</v>
      </c>
      <c r="K25" s="64">
        <f t="shared" si="10"/>
        <v>-57.125413424865492</v>
      </c>
      <c r="L25" s="64">
        <f t="shared" si="10"/>
        <v>-25.336846663874354</v>
      </c>
      <c r="M25" s="64">
        <f t="shared" si="10"/>
        <v>9.6589403142388619E-14</v>
      </c>
    </row>
    <row r="26" spans="2:13" x14ac:dyDescent="0.25">
      <c r="B26" s="64" t="s">
        <v>92</v>
      </c>
      <c r="C26" s="58"/>
      <c r="D26" s="64">
        <f>'Table 15.8'!D26</f>
        <v>6.6522682158407767</v>
      </c>
      <c r="E26" s="64">
        <f>'Table 15.8'!E26</f>
        <v>13.912218219787146</v>
      </c>
      <c r="F26" s="64">
        <f>'Table 15.8'!F26</f>
        <v>23.725597677455628</v>
      </c>
      <c r="G26" s="64">
        <f t="shared" ref="G26:M26" si="11">G25</f>
        <v>-202.15354069655973</v>
      </c>
      <c r="H26" s="64">
        <f t="shared" si="11"/>
        <v>-159.6254476158748</v>
      </c>
      <c r="I26" s="64">
        <f t="shared" si="11"/>
        <v>-121.69550356695115</v>
      </c>
      <c r="J26" s="64">
        <f t="shared" si="11"/>
        <v>-88.408180121183719</v>
      </c>
      <c r="K26" s="64">
        <f t="shared" si="11"/>
        <v>-57.125413424865492</v>
      </c>
      <c r="L26" s="64">
        <f t="shared" si="11"/>
        <v>-25.336846663874354</v>
      </c>
      <c r="M26" s="64">
        <f t="shared" si="11"/>
        <v>9.6589403142388619E-14</v>
      </c>
    </row>
    <row r="27" spans="2:13" x14ac:dyDescent="0.25">
      <c r="B27" s="76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7"/>
    </row>
    <row r="28" spans="2:13" hidden="1" x14ac:dyDescent="0.25">
      <c r="B28" s="58" t="s">
        <v>93</v>
      </c>
      <c r="C28" s="58"/>
      <c r="D28" s="66">
        <v>0.05</v>
      </c>
      <c r="E28" s="58"/>
      <c r="F28" s="58"/>
      <c r="G28" s="58"/>
      <c r="H28" s="58"/>
      <c r="I28" s="58"/>
      <c r="J28" s="58"/>
      <c r="K28" s="58"/>
      <c r="L28" s="58"/>
      <c r="M28" s="58"/>
    </row>
    <row r="29" spans="2:13" x14ac:dyDescent="0.25">
      <c r="B29" s="58" t="s">
        <v>94</v>
      </c>
      <c r="C29" s="58"/>
      <c r="D29" s="63">
        <v>15000</v>
      </c>
      <c r="E29" s="63">
        <v>14350</v>
      </c>
      <c r="F29" s="63">
        <v>13900</v>
      </c>
      <c r="G29" s="63">
        <v>13350</v>
      </c>
      <c r="H29" s="63">
        <v>12305</v>
      </c>
      <c r="I29" s="63">
        <v>11840</v>
      </c>
      <c r="J29" s="63">
        <v>11425</v>
      </c>
      <c r="K29" s="63">
        <v>10975</v>
      </c>
      <c r="L29" s="63">
        <v>10420</v>
      </c>
      <c r="M29" s="63">
        <v>9600</v>
      </c>
    </row>
    <row r="30" spans="2:13" x14ac:dyDescent="0.25">
      <c r="B30" s="58" t="s">
        <v>95</v>
      </c>
      <c r="C30" s="58"/>
      <c r="D30" s="63">
        <f>NPV($D$28,$D$29:M29)</f>
        <v>96926.726070200719</v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2:13" hidden="1" x14ac:dyDescent="0.25">
      <c r="B31" s="58" t="s">
        <v>96</v>
      </c>
      <c r="C31" s="58"/>
      <c r="D31" s="63">
        <f t="shared" ref="D31:M31" si="12">D10-D12</f>
        <v>13</v>
      </c>
      <c r="E31" s="63">
        <f t="shared" si="12"/>
        <v>13</v>
      </c>
      <c r="F31" s="63">
        <f t="shared" si="12"/>
        <v>15</v>
      </c>
      <c r="G31" s="63">
        <f t="shared" si="12"/>
        <v>-474</v>
      </c>
      <c r="H31" s="63">
        <f t="shared" si="12"/>
        <v>7</v>
      </c>
      <c r="I31" s="63">
        <f t="shared" si="12"/>
        <v>2</v>
      </c>
      <c r="J31" s="63">
        <f t="shared" si="12"/>
        <v>-3</v>
      </c>
      <c r="K31" s="63">
        <f t="shared" si="12"/>
        <v>-5</v>
      </c>
      <c r="L31" s="63">
        <f t="shared" si="12"/>
        <v>-4</v>
      </c>
      <c r="M31" s="63">
        <f t="shared" si="12"/>
        <v>-9</v>
      </c>
    </row>
    <row r="32" spans="2:13" x14ac:dyDescent="0.25">
      <c r="B32" s="76" t="s">
        <v>97</v>
      </c>
      <c r="C32" s="77"/>
      <c r="D32" s="64">
        <f>NPV($D$28,$D$31:M31)</f>
        <v>-359.47385526119228</v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2:13" x14ac:dyDescent="0.25">
      <c r="B33" s="76" t="s">
        <v>98</v>
      </c>
      <c r="C33" s="77"/>
      <c r="D33" s="78">
        <f>D32/D30</f>
        <v>-3.7087176038612677E-3</v>
      </c>
      <c r="E33" s="78"/>
      <c r="F33" s="58"/>
      <c r="G33" s="58"/>
      <c r="H33" s="58"/>
      <c r="I33" s="58"/>
      <c r="J33" s="58"/>
      <c r="K33" s="58"/>
      <c r="L33" s="58"/>
      <c r="M33" s="58"/>
    </row>
  </sheetData>
  <mergeCells count="11">
    <mergeCell ref="B17:M17"/>
    <mergeCell ref="B3:C3"/>
    <mergeCell ref="C4:M4"/>
    <mergeCell ref="B8:M8"/>
    <mergeCell ref="C9:M9"/>
    <mergeCell ref="B15:M15"/>
    <mergeCell ref="B19:M19"/>
    <mergeCell ref="B27:M27"/>
    <mergeCell ref="B32:C32"/>
    <mergeCell ref="B33:C33"/>
    <mergeCell ref="D33:E33"/>
  </mergeCells>
  <pageMargins left="0.7" right="0.7" top="0.75" bottom="0.75" header="0.3" footer="0.3"/>
  <pageSetup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0A88-1A30-407D-8F2E-27F93AE93F51}">
  <dimension ref="B1:O33"/>
  <sheetViews>
    <sheetView zoomScaleNormal="100" workbookViewId="0">
      <selection activeCell="Q22" sqref="Q22"/>
    </sheetView>
  </sheetViews>
  <sheetFormatPr defaultColWidth="8.85546875" defaultRowHeight="15" x14ac:dyDescent="0.25"/>
  <cols>
    <col min="1" max="1" width="8.85546875" style="84"/>
    <col min="2" max="2" width="7.140625" style="84" customWidth="1"/>
    <col min="3" max="3" width="10.28515625" style="84" customWidth="1"/>
    <col min="4" max="12" width="8" style="84" bestFit="1" customWidth="1"/>
    <col min="13" max="13" width="7.7109375" style="84" bestFit="1" customWidth="1"/>
    <col min="14" max="16384" width="8.85546875" style="84"/>
  </cols>
  <sheetData>
    <row r="1" spans="2:15" x14ac:dyDescent="0.25">
      <c r="B1" s="84" t="s">
        <v>119</v>
      </c>
    </row>
    <row r="3" spans="2:15" x14ac:dyDescent="0.25">
      <c r="B3" s="85" t="s">
        <v>23</v>
      </c>
      <c r="C3" s="85"/>
      <c r="D3" s="86">
        <v>1</v>
      </c>
      <c r="E3" s="86">
        <v>2</v>
      </c>
      <c r="F3" s="86">
        <v>3</v>
      </c>
      <c r="G3" s="86">
        <v>4</v>
      </c>
      <c r="H3" s="86">
        <v>5</v>
      </c>
      <c r="I3" s="86">
        <v>6</v>
      </c>
      <c r="J3" s="86">
        <v>7</v>
      </c>
      <c r="K3" s="86">
        <v>8</v>
      </c>
      <c r="L3" s="86">
        <v>9</v>
      </c>
      <c r="M3" s="86">
        <v>10</v>
      </c>
    </row>
    <row r="4" spans="2:15" x14ac:dyDescent="0.25">
      <c r="B4" s="87" t="s">
        <v>74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  <c r="O4" s="84" t="s">
        <v>99</v>
      </c>
    </row>
    <row r="5" spans="2:15" x14ac:dyDescent="0.25">
      <c r="B5" s="86" t="s">
        <v>75</v>
      </c>
      <c r="C5" s="86"/>
      <c r="D5" s="13">
        <v>150</v>
      </c>
      <c r="E5" s="13">
        <v>144</v>
      </c>
      <c r="F5" s="13">
        <v>140</v>
      </c>
      <c r="G5" s="13">
        <v>135</v>
      </c>
      <c r="H5" s="13">
        <v>130</v>
      </c>
      <c r="I5" s="13">
        <v>126</v>
      </c>
      <c r="J5" s="13">
        <v>122</v>
      </c>
      <c r="K5" s="13">
        <v>117</v>
      </c>
      <c r="L5" s="13">
        <v>112</v>
      </c>
      <c r="M5" s="13">
        <v>105</v>
      </c>
      <c r="O5" s="84" t="s">
        <v>100</v>
      </c>
    </row>
    <row r="6" spans="2:15" x14ac:dyDescent="0.25">
      <c r="B6" s="86" t="s">
        <v>76</v>
      </c>
      <c r="C6" s="86"/>
      <c r="D6" s="13">
        <v>10</v>
      </c>
      <c r="E6" s="13">
        <v>20</v>
      </c>
      <c r="F6" s="13">
        <v>25</v>
      </c>
      <c r="G6" s="13">
        <v>27</v>
      </c>
      <c r="H6" s="13">
        <v>29</v>
      </c>
      <c r="I6" s="13">
        <v>31</v>
      </c>
      <c r="J6" s="13">
        <v>32</v>
      </c>
      <c r="K6" s="13">
        <v>29</v>
      </c>
      <c r="L6" s="13">
        <v>26</v>
      </c>
      <c r="M6" s="13">
        <v>21</v>
      </c>
      <c r="O6" s="84" t="s">
        <v>101</v>
      </c>
    </row>
    <row r="7" spans="2:15" x14ac:dyDescent="0.25">
      <c r="B7" s="86" t="s">
        <v>77</v>
      </c>
      <c r="C7" s="86"/>
      <c r="D7" s="13">
        <f>D5+D6</f>
        <v>160</v>
      </c>
      <c r="E7" s="13">
        <f t="shared" ref="E7:M7" si="0">E5+E6</f>
        <v>164</v>
      </c>
      <c r="F7" s="13">
        <f t="shared" si="0"/>
        <v>165</v>
      </c>
      <c r="G7" s="13">
        <f t="shared" si="0"/>
        <v>162</v>
      </c>
      <c r="H7" s="13">
        <f t="shared" si="0"/>
        <v>159</v>
      </c>
      <c r="I7" s="13">
        <f t="shared" si="0"/>
        <v>157</v>
      </c>
      <c r="J7" s="13">
        <f t="shared" si="0"/>
        <v>154</v>
      </c>
      <c r="K7" s="13">
        <f t="shared" si="0"/>
        <v>146</v>
      </c>
      <c r="L7" s="13">
        <f t="shared" si="0"/>
        <v>138</v>
      </c>
      <c r="M7" s="13">
        <f t="shared" si="0"/>
        <v>126</v>
      </c>
      <c r="O7" s="84" t="s">
        <v>103</v>
      </c>
    </row>
    <row r="8" spans="2:15" x14ac:dyDescent="0.25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2"/>
    </row>
    <row r="9" spans="2:15" x14ac:dyDescent="0.25">
      <c r="B9" s="87" t="s">
        <v>78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2:15" x14ac:dyDescent="0.25">
      <c r="B10" s="86" t="s">
        <v>79</v>
      </c>
      <c r="C10" s="86"/>
      <c r="D10" s="13">
        <v>140</v>
      </c>
      <c r="E10" s="13">
        <v>135</v>
      </c>
      <c r="F10" s="13">
        <v>134</v>
      </c>
      <c r="G10" s="13">
        <v>126</v>
      </c>
      <c r="H10" s="13">
        <v>112</v>
      </c>
      <c r="I10" s="13">
        <v>104</v>
      </c>
      <c r="J10" s="13">
        <v>97</v>
      </c>
      <c r="K10" s="13">
        <v>90</v>
      </c>
      <c r="L10" s="13">
        <v>86</v>
      </c>
      <c r="M10" s="13">
        <v>76</v>
      </c>
    </row>
    <row r="11" spans="2:15" x14ac:dyDescent="0.25">
      <c r="B11" s="86" t="s">
        <v>80</v>
      </c>
      <c r="C11" s="86"/>
      <c r="D11" s="13">
        <v>127</v>
      </c>
      <c r="E11" s="13">
        <v>122</v>
      </c>
      <c r="F11" s="13">
        <v>119</v>
      </c>
      <c r="G11" s="13">
        <v>600</v>
      </c>
      <c r="H11" s="13">
        <v>105</v>
      </c>
      <c r="I11" s="13">
        <v>102</v>
      </c>
      <c r="J11" s="13">
        <v>100</v>
      </c>
      <c r="K11" s="13">
        <v>95</v>
      </c>
      <c r="L11" s="13">
        <v>90</v>
      </c>
      <c r="M11" s="13">
        <v>85</v>
      </c>
    </row>
    <row r="12" spans="2:15" x14ac:dyDescent="0.25">
      <c r="B12" s="86" t="s">
        <v>81</v>
      </c>
      <c r="C12" s="86"/>
      <c r="D12" s="13">
        <f>D11</f>
        <v>127</v>
      </c>
      <c r="E12" s="13">
        <f t="shared" ref="E12:M12" si="1">E11</f>
        <v>122</v>
      </c>
      <c r="F12" s="13">
        <f t="shared" si="1"/>
        <v>119</v>
      </c>
      <c r="G12" s="13">
        <f t="shared" si="1"/>
        <v>600</v>
      </c>
      <c r="H12" s="13">
        <f t="shared" si="1"/>
        <v>105</v>
      </c>
      <c r="I12" s="13">
        <f t="shared" si="1"/>
        <v>102</v>
      </c>
      <c r="J12" s="13">
        <f t="shared" si="1"/>
        <v>100</v>
      </c>
      <c r="K12" s="13">
        <f t="shared" si="1"/>
        <v>95</v>
      </c>
      <c r="L12" s="13">
        <f t="shared" si="1"/>
        <v>90</v>
      </c>
      <c r="M12" s="13">
        <f t="shared" si="1"/>
        <v>85</v>
      </c>
    </row>
    <row r="13" spans="2:15" x14ac:dyDescent="0.25">
      <c r="B13" s="86" t="s">
        <v>82</v>
      </c>
      <c r="C13" s="86"/>
      <c r="D13" s="13">
        <v>8</v>
      </c>
      <c r="E13" s="13">
        <v>16</v>
      </c>
      <c r="F13" s="13">
        <v>20</v>
      </c>
      <c r="G13" s="13">
        <v>22</v>
      </c>
      <c r="H13" s="13">
        <v>22</v>
      </c>
      <c r="I13" s="13">
        <v>24</v>
      </c>
      <c r="J13" s="13">
        <v>24</v>
      </c>
      <c r="K13" s="13">
        <v>21</v>
      </c>
      <c r="L13" s="13">
        <v>17</v>
      </c>
      <c r="M13" s="13">
        <v>14</v>
      </c>
    </row>
    <row r="14" spans="2:15" x14ac:dyDescent="0.25">
      <c r="B14" s="86" t="s">
        <v>83</v>
      </c>
      <c r="C14" s="86"/>
      <c r="D14" s="13">
        <f>D10+D11-D12+D13</f>
        <v>148</v>
      </c>
      <c r="E14" s="13">
        <f t="shared" ref="E14:M14" si="2">E10+E11-E12+E13</f>
        <v>151</v>
      </c>
      <c r="F14" s="13">
        <f t="shared" si="2"/>
        <v>154</v>
      </c>
      <c r="G14" s="13">
        <f t="shared" si="2"/>
        <v>148</v>
      </c>
      <c r="H14" s="13">
        <f t="shared" si="2"/>
        <v>134</v>
      </c>
      <c r="I14" s="13">
        <f t="shared" si="2"/>
        <v>128</v>
      </c>
      <c r="J14" s="13">
        <f t="shared" si="2"/>
        <v>121</v>
      </c>
      <c r="K14" s="13">
        <f t="shared" si="2"/>
        <v>111</v>
      </c>
      <c r="L14" s="13">
        <f t="shared" si="2"/>
        <v>103</v>
      </c>
      <c r="M14" s="13">
        <f t="shared" si="2"/>
        <v>90</v>
      </c>
    </row>
    <row r="15" spans="2:15" x14ac:dyDescent="0.25"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2:15" x14ac:dyDescent="0.25">
      <c r="B16" s="86" t="s">
        <v>84</v>
      </c>
      <c r="C16" s="86"/>
      <c r="D16" s="93">
        <f>D26</f>
        <v>6.6522682158407767</v>
      </c>
      <c r="E16" s="93">
        <f>E26-D26</f>
        <v>7.2599500039463694</v>
      </c>
      <c r="F16" s="93">
        <f t="shared" ref="F16:M16" si="3">F26-E26</f>
        <v>9.8133794576684821</v>
      </c>
      <c r="G16" s="93">
        <f t="shared" si="3"/>
        <v>7.4707249777859879</v>
      </c>
      <c r="H16" s="93">
        <f t="shared" si="3"/>
        <v>3.5405516057520856</v>
      </c>
      <c r="I16" s="93">
        <f t="shared" si="3"/>
        <v>-1.0927452345161797</v>
      </c>
      <c r="J16" s="93">
        <f t="shared" si="3"/>
        <v>-5.9781021403940535</v>
      </c>
      <c r="K16" s="93">
        <f t="shared" si="3"/>
        <v>-8.0934502350484863</v>
      </c>
      <c r="L16" s="93">
        <f t="shared" si="3"/>
        <v>-7.2717357648837666</v>
      </c>
      <c r="M16" s="93">
        <f t="shared" si="3"/>
        <v>-12.300840886151255</v>
      </c>
    </row>
    <row r="17" spans="2:13" x14ac:dyDescent="0.25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</row>
    <row r="18" spans="2:13" x14ac:dyDescent="0.25">
      <c r="B18" s="86" t="s">
        <v>85</v>
      </c>
      <c r="C18" s="86"/>
      <c r="D18" s="93">
        <f>D7-D14+D16</f>
        <v>18.652268215840778</v>
      </c>
      <c r="E18" s="93">
        <f t="shared" ref="E18:M18" si="4">E7-E14+E16</f>
        <v>20.259950003946368</v>
      </c>
      <c r="F18" s="93">
        <f t="shared" si="4"/>
        <v>20.813379457668482</v>
      </c>
      <c r="G18" s="93">
        <f t="shared" si="4"/>
        <v>21.470724977785988</v>
      </c>
      <c r="H18" s="93">
        <f t="shared" si="4"/>
        <v>28.540551605752086</v>
      </c>
      <c r="I18" s="93">
        <f t="shared" si="4"/>
        <v>27.90725476548382</v>
      </c>
      <c r="J18" s="93">
        <f t="shared" si="4"/>
        <v>27.021897859605946</v>
      </c>
      <c r="K18" s="93">
        <f t="shared" si="4"/>
        <v>26.906549764951514</v>
      </c>
      <c r="L18" s="93">
        <f t="shared" si="4"/>
        <v>27.728264235116235</v>
      </c>
      <c r="M18" s="93">
        <f t="shared" si="4"/>
        <v>23.699159113848744</v>
      </c>
    </row>
    <row r="19" spans="2:13" x14ac:dyDescent="0.25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</row>
    <row r="20" spans="2:13" x14ac:dyDescent="0.25">
      <c r="B20" s="86" t="s">
        <v>86</v>
      </c>
      <c r="C20" s="86"/>
      <c r="D20" s="93">
        <v>0</v>
      </c>
      <c r="E20" s="93">
        <f>D25</f>
        <v>6.8814329211580931</v>
      </c>
      <c r="F20" s="93">
        <f t="shared" ref="F20:M20" si="5">E25</f>
        <v>14.372075395123893</v>
      </c>
      <c r="G20" s="93">
        <f t="shared" si="5"/>
        <v>24.420807005153243</v>
      </c>
      <c r="H20" s="93">
        <f t="shared" si="5"/>
        <v>31.196322655241616</v>
      </c>
      <c r="I20" s="93">
        <f t="shared" si="5"/>
        <v>34.736874260993702</v>
      </c>
      <c r="J20" s="93">
        <f t="shared" si="5"/>
        <v>33.644129026477522</v>
      </c>
      <c r="K20" s="93">
        <f t="shared" si="5"/>
        <v>27.666026886083468</v>
      </c>
      <c r="L20" s="93">
        <f t="shared" si="5"/>
        <v>19.572576651034982</v>
      </c>
      <c r="M20" s="93">
        <f t="shared" si="5"/>
        <v>12.300840886151216</v>
      </c>
    </row>
    <row r="21" spans="2:13" s="65" customFormat="1" x14ac:dyDescent="0.25">
      <c r="B21" s="93" t="s">
        <v>104</v>
      </c>
      <c r="C21" s="93"/>
      <c r="D21" s="13">
        <f t="shared" ref="D21:M21" si="6">D10</f>
        <v>140</v>
      </c>
      <c r="E21" s="13">
        <f t="shared" si="6"/>
        <v>135</v>
      </c>
      <c r="F21" s="13">
        <f t="shared" si="6"/>
        <v>134</v>
      </c>
      <c r="G21" s="13">
        <f t="shared" si="6"/>
        <v>126</v>
      </c>
      <c r="H21" s="13">
        <f t="shared" si="6"/>
        <v>112</v>
      </c>
      <c r="I21" s="13">
        <f t="shared" si="6"/>
        <v>104</v>
      </c>
      <c r="J21" s="13">
        <f t="shared" si="6"/>
        <v>97</v>
      </c>
      <c r="K21" s="13">
        <f t="shared" si="6"/>
        <v>90</v>
      </c>
      <c r="L21" s="13">
        <f t="shared" si="6"/>
        <v>86</v>
      </c>
      <c r="M21" s="13">
        <f t="shared" si="6"/>
        <v>76</v>
      </c>
    </row>
    <row r="22" spans="2:13" s="65" customFormat="1" x14ac:dyDescent="0.25">
      <c r="B22" s="93" t="s">
        <v>105</v>
      </c>
      <c r="C22" s="93"/>
      <c r="D22" s="13">
        <f>D12</f>
        <v>127</v>
      </c>
      <c r="E22" s="13">
        <f>E12</f>
        <v>122</v>
      </c>
      <c r="F22" s="13">
        <f>F12</f>
        <v>119</v>
      </c>
      <c r="G22" s="94">
        <f>'Table 15.8'!G22</f>
        <v>115</v>
      </c>
      <c r="H22" s="13">
        <f t="shared" ref="H22:M22" si="7">H12</f>
        <v>105</v>
      </c>
      <c r="I22" s="13">
        <f t="shared" si="7"/>
        <v>102</v>
      </c>
      <c r="J22" s="13">
        <f t="shared" si="7"/>
        <v>100</v>
      </c>
      <c r="K22" s="13">
        <f t="shared" si="7"/>
        <v>95</v>
      </c>
      <c r="L22" s="13">
        <f t="shared" si="7"/>
        <v>90</v>
      </c>
      <c r="M22" s="13">
        <f t="shared" si="7"/>
        <v>85</v>
      </c>
    </row>
    <row r="23" spans="2:13" s="65" customFormat="1" x14ac:dyDescent="0.25">
      <c r="B23" s="93" t="s">
        <v>89</v>
      </c>
      <c r="C23" s="93"/>
      <c r="D23" s="93">
        <f t="shared" ref="D23:M23" si="8">D29*$D$33</f>
        <v>6.1185670788419069</v>
      </c>
      <c r="E23" s="93">
        <f t="shared" si="8"/>
        <v>5.853429172092091</v>
      </c>
      <c r="F23" s="93">
        <f t="shared" si="8"/>
        <v>5.6698721597268342</v>
      </c>
      <c r="G23" s="93">
        <f t="shared" si="8"/>
        <v>5.4455247001692975</v>
      </c>
      <c r="H23" s="93">
        <f t="shared" si="8"/>
        <v>5.0192645270099776</v>
      </c>
      <c r="I23" s="93">
        <f t="shared" si="8"/>
        <v>4.8295889475658784</v>
      </c>
      <c r="J23" s="93">
        <f t="shared" si="8"/>
        <v>4.6603085917179197</v>
      </c>
      <c r="K23" s="93">
        <f t="shared" si="8"/>
        <v>4.476751579352662</v>
      </c>
      <c r="L23" s="93">
        <f t="shared" si="8"/>
        <v>4.250364597435512</v>
      </c>
      <c r="M23" s="93">
        <f t="shared" si="8"/>
        <v>3.9158829304588205</v>
      </c>
    </row>
    <row r="24" spans="2:13" s="65" customFormat="1" x14ac:dyDescent="0.25">
      <c r="B24" s="93" t="s">
        <v>90</v>
      </c>
      <c r="C24" s="93"/>
      <c r="D24" s="93">
        <f t="shared" ref="D24:M24" si="9">D20*$D$28</f>
        <v>0</v>
      </c>
      <c r="E24" s="93">
        <f t="shared" si="9"/>
        <v>0.34407164605790469</v>
      </c>
      <c r="F24" s="93">
        <f t="shared" si="9"/>
        <v>0.71860376975619467</v>
      </c>
      <c r="G24" s="93">
        <f t="shared" si="9"/>
        <v>1.2210403502576623</v>
      </c>
      <c r="H24" s="93">
        <f t="shared" si="9"/>
        <v>1.559816132762081</v>
      </c>
      <c r="I24" s="93">
        <f t="shared" si="9"/>
        <v>1.7368437130496852</v>
      </c>
      <c r="J24" s="93">
        <f t="shared" si="9"/>
        <v>1.6822064513238761</v>
      </c>
      <c r="K24" s="93">
        <f t="shared" si="9"/>
        <v>1.3833013443041735</v>
      </c>
      <c r="L24" s="93">
        <f t="shared" si="9"/>
        <v>0.97862883255174915</v>
      </c>
      <c r="M24" s="93">
        <f t="shared" si="9"/>
        <v>0.61504204430756082</v>
      </c>
    </row>
    <row r="25" spans="2:13" s="65" customFormat="1" x14ac:dyDescent="0.25">
      <c r="B25" s="93" t="s">
        <v>91</v>
      </c>
      <c r="C25" s="93"/>
      <c r="D25" s="93">
        <f t="shared" ref="D25:M25" si="10">D20+D21-D22-D23+D24</f>
        <v>6.8814329211580931</v>
      </c>
      <c r="E25" s="93">
        <f t="shared" si="10"/>
        <v>14.372075395123893</v>
      </c>
      <c r="F25" s="93">
        <f t="shared" si="10"/>
        <v>24.420807005153243</v>
      </c>
      <c r="G25" s="93">
        <f t="shared" si="10"/>
        <v>31.196322655241616</v>
      </c>
      <c r="H25" s="93">
        <f t="shared" si="10"/>
        <v>34.736874260993702</v>
      </c>
      <c r="I25" s="93">
        <f t="shared" si="10"/>
        <v>33.644129026477522</v>
      </c>
      <c r="J25" s="93">
        <f t="shared" si="10"/>
        <v>27.666026886083468</v>
      </c>
      <c r="K25" s="93">
        <f t="shared" si="10"/>
        <v>19.572576651034982</v>
      </c>
      <c r="L25" s="93">
        <f t="shared" si="10"/>
        <v>12.300840886151216</v>
      </c>
      <c r="M25" s="93">
        <f t="shared" si="10"/>
        <v>-3.8857805861880479E-14</v>
      </c>
    </row>
    <row r="26" spans="2:13" x14ac:dyDescent="0.25">
      <c r="B26" s="93" t="s">
        <v>92</v>
      </c>
      <c r="C26" s="86"/>
      <c r="D26" s="93">
        <f>'Table 15.8'!D26</f>
        <v>6.6522682158407767</v>
      </c>
      <c r="E26" s="93">
        <f>'Table 15.8'!E26</f>
        <v>13.912218219787146</v>
      </c>
      <c r="F26" s="93">
        <f>'Table 15.8'!F26</f>
        <v>23.725597677455628</v>
      </c>
      <c r="G26" s="93">
        <f t="shared" ref="G26:M26" si="11">G25</f>
        <v>31.196322655241616</v>
      </c>
      <c r="H26" s="93">
        <f t="shared" si="11"/>
        <v>34.736874260993702</v>
      </c>
      <c r="I26" s="93">
        <f t="shared" si="11"/>
        <v>33.644129026477522</v>
      </c>
      <c r="J26" s="93">
        <f t="shared" si="11"/>
        <v>27.666026886083468</v>
      </c>
      <c r="K26" s="93">
        <f t="shared" si="11"/>
        <v>19.572576651034982</v>
      </c>
      <c r="L26" s="93">
        <f t="shared" si="11"/>
        <v>12.300840886151216</v>
      </c>
      <c r="M26" s="93">
        <f t="shared" si="11"/>
        <v>-3.8857805861880479E-14</v>
      </c>
    </row>
    <row r="27" spans="2:13" x14ac:dyDescent="0.25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</row>
    <row r="28" spans="2:13" hidden="1" x14ac:dyDescent="0.25">
      <c r="B28" s="86" t="s">
        <v>93</v>
      </c>
      <c r="C28" s="86"/>
      <c r="D28" s="95">
        <v>0.05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25">
      <c r="B29" s="86" t="s">
        <v>94</v>
      </c>
      <c r="C29" s="86"/>
      <c r="D29" s="13">
        <v>15000</v>
      </c>
      <c r="E29" s="13">
        <v>14350</v>
      </c>
      <c r="F29" s="13">
        <v>13900</v>
      </c>
      <c r="G29" s="13">
        <v>13350</v>
      </c>
      <c r="H29" s="13">
        <v>12305</v>
      </c>
      <c r="I29" s="13">
        <v>11840</v>
      </c>
      <c r="J29" s="13">
        <v>11425</v>
      </c>
      <c r="K29" s="13">
        <v>10975</v>
      </c>
      <c r="L29" s="13">
        <v>10420</v>
      </c>
      <c r="M29" s="13">
        <v>9600</v>
      </c>
    </row>
    <row r="30" spans="2:13" x14ac:dyDescent="0.25">
      <c r="B30" s="86" t="s">
        <v>95</v>
      </c>
      <c r="C30" s="86"/>
      <c r="D30" s="13">
        <f>NPV($D$28,$D$29:M29)</f>
        <v>96926.726070200719</v>
      </c>
      <c r="E30" s="13"/>
      <c r="F30" s="13"/>
      <c r="G30" s="13"/>
      <c r="H30" s="13"/>
      <c r="I30" s="13"/>
      <c r="J30" s="13"/>
      <c r="K30" s="13"/>
      <c r="L30" s="13"/>
      <c r="M30" s="13"/>
    </row>
    <row r="31" spans="2:13" hidden="1" x14ac:dyDescent="0.25">
      <c r="B31" s="86" t="s">
        <v>96</v>
      </c>
      <c r="C31" s="86"/>
      <c r="D31" s="13">
        <f>D10-D12</f>
        <v>13</v>
      </c>
      <c r="E31" s="13">
        <f>E10-E12</f>
        <v>13</v>
      </c>
      <c r="F31" s="13">
        <f>F10-F12</f>
        <v>15</v>
      </c>
      <c r="G31" s="13">
        <f>'Table 15.8'!G31</f>
        <v>11</v>
      </c>
      <c r="H31" s="13">
        <f t="shared" ref="H31:M31" si="12">H10-H12</f>
        <v>7</v>
      </c>
      <c r="I31" s="13">
        <f t="shared" si="12"/>
        <v>2</v>
      </c>
      <c r="J31" s="13">
        <f t="shared" si="12"/>
        <v>-3</v>
      </c>
      <c r="K31" s="13">
        <f t="shared" si="12"/>
        <v>-5</v>
      </c>
      <c r="L31" s="13">
        <f t="shared" si="12"/>
        <v>-4</v>
      </c>
      <c r="M31" s="13">
        <f t="shared" si="12"/>
        <v>-9</v>
      </c>
    </row>
    <row r="32" spans="2:13" x14ac:dyDescent="0.25">
      <c r="B32" s="90" t="s">
        <v>97</v>
      </c>
      <c r="C32" s="92"/>
      <c r="D32" s="93">
        <f>NPV($D$28,$D$31:M31)</f>
        <v>39.536845012870515</v>
      </c>
      <c r="E32" s="93"/>
      <c r="F32" s="93"/>
      <c r="G32" s="93"/>
      <c r="H32" s="93"/>
      <c r="I32" s="93"/>
      <c r="J32" s="93"/>
      <c r="K32" s="93"/>
      <c r="L32" s="93"/>
      <c r="M32" s="93"/>
    </row>
    <row r="33" spans="2:13" x14ac:dyDescent="0.25">
      <c r="B33" s="90" t="s">
        <v>98</v>
      </c>
      <c r="C33" s="92"/>
      <c r="D33" s="96">
        <f>D32/D30</f>
        <v>4.0790447192279382E-4</v>
      </c>
      <c r="E33" s="96"/>
      <c r="F33" s="86"/>
      <c r="G33" s="86"/>
      <c r="H33" s="86"/>
      <c r="I33" s="86"/>
      <c r="J33" s="86"/>
      <c r="K33" s="86"/>
      <c r="L33" s="86"/>
      <c r="M33" s="86"/>
    </row>
  </sheetData>
  <mergeCells count="11">
    <mergeCell ref="B17:M17"/>
    <mergeCell ref="B3:C3"/>
    <mergeCell ref="B4:M4"/>
    <mergeCell ref="B8:M8"/>
    <mergeCell ref="B9:M9"/>
    <mergeCell ref="B15:M15"/>
    <mergeCell ref="B19:M19"/>
    <mergeCell ref="B27:M27"/>
    <mergeCell ref="B32:C32"/>
    <mergeCell ref="B33:C33"/>
    <mergeCell ref="D33:E33"/>
  </mergeCells>
  <pageMargins left="0.7" right="0.7" top="0.75" bottom="0.75" header="0.3" footer="0.3"/>
  <pageSetup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B3D9-9836-4DC6-8513-CA87098A05A2}">
  <dimension ref="B1:O33"/>
  <sheetViews>
    <sheetView zoomScaleNormal="100" workbookViewId="0">
      <selection activeCell="P23" sqref="P23"/>
    </sheetView>
  </sheetViews>
  <sheetFormatPr defaultColWidth="8.85546875" defaultRowHeight="15" x14ac:dyDescent="0.25"/>
  <cols>
    <col min="1" max="1" width="8.85546875" style="84"/>
    <col min="2" max="2" width="7.140625" style="84" customWidth="1"/>
    <col min="3" max="3" width="10.28515625" style="84" customWidth="1"/>
    <col min="4" max="12" width="8" style="84" bestFit="1" customWidth="1"/>
    <col min="13" max="13" width="7.7109375" style="84" bestFit="1" customWidth="1"/>
    <col min="14" max="16384" width="8.85546875" style="84"/>
  </cols>
  <sheetData>
    <row r="1" spans="2:15" x14ac:dyDescent="0.25">
      <c r="B1" s="84" t="s">
        <v>118</v>
      </c>
    </row>
    <row r="3" spans="2:15" x14ac:dyDescent="0.25">
      <c r="B3" s="97" t="s">
        <v>23</v>
      </c>
      <c r="C3" s="98"/>
      <c r="D3" s="86">
        <v>1</v>
      </c>
      <c r="E3" s="86">
        <v>2</v>
      </c>
      <c r="F3" s="86">
        <v>3</v>
      </c>
      <c r="G3" s="86">
        <v>4</v>
      </c>
      <c r="H3" s="86">
        <v>5</v>
      </c>
      <c r="I3" s="86">
        <v>6</v>
      </c>
      <c r="J3" s="86">
        <v>7</v>
      </c>
      <c r="K3" s="86">
        <v>8</v>
      </c>
      <c r="L3" s="86">
        <v>9</v>
      </c>
      <c r="M3" s="86">
        <v>10</v>
      </c>
    </row>
    <row r="4" spans="2:15" x14ac:dyDescent="0.25">
      <c r="B4" s="87" t="s">
        <v>74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  <c r="O4" s="84" t="s">
        <v>99</v>
      </c>
    </row>
    <row r="5" spans="2:15" x14ac:dyDescent="0.25">
      <c r="B5" s="86" t="s">
        <v>75</v>
      </c>
      <c r="C5" s="86"/>
      <c r="D5" s="13">
        <v>150</v>
      </c>
      <c r="E5" s="13">
        <v>144</v>
      </c>
      <c r="F5" s="13">
        <v>140</v>
      </c>
      <c r="G5" s="13">
        <v>135</v>
      </c>
      <c r="H5" s="13">
        <v>130</v>
      </c>
      <c r="I5" s="13">
        <v>126</v>
      </c>
      <c r="J5" s="13">
        <v>121</v>
      </c>
      <c r="K5" s="13">
        <v>116</v>
      </c>
      <c r="L5" s="13">
        <v>109</v>
      </c>
      <c r="M5" s="13">
        <v>101</v>
      </c>
      <c r="O5" s="84" t="s">
        <v>106</v>
      </c>
    </row>
    <row r="6" spans="2:15" x14ac:dyDescent="0.25">
      <c r="B6" s="86" t="s">
        <v>76</v>
      </c>
      <c r="C6" s="86"/>
      <c r="D6" s="13">
        <v>10</v>
      </c>
      <c r="E6" s="13">
        <v>20</v>
      </c>
      <c r="F6" s="13">
        <v>25</v>
      </c>
      <c r="G6" s="13">
        <v>27</v>
      </c>
      <c r="H6" s="13">
        <v>29</v>
      </c>
      <c r="I6" s="13">
        <v>31</v>
      </c>
      <c r="J6" s="13">
        <v>32</v>
      </c>
      <c r="K6" s="13">
        <v>29</v>
      </c>
      <c r="L6" s="13">
        <v>26</v>
      </c>
      <c r="M6" s="13">
        <v>21</v>
      </c>
      <c r="O6" s="84" t="s">
        <v>101</v>
      </c>
    </row>
    <row r="7" spans="2:15" x14ac:dyDescent="0.25">
      <c r="B7" s="86" t="s">
        <v>77</v>
      </c>
      <c r="C7" s="86"/>
      <c r="D7" s="13">
        <f>D5+D6</f>
        <v>160</v>
      </c>
      <c r="E7" s="13">
        <f t="shared" ref="E7:M7" si="0">E5+E6</f>
        <v>164</v>
      </c>
      <c r="F7" s="13">
        <f t="shared" si="0"/>
        <v>165</v>
      </c>
      <c r="G7" s="13">
        <f t="shared" si="0"/>
        <v>162</v>
      </c>
      <c r="H7" s="13">
        <f t="shared" si="0"/>
        <v>159</v>
      </c>
      <c r="I7" s="13">
        <f t="shared" si="0"/>
        <v>157</v>
      </c>
      <c r="J7" s="13">
        <f t="shared" si="0"/>
        <v>153</v>
      </c>
      <c r="K7" s="13">
        <f t="shared" si="0"/>
        <v>145</v>
      </c>
      <c r="L7" s="13">
        <f t="shared" si="0"/>
        <v>135</v>
      </c>
      <c r="M7" s="13">
        <f t="shared" si="0"/>
        <v>122</v>
      </c>
      <c r="O7" s="84" t="s">
        <v>103</v>
      </c>
    </row>
    <row r="8" spans="2:15" x14ac:dyDescent="0.25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2"/>
    </row>
    <row r="9" spans="2:15" x14ac:dyDescent="0.25">
      <c r="B9" s="87" t="s">
        <v>78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</row>
    <row r="10" spans="2:15" x14ac:dyDescent="0.25">
      <c r="B10" s="86" t="s">
        <v>79</v>
      </c>
      <c r="C10" s="86"/>
      <c r="D10" s="13">
        <v>140</v>
      </c>
      <c r="E10" s="13">
        <v>135</v>
      </c>
      <c r="F10" s="13">
        <v>134</v>
      </c>
      <c r="G10" s="13">
        <v>126</v>
      </c>
      <c r="H10" s="13">
        <v>112</v>
      </c>
      <c r="I10" s="13">
        <v>104</v>
      </c>
      <c r="J10" s="13">
        <v>96</v>
      </c>
      <c r="K10" s="13">
        <v>88</v>
      </c>
      <c r="L10" s="13">
        <v>83</v>
      </c>
      <c r="M10" s="13">
        <v>73</v>
      </c>
    </row>
    <row r="11" spans="2:15" x14ac:dyDescent="0.25">
      <c r="B11" s="86" t="s">
        <v>80</v>
      </c>
      <c r="C11" s="86"/>
      <c r="D11" s="13">
        <v>127</v>
      </c>
      <c r="E11" s="13">
        <v>122</v>
      </c>
      <c r="F11" s="13">
        <v>119</v>
      </c>
      <c r="G11" s="13">
        <v>600</v>
      </c>
      <c r="H11" s="13">
        <v>105</v>
      </c>
      <c r="I11" s="13">
        <v>102</v>
      </c>
      <c r="J11" s="94">
        <v>110</v>
      </c>
      <c r="K11" s="94">
        <v>104</v>
      </c>
      <c r="L11" s="94">
        <v>99</v>
      </c>
      <c r="M11" s="94">
        <v>93</v>
      </c>
    </row>
    <row r="12" spans="2:15" x14ac:dyDescent="0.25">
      <c r="B12" s="86" t="s">
        <v>81</v>
      </c>
      <c r="C12" s="86"/>
      <c r="D12" s="13">
        <f>D11</f>
        <v>127</v>
      </c>
      <c r="E12" s="13">
        <f t="shared" ref="E12:M12" si="1">E11</f>
        <v>122</v>
      </c>
      <c r="F12" s="13">
        <f t="shared" si="1"/>
        <v>119</v>
      </c>
      <c r="G12" s="13">
        <f t="shared" si="1"/>
        <v>600</v>
      </c>
      <c r="H12" s="13">
        <f t="shared" si="1"/>
        <v>105</v>
      </c>
      <c r="I12" s="13">
        <f t="shared" si="1"/>
        <v>102</v>
      </c>
      <c r="J12" s="13">
        <f t="shared" si="1"/>
        <v>110</v>
      </c>
      <c r="K12" s="13">
        <f t="shared" si="1"/>
        <v>104</v>
      </c>
      <c r="L12" s="13">
        <f t="shared" si="1"/>
        <v>99</v>
      </c>
      <c r="M12" s="13">
        <f t="shared" si="1"/>
        <v>93</v>
      </c>
    </row>
    <row r="13" spans="2:15" x14ac:dyDescent="0.25">
      <c r="B13" s="86" t="s">
        <v>82</v>
      </c>
      <c r="C13" s="86"/>
      <c r="D13" s="13">
        <v>8</v>
      </c>
      <c r="E13" s="13">
        <v>16</v>
      </c>
      <c r="F13" s="13">
        <v>20</v>
      </c>
      <c r="G13" s="13">
        <v>22</v>
      </c>
      <c r="H13" s="13">
        <v>22</v>
      </c>
      <c r="I13" s="13">
        <v>24</v>
      </c>
      <c r="J13" s="13">
        <v>24</v>
      </c>
      <c r="K13" s="13">
        <v>21</v>
      </c>
      <c r="L13" s="13">
        <v>17</v>
      </c>
      <c r="M13" s="13">
        <v>14</v>
      </c>
    </row>
    <row r="14" spans="2:15" x14ac:dyDescent="0.25">
      <c r="B14" s="86" t="s">
        <v>83</v>
      </c>
      <c r="C14" s="86"/>
      <c r="D14" s="13">
        <f>D10+D11-D12+D13</f>
        <v>148</v>
      </c>
      <c r="E14" s="13">
        <f t="shared" ref="E14:M14" si="2">E10+E11-E12+E13</f>
        <v>151</v>
      </c>
      <c r="F14" s="13">
        <f t="shared" si="2"/>
        <v>154</v>
      </c>
      <c r="G14" s="13">
        <f t="shared" si="2"/>
        <v>148</v>
      </c>
      <c r="H14" s="13">
        <f t="shared" si="2"/>
        <v>134</v>
      </c>
      <c r="I14" s="13">
        <f t="shared" si="2"/>
        <v>128</v>
      </c>
      <c r="J14" s="13">
        <f t="shared" si="2"/>
        <v>120</v>
      </c>
      <c r="K14" s="13">
        <f t="shared" si="2"/>
        <v>109</v>
      </c>
      <c r="L14" s="13">
        <f t="shared" si="2"/>
        <v>100</v>
      </c>
      <c r="M14" s="13">
        <f t="shared" si="2"/>
        <v>87</v>
      </c>
    </row>
    <row r="15" spans="2:15" x14ac:dyDescent="0.25"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2:15" x14ac:dyDescent="0.25">
      <c r="B16" s="86" t="s">
        <v>84</v>
      </c>
      <c r="C16" s="86"/>
      <c r="D16" s="93">
        <f>D26</f>
        <v>6.6522682158407767</v>
      </c>
      <c r="E16" s="93">
        <f>E26-D26</f>
        <v>7.2599500039463694</v>
      </c>
      <c r="F16" s="93">
        <f t="shared" ref="F16:M16" si="3">F26-E26</f>
        <v>9.8133794576684821</v>
      </c>
      <c r="G16" s="93">
        <f t="shared" si="3"/>
        <v>7.4707249777859879</v>
      </c>
      <c r="H16" s="93">
        <f t="shared" si="3"/>
        <v>3.5405516057520856</v>
      </c>
      <c r="I16" s="93">
        <f t="shared" si="3"/>
        <v>27.189564461688768</v>
      </c>
      <c r="J16" s="93">
        <f t="shared" si="3"/>
        <v>-12.056702861624004</v>
      </c>
      <c r="K16" s="93">
        <f t="shared" si="3"/>
        <v>-14.615194782084444</v>
      </c>
      <c r="L16" s="93">
        <f t="shared" si="3"/>
        <v>-15.286964903852642</v>
      </c>
      <c r="M16" s="93">
        <f t="shared" si="3"/>
        <v>-19.967576175121366</v>
      </c>
    </row>
    <row r="17" spans="2:13" x14ac:dyDescent="0.25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2"/>
    </row>
    <row r="18" spans="2:13" x14ac:dyDescent="0.25">
      <c r="B18" s="86" t="s">
        <v>85</v>
      </c>
      <c r="C18" s="86"/>
      <c r="D18" s="93">
        <f>D7-D14+D16</f>
        <v>18.652268215840778</v>
      </c>
      <c r="E18" s="93">
        <f t="shared" ref="E18:M18" si="4">E7-E14+E16</f>
        <v>20.259950003946368</v>
      </c>
      <c r="F18" s="93">
        <f t="shared" si="4"/>
        <v>20.813379457668482</v>
      </c>
      <c r="G18" s="93">
        <f t="shared" si="4"/>
        <v>21.470724977785988</v>
      </c>
      <c r="H18" s="93">
        <f t="shared" si="4"/>
        <v>28.540551605752086</v>
      </c>
      <c r="I18" s="93">
        <f t="shared" si="4"/>
        <v>56.189564461688768</v>
      </c>
      <c r="J18" s="93">
        <f t="shared" si="4"/>
        <v>20.943297138375996</v>
      </c>
      <c r="K18" s="93">
        <f t="shared" si="4"/>
        <v>21.384805217915556</v>
      </c>
      <c r="L18" s="93">
        <f t="shared" si="4"/>
        <v>19.713035096147358</v>
      </c>
      <c r="M18" s="93">
        <f t="shared" si="4"/>
        <v>15.032423824878634</v>
      </c>
    </row>
    <row r="19" spans="2:13" x14ac:dyDescent="0.25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2"/>
    </row>
    <row r="20" spans="2:13" x14ac:dyDescent="0.25">
      <c r="B20" s="86" t="s">
        <v>86</v>
      </c>
      <c r="C20" s="86"/>
      <c r="D20" s="93">
        <v>0</v>
      </c>
      <c r="E20" s="93">
        <f>D25</f>
        <v>11.484855719108907</v>
      </c>
      <c r="F20" s="93">
        <f t="shared" ref="F20:M20" si="5">E25</f>
        <v>23.609610476345207</v>
      </c>
      <c r="G20" s="93">
        <f t="shared" si="5"/>
        <v>38.386057299870053</v>
      </c>
      <c r="H20" s="93">
        <f t="shared" si="5"/>
        <v>49.956881754870494</v>
      </c>
      <c r="I20" s="93">
        <f t="shared" si="5"/>
        <v>58.21180248418969</v>
      </c>
      <c r="J20" s="93">
        <f t="shared" si="5"/>
        <v>61.92643872268247</v>
      </c>
      <c r="K20" s="93">
        <f t="shared" si="5"/>
        <v>49.869735861058466</v>
      </c>
      <c r="L20" s="93">
        <f t="shared" si="5"/>
        <v>35.254541078974022</v>
      </c>
      <c r="M20" s="93">
        <f t="shared" si="5"/>
        <v>19.96757617512138</v>
      </c>
    </row>
    <row r="21" spans="2:13" s="65" customFormat="1" x14ac:dyDescent="0.25">
      <c r="B21" s="93" t="s">
        <v>104</v>
      </c>
      <c r="C21" s="93"/>
      <c r="D21" s="13">
        <f t="shared" ref="D21:M21" si="6">D10</f>
        <v>140</v>
      </c>
      <c r="E21" s="13">
        <f t="shared" si="6"/>
        <v>135</v>
      </c>
      <c r="F21" s="13">
        <f t="shared" si="6"/>
        <v>134</v>
      </c>
      <c r="G21" s="13">
        <f t="shared" si="6"/>
        <v>126</v>
      </c>
      <c r="H21" s="13">
        <f t="shared" si="6"/>
        <v>112</v>
      </c>
      <c r="I21" s="13">
        <f t="shared" si="6"/>
        <v>104</v>
      </c>
      <c r="J21" s="13">
        <f t="shared" si="6"/>
        <v>96</v>
      </c>
      <c r="K21" s="13">
        <f t="shared" si="6"/>
        <v>88</v>
      </c>
      <c r="L21" s="13">
        <f t="shared" si="6"/>
        <v>83</v>
      </c>
      <c r="M21" s="13">
        <f t="shared" si="6"/>
        <v>73</v>
      </c>
    </row>
    <row r="22" spans="2:13" s="65" customFormat="1" x14ac:dyDescent="0.25">
      <c r="B22" s="93" t="s">
        <v>105</v>
      </c>
      <c r="C22" s="93"/>
      <c r="D22" s="13">
        <f>D12</f>
        <v>127</v>
      </c>
      <c r="E22" s="13">
        <f>E12</f>
        <v>122</v>
      </c>
      <c r="F22" s="13">
        <f>F12</f>
        <v>119</v>
      </c>
      <c r="G22" s="13">
        <f>'Table 15.8'!G22</f>
        <v>115</v>
      </c>
      <c r="H22" s="13">
        <f t="shared" ref="H22:M22" si="7">H12</f>
        <v>105</v>
      </c>
      <c r="I22" s="13">
        <f t="shared" si="7"/>
        <v>102</v>
      </c>
      <c r="J22" s="13">
        <f t="shared" si="7"/>
        <v>110</v>
      </c>
      <c r="K22" s="13">
        <f t="shared" si="7"/>
        <v>104</v>
      </c>
      <c r="L22" s="13">
        <f t="shared" si="7"/>
        <v>99</v>
      </c>
      <c r="M22" s="13">
        <f t="shared" si="7"/>
        <v>93</v>
      </c>
    </row>
    <row r="23" spans="2:13" s="65" customFormat="1" x14ac:dyDescent="0.25">
      <c r="B23" s="93" t="s">
        <v>89</v>
      </c>
      <c r="C23" s="93"/>
      <c r="D23" s="93">
        <f t="shared" ref="D23:M23" si="8">D29*$D$33</f>
        <v>1.5151442808910938</v>
      </c>
      <c r="E23" s="93">
        <f t="shared" si="8"/>
        <v>1.4494880287191465</v>
      </c>
      <c r="F23" s="93">
        <f t="shared" si="8"/>
        <v>1.4040337002924137</v>
      </c>
      <c r="G23" s="93">
        <f t="shared" si="8"/>
        <v>1.3484784099930736</v>
      </c>
      <c r="H23" s="93">
        <f t="shared" si="8"/>
        <v>1.2429233584243273</v>
      </c>
      <c r="I23" s="93">
        <f t="shared" si="8"/>
        <v>1.1959538857167034</v>
      </c>
      <c r="J23" s="93">
        <f t="shared" si="8"/>
        <v>1.1530247977581225</v>
      </c>
      <c r="K23" s="93">
        <f t="shared" si="8"/>
        <v>1.1086815751373764</v>
      </c>
      <c r="L23" s="93">
        <f t="shared" si="8"/>
        <v>1.0496919578013497</v>
      </c>
      <c r="M23" s="93">
        <f t="shared" si="8"/>
        <v>0.96595498387743539</v>
      </c>
    </row>
    <row r="24" spans="2:13" s="65" customFormat="1" x14ac:dyDescent="0.25">
      <c r="B24" s="93" t="s">
        <v>90</v>
      </c>
      <c r="C24" s="93"/>
      <c r="D24" s="93">
        <f t="shared" ref="D24:M24" si="9">D20*$D$28</f>
        <v>0</v>
      </c>
      <c r="E24" s="93">
        <f t="shared" si="9"/>
        <v>0.57424278595544542</v>
      </c>
      <c r="F24" s="93">
        <f t="shared" si="9"/>
        <v>1.1804805238172604</v>
      </c>
      <c r="G24" s="93">
        <f t="shared" si="9"/>
        <v>1.9193028649935027</v>
      </c>
      <c r="H24" s="93">
        <f t="shared" si="9"/>
        <v>2.4978440877435251</v>
      </c>
      <c r="I24" s="93">
        <f t="shared" si="9"/>
        <v>2.9105901242094845</v>
      </c>
      <c r="J24" s="93">
        <f t="shared" si="9"/>
        <v>3.0963219361341237</v>
      </c>
      <c r="K24" s="93">
        <f t="shared" si="9"/>
        <v>2.4934867930529236</v>
      </c>
      <c r="L24" s="93">
        <f t="shared" si="9"/>
        <v>1.7627270539487012</v>
      </c>
      <c r="M24" s="93">
        <f t="shared" si="9"/>
        <v>0.99837880875606899</v>
      </c>
    </row>
    <row r="25" spans="2:13" s="65" customFormat="1" x14ac:dyDescent="0.25">
      <c r="B25" s="93" t="s">
        <v>91</v>
      </c>
      <c r="C25" s="93"/>
      <c r="D25" s="93">
        <f t="shared" ref="D25:M25" si="10">D20+D21-D22-D23+D24</f>
        <v>11.484855719108907</v>
      </c>
      <c r="E25" s="93">
        <f t="shared" si="10"/>
        <v>23.609610476345207</v>
      </c>
      <c r="F25" s="93">
        <f t="shared" si="10"/>
        <v>38.386057299870053</v>
      </c>
      <c r="G25" s="93">
        <f t="shared" si="10"/>
        <v>49.956881754870494</v>
      </c>
      <c r="H25" s="93">
        <f t="shared" si="10"/>
        <v>58.21180248418969</v>
      </c>
      <c r="I25" s="93">
        <f t="shared" si="10"/>
        <v>61.92643872268247</v>
      </c>
      <c r="J25" s="93">
        <f t="shared" si="10"/>
        <v>49.869735861058466</v>
      </c>
      <c r="K25" s="93">
        <f t="shared" si="10"/>
        <v>35.254541078974022</v>
      </c>
      <c r="L25" s="93">
        <f t="shared" si="10"/>
        <v>19.96757617512138</v>
      </c>
      <c r="M25" s="93">
        <f t="shared" si="10"/>
        <v>1.3433698597964394E-14</v>
      </c>
    </row>
    <row r="26" spans="2:13" x14ac:dyDescent="0.25">
      <c r="B26" s="93" t="s">
        <v>92</v>
      </c>
      <c r="C26" s="86"/>
      <c r="D26" s="93">
        <f>'Table 15.8'!D26</f>
        <v>6.6522682158407767</v>
      </c>
      <c r="E26" s="93">
        <f>'Table 15.8'!E26</f>
        <v>13.912218219787146</v>
      </c>
      <c r="F26" s="93">
        <f>'Table 15.8'!F26</f>
        <v>23.725597677455628</v>
      </c>
      <c r="G26" s="93">
        <f>'Table 15.10'!G26</f>
        <v>31.196322655241616</v>
      </c>
      <c r="H26" s="93">
        <f>'Table 15.10'!H26</f>
        <v>34.736874260993702</v>
      </c>
      <c r="I26" s="93">
        <f t="shared" ref="I26:M26" si="11">I25</f>
        <v>61.92643872268247</v>
      </c>
      <c r="J26" s="93">
        <f t="shared" si="11"/>
        <v>49.869735861058466</v>
      </c>
      <c r="K26" s="93">
        <f t="shared" si="11"/>
        <v>35.254541078974022</v>
      </c>
      <c r="L26" s="93">
        <f t="shared" si="11"/>
        <v>19.96757617512138</v>
      </c>
      <c r="M26" s="93">
        <f t="shared" si="11"/>
        <v>1.3433698597964394E-14</v>
      </c>
    </row>
    <row r="27" spans="2:13" x14ac:dyDescent="0.25"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</row>
    <row r="28" spans="2:13" hidden="1" x14ac:dyDescent="0.25">
      <c r="B28" s="86" t="s">
        <v>93</v>
      </c>
      <c r="C28" s="86"/>
      <c r="D28" s="95">
        <v>0.05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25">
      <c r="B29" s="86" t="s">
        <v>94</v>
      </c>
      <c r="C29" s="86"/>
      <c r="D29" s="13">
        <v>15000</v>
      </c>
      <c r="E29" s="13">
        <v>14350</v>
      </c>
      <c r="F29" s="13">
        <v>13900</v>
      </c>
      <c r="G29" s="13">
        <v>13350</v>
      </c>
      <c r="H29" s="13">
        <v>12305</v>
      </c>
      <c r="I29" s="13">
        <v>11840</v>
      </c>
      <c r="J29" s="13">
        <v>11415</v>
      </c>
      <c r="K29" s="13">
        <v>10976</v>
      </c>
      <c r="L29" s="13">
        <v>10392</v>
      </c>
      <c r="M29" s="13">
        <v>9563</v>
      </c>
    </row>
    <row r="30" spans="2:13" x14ac:dyDescent="0.25">
      <c r="B30" s="86" t="s">
        <v>95</v>
      </c>
      <c r="C30" s="86"/>
      <c r="D30" s="13">
        <f>NPV($D$28,$D$29:M29)</f>
        <v>96879.532256226332</v>
      </c>
      <c r="E30" s="13"/>
      <c r="F30" s="13"/>
      <c r="G30" s="13"/>
      <c r="H30" s="13"/>
      <c r="I30" s="13"/>
      <c r="J30" s="13"/>
      <c r="K30" s="13"/>
      <c r="L30" s="13"/>
      <c r="M30" s="13"/>
    </row>
    <row r="31" spans="2:13" hidden="1" x14ac:dyDescent="0.25">
      <c r="B31" s="86" t="s">
        <v>96</v>
      </c>
      <c r="C31" s="86"/>
      <c r="D31" s="13">
        <f>D10-D12</f>
        <v>13</v>
      </c>
      <c r="E31" s="13">
        <f>E10-E12</f>
        <v>13</v>
      </c>
      <c r="F31" s="13">
        <f>F10-F12</f>
        <v>15</v>
      </c>
      <c r="G31" s="13">
        <f>'Table 15.8'!G31</f>
        <v>11</v>
      </c>
      <c r="H31" s="13">
        <f t="shared" ref="H31:M31" si="12">H10-H12</f>
        <v>7</v>
      </c>
      <c r="I31" s="13">
        <f t="shared" si="12"/>
        <v>2</v>
      </c>
      <c r="J31" s="13">
        <f t="shared" si="12"/>
        <v>-14</v>
      </c>
      <c r="K31" s="13">
        <f t="shared" si="12"/>
        <v>-16</v>
      </c>
      <c r="L31" s="13">
        <f t="shared" si="12"/>
        <v>-16</v>
      </c>
      <c r="M31" s="13">
        <f t="shared" si="12"/>
        <v>-20</v>
      </c>
    </row>
    <row r="32" spans="2:13" x14ac:dyDescent="0.25">
      <c r="B32" s="90" t="s">
        <v>97</v>
      </c>
      <c r="C32" s="92"/>
      <c r="D32" s="93">
        <f>NPV($D$28,$D$31:M31)</f>
        <v>9.7857646155617051</v>
      </c>
      <c r="E32" s="93"/>
      <c r="F32" s="93"/>
      <c r="G32" s="93"/>
      <c r="H32" s="93"/>
      <c r="I32" s="93"/>
      <c r="J32" s="93"/>
      <c r="K32" s="93"/>
      <c r="L32" s="93"/>
      <c r="M32" s="93"/>
    </row>
    <row r="33" spans="2:13" x14ac:dyDescent="0.25">
      <c r="B33" s="90" t="s">
        <v>98</v>
      </c>
      <c r="C33" s="92"/>
      <c r="D33" s="96">
        <f>D32/D30</f>
        <v>1.0100961872607292E-4</v>
      </c>
      <c r="E33" s="96"/>
      <c r="F33" s="86"/>
      <c r="G33" s="86"/>
      <c r="H33" s="86"/>
      <c r="I33" s="86"/>
      <c r="J33" s="86"/>
      <c r="K33" s="86"/>
      <c r="L33" s="86"/>
      <c r="M33" s="86"/>
    </row>
  </sheetData>
  <mergeCells count="11">
    <mergeCell ref="B17:M17"/>
    <mergeCell ref="B3:C3"/>
    <mergeCell ref="B4:M4"/>
    <mergeCell ref="B8:M8"/>
    <mergeCell ref="B9:M9"/>
    <mergeCell ref="B15:M15"/>
    <mergeCell ref="B19:M19"/>
    <mergeCell ref="B27:M27"/>
    <mergeCell ref="B32:C32"/>
    <mergeCell ref="B33:C33"/>
    <mergeCell ref="D33:E33"/>
  </mergeCells>
  <pageMargins left="0.7" right="0.7" top="0.75" bottom="0.75" header="0.3" footer="0.3"/>
  <pageSetup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E320-CD96-4A26-82F4-155C1706409D}">
  <dimension ref="B1:O33"/>
  <sheetViews>
    <sheetView workbookViewId="0">
      <selection activeCell="B2" sqref="B2"/>
    </sheetView>
  </sheetViews>
  <sheetFormatPr defaultColWidth="8.85546875" defaultRowHeight="15" x14ac:dyDescent="0.25"/>
  <cols>
    <col min="2" max="2" width="7.140625" customWidth="1"/>
    <col min="3" max="3" width="10.28515625" customWidth="1"/>
    <col min="4" max="13" width="7.140625" customWidth="1"/>
  </cols>
  <sheetData>
    <row r="1" spans="2:15" x14ac:dyDescent="0.25">
      <c r="B1" s="33" t="s">
        <v>117</v>
      </c>
    </row>
    <row r="3" spans="2:15" x14ac:dyDescent="0.25">
      <c r="B3" s="82" t="s">
        <v>23</v>
      </c>
      <c r="C3" s="82"/>
      <c r="D3" s="58">
        <v>1</v>
      </c>
      <c r="E3" s="58">
        <v>2</v>
      </c>
      <c r="F3" s="58">
        <v>3</v>
      </c>
      <c r="G3" s="58">
        <v>4</v>
      </c>
      <c r="H3" s="58">
        <v>5</v>
      </c>
      <c r="I3" s="58">
        <v>6</v>
      </c>
      <c r="J3" s="58">
        <v>7</v>
      </c>
      <c r="K3" s="58">
        <v>8</v>
      </c>
      <c r="L3" s="58">
        <v>9</v>
      </c>
      <c r="M3" s="58">
        <v>10</v>
      </c>
    </row>
    <row r="4" spans="2:15" x14ac:dyDescent="0.25">
      <c r="B4" s="83" t="s">
        <v>74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O4" t="s">
        <v>99</v>
      </c>
    </row>
    <row r="5" spans="2:15" x14ac:dyDescent="0.25">
      <c r="B5" s="58" t="s">
        <v>75</v>
      </c>
      <c r="C5" s="58"/>
      <c r="D5" s="63">
        <v>150</v>
      </c>
      <c r="E5" s="63">
        <v>144</v>
      </c>
      <c r="F5" s="63">
        <v>140</v>
      </c>
      <c r="G5" s="63">
        <v>135</v>
      </c>
      <c r="H5" s="63">
        <v>130</v>
      </c>
      <c r="I5" s="63">
        <v>126</v>
      </c>
      <c r="J5" s="63">
        <v>121</v>
      </c>
      <c r="K5" s="63">
        <v>116</v>
      </c>
      <c r="L5" s="63">
        <v>109</v>
      </c>
      <c r="M5" s="63">
        <v>101</v>
      </c>
      <c r="O5" t="s">
        <v>106</v>
      </c>
    </row>
    <row r="6" spans="2:15" x14ac:dyDescent="0.25">
      <c r="B6" s="58" t="s">
        <v>76</v>
      </c>
      <c r="C6" s="58"/>
      <c r="D6" s="63">
        <v>10</v>
      </c>
      <c r="E6" s="63">
        <v>20</v>
      </c>
      <c r="F6" s="63">
        <v>25</v>
      </c>
      <c r="G6" s="63">
        <v>27</v>
      </c>
      <c r="H6" s="63">
        <v>29</v>
      </c>
      <c r="I6" s="63">
        <v>31</v>
      </c>
      <c r="J6" s="63">
        <v>32</v>
      </c>
      <c r="K6" s="63">
        <v>29</v>
      </c>
      <c r="L6" s="63">
        <v>26</v>
      </c>
      <c r="M6" s="63">
        <v>21</v>
      </c>
      <c r="O6" t="s">
        <v>107</v>
      </c>
    </row>
    <row r="7" spans="2:15" x14ac:dyDescent="0.25">
      <c r="B7" s="58" t="s">
        <v>77</v>
      </c>
      <c r="C7" s="58"/>
      <c r="D7" s="63">
        <f>D5+D6</f>
        <v>160</v>
      </c>
      <c r="E7" s="63">
        <f t="shared" ref="E7:M7" si="0">E5+E6</f>
        <v>164</v>
      </c>
      <c r="F7" s="63">
        <f t="shared" si="0"/>
        <v>165</v>
      </c>
      <c r="G7" s="63">
        <f t="shared" si="0"/>
        <v>162</v>
      </c>
      <c r="H7" s="63">
        <f t="shared" si="0"/>
        <v>159</v>
      </c>
      <c r="I7" s="63">
        <f t="shared" si="0"/>
        <v>157</v>
      </c>
      <c r="J7" s="63">
        <f t="shared" si="0"/>
        <v>153</v>
      </c>
      <c r="K7" s="63">
        <f t="shared" si="0"/>
        <v>145</v>
      </c>
      <c r="L7" s="63">
        <f t="shared" si="0"/>
        <v>135</v>
      </c>
      <c r="M7" s="63">
        <f t="shared" si="0"/>
        <v>122</v>
      </c>
      <c r="O7" t="s">
        <v>103</v>
      </c>
    </row>
    <row r="8" spans="2:15" x14ac:dyDescent="0.25"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2:15" x14ac:dyDescent="0.25">
      <c r="B9" s="83" t="s">
        <v>78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</row>
    <row r="10" spans="2:15" x14ac:dyDescent="0.25">
      <c r="B10" s="58" t="s">
        <v>79</v>
      </c>
      <c r="C10" s="58"/>
      <c r="D10" s="63">
        <v>140</v>
      </c>
      <c r="E10" s="63">
        <v>135</v>
      </c>
      <c r="F10" s="63">
        <v>134</v>
      </c>
      <c r="G10" s="63">
        <v>126</v>
      </c>
      <c r="H10" s="63">
        <v>112</v>
      </c>
      <c r="I10" s="63">
        <v>104</v>
      </c>
      <c r="J10" s="63">
        <v>96</v>
      </c>
      <c r="K10" s="63">
        <v>88</v>
      </c>
      <c r="L10" s="63">
        <v>83</v>
      </c>
      <c r="M10" s="63">
        <v>73</v>
      </c>
    </row>
    <row r="11" spans="2:15" x14ac:dyDescent="0.25">
      <c r="B11" s="58" t="s">
        <v>80</v>
      </c>
      <c r="C11" s="58"/>
      <c r="D11" s="63">
        <v>127</v>
      </c>
      <c r="E11" s="63">
        <v>122</v>
      </c>
      <c r="F11" s="63">
        <v>119</v>
      </c>
      <c r="G11" s="63">
        <v>600</v>
      </c>
      <c r="H11" s="63">
        <v>105</v>
      </c>
      <c r="I11" s="63">
        <v>102</v>
      </c>
      <c r="J11" s="63">
        <v>110</v>
      </c>
      <c r="K11" s="63">
        <v>104</v>
      </c>
      <c r="L11" s="63">
        <v>99</v>
      </c>
      <c r="M11" s="63">
        <v>93</v>
      </c>
    </row>
    <row r="12" spans="2:15" x14ac:dyDescent="0.25">
      <c r="B12" s="58" t="s">
        <v>81</v>
      </c>
      <c r="C12" s="58"/>
      <c r="D12" s="63">
        <f>D11</f>
        <v>127</v>
      </c>
      <c r="E12" s="63">
        <f t="shared" ref="E12:M12" si="1">E11</f>
        <v>122</v>
      </c>
      <c r="F12" s="63">
        <f t="shared" si="1"/>
        <v>119</v>
      </c>
      <c r="G12" s="63">
        <f t="shared" si="1"/>
        <v>600</v>
      </c>
      <c r="H12" s="63">
        <f t="shared" si="1"/>
        <v>105</v>
      </c>
      <c r="I12" s="63">
        <f t="shared" si="1"/>
        <v>102</v>
      </c>
      <c r="J12" s="63">
        <f t="shared" si="1"/>
        <v>110</v>
      </c>
      <c r="K12" s="63">
        <f t="shared" si="1"/>
        <v>104</v>
      </c>
      <c r="L12" s="63">
        <f t="shared" si="1"/>
        <v>99</v>
      </c>
      <c r="M12" s="63">
        <f t="shared" si="1"/>
        <v>93</v>
      </c>
    </row>
    <row r="13" spans="2:15" x14ac:dyDescent="0.25">
      <c r="B13" s="58" t="s">
        <v>82</v>
      </c>
      <c r="C13" s="58"/>
      <c r="D13" s="63">
        <v>8</v>
      </c>
      <c r="E13" s="63">
        <v>16</v>
      </c>
      <c r="F13" s="63">
        <v>20</v>
      </c>
      <c r="G13" s="63">
        <v>22</v>
      </c>
      <c r="H13" s="63">
        <v>22</v>
      </c>
      <c r="I13" s="63">
        <v>24</v>
      </c>
      <c r="J13" s="63">
        <v>24</v>
      </c>
      <c r="K13" s="63">
        <v>21</v>
      </c>
      <c r="L13" s="63">
        <v>17</v>
      </c>
      <c r="M13" s="63">
        <v>14</v>
      </c>
    </row>
    <row r="14" spans="2:15" x14ac:dyDescent="0.25">
      <c r="B14" s="58" t="s">
        <v>83</v>
      </c>
      <c r="C14" s="58"/>
      <c r="D14" s="63">
        <f>D10+D11-D12+D13</f>
        <v>148</v>
      </c>
      <c r="E14" s="63">
        <f t="shared" ref="E14:M14" si="2">E10+E11-E12+E13</f>
        <v>151</v>
      </c>
      <c r="F14" s="63">
        <f t="shared" si="2"/>
        <v>154</v>
      </c>
      <c r="G14" s="63">
        <f t="shared" si="2"/>
        <v>148</v>
      </c>
      <c r="H14" s="63">
        <f t="shared" si="2"/>
        <v>134</v>
      </c>
      <c r="I14" s="63">
        <f t="shared" si="2"/>
        <v>128</v>
      </c>
      <c r="J14" s="63">
        <f t="shared" si="2"/>
        <v>120</v>
      </c>
      <c r="K14" s="63">
        <f t="shared" si="2"/>
        <v>109</v>
      </c>
      <c r="L14" s="63">
        <f t="shared" si="2"/>
        <v>100</v>
      </c>
      <c r="M14" s="63">
        <f t="shared" si="2"/>
        <v>87</v>
      </c>
    </row>
    <row r="15" spans="2:15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2:15" x14ac:dyDescent="0.25">
      <c r="B16" s="58" t="s">
        <v>84</v>
      </c>
      <c r="C16" s="58"/>
      <c r="D16" s="64">
        <f>D26</f>
        <v>6.6522682158407767</v>
      </c>
      <c r="E16" s="64">
        <f>E26-D26</f>
        <v>7.2599500039463694</v>
      </c>
      <c r="F16" s="64">
        <f t="shared" ref="F16:M16" si="3">F26-E26</f>
        <v>9.8133794576684821</v>
      </c>
      <c r="G16" s="64">
        <f t="shared" si="3"/>
        <v>7.4707249777859879</v>
      </c>
      <c r="H16" s="64">
        <f t="shared" si="3"/>
        <v>3.5405516057520856</v>
      </c>
      <c r="I16" s="64">
        <f t="shared" si="3"/>
        <v>-1.0927452345161797</v>
      </c>
      <c r="J16" s="64">
        <f t="shared" si="3"/>
        <v>-4.9008737952810471</v>
      </c>
      <c r="K16" s="64">
        <f t="shared" si="3"/>
        <v>-7.4311586389426374</v>
      </c>
      <c r="L16" s="64">
        <f t="shared" si="3"/>
        <v>-8.1821717733411639</v>
      </c>
      <c r="M16" s="64">
        <f t="shared" si="3"/>
        <v>-13.129924818912695</v>
      </c>
    </row>
    <row r="17" spans="2:13" x14ac:dyDescent="0.25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2:13" x14ac:dyDescent="0.25">
      <c r="B18" s="58" t="s">
        <v>85</v>
      </c>
      <c r="C18" s="58"/>
      <c r="D18" s="64">
        <f>D7-D14+D16</f>
        <v>18.652268215840778</v>
      </c>
      <c r="E18" s="64">
        <f t="shared" ref="E18:M18" si="4">E7-E14+E16</f>
        <v>20.259950003946368</v>
      </c>
      <c r="F18" s="64">
        <f t="shared" si="4"/>
        <v>20.813379457668482</v>
      </c>
      <c r="G18" s="64">
        <f t="shared" si="4"/>
        <v>21.470724977785988</v>
      </c>
      <c r="H18" s="64">
        <f t="shared" si="4"/>
        <v>28.540551605752086</v>
      </c>
      <c r="I18" s="64">
        <f t="shared" si="4"/>
        <v>27.90725476548382</v>
      </c>
      <c r="J18" s="64">
        <f t="shared" si="4"/>
        <v>28.099126204718953</v>
      </c>
      <c r="K18" s="64">
        <f t="shared" si="4"/>
        <v>28.568841361057363</v>
      </c>
      <c r="L18" s="64">
        <f t="shared" si="4"/>
        <v>26.817828226658836</v>
      </c>
      <c r="M18" s="64">
        <f t="shared" si="4"/>
        <v>21.870075181087305</v>
      </c>
    </row>
    <row r="19" spans="2:13" x14ac:dyDescent="0.25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2:13" x14ac:dyDescent="0.25">
      <c r="B20" s="58" t="s">
        <v>86</v>
      </c>
      <c r="C20" s="58"/>
      <c r="D20" s="64">
        <v>0</v>
      </c>
      <c r="E20" s="64">
        <f>D25</f>
        <v>22.746280884881848</v>
      </c>
      <c r="F20" s="64">
        <f>E25</f>
        <v>46.207536975662919</v>
      </c>
      <c r="G20" s="64">
        <f>F25</f>
        <v>72.549467444436587</v>
      </c>
      <c r="H20" s="64">
        <f>G25</f>
        <v>95.851130804203251</v>
      </c>
      <c r="I20" s="64">
        <f>H25</f>
        <v>115.63888643031149</v>
      </c>
      <c r="J20" s="70">
        <f>I26</f>
        <v>33.644129026477522</v>
      </c>
      <c r="K20" s="64">
        <f>J25</f>
        <v>28.743255231196475</v>
      </c>
      <c r="L20" s="64">
        <f>K25</f>
        <v>21.312096592253837</v>
      </c>
      <c r="M20" s="64">
        <f>L25</f>
        <v>13.129924818912674</v>
      </c>
    </row>
    <row r="21" spans="2:13" s="65" customFormat="1" x14ac:dyDescent="0.25">
      <c r="B21" s="64" t="s">
        <v>104</v>
      </c>
      <c r="C21" s="64"/>
      <c r="D21" s="63">
        <f t="shared" ref="D21:M21" si="5">D10</f>
        <v>140</v>
      </c>
      <c r="E21" s="63">
        <f t="shared" si="5"/>
        <v>135</v>
      </c>
      <c r="F21" s="63">
        <f t="shared" si="5"/>
        <v>134</v>
      </c>
      <c r="G21" s="63">
        <f t="shared" si="5"/>
        <v>126</v>
      </c>
      <c r="H21" s="63">
        <f t="shared" si="5"/>
        <v>112</v>
      </c>
      <c r="I21" s="63">
        <f t="shared" si="5"/>
        <v>104</v>
      </c>
      <c r="J21" s="63">
        <f t="shared" si="5"/>
        <v>96</v>
      </c>
      <c r="K21" s="63">
        <f t="shared" si="5"/>
        <v>88</v>
      </c>
      <c r="L21" s="63">
        <f t="shared" si="5"/>
        <v>83</v>
      </c>
      <c r="M21" s="63">
        <f t="shared" si="5"/>
        <v>73</v>
      </c>
    </row>
    <row r="22" spans="2:13" s="65" customFormat="1" x14ac:dyDescent="0.25">
      <c r="B22" s="64" t="s">
        <v>105</v>
      </c>
      <c r="C22" s="64"/>
      <c r="D22" s="63">
        <f>D12</f>
        <v>127</v>
      </c>
      <c r="E22" s="63">
        <f>E12</f>
        <v>122</v>
      </c>
      <c r="F22" s="63">
        <f>F12</f>
        <v>119</v>
      </c>
      <c r="G22" s="63">
        <f>'Table 15.8'!G22</f>
        <v>115</v>
      </c>
      <c r="H22" s="63">
        <f t="shared" ref="H22:M22" si="6">H12</f>
        <v>105</v>
      </c>
      <c r="I22" s="63">
        <f t="shared" si="6"/>
        <v>102</v>
      </c>
      <c r="J22" s="63">
        <f t="shared" si="6"/>
        <v>110</v>
      </c>
      <c r="K22" s="63">
        <f t="shared" si="6"/>
        <v>104</v>
      </c>
      <c r="L22" s="63">
        <f t="shared" si="6"/>
        <v>99</v>
      </c>
      <c r="M22" s="63">
        <f t="shared" si="6"/>
        <v>93</v>
      </c>
    </row>
    <row r="23" spans="2:13" s="65" customFormat="1" x14ac:dyDescent="0.25">
      <c r="B23" s="64" t="s">
        <v>89</v>
      </c>
      <c r="C23" s="64"/>
      <c r="D23" s="64">
        <f t="shared" ref="D23:M23" si="7">D29*$D$33</f>
        <v>-9.7462808848818483</v>
      </c>
      <c r="E23" s="64">
        <f t="shared" si="7"/>
        <v>-9.3239420465369687</v>
      </c>
      <c r="F23" s="64">
        <f t="shared" si="7"/>
        <v>-9.0315536199905129</v>
      </c>
      <c r="G23" s="64">
        <f t="shared" si="7"/>
        <v>-8.6741899875448443</v>
      </c>
      <c r="H23" s="64">
        <f t="shared" si="7"/>
        <v>-7.9951990858980766</v>
      </c>
      <c r="I23" s="64">
        <f t="shared" si="7"/>
        <v>-7.6930643784667385</v>
      </c>
      <c r="J23" s="64">
        <f t="shared" si="7"/>
        <v>-7.4169197533950868</v>
      </c>
      <c r="K23" s="64">
        <f t="shared" si="7"/>
        <v>-7.1316785994975449</v>
      </c>
      <c r="L23" s="64">
        <f t="shared" si="7"/>
        <v>-6.7522233970461443</v>
      </c>
      <c r="M23" s="64">
        <f t="shared" si="7"/>
        <v>-6.2135789401416748</v>
      </c>
    </row>
    <row r="24" spans="2:13" s="65" customFormat="1" x14ac:dyDescent="0.25">
      <c r="B24" s="64" t="s">
        <v>90</v>
      </c>
      <c r="C24" s="64"/>
      <c r="D24" s="64">
        <f t="shared" ref="D24:M24" si="8">D20*$D$28</f>
        <v>0</v>
      </c>
      <c r="E24" s="64">
        <f t="shared" si="8"/>
        <v>1.1373140442440925</v>
      </c>
      <c r="F24" s="64">
        <f t="shared" si="8"/>
        <v>2.3103768487831462</v>
      </c>
      <c r="G24" s="64">
        <f t="shared" si="8"/>
        <v>3.6274733722218295</v>
      </c>
      <c r="H24" s="64">
        <f t="shared" si="8"/>
        <v>4.7925565402101631</v>
      </c>
      <c r="I24" s="64">
        <f t="shared" si="8"/>
        <v>5.7819443215155744</v>
      </c>
      <c r="J24" s="64">
        <f t="shared" si="8"/>
        <v>1.6822064513238761</v>
      </c>
      <c r="K24" s="64">
        <f t="shared" si="8"/>
        <v>1.4371627615598239</v>
      </c>
      <c r="L24" s="64">
        <f t="shared" si="8"/>
        <v>1.0656048296126919</v>
      </c>
      <c r="M24" s="64">
        <f t="shared" si="8"/>
        <v>0.65649624094563375</v>
      </c>
    </row>
    <row r="25" spans="2:13" s="65" customFormat="1" x14ac:dyDescent="0.25">
      <c r="B25" s="64" t="s">
        <v>91</v>
      </c>
      <c r="C25" s="64"/>
      <c r="D25" s="64">
        <f t="shared" ref="D25:M25" si="9">D20+D21-D22-D23+D24</f>
        <v>22.746280884881848</v>
      </c>
      <c r="E25" s="64">
        <f t="shared" si="9"/>
        <v>46.207536975662919</v>
      </c>
      <c r="F25" s="64">
        <f t="shared" si="9"/>
        <v>72.549467444436587</v>
      </c>
      <c r="G25" s="64">
        <f t="shared" si="9"/>
        <v>95.851130804203251</v>
      </c>
      <c r="H25" s="64">
        <f t="shared" si="9"/>
        <v>115.63888643031149</v>
      </c>
      <c r="I25" s="64">
        <f t="shared" si="9"/>
        <v>131.1138951302938</v>
      </c>
      <c r="J25" s="64">
        <f t="shared" si="9"/>
        <v>28.743255231196475</v>
      </c>
      <c r="K25" s="64">
        <f t="shared" si="9"/>
        <v>21.312096592253837</v>
      </c>
      <c r="L25" s="64">
        <f t="shared" si="9"/>
        <v>13.129924818912674</v>
      </c>
      <c r="M25" s="64">
        <f t="shared" si="9"/>
        <v>-2.1427304375265521E-14</v>
      </c>
    </row>
    <row r="26" spans="2:13" x14ac:dyDescent="0.25">
      <c r="B26" s="64" t="s">
        <v>92</v>
      </c>
      <c r="C26" s="58"/>
      <c r="D26" s="64">
        <f>'Table 15.8'!D26</f>
        <v>6.6522682158407767</v>
      </c>
      <c r="E26" s="64">
        <f>'Table 15.8'!E26</f>
        <v>13.912218219787146</v>
      </c>
      <c r="F26" s="64">
        <f>'Table 15.8'!F26</f>
        <v>23.725597677455628</v>
      </c>
      <c r="G26" s="64">
        <f>'Table 15.10'!G26</f>
        <v>31.196322655241616</v>
      </c>
      <c r="H26" s="64">
        <f>'Table 15.10'!H26</f>
        <v>34.736874260993702</v>
      </c>
      <c r="I26" s="64">
        <f>'Table 15.10'!I25</f>
        <v>33.644129026477522</v>
      </c>
      <c r="J26" s="64">
        <f t="shared" ref="J26:M26" si="10">J25</f>
        <v>28.743255231196475</v>
      </c>
      <c r="K26" s="64">
        <f t="shared" si="10"/>
        <v>21.312096592253837</v>
      </c>
      <c r="L26" s="64">
        <f t="shared" si="10"/>
        <v>13.129924818912674</v>
      </c>
      <c r="M26" s="64">
        <f t="shared" si="10"/>
        <v>-2.1427304375265521E-14</v>
      </c>
    </row>
    <row r="27" spans="2:13" x14ac:dyDescent="0.25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2:13" hidden="1" x14ac:dyDescent="0.25">
      <c r="B28" s="58" t="s">
        <v>93</v>
      </c>
      <c r="C28" s="58"/>
      <c r="D28" s="66">
        <v>0.05</v>
      </c>
      <c r="E28" s="58"/>
      <c r="F28" s="58"/>
      <c r="G28" s="58"/>
      <c r="H28" s="58"/>
      <c r="I28" s="58"/>
      <c r="J28" s="58"/>
      <c r="K28" s="58"/>
      <c r="L28" s="58"/>
      <c r="M28" s="58"/>
    </row>
    <row r="29" spans="2:13" x14ac:dyDescent="0.25">
      <c r="B29" s="58" t="s">
        <v>94</v>
      </c>
      <c r="C29" s="58"/>
      <c r="D29" s="63">
        <v>15000</v>
      </c>
      <c r="E29" s="63">
        <v>14350</v>
      </c>
      <c r="F29" s="63">
        <v>13900</v>
      </c>
      <c r="G29" s="63">
        <v>13350</v>
      </c>
      <c r="H29" s="63">
        <v>12305</v>
      </c>
      <c r="I29" s="63">
        <v>11840</v>
      </c>
      <c r="J29" s="63">
        <v>11415</v>
      </c>
      <c r="K29" s="63">
        <v>10976</v>
      </c>
      <c r="L29" s="63">
        <v>10392</v>
      </c>
      <c r="M29" s="63">
        <v>9563</v>
      </c>
    </row>
    <row r="30" spans="2:13" x14ac:dyDescent="0.25">
      <c r="B30" s="58" t="s">
        <v>95</v>
      </c>
      <c r="C30" s="58"/>
      <c r="D30" s="63">
        <f>NPV($D$28,$J$29:M29)</f>
        <v>37671.48821735799</v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2:13" hidden="1" x14ac:dyDescent="0.25">
      <c r="B31" s="58" t="s">
        <v>96</v>
      </c>
      <c r="C31" s="58"/>
      <c r="D31" s="63">
        <f>D10-D12</f>
        <v>13</v>
      </c>
      <c r="E31" s="63">
        <f>E10-E12</f>
        <v>13</v>
      </c>
      <c r="F31" s="63">
        <f>F10-F12</f>
        <v>15</v>
      </c>
      <c r="G31" s="63">
        <f>'Table 15.8'!G31</f>
        <v>11</v>
      </c>
      <c r="H31" s="63">
        <f t="shared" ref="H31:M31" si="11">H10-H12</f>
        <v>7</v>
      </c>
      <c r="I31" s="63">
        <f t="shared" si="11"/>
        <v>2</v>
      </c>
      <c r="J31" s="63">
        <f t="shared" si="11"/>
        <v>-14</v>
      </c>
      <c r="K31" s="63">
        <f t="shared" si="11"/>
        <v>-16</v>
      </c>
      <c r="L31" s="63">
        <f t="shared" si="11"/>
        <v>-16</v>
      </c>
      <c r="M31" s="63">
        <f t="shared" si="11"/>
        <v>-20</v>
      </c>
    </row>
    <row r="32" spans="2:13" x14ac:dyDescent="0.25">
      <c r="B32" s="78" t="s">
        <v>97</v>
      </c>
      <c r="C32" s="78"/>
      <c r="D32" s="70">
        <f>NPV($D$28,$J$31:M31)+I26</f>
        <v>-24.477127034525864</v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2:13" x14ac:dyDescent="0.25">
      <c r="B33" s="78" t="s">
        <v>98</v>
      </c>
      <c r="C33" s="78"/>
      <c r="D33" s="78">
        <f>D32/D30</f>
        <v>-6.4975205899212322E-4</v>
      </c>
      <c r="E33" s="78"/>
      <c r="F33" s="58"/>
      <c r="G33" s="58"/>
      <c r="H33" s="58"/>
      <c r="I33" s="58"/>
      <c r="J33" s="58"/>
      <c r="K33" s="58"/>
      <c r="L33" s="58"/>
      <c r="M33" s="58"/>
    </row>
  </sheetData>
  <mergeCells count="11">
    <mergeCell ref="B17:M17"/>
    <mergeCell ref="B3:C3"/>
    <mergeCell ref="B4:M4"/>
    <mergeCell ref="B8:M8"/>
    <mergeCell ref="B9:M9"/>
    <mergeCell ref="B15:M15"/>
    <mergeCell ref="B19:M19"/>
    <mergeCell ref="B27:M27"/>
    <mergeCell ref="B32:C32"/>
    <mergeCell ref="B33:C33"/>
    <mergeCell ref="D33:E33"/>
  </mergeCells>
  <pageMargins left="0.7" right="0.7" top="0.75" bottom="0.75" header="0.3" footer="0.3"/>
  <pageSetup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ACD0-546A-45FC-831B-0256375F07A3}">
  <dimension ref="B4:J58"/>
  <sheetViews>
    <sheetView workbookViewId="0">
      <selection activeCell="B4" sqref="B4"/>
    </sheetView>
  </sheetViews>
  <sheetFormatPr defaultColWidth="9.140625" defaultRowHeight="12.75" x14ac:dyDescent="0.2"/>
  <cols>
    <col min="1" max="1" width="9.140625" style="33"/>
    <col min="2" max="2" width="5.140625" style="45" customWidth="1"/>
    <col min="3" max="3" width="11.140625" style="45" bestFit="1" customWidth="1"/>
    <col min="4" max="4" width="10.140625" style="33" customWidth="1"/>
    <col min="5" max="6" width="9.140625" style="33"/>
    <col min="7" max="7" width="11.28515625" style="33" customWidth="1"/>
    <col min="8" max="9" width="11.42578125" style="33" customWidth="1"/>
    <col min="10" max="16384" width="9.140625" style="33"/>
  </cols>
  <sheetData>
    <row r="4" spans="2:10" x14ac:dyDescent="0.2">
      <c r="B4" s="50" t="s">
        <v>116</v>
      </c>
    </row>
    <row r="5" spans="2:10" ht="38.25" x14ac:dyDescent="0.2">
      <c r="B5" s="45" t="s">
        <v>23</v>
      </c>
      <c r="C5" s="47" t="s">
        <v>52</v>
      </c>
      <c r="D5" s="47" t="s">
        <v>50</v>
      </c>
      <c r="E5" s="46" t="s">
        <v>51</v>
      </c>
      <c r="F5" s="49" t="s">
        <v>53</v>
      </c>
      <c r="G5" s="48" t="s">
        <v>54</v>
      </c>
      <c r="H5" s="47" t="s">
        <v>55</v>
      </c>
      <c r="I5" s="49" t="s">
        <v>56</v>
      </c>
      <c r="J5" s="49" t="s">
        <v>57</v>
      </c>
    </row>
    <row r="6" spans="2:10" x14ac:dyDescent="0.2">
      <c r="B6" s="45">
        <v>0</v>
      </c>
      <c r="C6" s="40"/>
      <c r="D6" s="43">
        <v>1000000</v>
      </c>
      <c r="E6" s="40"/>
      <c r="F6" s="40"/>
      <c r="G6" s="40"/>
      <c r="H6" s="40"/>
      <c r="I6" s="40"/>
      <c r="J6" s="40"/>
    </row>
    <row r="7" spans="2:10" x14ac:dyDescent="0.2">
      <c r="B7" s="40">
        <v>1</v>
      </c>
      <c r="C7" s="40">
        <v>0.9</v>
      </c>
      <c r="D7" s="44">
        <f>D6*C7</f>
        <v>900000</v>
      </c>
      <c r="E7" s="42">
        <v>3.2300000000000002E-2</v>
      </c>
      <c r="F7" s="42">
        <v>0.03</v>
      </c>
      <c r="G7" s="41">
        <f>D6*E7</f>
        <v>32300.000000000004</v>
      </c>
      <c r="H7" s="41">
        <f>D6*F7</f>
        <v>30000</v>
      </c>
      <c r="I7" s="41">
        <f>G7-H7</f>
        <v>2300.0000000000036</v>
      </c>
      <c r="J7" s="44">
        <v>0</v>
      </c>
    </row>
    <row r="8" spans="2:10" x14ac:dyDescent="0.2">
      <c r="B8" s="40">
        <v>2</v>
      </c>
      <c r="C8" s="40">
        <v>0.6</v>
      </c>
      <c r="D8" s="44">
        <f t="shared" ref="D8:D10" si="0">D7*C8</f>
        <v>540000</v>
      </c>
      <c r="E8" s="42">
        <v>3.2300000000000002E-2</v>
      </c>
      <c r="F8" s="42">
        <v>3.2500000000000001E-2</v>
      </c>
      <c r="G8" s="41">
        <f>D7*E8</f>
        <v>29070.000000000004</v>
      </c>
      <c r="H8" s="41">
        <f t="shared" ref="H8:H10" si="1">D7*F8</f>
        <v>29250</v>
      </c>
      <c r="I8" s="41">
        <f t="shared" ref="I8:I10" si="2">G8-H8</f>
        <v>-179.99999999999636</v>
      </c>
      <c r="J8" s="44">
        <f>(J9+I8)/(1+F8)</f>
        <v>-2298.4892512464812</v>
      </c>
    </row>
    <row r="9" spans="2:10" x14ac:dyDescent="0.2">
      <c r="B9" s="40">
        <v>3</v>
      </c>
      <c r="C9" s="40">
        <v>0.3</v>
      </c>
      <c r="D9" s="44">
        <f t="shared" si="0"/>
        <v>162000</v>
      </c>
      <c r="E9" s="42">
        <v>3.2300000000000002E-2</v>
      </c>
      <c r="F9" s="42">
        <v>3.5000000000000003E-2</v>
      </c>
      <c r="G9" s="41">
        <f>D8*E9</f>
        <v>17442</v>
      </c>
      <c r="H9" s="41">
        <f t="shared" si="1"/>
        <v>18900</v>
      </c>
      <c r="I9" s="41">
        <f t="shared" si="2"/>
        <v>-1458</v>
      </c>
      <c r="J9" s="44">
        <f>(J10+I9)/(1+F9)</f>
        <v>-2193.1901519119956</v>
      </c>
    </row>
    <row r="10" spans="2:10" x14ac:dyDescent="0.2">
      <c r="B10" s="40">
        <v>4</v>
      </c>
      <c r="C10" s="40">
        <v>0</v>
      </c>
      <c r="D10" s="44">
        <f t="shared" si="0"/>
        <v>0</v>
      </c>
      <c r="E10" s="42">
        <v>3.2300000000000002E-2</v>
      </c>
      <c r="F10" s="42">
        <v>3.7499999999999999E-2</v>
      </c>
      <c r="G10" s="41">
        <f>D9*E10</f>
        <v>5232.6000000000004</v>
      </c>
      <c r="H10" s="41">
        <f t="shared" si="1"/>
        <v>6075</v>
      </c>
      <c r="I10" s="41">
        <f t="shared" si="2"/>
        <v>-842.39999999999964</v>
      </c>
      <c r="J10" s="44">
        <f>(J11+I10)/(1+F10)</f>
        <v>-811.95180722891519</v>
      </c>
    </row>
    <row r="13" spans="2:10" x14ac:dyDescent="0.2">
      <c r="B13" s="50"/>
    </row>
    <row r="14" spans="2:10" x14ac:dyDescent="0.2">
      <c r="C14" s="47"/>
      <c r="D14" s="47"/>
      <c r="E14" s="49"/>
      <c r="F14" s="47"/>
      <c r="G14" s="47"/>
      <c r="H14" s="47"/>
      <c r="I14" s="52"/>
      <c r="J14" s="47"/>
    </row>
    <row r="15" spans="2:10" x14ac:dyDescent="0.2">
      <c r="C15" s="51"/>
      <c r="D15" s="41"/>
      <c r="E15" s="42"/>
      <c r="F15" s="42"/>
      <c r="G15" s="41"/>
      <c r="H15" s="41"/>
      <c r="I15" s="41"/>
      <c r="J15" s="41"/>
    </row>
    <row r="16" spans="2:10" x14ac:dyDescent="0.2">
      <c r="C16" s="51"/>
      <c r="D16" s="41"/>
      <c r="E16" s="42"/>
      <c r="F16" s="42"/>
      <c r="G16" s="41"/>
      <c r="H16" s="41"/>
      <c r="I16" s="41"/>
      <c r="J16" s="41"/>
    </row>
    <row r="17" spans="2:10" x14ac:dyDescent="0.2">
      <c r="C17" s="51"/>
      <c r="D17" s="41"/>
      <c r="E17" s="42"/>
      <c r="F17" s="42"/>
      <c r="G17" s="41"/>
      <c r="H17" s="41"/>
      <c r="I17" s="41"/>
      <c r="J17" s="41"/>
    </row>
    <row r="18" spans="2:10" x14ac:dyDescent="0.2">
      <c r="C18" s="51"/>
      <c r="D18" s="41"/>
      <c r="E18" s="42"/>
      <c r="F18" s="42"/>
      <c r="G18" s="41"/>
      <c r="H18" s="41"/>
      <c r="I18" s="41"/>
      <c r="J18" s="41"/>
    </row>
    <row r="21" spans="2:10" x14ac:dyDescent="0.2">
      <c r="B21" s="50"/>
    </row>
    <row r="22" spans="2:10" x14ac:dyDescent="0.2">
      <c r="C22" s="47"/>
      <c r="D22" s="47"/>
      <c r="E22" s="49"/>
      <c r="F22" s="47"/>
      <c r="G22" s="47"/>
      <c r="H22" s="47"/>
      <c r="I22" s="52"/>
      <c r="J22" s="47"/>
    </row>
    <row r="23" spans="2:10" x14ac:dyDescent="0.2">
      <c r="C23" s="51"/>
      <c r="D23" s="41"/>
      <c r="E23" s="42"/>
      <c r="F23" s="42"/>
      <c r="G23" s="41"/>
      <c r="H23" s="41"/>
      <c r="I23" s="41"/>
      <c r="J23" s="41"/>
    </row>
    <row r="24" spans="2:10" x14ac:dyDescent="0.2">
      <c r="C24" s="51"/>
      <c r="D24" s="41"/>
      <c r="E24" s="42"/>
      <c r="F24" s="42"/>
      <c r="G24" s="41"/>
      <c r="H24" s="41"/>
      <c r="I24" s="41"/>
      <c r="J24" s="41"/>
    </row>
    <row r="25" spans="2:10" x14ac:dyDescent="0.2">
      <c r="C25" s="51"/>
      <c r="D25" s="41"/>
      <c r="E25" s="42"/>
      <c r="F25" s="42"/>
      <c r="G25" s="41"/>
      <c r="H25" s="41"/>
      <c r="I25" s="41"/>
      <c r="J25" s="41"/>
    </row>
    <row r="26" spans="2:10" x14ac:dyDescent="0.2">
      <c r="C26" s="51"/>
      <c r="D26" s="41"/>
      <c r="E26" s="42"/>
      <c r="F26" s="42"/>
      <c r="G26" s="41"/>
      <c r="H26" s="41"/>
      <c r="I26" s="41"/>
      <c r="J26" s="41"/>
    </row>
    <row r="29" spans="2:10" x14ac:dyDescent="0.2">
      <c r="B29" s="50"/>
    </row>
    <row r="30" spans="2:10" x14ac:dyDescent="0.2">
      <c r="C30" s="47"/>
      <c r="D30" s="47"/>
      <c r="E30" s="49"/>
      <c r="F30" s="47"/>
      <c r="G30" s="47"/>
      <c r="H30" s="47"/>
      <c r="I30" s="47"/>
    </row>
    <row r="31" spans="2:10" x14ac:dyDescent="0.2">
      <c r="C31" s="51"/>
      <c r="D31" s="41"/>
      <c r="E31" s="42"/>
      <c r="F31" s="41"/>
      <c r="G31" s="53"/>
      <c r="H31" s="41"/>
    </row>
    <row r="32" spans="2:10" x14ac:dyDescent="0.2">
      <c r="C32" s="51"/>
      <c r="D32" s="41"/>
      <c r="E32" s="42"/>
      <c r="F32" s="41"/>
      <c r="G32" s="53"/>
      <c r="H32" s="41"/>
    </row>
    <row r="33" spans="2:10" x14ac:dyDescent="0.2">
      <c r="C33" s="51"/>
      <c r="D33" s="41"/>
      <c r="E33" s="42"/>
      <c r="F33" s="41"/>
      <c r="G33" s="53"/>
      <c r="H33" s="41"/>
    </row>
    <row r="34" spans="2:10" x14ac:dyDescent="0.2">
      <c r="C34" s="51"/>
      <c r="D34" s="41"/>
      <c r="E34" s="42"/>
      <c r="F34" s="41"/>
      <c r="G34" s="53"/>
      <c r="H34" s="41"/>
    </row>
    <row r="37" spans="2:10" x14ac:dyDescent="0.2">
      <c r="B37" s="50"/>
    </row>
    <row r="38" spans="2:10" x14ac:dyDescent="0.2">
      <c r="C38" s="47"/>
      <c r="D38" s="47"/>
      <c r="E38" s="47"/>
    </row>
    <row r="39" spans="2:10" x14ac:dyDescent="0.2">
      <c r="C39" s="54"/>
      <c r="D39" s="55"/>
      <c r="E39" s="55"/>
    </row>
    <row r="40" spans="2:10" x14ac:dyDescent="0.2">
      <c r="C40" s="54"/>
      <c r="D40" s="55"/>
      <c r="E40" s="55"/>
    </row>
    <row r="41" spans="2:10" x14ac:dyDescent="0.2">
      <c r="C41" s="54"/>
      <c r="D41" s="55"/>
      <c r="E41" s="55"/>
    </row>
    <row r="42" spans="2:10" x14ac:dyDescent="0.2">
      <c r="C42" s="54"/>
      <c r="D42" s="55"/>
      <c r="E42" s="55"/>
    </row>
    <row r="45" spans="2:10" x14ac:dyDescent="0.2">
      <c r="B45" s="50"/>
    </row>
    <row r="46" spans="2:10" ht="71.25" customHeight="1" x14ac:dyDescent="0.2">
      <c r="C46" s="47"/>
      <c r="D46" s="47"/>
      <c r="E46" s="49"/>
      <c r="F46" s="47"/>
      <c r="G46" s="47"/>
      <c r="H46" s="47"/>
      <c r="I46" s="47"/>
      <c r="J46" s="47"/>
    </row>
    <row r="47" spans="2:10" x14ac:dyDescent="0.2">
      <c r="C47" s="51"/>
      <c r="D47" s="41"/>
      <c r="E47" s="42"/>
      <c r="F47" s="42"/>
      <c r="G47" s="53"/>
      <c r="H47" s="41"/>
      <c r="I47" s="41"/>
      <c r="J47" s="41"/>
    </row>
    <row r="48" spans="2:10" x14ac:dyDescent="0.2">
      <c r="C48" s="51"/>
      <c r="D48" s="41"/>
      <c r="E48" s="42"/>
      <c r="F48" s="42"/>
      <c r="G48" s="41"/>
      <c r="H48" s="41"/>
      <c r="I48" s="41"/>
      <c r="J48" s="41"/>
    </row>
    <row r="49" spans="2:10" x14ac:dyDescent="0.2">
      <c r="C49" s="51"/>
      <c r="D49" s="41"/>
      <c r="E49" s="42"/>
      <c r="F49" s="42"/>
      <c r="G49" s="41"/>
      <c r="H49" s="41"/>
      <c r="I49" s="41"/>
      <c r="J49" s="41"/>
    </row>
    <row r="50" spans="2:10" x14ac:dyDescent="0.2">
      <c r="C50" s="51"/>
      <c r="D50" s="41"/>
      <c r="E50" s="42"/>
      <c r="F50" s="42"/>
      <c r="G50" s="41"/>
      <c r="H50" s="41"/>
      <c r="I50" s="41"/>
      <c r="J50" s="41"/>
    </row>
    <row r="53" spans="2:10" x14ac:dyDescent="0.2">
      <c r="B53" s="50"/>
    </row>
    <row r="54" spans="2:10" x14ac:dyDescent="0.2">
      <c r="C54" s="47"/>
      <c r="D54" s="47"/>
      <c r="E54" s="49"/>
      <c r="F54" s="47"/>
      <c r="G54" s="47"/>
      <c r="H54" s="47"/>
      <c r="I54" s="47"/>
      <c r="J54" s="47"/>
    </row>
    <row r="55" spans="2:10" x14ac:dyDescent="0.2">
      <c r="C55" s="51"/>
      <c r="D55" s="41"/>
      <c r="E55" s="42"/>
      <c r="F55" s="42"/>
      <c r="G55" s="53"/>
      <c r="H55" s="41"/>
      <c r="I55" s="41"/>
      <c r="J55" s="41"/>
    </row>
    <row r="56" spans="2:10" x14ac:dyDescent="0.2">
      <c r="C56" s="51"/>
      <c r="D56" s="41"/>
      <c r="E56" s="42"/>
      <c r="F56" s="42"/>
      <c r="G56" s="53"/>
      <c r="H56" s="41"/>
      <c r="I56" s="41"/>
      <c r="J56" s="41"/>
    </row>
    <row r="57" spans="2:10" x14ac:dyDescent="0.2">
      <c r="C57" s="51"/>
      <c r="D57" s="41"/>
      <c r="E57" s="42"/>
      <c r="F57" s="42"/>
      <c r="G57" s="53"/>
      <c r="H57" s="41"/>
      <c r="I57" s="41"/>
      <c r="J57" s="41"/>
    </row>
    <row r="58" spans="2:10" x14ac:dyDescent="0.2">
      <c r="C58" s="51"/>
      <c r="D58" s="41"/>
      <c r="E58" s="42"/>
      <c r="F58" s="42"/>
      <c r="G58" s="53"/>
      <c r="H58" s="41"/>
      <c r="I58" s="41"/>
      <c r="J58" s="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15.1-3</vt:lpstr>
      <vt:lpstr>support for Table 15.1</vt:lpstr>
      <vt:lpstr>Tables 15.4-7</vt:lpstr>
      <vt:lpstr>Table 15.8</vt:lpstr>
      <vt:lpstr>Table 15.9</vt:lpstr>
      <vt:lpstr>Table 15.10</vt:lpstr>
      <vt:lpstr>Table 15.11</vt:lpstr>
      <vt:lpstr>Table 15.12</vt:lpstr>
      <vt:lpstr>Table 15.13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Chokshi</dc:creator>
  <cp:lastModifiedBy>Nidhi Chokshi</cp:lastModifiedBy>
  <dcterms:created xsi:type="dcterms:W3CDTF">2022-07-11T12:19:26Z</dcterms:created>
  <dcterms:modified xsi:type="dcterms:W3CDTF">2023-11-09T20:11:46Z</dcterms:modified>
</cp:coreProperties>
</file>