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drawings/drawing1.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xl/externalLinks/externalLink3.xml" ContentType="application/vnd.openxmlformats-officedocument.spreadsheetml.externalLink+xml"/>
  <Override PartName="/docMetadata/LabelInfo.xml" ContentType="application/vnd.ms-office.classificationlabel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societyofactuaries-my.sharepoint.com/personal/mdulceak_soa_org/Documents/U_Drive/Solutions/November 2025 Solutions/ILA 201 U/"/>
    </mc:Choice>
  </mc:AlternateContent>
  <xr:revisionPtr revIDLastSave="6" documentId="8_{DF7B6541-6C08-4EF2-AED1-E9285AD75D63}" xr6:coauthVersionLast="47" xr6:coauthVersionMax="47" xr10:uidLastSave="{227D82AE-B837-418A-8D7E-E2AD08F20231}"/>
  <bookViews>
    <workbookView xWindow="-96" yWindow="0" windowWidth="11712" windowHeight="12336" firstSheet="10" activeTab="10" xr2:uid="{C2E9D43B-ACE0-4779-9866-6591C071B7A2}"/>
  </bookViews>
  <sheets>
    <sheet name="Instructions" sheetId="5" state="hidden" r:id="rId1"/>
    <sheet name="Rubric" sheetId="1" r:id="rId2"/>
    <sheet name="Model Answer Edits 1a and 1c" sheetId="7" r:id="rId3"/>
    <sheet name="Model Answer Edits 1b" sheetId="6" r:id="rId4"/>
    <sheet name="Q2 answer-bi thru cii" sheetId="8" r:id="rId5"/>
    <sheet name="Part a solution" sheetId="9" r:id="rId6"/>
    <sheet name="Part b(i) solution" sheetId="10" r:id="rId7"/>
    <sheet name="Part b(ii) solution" sheetId="11" r:id="rId8"/>
    <sheet name="Q5(a)(b)" sheetId="12" r:id="rId9"/>
    <sheet name="Q5(a)(b) Alternative Solution" sheetId="13" r:id="rId10"/>
    <sheet name="Draft Model Solution" sheetId="14" r:id="rId11"/>
    <sheet name="Lookups" sheetId="2" state="hidden" r:id="rId12"/>
  </sheets>
  <externalReferences>
    <externalReference r:id="rId13"/>
    <externalReference r:id="rId14"/>
    <externalReference r:id="rId15"/>
    <externalReference r:id="rId16"/>
    <externalReference r:id="rId17"/>
  </externalReferences>
  <definedNames>
    <definedName name="_Hlk193310991" localSheetId="8">'Q5(a)(b)'!$A$15</definedName>
    <definedName name="_Hlk193310991" localSheetId="9">'Q5(a)(b) Alternative Solution'!$A$15</definedName>
    <definedName name="_Hlk202180561" localSheetId="8">'Q5(a)(b)'!$A$22</definedName>
    <definedName name="_Hlk202180561" localSheetId="9">'Q5(a)(b) Alternative Solution'!$A$22</definedName>
    <definedName name="face" localSheetId="9">'[4]Q3(a),(b)'!$J$11</definedName>
    <definedName name="face">'[2]Q3(a),(b)'!$J$11</definedName>
    <definedName name="SourceList" localSheetId="5">[1]Lookups!$B$2:$B$41</definedName>
    <definedName name="SourceList" localSheetId="6">[1]Lookups!$B$2:$B$41</definedName>
    <definedName name="SourceList" localSheetId="7">[1]Lookups!$B$2:$B$41</definedName>
    <definedName name="SourceList">Lookups!$B$2:$B$41</definedName>
    <definedName name="v" localSheetId="9">'[5]Q3(a),(b)'!$G$10</definedName>
    <definedName name="v">'[3]Q3(a),(b)'!$G$10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4" i="14" l="1"/>
  <c r="J36" i="14"/>
  <c r="J37" i="14"/>
  <c r="K37" i="14"/>
  <c r="J38" i="14"/>
  <c r="G75" i="14" s="1"/>
  <c r="J41" i="14"/>
  <c r="K54" i="14"/>
  <c r="K55" i="14" s="1"/>
  <c r="K56" i="14" s="1"/>
  <c r="F55" i="14"/>
  <c r="G55" i="14"/>
  <c r="G56" i="14" s="1"/>
  <c r="H55" i="14"/>
  <c r="H56" i="14" s="1"/>
  <c r="I55" i="14"/>
  <c r="I56" i="14" s="1"/>
  <c r="J55" i="14"/>
  <c r="J56" i="14" s="1"/>
  <c r="F67" i="14"/>
  <c r="G67" i="14"/>
  <c r="H67" i="14"/>
  <c r="I67" i="14"/>
  <c r="J67" i="14"/>
  <c r="K67" i="14"/>
  <c r="F72" i="14"/>
  <c r="G72" i="14"/>
  <c r="K39" i="14" s="1"/>
  <c r="F73" i="14"/>
  <c r="G73" i="14"/>
  <c r="H73" i="14"/>
  <c r="H72" i="14" s="1"/>
  <c r="I73" i="14"/>
  <c r="I72" i="14" s="1"/>
  <c r="J73" i="14"/>
  <c r="J72" i="14" s="1"/>
  <c r="K73" i="14"/>
  <c r="K72" i="14" s="1"/>
  <c r="F74" i="14"/>
  <c r="G74" i="14"/>
  <c r="H74" i="14"/>
  <c r="I74" i="14"/>
  <c r="G96" i="14"/>
  <c r="G97" i="14"/>
  <c r="G98" i="14"/>
  <c r="J57" i="14" l="1"/>
  <c r="I57" i="14"/>
  <c r="I58" i="14"/>
  <c r="H57" i="14"/>
  <c r="H58" i="14"/>
  <c r="G57" i="14"/>
  <c r="F59" i="14" s="1"/>
  <c r="G58" i="14"/>
  <c r="K58" i="14"/>
  <c r="K57" i="14"/>
  <c r="J39" i="14"/>
  <c r="F75" i="14"/>
  <c r="G76" i="14" s="1"/>
  <c r="G77" i="14" s="1"/>
  <c r="H76" i="14"/>
  <c r="H77" i="14" s="1"/>
  <c r="K75" i="14"/>
  <c r="J75" i="14"/>
  <c r="I75" i="14"/>
  <c r="J76" i="14" s="1"/>
  <c r="J77" i="14" s="1"/>
  <c r="H75" i="14"/>
  <c r="I76" i="14" s="1"/>
  <c r="I77" i="14" s="1"/>
  <c r="K74" i="14"/>
  <c r="J74" i="14"/>
  <c r="K76" i="14" s="1"/>
  <c r="K77" i="14" s="1"/>
  <c r="F78" i="14" l="1"/>
  <c r="C87" i="14" s="1"/>
  <c r="G101" i="14" s="1"/>
  <c r="F60" i="14"/>
  <c r="H66" i="14"/>
  <c r="I66" i="14"/>
  <c r="J66" i="14"/>
  <c r="K66" i="14"/>
  <c r="G66" i="14"/>
  <c r="J58" i="14"/>
  <c r="B42" i="13"/>
  <c r="C42" i="13" s="1"/>
  <c r="F42" i="13"/>
  <c r="I42" i="13" s="1"/>
  <c r="G42" i="13"/>
  <c r="H42" i="13"/>
  <c r="J42" i="13"/>
  <c r="K42" i="13"/>
  <c r="F43" i="13"/>
  <c r="G43" i="13"/>
  <c r="H43" i="13"/>
  <c r="F44" i="13"/>
  <c r="G44" i="13"/>
  <c r="H44" i="13"/>
  <c r="F45" i="13"/>
  <c r="G45" i="13"/>
  <c r="H45" i="13"/>
  <c r="F46" i="13"/>
  <c r="G46" i="13"/>
  <c r="H46" i="13"/>
  <c r="F47" i="13"/>
  <c r="G47" i="13"/>
  <c r="H47" i="13"/>
  <c r="F48" i="13"/>
  <c r="G48" i="13"/>
  <c r="H48" i="13"/>
  <c r="F49" i="13"/>
  <c r="G49" i="13"/>
  <c r="H49" i="13"/>
  <c r="F50" i="13"/>
  <c r="G50" i="13"/>
  <c r="H50" i="13"/>
  <c r="F51" i="13"/>
  <c r="G51" i="13"/>
  <c r="H51" i="13"/>
  <c r="C55" i="13"/>
  <c r="B93" i="13"/>
  <c r="B94" i="13" s="1"/>
  <c r="B95" i="13" s="1"/>
  <c r="I96" i="13" s="1"/>
  <c r="F93" i="13"/>
  <c r="G93" i="13"/>
  <c r="H93" i="13"/>
  <c r="I93" i="13"/>
  <c r="J93" i="13"/>
  <c r="K93" i="13"/>
  <c r="F94" i="13"/>
  <c r="G94" i="13"/>
  <c r="H94" i="13"/>
  <c r="F95" i="13"/>
  <c r="G95" i="13"/>
  <c r="H95" i="13"/>
  <c r="F96" i="13"/>
  <c r="G96" i="13"/>
  <c r="H96" i="13"/>
  <c r="F97" i="13"/>
  <c r="G97" i="13"/>
  <c r="H97" i="13"/>
  <c r="F98" i="13"/>
  <c r="G98" i="13"/>
  <c r="H98" i="13"/>
  <c r="F99" i="13"/>
  <c r="G99" i="13"/>
  <c r="H99" i="13"/>
  <c r="F100" i="13"/>
  <c r="G100" i="13"/>
  <c r="H100" i="13"/>
  <c r="F101" i="13"/>
  <c r="G101" i="13"/>
  <c r="H101" i="13"/>
  <c r="B42" i="12"/>
  <c r="C43" i="12" s="1"/>
  <c r="C42" i="12"/>
  <c r="D42" i="12"/>
  <c r="E42" i="12"/>
  <c r="F42" i="12"/>
  <c r="G42" i="12"/>
  <c r="H42" i="12"/>
  <c r="I42" i="12"/>
  <c r="J42" i="12"/>
  <c r="K42" i="12"/>
  <c r="B43" i="12"/>
  <c r="I44" i="12" s="1"/>
  <c r="E43" i="12"/>
  <c r="F43" i="12"/>
  <c r="I43" i="12" s="1"/>
  <c r="G43" i="12"/>
  <c r="J43" i="12" s="1"/>
  <c r="H43" i="12"/>
  <c r="K43" i="12" s="1"/>
  <c r="E44" i="12"/>
  <c r="F44" i="12"/>
  <c r="G44" i="12"/>
  <c r="H44" i="12"/>
  <c r="F45" i="12"/>
  <c r="G45" i="12"/>
  <c r="H45" i="12"/>
  <c r="F46" i="12"/>
  <c r="G46" i="12"/>
  <c r="H46" i="12"/>
  <c r="F47" i="12"/>
  <c r="G47" i="12"/>
  <c r="H47" i="12"/>
  <c r="F48" i="12"/>
  <c r="G48" i="12"/>
  <c r="H48" i="12"/>
  <c r="F49" i="12"/>
  <c r="G49" i="12"/>
  <c r="H49" i="12"/>
  <c r="F50" i="12"/>
  <c r="G50" i="12"/>
  <c r="H50" i="12"/>
  <c r="F51" i="12"/>
  <c r="G51" i="12"/>
  <c r="H51" i="12"/>
  <c r="C55" i="12"/>
  <c r="B93" i="12"/>
  <c r="C93" i="12"/>
  <c r="D93" i="12"/>
  <c r="E93" i="12"/>
  <c r="F93" i="12"/>
  <c r="I93" i="12" s="1"/>
  <c r="G93" i="12"/>
  <c r="J93" i="12" s="1"/>
  <c r="H93" i="12"/>
  <c r="K93" i="12"/>
  <c r="B94" i="12"/>
  <c r="K95" i="12" s="1"/>
  <c r="C94" i="12"/>
  <c r="D94" i="12"/>
  <c r="E94" i="12"/>
  <c r="F94" i="12"/>
  <c r="G94" i="12"/>
  <c r="H94" i="12"/>
  <c r="K94" i="12" s="1"/>
  <c r="I94" i="12"/>
  <c r="J94" i="12"/>
  <c r="E95" i="12"/>
  <c r="F95" i="12"/>
  <c r="I95" i="12" s="1"/>
  <c r="G95" i="12"/>
  <c r="J95" i="12" s="1"/>
  <c r="H95" i="12"/>
  <c r="F96" i="12"/>
  <c r="G96" i="12"/>
  <c r="H96" i="12"/>
  <c r="F97" i="12"/>
  <c r="G97" i="12"/>
  <c r="H97" i="12"/>
  <c r="F98" i="12"/>
  <c r="G98" i="12"/>
  <c r="H98" i="12"/>
  <c r="F99" i="12"/>
  <c r="G99" i="12"/>
  <c r="H99" i="12"/>
  <c r="F100" i="12"/>
  <c r="G100" i="12"/>
  <c r="H100" i="12"/>
  <c r="F101" i="12"/>
  <c r="G101" i="12"/>
  <c r="H101" i="12"/>
  <c r="H68" i="14" l="1"/>
  <c r="H69" i="14" s="1"/>
  <c r="G68" i="14"/>
  <c r="G69" i="14" s="1"/>
  <c r="K68" i="14"/>
  <c r="K69" i="14" s="1"/>
  <c r="J68" i="14"/>
  <c r="J69" i="14" s="1"/>
  <c r="I68" i="14"/>
  <c r="I69" i="14" s="1"/>
  <c r="K96" i="13"/>
  <c r="B43" i="13"/>
  <c r="C43" i="13" s="1"/>
  <c r="K44" i="13"/>
  <c r="J44" i="13"/>
  <c r="B96" i="13"/>
  <c r="C95" i="13"/>
  <c r="D95" i="13"/>
  <c r="K95" i="13"/>
  <c r="J95" i="13"/>
  <c r="I95" i="13"/>
  <c r="E95" i="13"/>
  <c r="C93" i="13"/>
  <c r="D93" i="13"/>
  <c r="E93" i="13"/>
  <c r="K94" i="13"/>
  <c r="J94" i="13"/>
  <c r="C105" i="13"/>
  <c r="D43" i="13"/>
  <c r="E43" i="13"/>
  <c r="B44" i="13"/>
  <c r="I94" i="13"/>
  <c r="E94" i="13"/>
  <c r="D94" i="13"/>
  <c r="J96" i="13"/>
  <c r="C94" i="13"/>
  <c r="K43" i="13"/>
  <c r="J43" i="13"/>
  <c r="I43" i="13"/>
  <c r="E42" i="13"/>
  <c r="D42" i="13"/>
  <c r="K96" i="12"/>
  <c r="J45" i="12"/>
  <c r="D44" i="12"/>
  <c r="C44" i="12"/>
  <c r="D95" i="12"/>
  <c r="B44" i="12"/>
  <c r="C95" i="12"/>
  <c r="B95" i="12"/>
  <c r="K44" i="12"/>
  <c r="J44" i="12"/>
  <c r="C105" i="12"/>
  <c r="D43" i="12"/>
  <c r="F70" i="14" l="1"/>
  <c r="C86" i="14" s="1"/>
  <c r="G100" i="14" s="1"/>
  <c r="I44" i="13"/>
  <c r="C44" i="13"/>
  <c r="B45" i="13"/>
  <c r="I45" i="13"/>
  <c r="J45" i="13"/>
  <c r="D44" i="13"/>
  <c r="E44" i="13"/>
  <c r="K45" i="13"/>
  <c r="B97" i="13"/>
  <c r="C96" i="13"/>
  <c r="D96" i="13"/>
  <c r="E96" i="13"/>
  <c r="I97" i="13"/>
  <c r="J97" i="13"/>
  <c r="K97" i="13"/>
  <c r="B45" i="12"/>
  <c r="C45" i="12"/>
  <c r="D45" i="12"/>
  <c r="E45" i="12"/>
  <c r="I45" i="12"/>
  <c r="K45" i="12"/>
  <c r="B96" i="12"/>
  <c r="J96" i="12"/>
  <c r="C96" i="12"/>
  <c r="D96" i="12"/>
  <c r="E96" i="12"/>
  <c r="I96" i="12"/>
  <c r="B46" i="13" l="1"/>
  <c r="C45" i="13"/>
  <c r="D45" i="13"/>
  <c r="E45" i="13"/>
  <c r="I46" i="13"/>
  <c r="J46" i="13"/>
  <c r="K46" i="13"/>
  <c r="C97" i="13"/>
  <c r="D97" i="13"/>
  <c r="E97" i="13"/>
  <c r="K98" i="13"/>
  <c r="B98" i="13"/>
  <c r="J98" i="13"/>
  <c r="I98" i="13"/>
  <c r="B46" i="12"/>
  <c r="C46" i="12"/>
  <c r="D46" i="12"/>
  <c r="E46" i="12"/>
  <c r="I46" i="12"/>
  <c r="J46" i="12"/>
  <c r="K46" i="12"/>
  <c r="B97" i="12"/>
  <c r="C97" i="12"/>
  <c r="D97" i="12"/>
  <c r="E97" i="12"/>
  <c r="J97" i="12"/>
  <c r="K97" i="12"/>
  <c r="I97" i="12"/>
  <c r="C46" i="13" l="1"/>
  <c r="D46" i="13"/>
  <c r="E46" i="13"/>
  <c r="J47" i="13"/>
  <c r="K47" i="13"/>
  <c r="B47" i="13"/>
  <c r="I47" i="13"/>
  <c r="B99" i="13"/>
  <c r="C98" i="13"/>
  <c r="D98" i="13"/>
  <c r="E98" i="13"/>
  <c r="I99" i="13"/>
  <c r="J99" i="13"/>
  <c r="K99" i="13"/>
  <c r="E98" i="12"/>
  <c r="I98" i="12"/>
  <c r="J98" i="12"/>
  <c r="C98" i="12"/>
  <c r="D98" i="12"/>
  <c r="B98" i="12"/>
  <c r="K98" i="12"/>
  <c r="D47" i="12"/>
  <c r="E47" i="12"/>
  <c r="I47" i="12"/>
  <c r="B47" i="12"/>
  <c r="C47" i="12"/>
  <c r="K47" i="12"/>
  <c r="J47" i="12"/>
  <c r="B100" i="13" l="1"/>
  <c r="C99" i="13"/>
  <c r="D99" i="13"/>
  <c r="E99" i="13"/>
  <c r="I100" i="13"/>
  <c r="J100" i="13"/>
  <c r="K100" i="13"/>
  <c r="E47" i="13"/>
  <c r="B48" i="13"/>
  <c r="C47" i="13"/>
  <c r="D47" i="13"/>
  <c r="K48" i="13"/>
  <c r="J48" i="13"/>
  <c r="I48" i="13"/>
  <c r="B99" i="12"/>
  <c r="C99" i="12"/>
  <c r="D99" i="12"/>
  <c r="E99" i="12"/>
  <c r="K99" i="12"/>
  <c r="J99" i="12"/>
  <c r="I99" i="12"/>
  <c r="K48" i="12"/>
  <c r="B48" i="12"/>
  <c r="C48" i="12"/>
  <c r="D48" i="12"/>
  <c r="E48" i="12"/>
  <c r="I48" i="12"/>
  <c r="J48" i="12"/>
  <c r="B49" i="13" l="1"/>
  <c r="C48" i="13"/>
  <c r="D48" i="13"/>
  <c r="E48" i="13"/>
  <c r="I49" i="13"/>
  <c r="J49" i="13"/>
  <c r="K49" i="13"/>
  <c r="C100" i="13"/>
  <c r="D100" i="13"/>
  <c r="E100" i="13"/>
  <c r="I101" i="13"/>
  <c r="I103" i="13" s="1"/>
  <c r="J101" i="13"/>
  <c r="J103" i="13" s="1"/>
  <c r="K101" i="13"/>
  <c r="K103" i="13" s="1"/>
  <c r="B101" i="13"/>
  <c r="B49" i="12"/>
  <c r="C49" i="12"/>
  <c r="D49" i="12"/>
  <c r="E49" i="12"/>
  <c r="I49" i="12"/>
  <c r="J49" i="12"/>
  <c r="K49" i="12"/>
  <c r="B100" i="12"/>
  <c r="C100" i="12"/>
  <c r="D100" i="12"/>
  <c r="K100" i="12"/>
  <c r="E100" i="12"/>
  <c r="I100" i="12"/>
  <c r="J100" i="12"/>
  <c r="Q93" i="13" l="1"/>
  <c r="D101" i="13"/>
  <c r="D103" i="13" s="1"/>
  <c r="E101" i="13"/>
  <c r="E103" i="13" s="1"/>
  <c r="C101" i="13"/>
  <c r="C103" i="13" s="1"/>
  <c r="C49" i="13"/>
  <c r="D49" i="13"/>
  <c r="E49" i="13"/>
  <c r="I50" i="13"/>
  <c r="J50" i="13"/>
  <c r="K50" i="13"/>
  <c r="B50" i="13"/>
  <c r="B50" i="12"/>
  <c r="C50" i="12"/>
  <c r="D50" i="12"/>
  <c r="E50" i="12"/>
  <c r="K50" i="12"/>
  <c r="J50" i="12"/>
  <c r="I50" i="12"/>
  <c r="C101" i="12"/>
  <c r="C103" i="12" s="1"/>
  <c r="Q92" i="12" s="1"/>
  <c r="D101" i="12"/>
  <c r="D103" i="12" s="1"/>
  <c r="E101" i="12"/>
  <c r="E103" i="12" s="1"/>
  <c r="B101" i="12"/>
  <c r="K101" i="12"/>
  <c r="K103" i="12" s="1"/>
  <c r="J101" i="12"/>
  <c r="J103" i="12" s="1"/>
  <c r="I101" i="12"/>
  <c r="I103" i="12" s="1"/>
  <c r="Q93" i="12" s="1"/>
  <c r="C50" i="13" l="1"/>
  <c r="D50" i="13"/>
  <c r="E50" i="13"/>
  <c r="B51" i="13"/>
  <c r="K51" i="13"/>
  <c r="K53" i="13" s="1"/>
  <c r="J51" i="13"/>
  <c r="J53" i="13" s="1"/>
  <c r="I51" i="13"/>
  <c r="I53" i="13" s="1"/>
  <c r="P41" i="13" s="1"/>
  <c r="Q92" i="13"/>
  <c r="I51" i="12"/>
  <c r="I53" i="12" s="1"/>
  <c r="J51" i="12"/>
  <c r="J53" i="12" s="1"/>
  <c r="K51" i="12"/>
  <c r="K53" i="12" s="1"/>
  <c r="D51" i="12"/>
  <c r="D53" i="12" s="1"/>
  <c r="B51" i="12"/>
  <c r="C51" i="12"/>
  <c r="C53" i="12" s="1"/>
  <c r="E51" i="12"/>
  <c r="E53" i="12" s="1"/>
  <c r="C51" i="13" l="1"/>
  <c r="C53" i="13" s="1"/>
  <c r="D51" i="13"/>
  <c r="D53" i="13" s="1"/>
  <c r="E51" i="13"/>
  <c r="E53" i="13" s="1"/>
  <c r="P41" i="12"/>
  <c r="P40" i="12"/>
  <c r="P40" i="13" l="1"/>
  <c r="P42" i="13"/>
  <c r="Q94" i="13" s="1"/>
  <c r="Q95" i="13" s="1"/>
  <c r="P42" i="12"/>
  <c r="Q94" i="12" s="1"/>
  <c r="Q95" i="12" s="1"/>
  <c r="P43" i="13" l="1"/>
  <c r="P43" i="12"/>
  <c r="D20" i="11"/>
  <c r="D15" i="10"/>
  <c r="C24" i="9"/>
  <c r="C27" i="9"/>
  <c r="C30" i="9"/>
  <c r="C33" i="9"/>
  <c r="C36" i="9"/>
  <c r="C41" i="9"/>
  <c r="C44" i="9"/>
  <c r="C47" i="9"/>
  <c r="C48" i="9"/>
  <c r="C54" i="9"/>
  <c r="C58" i="9"/>
  <c r="C61" i="9"/>
  <c r="C64" i="9"/>
  <c r="C25" i="8" l="1"/>
  <c r="D25" i="8"/>
  <c r="E25" i="8"/>
  <c r="F25" i="8"/>
  <c r="G25" i="8"/>
  <c r="H25" i="8"/>
  <c r="I25" i="8"/>
  <c r="J25" i="8"/>
  <c r="K25" i="8"/>
  <c r="L25" i="8"/>
  <c r="M25" i="8"/>
  <c r="N25" i="8"/>
  <c r="C30" i="8"/>
  <c r="C49" i="8" s="1"/>
  <c r="D30" i="8"/>
  <c r="E30" i="8" s="1"/>
  <c r="C35" i="8"/>
  <c r="D35" i="8"/>
  <c r="E35" i="8"/>
  <c r="F35" i="8"/>
  <c r="G35" i="8" s="1"/>
  <c r="H35" i="8" s="1"/>
  <c r="I35" i="8" s="1"/>
  <c r="J35" i="8" s="1"/>
  <c r="K35" i="8" s="1"/>
  <c r="L35" i="8" s="1"/>
  <c r="M35" i="8" s="1"/>
  <c r="N35" i="8" s="1"/>
  <c r="C44" i="8"/>
  <c r="D44" i="8"/>
  <c r="E44" i="8"/>
  <c r="F44" i="8"/>
  <c r="G44" i="8"/>
  <c r="H44" i="8"/>
  <c r="I44" i="8" s="1"/>
  <c r="J44" i="8" s="1"/>
  <c r="K44" i="8" s="1"/>
  <c r="L44" i="8" s="1"/>
  <c r="M44" i="8" s="1"/>
  <c r="N44" i="8" s="1"/>
  <c r="B49" i="8"/>
  <c r="E49" i="8" l="1"/>
  <c r="F30" i="8"/>
  <c r="D49" i="8"/>
  <c r="G30" i="8" l="1"/>
  <c r="F49" i="8"/>
  <c r="B16" i="1"/>
  <c r="H30" i="8" l="1"/>
  <c r="G49" i="8"/>
  <c r="B36" i="6"/>
  <c r="D16" i="1"/>
  <c r="F16" i="1"/>
  <c r="H16" i="1"/>
  <c r="B35" i="6"/>
  <c r="B34" i="6"/>
  <c r="B33" i="6"/>
  <c r="B32" i="6"/>
  <c r="I30" i="8" l="1"/>
  <c r="H49" i="8"/>
  <c r="P16" i="1"/>
  <c r="N16" i="1"/>
  <c r="L16" i="1"/>
  <c r="J16" i="1"/>
  <c r="B41" i="2"/>
  <c r="B40" i="2"/>
  <c r="B39" i="2"/>
  <c r="B38" i="2"/>
  <c r="B37" i="2"/>
  <c r="B36" i="2"/>
  <c r="B35" i="2"/>
  <c r="B34" i="2"/>
  <c r="B33" i="2"/>
  <c r="B32" i="2"/>
  <c r="B31" i="2"/>
  <c r="B30" i="2"/>
  <c r="B29" i="2"/>
  <c r="B28" i="2"/>
  <c r="B3" i="2"/>
  <c r="B4" i="2"/>
  <c r="B5" i="2"/>
  <c r="B6" i="2"/>
  <c r="B7" i="2"/>
  <c r="B8" i="2"/>
  <c r="B9" i="2"/>
  <c r="B10" i="2"/>
  <c r="B11" i="2"/>
  <c r="B12" i="2"/>
  <c r="B13" i="2"/>
  <c r="B14" i="2"/>
  <c r="B15" i="2"/>
  <c r="B16" i="2"/>
  <c r="B17" i="2"/>
  <c r="B18" i="2"/>
  <c r="B19" i="2"/>
  <c r="B20" i="2"/>
  <c r="B21" i="2"/>
  <c r="B22" i="2"/>
  <c r="B23" i="2"/>
  <c r="B24" i="2"/>
  <c r="B25" i="2"/>
  <c r="B26" i="2"/>
  <c r="B27" i="2"/>
  <c r="B2" i="2"/>
  <c r="I49" i="8" l="1"/>
  <c r="J30" i="8"/>
  <c r="J49" i="8" l="1"/>
  <c r="K30" i="8"/>
  <c r="L30" i="8" l="1"/>
  <c r="K49" i="8"/>
  <c r="L49" i="8" l="1"/>
  <c r="M30" i="8"/>
  <c r="M49" i="8" l="1"/>
  <c r="N30" i="8"/>
  <c r="N49" i="8" s="1"/>
  <c r="B55" i="8" s="1"/>
</calcChain>
</file>

<file path=xl/sharedStrings.xml><?xml version="1.0" encoding="utf-8"?>
<sst xmlns="http://schemas.openxmlformats.org/spreadsheetml/2006/main" count="662" uniqueCount="389">
  <si>
    <t>Question Part</t>
  </si>
  <si>
    <t>Question Sub-part</t>
  </si>
  <si>
    <t>a</t>
  </si>
  <si>
    <t>i</t>
  </si>
  <si>
    <t>Learning Objective</t>
  </si>
  <si>
    <t>Learning Outcome</t>
  </si>
  <si>
    <t>Cognitive Level</t>
  </si>
  <si>
    <t>Points for part/sub-part</t>
  </si>
  <si>
    <t>For answers provided in Word, example of a full credit answer</t>
  </si>
  <si>
    <t>For answers provided in Excel, link to tab with example of a full credit answer</t>
  </si>
  <si>
    <t>Answer in Word or Excel</t>
  </si>
  <si>
    <t>Excel</t>
  </si>
  <si>
    <t xml:space="preserve">Rubric describing a "Definite Pass" answer </t>
  </si>
  <si>
    <t xml:space="preserve">Rubric describing a "Likely Pass" answer </t>
  </si>
  <si>
    <t xml:space="preserve">Rubric describing a "Likely Fail" answer </t>
  </si>
  <si>
    <t xml:space="preserve">Rubric describing a "Definite Fail" answer </t>
  </si>
  <si>
    <t>Rubric describing a "Zero Credit" answer</t>
  </si>
  <si>
    <t>Sources &amp; Page references</t>
  </si>
  <si>
    <t>Source</t>
  </si>
  <si>
    <r>
      <t>·</t>
    </r>
    <r>
      <rPr>
        <sz val="7"/>
        <color theme="1"/>
        <rFont val="Times New Roman"/>
        <family val="1"/>
      </rPr>
      <t xml:space="preserve">        </t>
    </r>
    <r>
      <rPr>
        <i/>
        <sz val="10"/>
        <color theme="1"/>
        <rFont val="Calibri"/>
        <family val="2"/>
      </rPr>
      <t>Statutory Valuation of Individual Life and Annuity Contracts</t>
    </r>
    <r>
      <rPr>
        <sz val="10"/>
        <color theme="1"/>
        <rFont val="Calibri"/>
        <family val="2"/>
      </rPr>
      <t>, Claire, D., Lombardi, L. and Summers, S., 5th Edition, 2018</t>
    </r>
  </si>
  <si>
    <r>
      <t>o</t>
    </r>
    <r>
      <rPr>
        <sz val="7"/>
        <color theme="1"/>
        <rFont val="Times New Roman"/>
        <family val="1"/>
      </rPr>
      <t xml:space="preserve">   </t>
    </r>
    <r>
      <rPr>
        <sz val="10"/>
        <color theme="1"/>
        <rFont val="Calibri"/>
        <family val="2"/>
      </rPr>
      <t>Chapter 1: Overview of Valuation Concepts (excluding 1.1-1.9)</t>
    </r>
  </si>
  <si>
    <r>
      <t>o</t>
    </r>
    <r>
      <rPr>
        <sz val="7"/>
        <color theme="1"/>
        <rFont val="Times New Roman"/>
        <family val="1"/>
      </rPr>
      <t xml:space="preserve">   </t>
    </r>
    <r>
      <rPr>
        <sz val="10"/>
        <color theme="1"/>
        <rFont val="Calibri"/>
        <family val="2"/>
      </rPr>
      <t>Chapter 2: Product Classifications (2.2 only)</t>
    </r>
  </si>
  <si>
    <r>
      <t>o</t>
    </r>
    <r>
      <rPr>
        <sz val="7"/>
        <color theme="1"/>
        <rFont val="Times New Roman"/>
        <family val="1"/>
      </rPr>
      <t xml:space="preserve">   </t>
    </r>
    <r>
      <rPr>
        <sz val="10"/>
        <color theme="1"/>
        <rFont val="Calibri"/>
        <family val="2"/>
      </rPr>
      <t>Chapter 3: NAIC Annual Statement</t>
    </r>
  </si>
  <si>
    <r>
      <t>o</t>
    </r>
    <r>
      <rPr>
        <sz val="7"/>
        <color theme="1"/>
        <rFont val="Times New Roman"/>
        <family val="1"/>
      </rPr>
      <t xml:space="preserve">   </t>
    </r>
    <r>
      <rPr>
        <sz val="10"/>
        <color theme="1"/>
        <rFont val="Calibri"/>
        <family val="2"/>
      </rPr>
      <t>Chapter 5: The Valuation Manual (excluding 5.4)</t>
    </r>
  </si>
  <si>
    <r>
      <t>o</t>
    </r>
    <r>
      <rPr>
        <sz val="7"/>
        <color theme="1"/>
        <rFont val="Times New Roman"/>
        <family val="1"/>
      </rPr>
      <t xml:space="preserve">   </t>
    </r>
    <r>
      <rPr>
        <sz val="10"/>
        <color theme="1"/>
        <rFont val="Calibri"/>
        <family val="2"/>
      </rPr>
      <t>Chapter 10: Valuation Assumptions (excluding 10.1.3 &amp; 10.3.8)</t>
    </r>
  </si>
  <si>
    <r>
      <t>o</t>
    </r>
    <r>
      <rPr>
        <sz val="7"/>
        <color theme="1"/>
        <rFont val="Times New Roman"/>
        <family val="1"/>
      </rPr>
      <t xml:space="preserve">   </t>
    </r>
    <r>
      <rPr>
        <sz val="10"/>
        <color theme="1"/>
        <rFont val="Calibri"/>
        <family val="2"/>
      </rPr>
      <t>Chapter 11: Valuation Methodologies (excluding 11.3.9-11.3.11)</t>
    </r>
  </si>
  <si>
    <r>
      <t>o</t>
    </r>
    <r>
      <rPr>
        <sz val="7"/>
        <color theme="1"/>
        <rFont val="Times New Roman"/>
        <family val="1"/>
      </rPr>
      <t xml:space="preserve">   </t>
    </r>
    <r>
      <rPr>
        <sz val="10"/>
        <color theme="1"/>
        <rFont val="Calibri"/>
        <family val="2"/>
      </rPr>
      <t xml:space="preserve">Chapter 12: Whole Life </t>
    </r>
  </si>
  <si>
    <r>
      <t>o</t>
    </r>
    <r>
      <rPr>
        <sz val="7"/>
        <color theme="1"/>
        <rFont val="Times New Roman"/>
        <family val="1"/>
      </rPr>
      <t xml:space="preserve">   </t>
    </r>
    <r>
      <rPr>
        <sz val="10"/>
        <color theme="1"/>
        <rFont val="Calibri"/>
        <family val="2"/>
      </rPr>
      <t xml:space="preserve">Chapter 13: Term Life Insurance </t>
    </r>
  </si>
  <si>
    <r>
      <t>o</t>
    </r>
    <r>
      <rPr>
        <sz val="7"/>
        <color theme="1"/>
        <rFont val="Times New Roman"/>
        <family val="1"/>
      </rPr>
      <t xml:space="preserve">   </t>
    </r>
    <r>
      <rPr>
        <sz val="10"/>
        <color theme="1"/>
        <rFont val="Calibri"/>
        <family val="2"/>
      </rPr>
      <t>Chapter 14: Universal Life (excluding 14.4.8, 14.4.9, 14.5.0 &amp; 14.6.2-14.6.6)</t>
    </r>
  </si>
  <si>
    <r>
      <t>o</t>
    </r>
    <r>
      <rPr>
        <sz val="7"/>
        <color theme="1"/>
        <rFont val="Times New Roman"/>
        <family val="1"/>
      </rPr>
      <t xml:space="preserve">   </t>
    </r>
    <r>
      <rPr>
        <sz val="10"/>
        <color theme="1"/>
        <rFont val="Calibri"/>
        <family val="2"/>
      </rPr>
      <t>Chapter 16: Indexed Universal Life (excluding 16.4.2-16.4.3)</t>
    </r>
  </si>
  <si>
    <r>
      <t>o</t>
    </r>
    <r>
      <rPr>
        <sz val="7"/>
        <color theme="1"/>
        <rFont val="Times New Roman"/>
        <family val="1"/>
      </rPr>
      <t xml:space="preserve">   </t>
    </r>
    <r>
      <rPr>
        <sz val="10"/>
        <color theme="1"/>
        <rFont val="Calibri"/>
        <family val="2"/>
      </rPr>
      <t>Chapter 18: Fixed Deferred Annuities (excluding 18.7.4 &amp; 18.8)</t>
    </r>
  </si>
  <si>
    <r>
      <t>o</t>
    </r>
    <r>
      <rPr>
        <sz val="7"/>
        <color theme="1"/>
        <rFont val="Times New Roman"/>
        <family val="1"/>
      </rPr>
      <t xml:space="preserve">   </t>
    </r>
    <r>
      <rPr>
        <sz val="10"/>
        <color theme="1"/>
        <rFont val="Calibri"/>
        <family val="2"/>
      </rPr>
      <t xml:space="preserve">Chapter 20: Indexed Deferred Annuities </t>
    </r>
  </si>
  <si>
    <r>
      <t>o</t>
    </r>
    <r>
      <rPr>
        <sz val="7"/>
        <color theme="1"/>
        <rFont val="Times New Roman"/>
        <family val="1"/>
      </rPr>
      <t xml:space="preserve">   </t>
    </r>
    <r>
      <rPr>
        <sz val="10"/>
        <color theme="1"/>
        <rFont val="Calibri"/>
        <family val="2"/>
      </rPr>
      <t xml:space="preserve">Chapter 21: Immediate Annuities </t>
    </r>
  </si>
  <si>
    <r>
      <t>o</t>
    </r>
    <r>
      <rPr>
        <sz val="7"/>
        <color theme="1"/>
        <rFont val="Times New Roman"/>
        <family val="1"/>
      </rPr>
      <t xml:space="preserve">   </t>
    </r>
    <r>
      <rPr>
        <sz val="10"/>
        <color theme="1"/>
        <rFont val="Calibri"/>
        <family val="2"/>
      </rPr>
      <t>Chapter 23: VM-20: PBR for Life Products (excluding 23.1)</t>
    </r>
  </si>
  <si>
    <r>
      <t>o</t>
    </r>
    <r>
      <rPr>
        <sz val="7"/>
        <color theme="1"/>
        <rFont val="Times New Roman"/>
        <family val="1"/>
      </rPr>
      <t xml:space="preserve">   </t>
    </r>
    <r>
      <rPr>
        <sz val="10"/>
        <color theme="1"/>
        <rFont val="Calibri"/>
        <family val="2"/>
      </rPr>
      <t>Chapter 24: VM 21: PBR for Variable Annuities</t>
    </r>
  </si>
  <si>
    <r>
      <t>o</t>
    </r>
    <r>
      <rPr>
        <sz val="7"/>
        <color theme="1"/>
        <rFont val="Times New Roman"/>
        <family val="1"/>
      </rPr>
      <t xml:space="preserve">   </t>
    </r>
    <r>
      <rPr>
        <sz val="10"/>
        <color theme="1"/>
        <rFont val="Calibri"/>
        <family val="2"/>
      </rPr>
      <t>Chapter 25: Principle-Based Reserve Report</t>
    </r>
  </si>
  <si>
    <r>
      <t>·</t>
    </r>
    <r>
      <rPr>
        <sz val="7"/>
        <color theme="1"/>
        <rFont val="Times New Roman"/>
        <family val="1"/>
      </rPr>
      <t xml:space="preserve">        </t>
    </r>
    <r>
      <rPr>
        <b/>
        <i/>
        <sz val="10"/>
        <color theme="1"/>
        <rFont val="Calibri"/>
        <family val="2"/>
      </rPr>
      <t xml:space="preserve"> </t>
    </r>
    <r>
      <rPr>
        <i/>
        <sz val="10"/>
        <color theme="1"/>
        <rFont val="Calibri"/>
        <family val="2"/>
      </rPr>
      <t>US GAAP for Insurers</t>
    </r>
    <r>
      <rPr>
        <sz val="10"/>
        <color theme="1"/>
        <rFont val="Calibri"/>
        <family val="2"/>
      </rPr>
      <t>, Freedman, M., and Frasca, R., 3</t>
    </r>
    <r>
      <rPr>
        <vertAlign val="superscript"/>
        <sz val="10"/>
        <color theme="1"/>
        <rFont val="Calibri"/>
        <family val="2"/>
      </rPr>
      <t>rd</t>
    </r>
    <r>
      <rPr>
        <sz val="10"/>
        <color theme="1"/>
        <rFont val="Calibri"/>
        <family val="2"/>
      </rPr>
      <t xml:space="preserve"> Edition, 2024 </t>
    </r>
  </si>
  <si>
    <r>
      <t>o</t>
    </r>
    <r>
      <rPr>
        <sz val="7"/>
        <color theme="1"/>
        <rFont val="Times New Roman"/>
        <family val="1"/>
      </rPr>
      <t xml:space="preserve">   </t>
    </r>
    <r>
      <rPr>
        <sz val="10"/>
        <color theme="1"/>
        <rFont val="Calibri"/>
        <family val="2"/>
      </rPr>
      <t>Chapter 1: US GAAP Objectives and their Implications to Insurers</t>
    </r>
  </si>
  <si>
    <r>
      <t>o</t>
    </r>
    <r>
      <rPr>
        <sz val="7"/>
        <color theme="1"/>
        <rFont val="Times New Roman"/>
        <family val="1"/>
      </rPr>
      <t xml:space="preserve">   </t>
    </r>
    <r>
      <rPr>
        <sz val="10"/>
        <color theme="1"/>
        <rFont val="Calibri"/>
        <family val="2"/>
      </rPr>
      <t>Chapter 3: Product Classification and Measurement</t>
    </r>
  </si>
  <si>
    <r>
      <t>o</t>
    </r>
    <r>
      <rPr>
        <sz val="7"/>
        <color theme="1"/>
        <rFont val="Times New Roman"/>
        <family val="1"/>
      </rPr>
      <t xml:space="preserve">   </t>
    </r>
    <r>
      <rPr>
        <sz val="10"/>
        <color theme="1"/>
        <rFont val="Calibri"/>
        <family val="2"/>
      </rPr>
      <t>Chapter 4: Expenses</t>
    </r>
  </si>
  <si>
    <r>
      <t>o</t>
    </r>
    <r>
      <rPr>
        <sz val="7"/>
        <color theme="1"/>
        <rFont val="Times New Roman"/>
        <family val="1"/>
      </rPr>
      <t xml:space="preserve">   </t>
    </r>
    <r>
      <rPr>
        <sz val="10"/>
        <color theme="1"/>
        <rFont val="Calibri"/>
        <family val="2"/>
      </rPr>
      <t>Chapter 5: Nonparticipating Traditional Life Insurance</t>
    </r>
  </si>
  <si>
    <r>
      <t>o</t>
    </r>
    <r>
      <rPr>
        <sz val="7"/>
        <color theme="1"/>
        <rFont val="Times New Roman"/>
        <family val="1"/>
      </rPr>
      <t xml:space="preserve">   </t>
    </r>
    <r>
      <rPr>
        <sz val="10"/>
        <color theme="1"/>
        <rFont val="Calibri"/>
        <family val="2"/>
      </rPr>
      <t>Chapter 7: Universal Life Insurance (only sections 1, 2, 5-7)</t>
    </r>
  </si>
  <si>
    <r>
      <t>o</t>
    </r>
    <r>
      <rPr>
        <sz val="7"/>
        <color theme="1"/>
        <rFont val="Times New Roman"/>
        <family val="1"/>
      </rPr>
      <t xml:space="preserve">   </t>
    </r>
    <r>
      <rPr>
        <sz val="10"/>
        <color theme="1"/>
        <rFont val="Calibri"/>
        <family val="2"/>
      </rPr>
      <t xml:space="preserve">Chapter 11: Deferred Annuities </t>
    </r>
  </si>
  <si>
    <r>
      <t>o</t>
    </r>
    <r>
      <rPr>
        <sz val="7"/>
        <color theme="1"/>
        <rFont val="Times New Roman"/>
        <family val="1"/>
      </rPr>
      <t xml:space="preserve">   </t>
    </r>
    <r>
      <rPr>
        <sz val="10"/>
        <color theme="1"/>
        <rFont val="Calibri"/>
        <family val="2"/>
      </rPr>
      <t xml:space="preserve">Chapter 12: Payout Annuities </t>
    </r>
  </si>
  <si>
    <t>·        Interactive Principle-Based Reserves Model</t>
  </si>
  <si>
    <t>·        Implementation Considerations for VA Market Risk Benefits, Financial Reporter, Sep 2019</t>
  </si>
  <si>
    <t>Targeted Improvements Interactive Model</t>
  </si>
  <si>
    <t>LO</t>
  </si>
  <si>
    <t>Combined Source</t>
  </si>
  <si>
    <t>Chapter</t>
  </si>
  <si>
    <t>Book</t>
  </si>
  <si>
    <r>
      <t>o</t>
    </r>
    <r>
      <rPr>
        <sz val="7"/>
        <color theme="1"/>
        <rFont val="Times New Roman"/>
        <family val="1"/>
      </rPr>
      <t xml:space="preserve">   </t>
    </r>
    <r>
      <rPr>
        <sz val="10"/>
        <color theme="1"/>
        <rFont val="Calibri"/>
        <family val="2"/>
      </rPr>
      <t>Ch. 29: Risk-Based Capital</t>
    </r>
  </si>
  <si>
    <r>
      <t>·</t>
    </r>
    <r>
      <rPr>
        <sz val="7"/>
        <color theme="1"/>
        <rFont val="Times New Roman"/>
        <family val="1"/>
      </rPr>
      <t xml:space="preserve">        </t>
    </r>
    <r>
      <rPr>
        <sz val="10"/>
        <color theme="1"/>
        <rFont val="Calibri"/>
        <family val="2"/>
      </rPr>
      <t>ILA201-800-25: The Theory of Risk Capital in Financial Firms</t>
    </r>
  </si>
  <si>
    <t>·        Economic Capital for Life Insurance Companies, SOA Research Paper, Oct 2016 (Sections 2 &amp; 6)</t>
  </si>
  <si>
    <t>A Multi-Stakeholder Approach to Capital Adequacy, Conning Research, Actuarial Practice Forum</t>
  </si>
  <si>
    <r>
      <t>·</t>
    </r>
    <r>
      <rPr>
        <sz val="7"/>
        <color theme="1"/>
        <rFont val="Times New Roman"/>
        <family val="1"/>
      </rPr>
      <t xml:space="preserve">        </t>
    </r>
    <r>
      <rPr>
        <sz val="10"/>
        <color theme="1"/>
        <rFont val="Calibri"/>
        <family val="2"/>
      </rPr>
      <t>ILA201-801-25: Diversification of Longevity and Mortality Risk</t>
    </r>
  </si>
  <si>
    <r>
      <t>·</t>
    </r>
    <r>
      <rPr>
        <sz val="7"/>
        <color theme="1"/>
        <rFont val="Times New Roman"/>
        <family val="1"/>
      </rPr>
      <t xml:space="preserve">        </t>
    </r>
    <r>
      <rPr>
        <sz val="10"/>
        <color theme="1"/>
        <rFont val="Calibri"/>
        <family val="2"/>
      </rPr>
      <t>ILA201-100-25: Diversification: Consideration on Modelling Aspects &amp; Related Fungibility and Individual Life and Annuities – Life ALM and Modelling Exam Fall 2024 and Spring 2025 6 Transferability, CRO, Oct 2013, pp. 1-18</t>
    </r>
  </si>
  <si>
    <r>
      <t>·</t>
    </r>
    <r>
      <rPr>
        <sz val="7"/>
        <color theme="1"/>
        <rFont val="Times New Roman"/>
        <family val="1"/>
      </rPr>
      <t xml:space="preserve">        </t>
    </r>
    <r>
      <rPr>
        <sz val="10"/>
        <color theme="1"/>
        <rFont val="Calibri"/>
        <family val="2"/>
      </rPr>
      <t>ILA201-802-25: NAIC Own Risk and Solvency Assessment (ORSA) Guidance Manual, National Association of Insurance Commissioners, Dec 2017</t>
    </r>
  </si>
  <si>
    <t>Rating Agency Perspectives on Insurance Company Capital, SOA Research Institute, Aug 2023 (excluding Appendices)</t>
  </si>
  <si>
    <t xml:space="preserve">ILA201-101-25: Life in-force Management: Improving Consumer Value and Long-Term Profitability </t>
  </si>
  <si>
    <t>ILA201-102-25: Economics of Insurance: How Insurers Create Value for Shareholders, pp. 4-31</t>
  </si>
  <si>
    <t>I FAQ on Certain Insurance Reserves Held by Insurance Companies for the Purpose of Determining U.S. Taxable Income after the Passage of the Tax Cuts and Jobs Act of 2017</t>
  </si>
  <si>
    <t>Evolving Strategies to Improve Inforce Post-Level Term Profitability, Product Matters, Feb 2015, pp. 23-28</t>
  </si>
  <si>
    <t>Mechanics of Dividends, SOA Research Institute, Mar 2022</t>
  </si>
  <si>
    <t>Embedded Value: Practice and Theory, Actuarial Practice Forum, Mar 2009</t>
  </si>
  <si>
    <t>Pages Used</t>
  </si>
  <si>
    <t>Question Code</t>
  </si>
  <si>
    <t>Use your initials, followed by a dash, the number of your question, another dash, and then the year.  So, if your name is Jane Doe, this is your second question for the year in 2025, you would use the code JD-02-2025</t>
  </si>
  <si>
    <t>a, b, c, etc.</t>
  </si>
  <si>
    <t>Typically i, ii, iii, etc  Use A, B, C, etc. if there are a series of statements. Leave blank if question part does not have sub-parts</t>
  </si>
  <si>
    <t>Number of exam points allocated to this sub-part (or part, if there are no sub-parts)</t>
  </si>
  <si>
    <t>Learning objective(s) covered in this sub-part</t>
  </si>
  <si>
    <t>Learning outcome(s) covered in this sub-part</t>
  </si>
  <si>
    <t>Cognitive level of this sub-part.  Note: while "retrieval" is listed in the dropdown, each sub-part should be a higher cognitive level than retrieval</t>
  </si>
  <si>
    <t>This row should be filled in with "Word" if the response is expected to be provided in Microsoft Word, and "Excel" if the response is expected to be provided in Microsoft Excel.</t>
  </si>
  <si>
    <t>List each source from the syllabus that is relevant to the sub-part, along with page numbers so that graders can quickly find the necessary readings.</t>
  </si>
  <si>
    <t>This only needs to be filled out if the sub-part is to be answered in Word.  The answer provided here should be a full credit answer.  It should not have extra information that a candidate would not be expected to provide.</t>
  </si>
  <si>
    <t>This only applies if the sub-part is to be answered in Excel.  In those cases, a link will be automatically generated by the formula in the cell.  You should create a new tab such as 'answer-a-I', or 'answer-b-ii' depending on the part/sub-part that the link is looking for.  On that new tab, provide an example of the calculation that a candidate would be expected to provide for a full-credit answer.</t>
  </si>
  <si>
    <t>Describe the evaluation criteria the graders would use to determine the score for this part.
These criteria might include how to classify major vs. minor errors, and how the number of each type of error would affect which score a response might receive.</t>
  </si>
  <si>
    <t>ADC-01-2025</t>
  </si>
  <si>
    <t>b</t>
  </si>
  <si>
    <t>LO2 o   Ch. 29: Risk-Based Capital·        Statutory Valuation of Individual Life and Annuity Contracts, Claire, D., Lombardi, L. and Summers, S., 5th Edition, 2018</t>
  </si>
  <si>
    <t>LO3 Rating Agency Perspectives on Insurance Company Capital, SOA Research Institute, Aug 2023 (excluding Appendices)</t>
  </si>
  <si>
    <t>c</t>
  </si>
  <si>
    <t>LO2</t>
  </si>
  <si>
    <t>LO2,LO3</t>
  </si>
  <si>
    <t>LO2-a, LO3-b</t>
  </si>
  <si>
    <t>Analysis</t>
  </si>
  <si>
    <t>Word</t>
  </si>
  <si>
    <t>LO2-a</t>
  </si>
  <si>
    <t>405-406</t>
  </si>
  <si>
    <t>Blank answer or an answer completely unrelated to the question</t>
  </si>
  <si>
    <t>LO3</t>
  </si>
  <si>
    <t>LO3-b</t>
  </si>
  <si>
    <t>Comprehension</t>
  </si>
  <si>
    <t>Solution</t>
  </si>
  <si>
    <t>15-18</t>
  </si>
  <si>
    <t>AM Best BCAR Capital</t>
  </si>
  <si>
    <t>Available Capital</t>
  </si>
  <si>
    <t>Net Required Capital @ 95% Confidence Level</t>
  </si>
  <si>
    <t>Net Required Capital @ 99% Confidence Level</t>
  </si>
  <si>
    <t>Net Required Capital @ 99.5 Confidence Level</t>
  </si>
  <si>
    <t>Net Required Capital @ 99.6 Confidence Level</t>
  </si>
  <si>
    <t>Net Required Capital @ 99.8 Confidence Level</t>
  </si>
  <si>
    <t xml:space="preserve">  Determine the BCAR assessment based off the following. (1 point)</t>
  </si>
  <si>
    <t>Net Required Capital @ 95%</t>
  </si>
  <si>
    <t>Net Required Capital @ 99%</t>
  </si>
  <si>
    <t>Net Required Capital @ 99.5%</t>
  </si>
  <si>
    <t>Net Required Capital @ 99.6%</t>
  </si>
  <si>
    <t>ii</t>
  </si>
  <si>
    <t>Stating off-balance sheet itmes get applied to asset risk-other C-1</t>
  </si>
  <si>
    <t>Stating off-balance sheet itmes get applied to C-1 risk</t>
  </si>
  <si>
    <t>Saying the statement is correct</t>
  </si>
  <si>
    <t>Stating the wrong risk category</t>
  </si>
  <si>
    <t>14-15</t>
  </si>
  <si>
    <t>Using the right VaR Confidence level and BCAR assessment.
Showing the BCAR formula</t>
  </si>
  <si>
    <t>Wrong BCAR formula</t>
  </si>
  <si>
    <t>Right BCAR formula but right VaR confidence level but gets the assessment wrong</t>
  </si>
  <si>
    <t>Wrong assessment and BCAR formula</t>
  </si>
  <si>
    <t>Fitch uses predefined and product-specific correlation matrices for each stress level.  This reflects that product charges will perform differently under various scenarios.  Since XYZ offers both UL and VA products there would be a recognition in the correlation matrix that Fitch uses to reduce the risks</t>
  </si>
  <si>
    <t xml:space="preserve">US RBC has a covariance adjustment that gives recognizes correlation between certain risk categories.  It assumes that asset-risk all other and interest rate risk are correlated with each other and asset risk – unaffiliated common stock and affiliated non-insurance stock are correlated with each other.  All of the other risks are independent.  There will be a correlation between the equity and VA risk.  The ULSG will also have a correlation between fixed assets.  </t>
  </si>
  <si>
    <t>Mentioning the correlation matrix and how the UL and VA LOBs would receive a benefit from this</t>
  </si>
  <si>
    <t>Mention of correlation matrix but no comparison of LOBs and others</t>
  </si>
  <si>
    <t>Failure to talk about correlation matrix</t>
  </si>
  <si>
    <t>Covariance adjustment recognized and applied to XYZ's situation.  Stating how it is similar to AM Best</t>
  </si>
  <si>
    <t xml:space="preserve">Covariance adjustment recognized and applied to XYZ's situation.  </t>
  </si>
  <si>
    <t xml:space="preserve">Recognize the square root but not how the risks are correlated and independent </t>
  </si>
  <si>
    <t>Failure to recognize square root diversification</t>
  </si>
  <si>
    <t xml:space="preserve">This is partially correct.  RBC applies to the book value, but rating agencies use market value to determine capital amounts.  RBC won’t recognize unrealized gains and losses, but rating agencies apply an adjustment for these.  The drop in interest rates will have a negative effect on capital for the rating agency framework.  </t>
  </si>
  <si>
    <t>Stating this is partially correct and how RBC calculates asset risk with factors based off book value.  Rating Agencies use market value. Explaining the situation where interest rate drop will affect capital</t>
  </si>
  <si>
    <t xml:space="preserve">Stating this is partially correct and how RBC calculates asset risk with factors based off book value.  Rating Agencies use market value. </t>
  </si>
  <si>
    <t>Stating that it is partially correct but rating agencies use book value</t>
  </si>
  <si>
    <t>Stating the statement is correct</t>
  </si>
  <si>
    <t xml:space="preserve">Stating it is partially correct.  Showing how C-2 risk is applied and c-1 risk </t>
  </si>
  <si>
    <t>C-2 risk is applied but forgetting one part of the NAR calculation.  C-1 risk also applied with risk of default of reinsurer</t>
  </si>
  <si>
    <t>Stating C-2 uses factors that do not affect YRT and C-1 risk is involved</t>
  </si>
  <si>
    <t>A</t>
  </si>
  <si>
    <t>B</t>
  </si>
  <si>
    <t>C</t>
  </si>
  <si>
    <t xml:space="preserve">This is partially correct.  The coinsurance agreement will decrease the C-3 risk, but it will increase the C-1 risk.  Off-balance sheet items, such as the payments XYZ guarantees for its subsidiary, get applied to RBC.  They are captured in the Asset Risk – Other (C-1).  </t>
  </si>
  <si>
    <t>Net Required Capital @ 99.8%</t>
  </si>
  <si>
    <t xml:space="preserve">This is partially correct.  Insurnace risk (C-2) does it get lowered due to a YRT deal, but the factor gets applied to the NAR (net amount at risk) which is the face amount minus reserve minus ceded face.  While C-2 (insurance risk) gets lowered due to YRT, C-1 gets increased due to the risk of the reinsurer going insolvent.  </t>
  </si>
  <si>
    <t>LO2-a, LO3-a</t>
  </si>
  <si>
    <t>Initial Model Response</t>
  </si>
  <si>
    <t>Question#</t>
  </si>
  <si>
    <t>Question:</t>
  </si>
  <si>
    <t>1 a) i)</t>
  </si>
  <si>
    <t>1 a) ii)</t>
  </si>
  <si>
    <t>1 a) iii)</t>
  </si>
  <si>
    <t>1 c) i)</t>
  </si>
  <si>
    <t>1 c) ii)</t>
  </si>
  <si>
    <t>Critique the following statement: Entering into the offshore reinsurance transaction for the variable annuity business will lower XYZ’s total adjusted capital (TAC).  The off-balance sheet items are not applied to the Company Action Level amount.</t>
  </si>
  <si>
    <t>Critique the following statement: XYZ uses book value of bonds for both risk-based capital (RBC) and rating agency capital.  If there is a decrease in interest rates, then there will not be an impact to the available capital on either the RBC or rating agency capital framework.</t>
  </si>
  <si>
    <t>The Company Action Level amount for ULSG business will be lower because the face amount used in the C-2 calculation is lower as a result of the YRT reinsurance.</t>
  </si>
  <si>
    <t xml:space="preserve">Describe how Fitch capital model utilizes diversification among the risks. </t>
  </si>
  <si>
    <t xml:space="preserve">Describe how BRC capital model utilizes diversification among the risks. </t>
  </si>
  <si>
    <t>Recommended Model Response</t>
  </si>
  <si>
    <t>Changes</t>
  </si>
  <si>
    <t>corrected spelling for Insurance risk, grammar</t>
  </si>
  <si>
    <t>No Change</t>
  </si>
  <si>
    <r>
      <t xml:space="preserve">This is partially correct. </t>
    </r>
    <r>
      <rPr>
        <b/>
        <sz val="11"/>
        <color rgb="FFFF0000"/>
        <rFont val="Aptos Narrow"/>
        <family val="2"/>
        <scheme val="minor"/>
      </rPr>
      <t xml:space="preserve"> Insurance</t>
    </r>
    <r>
      <rPr>
        <sz val="11"/>
        <color theme="1"/>
        <rFont val="Aptos Narrow"/>
        <family val="2"/>
        <scheme val="minor"/>
      </rPr>
      <t xml:space="preserve"> risk (C-2) </t>
    </r>
    <r>
      <rPr>
        <b/>
        <sz val="11"/>
        <color rgb="FFFF0000"/>
        <rFont val="Aptos Narrow"/>
        <family val="2"/>
        <scheme val="minor"/>
      </rPr>
      <t>does get</t>
    </r>
    <r>
      <rPr>
        <sz val="11"/>
        <color theme="1"/>
        <rFont val="Aptos Narrow"/>
        <family val="2"/>
        <scheme val="minor"/>
      </rPr>
      <t xml:space="preserve"> lowered due to a YRT deal, but the factor gets applied to the NAR (net amount at risk) which is the face amount minus reserve minus ceded face.  While C-2 (insurance risk) gets lowered due to YRT, C-1 gets increased due to the risk of the reinsurer going insolvent.  </t>
    </r>
  </si>
  <si>
    <t>added TAC reference (somewhat generic)</t>
  </si>
  <si>
    <r>
      <t xml:space="preserve">This is partially correct.  </t>
    </r>
    <r>
      <rPr>
        <b/>
        <sz val="11"/>
        <color rgb="FFFF0000"/>
        <rFont val="Aptos Narrow"/>
        <family val="2"/>
        <scheme val="minor"/>
      </rPr>
      <t>TAC impact depends on supporting information related to reinsurance agreement.</t>
    </r>
    <r>
      <rPr>
        <sz val="11"/>
        <color theme="1"/>
        <rFont val="Aptos Narrow"/>
        <family val="2"/>
        <scheme val="minor"/>
      </rPr>
      <t xml:space="preserve"> The coinsurance agreement will decrease the C-3 risk, but it will increase the C-1 risk.  Off-balance sheet items, such as the payments XYZ guarantees for its subsidiary, get applied to RBC.  They are captured in the Asset Risk – Other (C-1).  </t>
    </r>
  </si>
  <si>
    <t xml:space="preserve"> (represents tail risk)</t>
  </si>
  <si>
    <t>corrected grammar</t>
  </si>
  <si>
    <r>
      <t xml:space="preserve">US RBC has a covariance adjustment </t>
    </r>
    <r>
      <rPr>
        <b/>
        <sz val="11"/>
        <color rgb="FFFF0000"/>
        <rFont val="Aptos Narrow"/>
        <family val="2"/>
        <scheme val="minor"/>
      </rPr>
      <t>that recognizes</t>
    </r>
    <r>
      <rPr>
        <sz val="11"/>
        <color theme="1"/>
        <rFont val="Aptos Narrow"/>
        <family val="2"/>
        <scheme val="minor"/>
      </rPr>
      <t xml:space="preserve"> correlation between certain risk categories.  It assumes that asset-risk all other and interest rate risk are correlated with each other and asset risk – unaffiliated common stock and affiliated non-insurance stock are correlated with each other.  All of the other risks are independent.  There will be a correlation between the equity and VA risk.  The ULSG will also have a correlation between fixed assets.  </t>
    </r>
  </si>
  <si>
    <t>(Strong rating if greater than 0 and less than 10 @ 99.6%)</t>
  </si>
  <si>
    <t>(changes from original model solution noted in red)</t>
  </si>
  <si>
    <t>Scenario Reserve</t>
  </si>
  <si>
    <t>Date ---&gt;</t>
  </si>
  <si>
    <t>iii. (1 point) Scenario Reserve (valuation date only)</t>
  </si>
  <si>
    <t>PV Accumulated Deficiencies</t>
  </si>
  <si>
    <t>ii.  PV Accumulated Deficiencies</t>
  </si>
  <si>
    <t>VM-21 Discount Factor</t>
  </si>
  <si>
    <t>i.  VM-21 Discount Factor</t>
  </si>
  <si>
    <t>c. (3 points) Calculate the following VM21 values over the 12-year projection</t>
  </si>
  <si>
    <t>Separate account assets</t>
  </si>
  <si>
    <t>ii. (2 points) Separate account assets</t>
  </si>
  <si>
    <t>General account assets</t>
  </si>
  <si>
    <t>i. (2 points) General account assets</t>
  </si>
  <si>
    <t>Pre-Tax Profits</t>
  </si>
  <si>
    <t>i. (1 point) Pre-Tax Profits</t>
  </si>
  <si>
    <t>b. (5 points) Calculate the following balance sheet items over the 12-year projection</t>
  </si>
  <si>
    <t>Scenario 1-year Treasury Rates</t>
  </si>
  <si>
    <t>Scenario NAER</t>
  </si>
  <si>
    <t>S&amp;P 500 Scenario Returns</t>
  </si>
  <si>
    <t>Total Benefits and Expenses</t>
  </si>
  <si>
    <t>Net Transfers to (from) separate accounts</t>
  </si>
  <si>
    <t>Benefits and Expenses (excl separate acct transfers)</t>
  </si>
  <si>
    <t>Benefits and Expenses</t>
  </si>
  <si>
    <t>Total Revenue (Premium, Investment Income, etc)</t>
  </si>
  <si>
    <t>Projected Income Statement</t>
  </si>
  <si>
    <t>End of Period</t>
  </si>
  <si>
    <t>Beginning of Period</t>
  </si>
  <si>
    <t>Multiply by 100,000/1000</t>
  </si>
  <si>
    <t xml:space="preserve">Present Value of Death Benefits - Present Value of Net Premiums </t>
  </si>
  <si>
    <t>P*ä (43)+3: [10-3]=</t>
  </si>
  <si>
    <t>Present Value of Net Premiums at t = 3</t>
  </si>
  <si>
    <t xml:space="preserve">A(3) = </t>
  </si>
  <si>
    <t>Present Value of Death Benefits at t = 3</t>
  </si>
  <si>
    <t>Step 3: Calculate Reserve at t =3</t>
  </si>
  <si>
    <t>if 10 &lt;= t</t>
  </si>
  <si>
    <t>if 0 &lt; t &lt; 10</t>
  </si>
  <si>
    <t>P =</t>
  </si>
  <si>
    <t>if t = 0</t>
  </si>
  <si>
    <t>Calculate CARVM Net Premiums</t>
  </si>
  <si>
    <t>PE =</t>
  </si>
  <si>
    <t>Calculate Portion of Premium used to Amortize Expense Allowance</t>
  </si>
  <si>
    <t>PB =</t>
  </si>
  <si>
    <t>Calculate Net Level Premium using NLP method</t>
  </si>
  <si>
    <t>Step 2: Calculate Net Premiums</t>
  </si>
  <si>
    <t>CRVM Expense Allowance = min (FPT Expense Allowance, FPT Expense Allowance for 20-Pay Limited Pay Life Contract)</t>
  </si>
  <si>
    <t xml:space="preserve">Calculate FPT Expense Allowance for 20-pay Limited Pay Life Contract </t>
  </si>
  <si>
    <t>Calculate FPT Expense Allowance</t>
  </si>
  <si>
    <t>c(43) =</t>
  </si>
  <si>
    <t>First year cost of insurance</t>
  </si>
  <si>
    <t>v =</t>
  </si>
  <si>
    <t>Step 1: Calculate Expense Allowance</t>
  </si>
  <si>
    <t>Calculate the CRVM basic reserve at the end of policy year 3.  Show all work.</t>
  </si>
  <si>
    <r>
      <t>ä</t>
    </r>
    <r>
      <rPr>
        <vertAlign val="subscript"/>
        <sz val="12"/>
        <color theme="1"/>
        <rFont val="Times New Roman"/>
        <family val="1"/>
      </rPr>
      <t xml:space="preserve"> (43)+t:[10-t]</t>
    </r>
  </si>
  <si>
    <r>
      <t>ä</t>
    </r>
    <r>
      <rPr>
        <vertAlign val="subscript"/>
        <sz val="12"/>
        <color theme="1"/>
        <rFont val="Times New Roman"/>
        <family val="1"/>
      </rPr>
      <t xml:space="preserve"> (43)+t:[20-t]</t>
    </r>
  </si>
  <si>
    <r>
      <t>ä</t>
    </r>
    <r>
      <rPr>
        <vertAlign val="subscript"/>
        <sz val="12"/>
        <color theme="1"/>
        <rFont val="Times New Roman"/>
        <family val="1"/>
      </rPr>
      <t>(43)+t</t>
    </r>
  </si>
  <si>
    <r>
      <t>1000A</t>
    </r>
    <r>
      <rPr>
        <vertAlign val="subscript"/>
        <sz val="12"/>
        <color theme="1"/>
        <rFont val="Times New Roman"/>
        <family val="1"/>
      </rPr>
      <t>(43)+t</t>
    </r>
  </si>
  <si>
    <r>
      <t>1000q</t>
    </r>
    <r>
      <rPr>
        <vertAlign val="subscript"/>
        <sz val="12"/>
        <color theme="1"/>
        <rFont val="Times New Roman"/>
        <family val="1"/>
      </rPr>
      <t>(43)+t</t>
    </r>
  </si>
  <si>
    <t>Attained Age</t>
  </si>
  <si>
    <t>t</t>
  </si>
  <si>
    <r>
      <rPr>
        <sz val="7"/>
        <color theme="1"/>
        <rFont val="Times New Roman"/>
        <family val="1"/>
      </rPr>
      <t xml:space="preserve"> </t>
    </r>
    <r>
      <rPr>
        <sz val="12"/>
        <color theme="1"/>
        <rFont val="Times New Roman"/>
        <family val="1"/>
      </rPr>
      <t>Statutory valuation rate is 3.5%.</t>
    </r>
  </si>
  <si>
    <t>Death benefit is 100,000 and paid at the end of the policy year.</t>
  </si>
  <si>
    <t>Level annual premiums, paid at the beginning of each policy year for ten years.</t>
  </si>
  <si>
    <t>Issue age is 43</t>
  </si>
  <si>
    <r>
      <rPr>
        <i/>
        <sz val="11"/>
        <color theme="1"/>
        <rFont val="Times New Roman"/>
        <family val="1"/>
      </rPr>
      <t xml:space="preserve">(a) (6 points) </t>
    </r>
    <r>
      <rPr>
        <sz val="11"/>
        <color theme="1"/>
        <rFont val="Times New Roman"/>
        <family val="1"/>
      </rPr>
      <t xml:space="preserve"> You are given the following information for a 10-pay whole life policy</t>
    </r>
  </si>
  <si>
    <t>Question 3</t>
  </si>
  <si>
    <t>&lt;- Deferred Premium Asset is 0 when using mid-terminal reserves or if the premium mode is annual</t>
  </si>
  <si>
    <t xml:space="preserve">Deferred Premium Asset </t>
  </si>
  <si>
    <t xml:space="preserve">(i) (0.5 points)  Deferred premium asset </t>
  </si>
  <si>
    <t>Calculatee the following. Show all work.</t>
  </si>
  <si>
    <t>Annual Net Premium = $500</t>
  </si>
  <si>
    <t>Annual Gross Premium = $600</t>
  </si>
  <si>
    <t xml:space="preserve">Mid-terminal CRVM reserves are held. </t>
  </si>
  <si>
    <t>Premiums are paid annually at the beginning of the policy year</t>
  </si>
  <si>
    <r>
      <t xml:space="preserve">b)      </t>
    </r>
    <r>
      <rPr>
        <i/>
        <sz val="11"/>
        <color theme="1"/>
        <rFont val="Times New Roman"/>
        <family val="1"/>
      </rPr>
      <t xml:space="preserve">(1 points) </t>
    </r>
    <r>
      <rPr>
        <sz val="11"/>
        <color theme="1"/>
        <rFont val="Times New Roman"/>
        <family val="1"/>
      </rPr>
      <t xml:space="preserve">Given the following information for a level pay whole life policy where the next policy anniversary is 6 months after the valuation date: </t>
    </r>
  </si>
  <si>
    <t>The unearned premium liability is equal to the net modal premium x number of months between the valuation date and the next premium payment date / number of months in premium mode.</t>
  </si>
  <si>
    <t>The unearned premium liability is the portion of the premium paid, but not yet earned, or</t>
  </si>
  <si>
    <t xml:space="preserve">Unearned Net Premium Liability </t>
  </si>
  <si>
    <r>
      <t>(ii)</t>
    </r>
    <r>
      <rPr>
        <sz val="7"/>
        <color theme="1"/>
        <rFont val="Times New Roman"/>
        <family val="1"/>
      </rPr>
      <t xml:space="preserve"> </t>
    </r>
    <r>
      <rPr>
        <sz val="12"/>
        <color theme="1"/>
        <rFont val="Times New Roman"/>
        <family val="1"/>
      </rPr>
      <t>(</t>
    </r>
    <r>
      <rPr>
        <i/>
        <sz val="12"/>
        <color theme="1"/>
        <rFont val="Times New Roman"/>
        <family val="1"/>
      </rPr>
      <t>0.5 points</t>
    </r>
    <r>
      <rPr>
        <sz val="12"/>
        <color theme="1"/>
        <rFont val="Times New Roman"/>
        <family val="1"/>
      </rPr>
      <t>)  Unearned net premium liability</t>
    </r>
  </si>
  <si>
    <t>Solution above assumes fees are paid at the beginning of the year</t>
  </si>
  <si>
    <t>Valuation IR</t>
  </si>
  <si>
    <t>(Valuation is based on Risk Free Rate + Own Credit Risk)</t>
  </si>
  <si>
    <t>PV Excess Benefits</t>
  </si>
  <si>
    <t>PV Fees</t>
  </si>
  <si>
    <t>MRB Liab</t>
  </si>
  <si>
    <t>Locked-In AF %</t>
  </si>
  <si>
    <t>Avg PV Excess Bens</t>
  </si>
  <si>
    <t>Avg PV Fees</t>
  </si>
  <si>
    <t>Surv</t>
  </si>
  <si>
    <t>(Exp * Surv * qx)</t>
  </si>
  <si>
    <t xml:space="preserve"> (Fees * Surv)</t>
  </si>
  <si>
    <t>Expected EOY Excess Benefits</t>
  </si>
  <si>
    <t>Expected GMDB Exposure</t>
  </si>
  <si>
    <t>Expected BOY Fees</t>
  </si>
  <si>
    <t>To calculate MRB Liability at EOY 1, we must recalculate the average PV of Fees and Excess benefits, BUT, we must use the at Issue Locked in AF %</t>
  </si>
  <si>
    <t>ANSWER:</t>
  </si>
  <si>
    <r>
      <t>Calculate the MRB liability at the end of Year 1.</t>
    </r>
    <r>
      <rPr>
        <b/>
        <sz val="12"/>
        <color theme="1"/>
        <rFont val="Times New Roman"/>
        <family val="1"/>
      </rPr>
      <t xml:space="preserve">  </t>
    </r>
    <r>
      <rPr>
        <sz val="12"/>
        <color theme="1"/>
        <rFont val="Times New Roman"/>
        <family val="1"/>
      </rPr>
      <t>Show all work.</t>
    </r>
  </si>
  <si>
    <t>Acct Value</t>
  </si>
  <si>
    <t>Fees</t>
  </si>
  <si>
    <t>Acct Growth</t>
  </si>
  <si>
    <t>Seperate Account Return</t>
  </si>
  <si>
    <t>GMDB Rollup</t>
  </si>
  <si>
    <t>Deposit</t>
  </si>
  <si>
    <t>Policy Year</t>
  </si>
  <si>
    <t>Mortality Rate</t>
  </si>
  <si>
    <t>Scenario C</t>
  </si>
  <si>
    <t>Scenario B</t>
  </si>
  <si>
    <t>Scenario A</t>
  </si>
  <si>
    <t>At Year 1</t>
  </si>
  <si>
    <r>
      <t>(b)</t>
    </r>
    <r>
      <rPr>
        <sz val="7"/>
        <rFont val="Times New Roman"/>
        <family val="1"/>
      </rPr>
      <t xml:space="preserve"> </t>
    </r>
    <r>
      <rPr>
        <sz val="12"/>
        <rFont val="Times New Roman"/>
        <family val="1"/>
      </rPr>
      <t>(</t>
    </r>
    <r>
      <rPr>
        <i/>
        <sz val="12"/>
        <rFont val="Times New Roman"/>
        <family val="1"/>
      </rPr>
      <t>2 points</t>
    </r>
    <r>
      <rPr>
        <sz val="12"/>
        <rFont val="Times New Roman"/>
        <family val="1"/>
      </rPr>
      <t>)  You are given an updated projection reflecting the actual 10% market growth during year 1 in Excel.</t>
    </r>
  </si>
  <si>
    <t>AF %</t>
  </si>
  <si>
    <t>Avg PV Excess Ben</t>
  </si>
  <si>
    <t>Calculate the Market Risk Benefit (MRB) liability at issue.  Show all work.</t>
  </si>
  <si>
    <t>At Issue</t>
  </si>
  <si>
    <r>
      <t>(a)</t>
    </r>
    <r>
      <rPr>
        <sz val="7"/>
        <color theme="1"/>
        <rFont val="Times New Roman"/>
        <family val="1"/>
      </rPr>
      <t xml:space="preserve"> </t>
    </r>
    <r>
      <rPr>
        <sz val="12"/>
        <color theme="1"/>
        <rFont val="Times New Roman"/>
        <family val="1"/>
      </rPr>
      <t>(</t>
    </r>
    <r>
      <rPr>
        <i/>
        <sz val="12"/>
        <color theme="1"/>
        <rFont val="Times New Roman"/>
        <family val="1"/>
      </rPr>
      <t>4 points</t>
    </r>
    <r>
      <rPr>
        <sz val="12"/>
        <color theme="1"/>
        <rFont val="Times New Roman"/>
        <family val="1"/>
      </rPr>
      <t>)  You are given the projections at issue for 3 scenarios in Excel.</t>
    </r>
  </si>
  <si>
    <r>
      <t>·</t>
    </r>
    <r>
      <rPr>
        <sz val="7"/>
        <color theme="1"/>
        <rFont val="Times New Roman"/>
        <family val="1"/>
      </rPr>
      <t xml:space="preserve">       </t>
    </r>
    <r>
      <rPr>
        <sz val="12"/>
        <color theme="1"/>
        <rFont val="Times New Roman"/>
        <family val="1"/>
      </rPr>
      <t xml:space="preserve">Ignore reinsurance and derivatives. </t>
    </r>
  </si>
  <si>
    <r>
      <t>·</t>
    </r>
    <r>
      <rPr>
        <sz val="7"/>
        <color theme="1"/>
        <rFont val="Times New Roman"/>
        <family val="1"/>
      </rPr>
      <t xml:space="preserve">       </t>
    </r>
    <r>
      <rPr>
        <sz val="12"/>
        <color theme="1"/>
        <rFont val="Times New Roman"/>
        <family val="1"/>
      </rPr>
      <t xml:space="preserve">3 scenarios are sufficient to cover the range of market conditions. </t>
    </r>
  </si>
  <si>
    <r>
      <t>·</t>
    </r>
    <r>
      <rPr>
        <sz val="7"/>
        <color theme="1"/>
        <rFont val="Times New Roman"/>
        <family val="1"/>
      </rPr>
      <t xml:space="preserve">       </t>
    </r>
    <r>
      <rPr>
        <sz val="12"/>
        <color theme="1"/>
        <rFont val="Times New Roman"/>
        <family val="1"/>
      </rPr>
      <t>Assume all contracts mature in 10 years.</t>
    </r>
  </si>
  <si>
    <r>
      <t>·</t>
    </r>
    <r>
      <rPr>
        <sz val="7"/>
        <color theme="1"/>
        <rFont val="Times New Roman"/>
        <family val="1"/>
      </rPr>
      <t xml:space="preserve">       </t>
    </r>
    <r>
      <rPr>
        <sz val="12"/>
        <color theme="1"/>
        <rFont val="Times New Roman"/>
        <family val="1"/>
      </rPr>
      <t>Projected values are as of the end of the year.</t>
    </r>
  </si>
  <si>
    <r>
      <t>·</t>
    </r>
    <r>
      <rPr>
        <sz val="7"/>
        <color theme="1"/>
        <rFont val="Times New Roman"/>
        <family val="1"/>
      </rPr>
      <t xml:space="preserve">       </t>
    </r>
    <r>
      <rPr>
        <sz val="12"/>
        <color theme="1"/>
        <rFont val="Times New Roman"/>
        <family val="1"/>
      </rPr>
      <t>NAER, OCA and Risk-free rate are assumed constant over the life of the contracts.</t>
    </r>
  </si>
  <si>
    <t>For simplicity:</t>
  </si>
  <si>
    <r>
      <t>·</t>
    </r>
    <r>
      <rPr>
        <sz val="7"/>
        <color theme="1"/>
        <rFont val="Times New Roman"/>
        <family val="1"/>
      </rPr>
      <t xml:space="preserve">       </t>
    </r>
    <r>
      <rPr>
        <sz val="12"/>
        <color theme="1"/>
        <rFont val="Times New Roman"/>
        <family val="1"/>
      </rPr>
      <t>GMDB benefit base roll up = 5.00%</t>
    </r>
  </si>
  <si>
    <r>
      <t>·</t>
    </r>
    <r>
      <rPr>
        <sz val="7"/>
        <color theme="1"/>
        <rFont val="Times New Roman"/>
        <family val="1"/>
      </rPr>
      <t xml:space="preserve">       </t>
    </r>
    <r>
      <rPr>
        <sz val="12"/>
        <color theme="1"/>
        <rFont val="Times New Roman"/>
        <family val="1"/>
      </rPr>
      <t>Rider fee = 1.50%</t>
    </r>
  </si>
  <si>
    <r>
      <t>·</t>
    </r>
    <r>
      <rPr>
        <sz val="7"/>
        <color theme="1"/>
        <rFont val="Times New Roman"/>
        <family val="1"/>
      </rPr>
      <t xml:space="preserve">       </t>
    </r>
    <r>
      <rPr>
        <sz val="12"/>
        <color theme="1"/>
        <rFont val="Times New Roman"/>
        <family val="1"/>
      </rPr>
      <t>Risk-free rate = 3.50%</t>
    </r>
  </si>
  <si>
    <r>
      <t>·</t>
    </r>
    <r>
      <rPr>
        <sz val="7"/>
        <color theme="1"/>
        <rFont val="Times New Roman"/>
        <family val="1"/>
      </rPr>
      <t xml:space="preserve">       </t>
    </r>
    <r>
      <rPr>
        <sz val="12"/>
        <color theme="1"/>
        <rFont val="Times New Roman"/>
        <family val="1"/>
      </rPr>
      <t>Own credit adjustment (OCA) = 0.25%</t>
    </r>
  </si>
  <si>
    <r>
      <t>·</t>
    </r>
    <r>
      <rPr>
        <sz val="7"/>
        <color theme="1"/>
        <rFont val="Times New Roman"/>
        <family val="1"/>
      </rPr>
      <t xml:space="preserve">       </t>
    </r>
    <r>
      <rPr>
        <sz val="12"/>
        <color theme="1"/>
        <rFont val="Times New Roman"/>
        <family val="1"/>
      </rPr>
      <t>Net asset earned rate (NAER) = 5.50%</t>
    </r>
  </si>
  <si>
    <t>You are given the following for a variable annuity contract with a GMDB rider:</t>
  </si>
  <si>
    <t>Responses for parts (a) and (b) are to be provided in this tab.</t>
  </si>
  <si>
    <t>Responses for parts (c) and (d) are to be provided in the Word document.</t>
  </si>
  <si>
    <t>QUESTION 5 (a) and (b)</t>
  </si>
  <si>
    <t>This alternative solution assumes fees are paid at the end of the year</t>
  </si>
  <si>
    <t>Locked-In AFR %</t>
  </si>
  <si>
    <t>Expected EOY Fees</t>
  </si>
  <si>
    <r>
      <rPr>
        <sz val="12"/>
        <color theme="1"/>
        <rFont val="Times New Roman"/>
      </rPr>
      <t>Calculate the MRB liability at the end of Year 1.</t>
    </r>
    <r>
      <rPr>
        <b/>
        <sz val="12"/>
        <color theme="1"/>
        <rFont val="Times New Roman"/>
      </rPr>
      <t xml:space="preserve">  </t>
    </r>
    <r>
      <rPr>
        <sz val="12"/>
        <color theme="1"/>
        <rFont val="Times New Roman"/>
      </rPr>
      <t>Show all work.</t>
    </r>
  </si>
  <si>
    <r>
      <rPr>
        <sz val="12"/>
        <color theme="1"/>
        <rFont val="Times New Roman"/>
      </rPr>
      <t>(b)</t>
    </r>
    <r>
      <rPr>
        <sz val="7"/>
        <color theme="1"/>
        <rFont val="Times New Roman"/>
      </rPr>
      <t xml:space="preserve"> </t>
    </r>
    <r>
      <rPr>
        <sz val="12"/>
        <color theme="1"/>
        <rFont val="Times New Roman"/>
      </rPr>
      <t>(</t>
    </r>
    <r>
      <rPr>
        <i/>
        <sz val="12"/>
        <color theme="1"/>
        <rFont val="Times New Roman"/>
      </rPr>
      <t>2 points</t>
    </r>
    <r>
      <rPr>
        <sz val="12"/>
        <color theme="1"/>
        <rFont val="Times New Roman"/>
      </rPr>
      <t>)  You are given an updated projection reflecting the actual 10% market growth during year 1 in Excel.</t>
    </r>
  </si>
  <si>
    <r>
      <rPr>
        <sz val="12"/>
        <color theme="1"/>
        <rFont val="Times New Roman"/>
      </rPr>
      <t>(a)</t>
    </r>
    <r>
      <rPr>
        <sz val="7"/>
        <color theme="1"/>
        <rFont val="Times New Roman"/>
      </rPr>
      <t xml:space="preserve"> </t>
    </r>
    <r>
      <rPr>
        <sz val="12"/>
        <color theme="1"/>
        <rFont val="Times New Roman"/>
      </rPr>
      <t>(</t>
    </r>
    <r>
      <rPr>
        <i/>
        <sz val="12"/>
        <color theme="1"/>
        <rFont val="Times New Roman"/>
      </rPr>
      <t>4 points</t>
    </r>
    <r>
      <rPr>
        <sz val="12"/>
        <color theme="1"/>
        <rFont val="Times New Roman"/>
      </rPr>
      <t>)  You are given the projections at issue for 3 scenarios in Excel.</t>
    </r>
  </si>
  <si>
    <r>
      <rPr>
        <sz val="12"/>
        <color theme="1"/>
        <rFont val="Noto Sans Symbols"/>
      </rPr>
      <t>·</t>
    </r>
    <r>
      <rPr>
        <sz val="7"/>
        <color theme="1"/>
        <rFont val="Times New Roman"/>
      </rPr>
      <t xml:space="preserve">       </t>
    </r>
    <r>
      <rPr>
        <sz val="12"/>
        <color theme="1"/>
        <rFont val="Times New Roman"/>
      </rPr>
      <t xml:space="preserve">Ignore reinsurance and derivatives. </t>
    </r>
  </si>
  <si>
    <r>
      <rPr>
        <sz val="12"/>
        <color theme="1"/>
        <rFont val="Noto Sans Symbols"/>
      </rPr>
      <t>·</t>
    </r>
    <r>
      <rPr>
        <sz val="7"/>
        <color theme="1"/>
        <rFont val="Times New Roman"/>
      </rPr>
      <t xml:space="preserve">       </t>
    </r>
    <r>
      <rPr>
        <sz val="12"/>
        <color theme="1"/>
        <rFont val="Times New Roman"/>
      </rPr>
      <t xml:space="preserve">3 scenarios are sufficient to cover the range of market conditions. </t>
    </r>
  </si>
  <si>
    <r>
      <rPr>
        <sz val="12"/>
        <color theme="1"/>
        <rFont val="Noto Sans Symbols"/>
      </rPr>
      <t>·</t>
    </r>
    <r>
      <rPr>
        <sz val="7"/>
        <color theme="1"/>
        <rFont val="Times New Roman"/>
      </rPr>
      <t xml:space="preserve">       </t>
    </r>
    <r>
      <rPr>
        <sz val="12"/>
        <color theme="1"/>
        <rFont val="Times New Roman"/>
      </rPr>
      <t>Assume all contracts mature in 10 years.</t>
    </r>
  </si>
  <si>
    <r>
      <rPr>
        <sz val="12"/>
        <color theme="1"/>
        <rFont val="Noto Sans Symbols"/>
      </rPr>
      <t>·</t>
    </r>
    <r>
      <rPr>
        <sz val="7"/>
        <color theme="1"/>
        <rFont val="Times New Roman"/>
      </rPr>
      <t xml:space="preserve">       </t>
    </r>
    <r>
      <rPr>
        <sz val="12"/>
        <color theme="1"/>
        <rFont val="Times New Roman"/>
      </rPr>
      <t>Projected values are as of the end of the year.</t>
    </r>
  </si>
  <si>
    <r>
      <rPr>
        <sz val="12"/>
        <color theme="1"/>
        <rFont val="Noto Sans Symbols"/>
      </rPr>
      <t>·</t>
    </r>
    <r>
      <rPr>
        <sz val="7"/>
        <color theme="1"/>
        <rFont val="Times New Roman"/>
      </rPr>
      <t xml:space="preserve">       </t>
    </r>
    <r>
      <rPr>
        <sz val="12"/>
        <color theme="1"/>
        <rFont val="Times New Roman"/>
      </rPr>
      <t>NAER, OCA and Risk-free rate are assumed constant over the life of the contracts.</t>
    </r>
  </si>
  <si>
    <r>
      <rPr>
        <sz val="12"/>
        <color theme="1"/>
        <rFont val="Noto Sans Symbols"/>
      </rPr>
      <t>·</t>
    </r>
    <r>
      <rPr>
        <sz val="7"/>
        <color theme="1"/>
        <rFont val="Times New Roman"/>
      </rPr>
      <t xml:space="preserve">       </t>
    </r>
    <r>
      <rPr>
        <sz val="12"/>
        <color theme="1"/>
        <rFont val="Times New Roman"/>
      </rPr>
      <t>GMDB benefit base roll up = 5.00%</t>
    </r>
  </si>
  <si>
    <r>
      <rPr>
        <sz val="12"/>
        <color theme="1"/>
        <rFont val="Noto Sans Symbols"/>
      </rPr>
      <t>·</t>
    </r>
    <r>
      <rPr>
        <sz val="7"/>
        <color theme="1"/>
        <rFont val="Times New Roman"/>
      </rPr>
      <t xml:space="preserve">       </t>
    </r>
    <r>
      <rPr>
        <sz val="12"/>
        <color theme="1"/>
        <rFont val="Times New Roman"/>
      </rPr>
      <t>Rider fee = 1.50%</t>
    </r>
  </si>
  <si>
    <r>
      <rPr>
        <sz val="12"/>
        <color theme="1"/>
        <rFont val="Noto Sans Symbols"/>
      </rPr>
      <t>·</t>
    </r>
    <r>
      <rPr>
        <sz val="7"/>
        <color theme="1"/>
        <rFont val="Times New Roman"/>
      </rPr>
      <t xml:space="preserve">       </t>
    </r>
    <r>
      <rPr>
        <sz val="12"/>
        <color theme="1"/>
        <rFont val="Times New Roman"/>
      </rPr>
      <t>Risk-free rate = 3.50%</t>
    </r>
  </si>
  <si>
    <r>
      <rPr>
        <sz val="12"/>
        <color theme="1"/>
        <rFont val="Noto Sans Symbols"/>
      </rPr>
      <t>·</t>
    </r>
    <r>
      <rPr>
        <sz val="7"/>
        <color theme="1"/>
        <rFont val="Times New Roman"/>
      </rPr>
      <t xml:space="preserve">       </t>
    </r>
    <r>
      <rPr>
        <sz val="12"/>
        <color theme="1"/>
        <rFont val="Times New Roman"/>
      </rPr>
      <t>Own credit adjustment (OCA) = 0.25%</t>
    </r>
  </si>
  <si>
    <r>
      <rPr>
        <sz val="12"/>
        <color theme="1"/>
        <rFont val="Noto Sans Symbols"/>
      </rPr>
      <t>·</t>
    </r>
    <r>
      <rPr>
        <sz val="7"/>
        <color theme="1"/>
        <rFont val="Times New Roman"/>
      </rPr>
      <t xml:space="preserve">       </t>
    </r>
    <r>
      <rPr>
        <sz val="12"/>
        <color theme="1"/>
        <rFont val="Times New Roman"/>
      </rPr>
      <t>Net asset earned rate (NAER) = 5.50%</t>
    </r>
  </si>
  <si>
    <t xml:space="preserve">VNB of $30 million is not part of the EV calculation </t>
  </si>
  <si>
    <t>EV = ANW + IBV  = 1,000 + 269.14</t>
  </si>
  <si>
    <t>Explicit</t>
  </si>
  <si>
    <t>EV = ANW + IBV  = 1,000 + 269.62</t>
  </si>
  <si>
    <t>Implicit</t>
  </si>
  <si>
    <t>ANW is the realizable value of capital and surplus =</t>
  </si>
  <si>
    <t>Required Capital =</t>
  </si>
  <si>
    <t>Free Surplus = Surplus - Required Capital = 1,000 - 360 =</t>
  </si>
  <si>
    <t>Adjusted net worth = required capital + free surplus</t>
  </si>
  <si>
    <t xml:space="preserve">EV = ANW + IBV </t>
  </si>
  <si>
    <t>Calculate the Embedded Value at time 0.  Show all work.</t>
  </si>
  <si>
    <r>
      <t>(c) (</t>
    </r>
    <r>
      <rPr>
        <i/>
        <sz val="12"/>
        <color theme="1"/>
        <rFont val="Times New Roman"/>
        <family val="1"/>
      </rPr>
      <t>2 points</t>
    </r>
    <r>
      <rPr>
        <sz val="12"/>
        <color theme="1"/>
        <rFont val="Times New Roman"/>
        <family val="1"/>
      </rPr>
      <t>)  Assume the current book value of assets equals the realizable market value.</t>
    </r>
  </si>
  <si>
    <t>This item uses the results from parts I and ii to calculate:</t>
  </si>
  <si>
    <t xml:space="preserve"> IBV = PV of Book Profit  − PVCoC</t>
  </si>
  <si>
    <t>Formula for IBV:</t>
  </si>
  <si>
    <t xml:space="preserve"> </t>
  </si>
  <si>
    <r>
      <t>(iii)</t>
    </r>
    <r>
      <rPr>
        <sz val="7"/>
        <color theme="1"/>
        <rFont val="Times New Roman"/>
        <family val="1"/>
      </rPr>
      <t> </t>
    </r>
    <r>
      <rPr>
        <sz val="12"/>
        <color rgb="FF000000"/>
        <rFont val="Times New Roman"/>
        <family val="1"/>
      </rPr>
      <t>(</t>
    </r>
    <r>
      <rPr>
        <i/>
        <sz val="12"/>
        <color rgb="FF000000"/>
        <rFont val="Times New Roman"/>
        <family val="1"/>
      </rPr>
      <t>1 point</t>
    </r>
    <r>
      <rPr>
        <sz val="12"/>
        <color rgb="FF000000"/>
        <rFont val="Times New Roman"/>
        <family val="1"/>
      </rPr>
      <t xml:space="preserve">) </t>
    </r>
    <r>
      <rPr>
        <sz val="12"/>
        <color theme="1"/>
        <rFont val="Times New Roman"/>
        <family val="1"/>
      </rPr>
      <t xml:space="preserve"> Inforce Business Value</t>
    </r>
  </si>
  <si>
    <t>PV of CoC</t>
  </si>
  <si>
    <t>Disc CoC (t)</t>
  </si>
  <si>
    <t>Cost of Capital</t>
  </si>
  <si>
    <t>RDR_d(t) - i(t)</t>
  </si>
  <si>
    <t>RDR_e - i(t)</t>
  </si>
  <si>
    <t>Required Capital - Debt</t>
  </si>
  <si>
    <t>Required Capital - Equity</t>
  </si>
  <si>
    <t xml:space="preserve">Explicit Approach: </t>
  </si>
  <si>
    <t>Discounted CoC (t)</t>
  </si>
  <si>
    <t>Cost of Capital = RC * [ RDR - i(t) ]</t>
  </si>
  <si>
    <t>Total Required Capital</t>
  </si>
  <si>
    <t>RDR</t>
  </si>
  <si>
    <t xml:space="preserve">Implicit Approach: </t>
  </si>
  <si>
    <t>Two Methods are shown:</t>
  </si>
  <si>
    <r>
      <t>(ii)</t>
    </r>
    <r>
      <rPr>
        <sz val="7"/>
        <color theme="1"/>
        <rFont val="Times New Roman"/>
        <family val="1"/>
      </rPr>
      <t xml:space="preserve">  </t>
    </r>
    <r>
      <rPr>
        <sz val="12"/>
        <color rgb="FF000000"/>
        <rFont val="Times New Roman"/>
        <family val="1"/>
      </rPr>
      <t>(</t>
    </r>
    <r>
      <rPr>
        <i/>
        <sz val="12"/>
        <color rgb="FF000000"/>
        <rFont val="Times New Roman"/>
        <family val="1"/>
      </rPr>
      <t>1.5 points</t>
    </r>
    <r>
      <rPr>
        <sz val="12"/>
        <color rgb="FF000000"/>
        <rFont val="Times New Roman"/>
        <family val="1"/>
      </rPr>
      <t xml:space="preserve">) </t>
    </r>
    <r>
      <rPr>
        <sz val="12"/>
        <color theme="1"/>
        <rFont val="Times New Roman"/>
        <family val="1"/>
      </rPr>
      <t xml:space="preserve"> Value of Cost of Capital</t>
    </r>
  </si>
  <si>
    <t>PVBP</t>
  </si>
  <si>
    <t>RDR WACC</t>
  </si>
  <si>
    <t>RDR CAPM</t>
  </si>
  <si>
    <t>Discounted Book Profit  @RDR_WACC</t>
  </si>
  <si>
    <t>Discounted Book Profit  @RDR_CAPM</t>
  </si>
  <si>
    <t>Book Profit = Surplus@t  − Surplus @[t-1] * (1 + i )</t>
  </si>
  <si>
    <t>i  post-tax return on assets supporting surplus</t>
  </si>
  <si>
    <t xml:space="preserve"> Rate of return on invested assets backing surplus, post-tax =</t>
  </si>
  <si>
    <t>Required Capital</t>
  </si>
  <si>
    <t>Surplus</t>
  </si>
  <si>
    <t xml:space="preserve">Time (t) </t>
  </si>
  <si>
    <r>
      <t>(i)</t>
    </r>
    <r>
      <rPr>
        <sz val="7"/>
        <color theme="1"/>
        <rFont val="Times New Roman"/>
        <family val="1"/>
      </rPr>
      <t>  </t>
    </r>
    <r>
      <rPr>
        <sz val="12"/>
        <color rgb="FF000000"/>
        <rFont val="Times New Roman"/>
        <family val="1"/>
      </rPr>
      <t>(</t>
    </r>
    <r>
      <rPr>
        <i/>
        <sz val="12"/>
        <color rgb="FF000000"/>
        <rFont val="Times New Roman"/>
        <family val="1"/>
      </rPr>
      <t>1.5 points</t>
    </r>
    <r>
      <rPr>
        <sz val="12"/>
        <color rgb="FF000000"/>
        <rFont val="Times New Roman"/>
        <family val="1"/>
      </rPr>
      <t xml:space="preserve">)  </t>
    </r>
    <r>
      <rPr>
        <sz val="12"/>
        <color theme="1"/>
        <rFont val="Times New Roman"/>
        <family val="1"/>
      </rPr>
      <t>Present Value of post-tax Statutory Book Profits</t>
    </r>
  </si>
  <si>
    <r>
      <t>(b)</t>
    </r>
    <r>
      <rPr>
        <sz val="7"/>
        <color theme="1"/>
        <rFont val="Times New Roman"/>
        <family val="1"/>
      </rPr>
      <t xml:space="preserve"> </t>
    </r>
    <r>
      <rPr>
        <sz val="12"/>
        <color rgb="FF000000"/>
        <rFont val="Times New Roman"/>
        <family val="1"/>
      </rPr>
      <t>(</t>
    </r>
    <r>
      <rPr>
        <i/>
        <sz val="12"/>
        <color rgb="FF000000"/>
        <rFont val="Times New Roman"/>
        <family val="1"/>
      </rPr>
      <t>4 points</t>
    </r>
    <r>
      <rPr>
        <sz val="12"/>
        <color rgb="FF000000"/>
        <rFont val="Times New Roman"/>
        <family val="1"/>
      </rPr>
      <t xml:space="preserve">)  </t>
    </r>
    <r>
      <rPr>
        <sz val="12"/>
        <color theme="1"/>
        <rFont val="Times New Roman"/>
        <family val="1"/>
      </rPr>
      <t>Calculate the following metrics, using the RDR from part (a).</t>
    </r>
  </si>
  <si>
    <t>Chosen RDR</t>
  </si>
  <si>
    <t>RDR WACC at time t = [ e * E/(E+D) ] +  [d * D/(E+D)]</t>
  </si>
  <si>
    <t>RDR for Cost of Debt =</t>
  </si>
  <si>
    <t>RDR (Cost of Equity Capital) = (risk-free-rate + Beta * Market Equity Risk Premium) )( 1- tax rate) = (3.5% + 110% * 4%)*(1-20%) =</t>
  </si>
  <si>
    <t>Market Equity Risk Premium = equity-return - risk-free-rate</t>
  </si>
  <si>
    <t>Pre Tax</t>
  </si>
  <si>
    <t>Post Tax</t>
  </si>
  <si>
    <t>o    Beta = Risk of ABC's stock relative to risk of S&amp;P 500 =</t>
  </si>
  <si>
    <t xml:space="preserve">o    Cost of debt, pre-tax = </t>
  </si>
  <si>
    <t>There are only two sources of capital: Debt and Equity</t>
  </si>
  <si>
    <t>Risk of Company ABC's stock relative to that of S&amp;P500 =</t>
  </si>
  <si>
    <t>S&amp;P500 total return =</t>
  </si>
  <si>
    <t xml:space="preserve">Risk free = </t>
  </si>
  <si>
    <t>(a) Calculate risk discount rate given the following:</t>
  </si>
  <si>
    <t>Tax rate =</t>
  </si>
  <si>
    <t xml:space="preserve"> Rate of return on invested assets backing surplus, pre-tax =</t>
  </si>
  <si>
    <r>
      <t>(a) (</t>
    </r>
    <r>
      <rPr>
        <i/>
        <sz val="12"/>
        <color theme="1"/>
        <rFont val="Times New Roman"/>
        <family val="1"/>
      </rPr>
      <t>2 points</t>
    </r>
    <r>
      <rPr>
        <sz val="12"/>
        <color theme="1"/>
        <rFont val="Times New Roman"/>
        <family val="1"/>
      </rPr>
      <t>)  Calculate the risk discount rate (RDR).  Show all work.</t>
    </r>
  </si>
  <si>
    <r>
      <t>·</t>
    </r>
    <r>
      <rPr>
        <sz val="7"/>
        <color theme="1"/>
        <rFont val="Times New Roman"/>
        <family val="1"/>
      </rPr>
      <t xml:space="preserve">       </t>
    </r>
    <r>
      <rPr>
        <sz val="12"/>
        <color theme="1"/>
        <rFont val="Times New Roman"/>
        <family val="1"/>
      </rPr>
      <t>Value of future new business = 30</t>
    </r>
  </si>
  <si>
    <r>
      <t>·</t>
    </r>
    <r>
      <rPr>
        <sz val="7"/>
        <color theme="1"/>
        <rFont val="Times New Roman"/>
        <family val="1"/>
      </rPr>
      <t xml:space="preserve">       </t>
    </r>
    <r>
      <rPr>
        <sz val="12"/>
        <color theme="1"/>
        <rFont val="Times New Roman"/>
        <family val="1"/>
      </rPr>
      <t>PV of distributable earnings for a single deterministic scenario = 135</t>
    </r>
  </si>
  <si>
    <r>
      <t>·</t>
    </r>
    <r>
      <rPr>
        <sz val="7"/>
        <color theme="1"/>
        <rFont val="Times New Roman"/>
        <family val="1"/>
      </rPr>
      <t xml:space="preserve">       </t>
    </r>
    <r>
      <rPr>
        <sz val="12"/>
        <color theme="1"/>
        <rFont val="Times New Roman"/>
        <family val="1"/>
      </rPr>
      <t>Mean of PV of distributable earnings for a set of stochastic scenarios = 140</t>
    </r>
  </si>
  <si>
    <r>
      <t>·</t>
    </r>
    <r>
      <rPr>
        <sz val="7"/>
        <color theme="1"/>
        <rFont val="Times New Roman"/>
        <family val="1"/>
      </rPr>
      <t xml:space="preserve">       </t>
    </r>
    <r>
      <rPr>
        <sz val="12"/>
        <color theme="1"/>
        <rFont val="Times New Roman"/>
        <family val="1"/>
      </rPr>
      <t>Capital projection:</t>
    </r>
  </si>
  <si>
    <r>
      <t>o</t>
    </r>
    <r>
      <rPr>
        <sz val="7"/>
        <color theme="1"/>
        <rFont val="Times New Roman"/>
        <family val="1"/>
      </rPr>
      <t xml:space="preserve">   </t>
    </r>
    <r>
      <rPr>
        <sz val="12"/>
        <color theme="1"/>
        <rFont val="Times New Roman"/>
        <family val="1"/>
      </rPr>
      <t>Cost of debt, pre-tax = 8.00%</t>
    </r>
  </si>
  <si>
    <r>
      <t>o</t>
    </r>
    <r>
      <rPr>
        <sz val="7"/>
        <color theme="1"/>
        <rFont val="Times New Roman"/>
        <family val="1"/>
      </rPr>
      <t xml:space="preserve">   </t>
    </r>
    <r>
      <rPr>
        <sz val="12"/>
        <color theme="1"/>
        <rFont val="Times New Roman"/>
        <family val="1"/>
      </rPr>
      <t>40% of capital is funded by debt</t>
    </r>
  </si>
  <si>
    <r>
      <t>·</t>
    </r>
    <r>
      <rPr>
        <sz val="7"/>
        <color theme="1"/>
        <rFont val="Times New Roman"/>
        <family val="1"/>
      </rPr>
      <t xml:space="preserve">       </t>
    </r>
    <r>
      <rPr>
        <sz val="12"/>
        <color theme="1"/>
        <rFont val="Times New Roman"/>
        <family val="1"/>
      </rPr>
      <t>There are only two sources of capital: debt and equity</t>
    </r>
  </si>
  <si>
    <r>
      <t>·</t>
    </r>
    <r>
      <rPr>
        <sz val="7"/>
        <color theme="1"/>
        <rFont val="Times New Roman"/>
        <family val="1"/>
      </rPr>
      <t xml:space="preserve">       </t>
    </r>
    <r>
      <rPr>
        <sz val="12"/>
        <color theme="1"/>
        <rFont val="Times New Roman"/>
        <family val="1"/>
      </rPr>
      <t>Risk of Company GEG's stock relative to that of S&amp;P 500 = 110%</t>
    </r>
  </si>
  <si>
    <r>
      <t>·</t>
    </r>
    <r>
      <rPr>
        <sz val="7"/>
        <color theme="1"/>
        <rFont val="Times New Roman"/>
        <family val="1"/>
      </rPr>
      <t xml:space="preserve">       </t>
    </r>
    <r>
      <rPr>
        <sz val="12"/>
        <color theme="1"/>
        <rFont val="Times New Roman"/>
        <family val="1"/>
      </rPr>
      <t>S&amp;P 500 total return = 7.50%</t>
    </r>
  </si>
  <si>
    <r>
      <t>·</t>
    </r>
    <r>
      <rPr>
        <sz val="7"/>
        <color theme="1"/>
        <rFont val="Times New Roman"/>
        <family val="1"/>
      </rPr>
      <t xml:space="preserve">       </t>
    </r>
    <r>
      <rPr>
        <sz val="12"/>
        <color theme="1"/>
        <rFont val="Times New Roman"/>
        <family val="1"/>
      </rPr>
      <t>Risk free rate = 3.50%</t>
    </r>
  </si>
  <si>
    <r>
      <t>·</t>
    </r>
    <r>
      <rPr>
        <sz val="7"/>
        <color theme="1"/>
        <rFont val="Times New Roman"/>
        <family val="1"/>
      </rPr>
      <t xml:space="preserve">       </t>
    </r>
    <r>
      <rPr>
        <sz val="12"/>
        <color theme="1"/>
        <rFont val="Times New Roman"/>
        <family val="1"/>
      </rPr>
      <t>Tax rate = 20%</t>
    </r>
  </si>
  <si>
    <r>
      <t>·</t>
    </r>
    <r>
      <rPr>
        <sz val="7"/>
        <color theme="1"/>
        <rFont val="Times New Roman"/>
        <family val="1"/>
      </rPr>
      <t xml:space="preserve">       </t>
    </r>
    <r>
      <rPr>
        <sz val="12"/>
        <color theme="1"/>
        <rFont val="Times New Roman"/>
        <family val="1"/>
      </rPr>
      <t>Rate of return on invested assets backing surplus, pre-tax = 6.25%</t>
    </r>
  </si>
  <si>
    <t>Company GEG has an inforce block of variable products with guaranteed benefits:</t>
  </si>
  <si>
    <t>Responses for all parts of this question [(a), (b) and (c)] are to be provided in this tab.</t>
  </si>
  <si>
    <t>QUESTION 6 (a), (b), and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</si>
</sst>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_(&quot;$&quot;* \(#,##0.00\);_(&quot;$&quot;* &quot;-&quot;??_);_(@_)"/>
    <numFmt numFmtId="43" formatCode="_(* #,##0.00_);_(* \(#,##0.00\);_(* &quot;-&quot;??_);_(@_)"/>
    <numFmt numFmtId="164" formatCode="_(&quot;$&quot;* #,##0_);_(&quot;$&quot;* \(#,##0\);_(&quot;$&quot;* &quot;-&quot;??_);_(@_)"/>
    <numFmt numFmtId="165" formatCode="0.0000"/>
    <numFmt numFmtId="166" formatCode="_(* #,##0.00_);_(* \(#,##0.00\);_(* &quot;-&quot;???_);_(@_)"/>
    <numFmt numFmtId="167" formatCode="_(* #,##0_);_(* \(#,##0\);_(* &quot;-&quot;??_);_(@_)"/>
    <numFmt numFmtId="168" formatCode="_(* #,##0.0000_);_(* \(#,##0.0000\);_(* &quot;-&quot;??_);_(@_)"/>
    <numFmt numFmtId="169" formatCode="_(* #,##0.000_);_(* \(#,##0.000\);_(* &quot;-&quot;???_);_(@_)"/>
    <numFmt numFmtId="170" formatCode="_(* #,##0.000_);_(* \(#,##0.000\);_(* &quot;-&quot;??_);_(@_)"/>
    <numFmt numFmtId="171" formatCode="&quot;£&quot;#,##0.00;[Red]\-&quot;£&quot;#,##0.00"/>
    <numFmt numFmtId="172" formatCode="0.0%"/>
    <numFmt numFmtId="173" formatCode="0.0000%"/>
  </numFmts>
  <fonts count="72">
    <font>
      <sz val="11"/>
      <color theme="1"/>
      <name val="Aptos Narrow"/>
      <family val="2"/>
      <scheme val="minor"/>
    </font>
    <font>
      <b/>
      <sz val="14"/>
      <color theme="1"/>
      <name val="Aptos Narrow"/>
      <family val="2"/>
      <scheme val="minor"/>
    </font>
    <font>
      <sz val="11"/>
      <color theme="0"/>
      <name val="Aptos Narrow"/>
      <family val="2"/>
      <scheme val="minor"/>
    </font>
    <font>
      <b/>
      <sz val="14"/>
      <color theme="0"/>
      <name val="Aptos Narrow"/>
      <family val="2"/>
      <scheme val="minor"/>
    </font>
    <font>
      <sz val="12"/>
      <color theme="0"/>
      <name val="Aptos Narrow"/>
      <family val="2"/>
      <scheme val="minor"/>
    </font>
    <font>
      <u/>
      <sz val="11"/>
      <color theme="10"/>
      <name val="Aptos Narrow"/>
      <family val="2"/>
      <scheme val="minor"/>
    </font>
    <font>
      <sz val="10"/>
      <color theme="1"/>
      <name val="Symbol"/>
      <family val="1"/>
      <charset val="2"/>
    </font>
    <font>
      <sz val="7"/>
      <color theme="1"/>
      <name val="Times New Roman"/>
      <family val="1"/>
    </font>
    <font>
      <i/>
      <sz val="10"/>
      <color theme="1"/>
      <name val="Calibri"/>
      <family val="2"/>
    </font>
    <font>
      <sz val="10"/>
      <color theme="1"/>
      <name val="Calibri"/>
      <family val="2"/>
    </font>
    <font>
      <sz val="10"/>
      <color theme="1"/>
      <name val="Courier New"/>
      <family val="3"/>
    </font>
    <font>
      <b/>
      <i/>
      <sz val="10"/>
      <color theme="1"/>
      <name val="Calibri"/>
      <family val="2"/>
    </font>
    <font>
      <vertAlign val="superscript"/>
      <sz val="10"/>
      <color theme="1"/>
      <name val="Calibri"/>
      <family val="2"/>
    </font>
    <font>
      <sz val="18"/>
      <color theme="0"/>
      <name val="Aptos Narrow"/>
      <family val="2"/>
      <scheme val="minor"/>
    </font>
    <font>
      <sz val="18"/>
      <color theme="1"/>
      <name val="Aptos Narrow"/>
      <family val="2"/>
      <scheme val="minor"/>
    </font>
    <font>
      <sz val="14"/>
      <color theme="0"/>
      <name val="Aptos Narrow"/>
      <family val="2"/>
      <scheme val="minor"/>
    </font>
    <font>
      <sz val="14"/>
      <color theme="1"/>
      <name val="Aptos Narrow"/>
      <family val="2"/>
      <scheme val="minor"/>
    </font>
    <font>
      <b/>
      <sz val="11"/>
      <color theme="1"/>
      <name val="Calibri"/>
      <family val="2"/>
    </font>
    <font>
      <b/>
      <sz val="12"/>
      <color theme="1"/>
      <name val="Aptos Narrow"/>
      <family val="2"/>
      <scheme val="minor"/>
    </font>
    <font>
      <i/>
      <sz val="11"/>
      <color theme="1"/>
      <name val="Aptos Narrow"/>
      <family val="2"/>
      <scheme val="minor"/>
    </font>
    <font>
      <b/>
      <sz val="11"/>
      <color rgb="FFFF0000"/>
      <name val="Aptos Narrow"/>
      <family val="2"/>
      <scheme val="minor"/>
    </font>
    <font>
      <sz val="11"/>
      <color theme="1"/>
      <name val="Aptos Narrow"/>
      <family val="2"/>
      <scheme val="minor"/>
    </font>
    <font>
      <b/>
      <sz val="11"/>
      <color theme="1"/>
      <name val="Aptos Narrow"/>
      <family val="2"/>
      <scheme val="minor"/>
    </font>
    <font>
      <sz val="11"/>
      <color theme="1"/>
      <name val="Times New Roman"/>
      <family val="1"/>
    </font>
    <font>
      <b/>
      <sz val="11"/>
      <color theme="1"/>
      <name val="Times New Roman"/>
      <family val="1"/>
    </font>
    <font>
      <sz val="12"/>
      <color theme="1"/>
      <name val="Times New Roman"/>
      <family val="1"/>
    </font>
    <font>
      <vertAlign val="subscript"/>
      <sz val="12"/>
      <color theme="1"/>
      <name val="Times New Roman"/>
      <family val="1"/>
    </font>
    <font>
      <i/>
      <sz val="11"/>
      <color theme="1"/>
      <name val="Times New Roman"/>
      <family val="1"/>
    </font>
    <font>
      <sz val="11"/>
      <color rgb="FF000000"/>
      <name val="Calibri"/>
      <family val="2"/>
    </font>
    <font>
      <i/>
      <sz val="12"/>
      <color theme="1"/>
      <name val="Times New Roman"/>
      <family val="1"/>
    </font>
    <font>
      <sz val="11"/>
      <color rgb="FFFF0000"/>
      <name val="Times New Roman"/>
      <family val="1"/>
    </font>
    <font>
      <sz val="10"/>
      <name val="Arial"/>
      <family val="2"/>
    </font>
    <font>
      <b/>
      <sz val="12"/>
      <color theme="1"/>
      <name val="Times New Roman"/>
      <family val="1"/>
    </font>
    <font>
      <sz val="11"/>
      <name val="Times New Roman"/>
      <family val="1"/>
    </font>
    <font>
      <b/>
      <sz val="11"/>
      <name val="Times New Roman"/>
      <family val="1"/>
    </font>
    <font>
      <sz val="11"/>
      <name val="Aptos Narrow"/>
      <family val="2"/>
      <scheme val="minor"/>
    </font>
    <font>
      <sz val="12"/>
      <name val="Times New Roman"/>
      <family val="1"/>
    </font>
    <font>
      <sz val="7"/>
      <name val="Times New Roman"/>
      <family val="1"/>
    </font>
    <font>
      <i/>
      <sz val="12"/>
      <name val="Times New Roman"/>
      <family val="1"/>
    </font>
    <font>
      <sz val="11"/>
      <color rgb="FFFF0000"/>
      <name val="Times New Roman"/>
    </font>
    <font>
      <sz val="11"/>
      <color theme="1"/>
      <name val="Aptos Narrow"/>
      <scheme val="minor"/>
    </font>
    <font>
      <sz val="12"/>
      <color theme="1"/>
      <name val="Symbol"/>
      <family val="1"/>
      <charset val="2"/>
    </font>
    <font>
      <b/>
      <sz val="10"/>
      <name val="Arial"/>
      <family val="2"/>
    </font>
    <font>
      <b/>
      <sz val="12"/>
      <color rgb="FF002060"/>
      <name val="Times New Roman"/>
      <family val="1"/>
    </font>
    <font>
      <b/>
      <sz val="14"/>
      <color rgb="FF002060"/>
      <name val="Times New Roman"/>
      <family val="1"/>
    </font>
    <font>
      <sz val="11"/>
      <color theme="1"/>
      <name val="Aptos Narrow"/>
    </font>
    <font>
      <b/>
      <sz val="11"/>
      <color theme="1"/>
      <name val="Aptos Narrow"/>
    </font>
    <font>
      <sz val="11"/>
      <color theme="1"/>
      <name val="Arial"/>
    </font>
    <font>
      <sz val="12"/>
      <color theme="1"/>
      <name val="Times New Roman"/>
    </font>
    <font>
      <b/>
      <sz val="12"/>
      <color theme="1"/>
      <name val="Times New Roman"/>
    </font>
    <font>
      <sz val="11"/>
      <color theme="1"/>
      <name val="Times New Roman"/>
    </font>
    <font>
      <sz val="11"/>
      <name val="Aptos Narrow"/>
    </font>
    <font>
      <b/>
      <sz val="11"/>
      <color theme="1"/>
      <name val="Times New Roman"/>
    </font>
    <font>
      <sz val="7"/>
      <color theme="1"/>
      <name val="Times New Roman"/>
    </font>
    <font>
      <i/>
      <sz val="12"/>
      <color theme="1"/>
      <name val="Times New Roman"/>
    </font>
    <font>
      <sz val="12"/>
      <color theme="1"/>
      <name val="Noto Sans Symbols"/>
    </font>
    <font>
      <b/>
      <sz val="10"/>
      <color theme="1"/>
      <name val="Arial"/>
    </font>
    <font>
      <b/>
      <sz val="12"/>
      <color rgb="FF002060"/>
      <name val="Times New Roman"/>
    </font>
    <font>
      <b/>
      <sz val="14"/>
      <color rgb="FF002060"/>
      <name val="Times New Roman"/>
    </font>
    <font>
      <sz val="11"/>
      <color theme="1"/>
      <name val="Aptos"/>
      <family val="2"/>
    </font>
    <font>
      <b/>
      <i/>
      <sz val="11"/>
      <color theme="1"/>
      <name val="Aptos"/>
      <family val="2"/>
    </font>
    <font>
      <b/>
      <sz val="11"/>
      <color theme="1"/>
      <name val="Aptos"/>
      <family val="2"/>
    </font>
    <font>
      <b/>
      <i/>
      <sz val="11"/>
      <color rgb="FFC00000"/>
      <name val="Aptos"/>
      <family val="2"/>
    </font>
    <font>
      <sz val="11"/>
      <color rgb="FFC00000"/>
      <name val="Aptos"/>
      <family val="2"/>
    </font>
    <font>
      <sz val="12"/>
      <color rgb="FF000000"/>
      <name val="Times New Roman"/>
      <family val="1"/>
    </font>
    <font>
      <i/>
      <sz val="12"/>
      <color rgb="FF000000"/>
      <name val="Times New Roman"/>
      <family val="1"/>
    </font>
    <font>
      <b/>
      <i/>
      <sz val="11"/>
      <name val="Aptos"/>
      <family val="2"/>
    </font>
    <font>
      <sz val="11"/>
      <name val="Aptos"/>
      <family val="2"/>
    </font>
    <font>
      <i/>
      <sz val="11"/>
      <color theme="1"/>
      <name val="Aptos"/>
      <family val="2"/>
    </font>
    <font>
      <b/>
      <sz val="11"/>
      <color theme="1"/>
      <name val="Aptos"/>
    </font>
    <font>
      <sz val="11"/>
      <color rgb="FF000000"/>
      <name val="Times New Roman"/>
      <family val="1"/>
    </font>
    <font>
      <sz val="12"/>
      <color theme="1"/>
      <name val="Courier New"/>
      <family val="3"/>
    </font>
  </fonts>
  <fills count="9">
    <fill>
      <patternFill patternType="none"/>
    </fill>
    <fill>
      <patternFill patternType="gray125"/>
    </fill>
    <fill>
      <patternFill patternType="solid">
        <fgColor theme="7" tint="-0.49998474074526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FF00"/>
        <bgColor indexed="64"/>
      </patternFill>
    </fill>
    <fill>
      <patternFill patternType="solid">
        <fgColor theme="2"/>
        <bgColor indexed="64"/>
      </patternFill>
    </fill>
    <fill>
      <patternFill patternType="solid">
        <fgColor rgb="FFE8E8E8"/>
        <bgColor rgb="FFE8E8E8"/>
      </patternFill>
    </fill>
    <fill>
      <patternFill patternType="solid">
        <fgColor theme="9" tint="0.79998168889431442"/>
        <bgColor indexed="64"/>
      </patternFill>
    </fill>
  </fills>
  <borders count="34">
    <border>
      <left/>
      <right/>
      <top/>
      <bottom/>
      <diagonal/>
    </border>
    <border>
      <left/>
      <right/>
      <top/>
      <bottom style="thin">
        <color indexed="64"/>
      </bottom>
      <diagonal/>
    </border>
    <border>
      <left/>
      <right/>
      <top style="thin">
        <color indexed="64"/>
      </top>
      <bottom style="thin">
        <color indexed="64"/>
      </bottom>
      <diagonal/>
    </border>
    <border>
      <left/>
      <right style="thin">
        <color auto="1"/>
      </right>
      <top/>
      <bottom style="thin">
        <color indexed="64"/>
      </bottom>
      <diagonal/>
    </border>
    <border>
      <left style="thin">
        <color auto="1"/>
      </left>
      <right style="thin">
        <color auto="1"/>
      </right>
      <top/>
      <bottom style="thin">
        <color indexed="64"/>
      </bottom>
      <diagonal/>
    </border>
    <border>
      <left style="thin">
        <color auto="1"/>
      </left>
      <right/>
      <top/>
      <bottom style="thin">
        <color indexed="64"/>
      </bottom>
      <diagonal/>
    </border>
    <border>
      <left/>
      <right style="thin">
        <color auto="1"/>
      </right>
      <top style="thin">
        <color indexed="64"/>
      </top>
      <bottom style="thin">
        <color indexed="64"/>
      </bottom>
      <diagonal/>
    </border>
    <border>
      <left style="thin">
        <color auto="1"/>
      </left>
      <right style="thin">
        <color auto="1"/>
      </right>
      <top style="thin">
        <color indexed="64"/>
      </top>
      <bottom style="thin">
        <color indexed="64"/>
      </bottom>
      <diagonal/>
    </border>
    <border>
      <left style="thin">
        <color auto="1"/>
      </left>
      <right/>
      <top style="thin">
        <color indexed="64"/>
      </top>
      <bottom style="thin">
        <color indexed="64"/>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top style="thin">
        <color indexed="64"/>
      </top>
      <bottom/>
      <diagonal/>
    </border>
    <border>
      <left/>
      <right style="thin">
        <color auto="1"/>
      </right>
      <top style="thin">
        <color indexed="64"/>
      </top>
      <bottom/>
      <diagonal/>
    </border>
    <border>
      <left style="thin">
        <color auto="1"/>
      </left>
      <right style="thin">
        <color auto="1"/>
      </right>
      <top style="thin">
        <color indexed="64"/>
      </top>
      <bottom/>
      <diagonal/>
    </border>
    <border>
      <left/>
      <right/>
      <top style="thin">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top/>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9">
    <xf numFmtId="0" fontId="0" fillId="0" borderId="0"/>
    <xf numFmtId="0" fontId="5" fillId="0" borderId="0" applyNumberFormat="0" applyFill="0" applyBorder="0" applyAlignment="0" applyProtection="0"/>
    <xf numFmtId="43" fontId="21" fillId="0" borderId="0" applyFont="0" applyFill="0" applyBorder="0" applyAlignment="0" applyProtection="0"/>
    <xf numFmtId="44" fontId="21" fillId="0" borderId="0" applyFont="0" applyFill="0" applyBorder="0" applyAlignment="0" applyProtection="0"/>
    <xf numFmtId="9" fontId="21" fillId="0" borderId="0" applyFont="0" applyFill="0" applyBorder="0" applyAlignment="0" applyProtection="0"/>
    <xf numFmtId="0" fontId="31" fillId="0" borderId="0"/>
    <xf numFmtId="43" fontId="21" fillId="0" borderId="0" applyFont="0" applyFill="0" applyBorder="0" applyAlignment="0" applyProtection="0"/>
    <xf numFmtId="0" fontId="40" fillId="0" borderId="0"/>
    <xf numFmtId="43" fontId="31" fillId="0" borderId="0" applyFont="0" applyFill="0" applyBorder="0" applyAlignment="0" applyProtection="0"/>
  </cellStyleXfs>
  <cellXfs count="304">
    <xf numFmtId="0" fontId="0" fillId="0" borderId="0" xfId="0"/>
    <xf numFmtId="0" fontId="1" fillId="3" borderId="1" xfId="0" applyFont="1" applyFill="1" applyBorder="1"/>
    <xf numFmtId="0" fontId="1" fillId="4" borderId="2" xfId="0" applyFont="1" applyFill="1" applyBorder="1"/>
    <xf numFmtId="0" fontId="3" fillId="2" borderId="3" xfId="0" applyFont="1" applyFill="1" applyBorder="1" applyAlignment="1">
      <alignment vertical="center" wrapText="1"/>
    </xf>
    <xf numFmtId="0" fontId="3" fillId="2" borderId="6" xfId="0" applyFont="1" applyFill="1" applyBorder="1" applyAlignment="1">
      <alignment vertical="center" wrapText="1"/>
    </xf>
    <xf numFmtId="0" fontId="4" fillId="2" borderId="9" xfId="0" applyFont="1" applyFill="1" applyBorder="1" applyAlignment="1">
      <alignment vertical="center" wrapText="1"/>
    </xf>
    <xf numFmtId="0" fontId="0" fillId="0" borderId="10" xfId="0" applyBorder="1" applyAlignment="1">
      <alignment horizontal="center" vertical="center"/>
    </xf>
    <xf numFmtId="0" fontId="2" fillId="2" borderId="9" xfId="0" applyFont="1" applyFill="1" applyBorder="1" applyAlignment="1">
      <alignment vertical="center" wrapText="1"/>
    </xf>
    <xf numFmtId="0" fontId="0" fillId="4" borderId="7" xfId="0" applyFill="1" applyBorder="1" applyAlignment="1">
      <alignment horizontal="center" vertical="center"/>
    </xf>
    <xf numFmtId="0" fontId="0" fillId="0" borderId="4" xfId="0" applyBorder="1" applyAlignment="1">
      <alignment horizontal="center" vertical="center"/>
    </xf>
    <xf numFmtId="0" fontId="6" fillId="0" borderId="0" xfId="0" applyFont="1" applyAlignment="1">
      <alignment horizontal="left" vertical="center" wrapText="1" indent="6"/>
    </xf>
    <xf numFmtId="0" fontId="10" fillId="0" borderId="0" xfId="0" applyFont="1" applyAlignment="1">
      <alignment horizontal="left" vertical="center" wrapText="1" indent="13"/>
    </xf>
    <xf numFmtId="0" fontId="5" fillId="0" borderId="0" xfId="1" applyAlignment="1">
      <alignment horizontal="left" vertical="center" wrapText="1" indent="6"/>
    </xf>
    <xf numFmtId="0" fontId="5" fillId="0" borderId="0" xfId="1"/>
    <xf numFmtId="0" fontId="6" fillId="0" borderId="0" xfId="0" applyFont="1" applyAlignment="1">
      <alignment horizontal="left" vertical="center" indent="6"/>
    </xf>
    <xf numFmtId="0" fontId="10" fillId="0" borderId="0" xfId="0" applyFont="1" applyAlignment="1">
      <alignment horizontal="left" vertical="center" indent="13"/>
    </xf>
    <xf numFmtId="0" fontId="5" fillId="0" borderId="0" xfId="1" applyAlignment="1">
      <alignment horizontal="left" vertical="center" indent="6"/>
    </xf>
    <xf numFmtId="0" fontId="9" fillId="0" borderId="0" xfId="0" applyFont="1" applyAlignment="1">
      <alignment horizontal="left" vertical="center" wrapText="1" indent="2"/>
    </xf>
    <xf numFmtId="0" fontId="5" fillId="0" borderId="0" xfId="1" applyAlignment="1">
      <alignment horizontal="left" vertical="center" wrapText="1" indent="2"/>
    </xf>
    <xf numFmtId="0" fontId="0" fillId="0" borderId="10" xfId="0" applyBorder="1" applyAlignment="1">
      <alignment horizontal="center" vertical="center" wrapText="1"/>
    </xf>
    <xf numFmtId="0" fontId="0" fillId="0" borderId="4" xfId="0" applyBorder="1" applyAlignment="1">
      <alignment horizontal="center" vertical="center" wrapText="1"/>
    </xf>
    <xf numFmtId="0" fontId="13" fillId="2" borderId="0" xfId="0" applyFont="1" applyFill="1" applyAlignment="1">
      <alignment vertical="center" wrapText="1"/>
    </xf>
    <xf numFmtId="0" fontId="14" fillId="0" borderId="0" xfId="0" applyFont="1" applyAlignment="1">
      <alignment horizontal="center" vertical="center"/>
    </xf>
    <xf numFmtId="0" fontId="14" fillId="0" borderId="0" xfId="0" applyFont="1"/>
    <xf numFmtId="0" fontId="0" fillId="0" borderId="0" xfId="0" applyAlignment="1">
      <alignment wrapText="1"/>
    </xf>
    <xf numFmtId="0" fontId="3" fillId="2" borderId="1" xfId="0" applyFont="1" applyFill="1" applyBorder="1" applyAlignment="1">
      <alignment vertical="center" wrapText="1"/>
    </xf>
    <xf numFmtId="0" fontId="3" fillId="2" borderId="2" xfId="0" applyFont="1" applyFill="1" applyBorder="1" applyAlignment="1">
      <alignment vertical="center" wrapText="1"/>
    </xf>
    <xf numFmtId="0" fontId="15" fillId="2" borderId="0" xfId="0" applyFont="1" applyFill="1" applyAlignment="1">
      <alignment vertical="center" wrapText="1"/>
    </xf>
    <xf numFmtId="0" fontId="16" fillId="0" borderId="7" xfId="0" applyFont="1" applyBorder="1" applyAlignment="1">
      <alignment wrapText="1"/>
    </xf>
    <xf numFmtId="0" fontId="16" fillId="0" borderId="0" xfId="0" applyFont="1"/>
    <xf numFmtId="0" fontId="16" fillId="0" borderId="0" xfId="0" applyFont="1" applyAlignment="1">
      <alignment wrapText="1"/>
    </xf>
    <xf numFmtId="0" fontId="17" fillId="0" borderId="7" xfId="0" applyFont="1" applyBorder="1"/>
    <xf numFmtId="0" fontId="0" fillId="0" borderId="7" xfId="0" applyBorder="1"/>
    <xf numFmtId="0" fontId="17" fillId="0" borderId="0" xfId="0" applyFont="1"/>
    <xf numFmtId="0" fontId="0" fillId="0" borderId="0" xfId="0" applyAlignment="1">
      <alignment vertical="center" wrapText="1"/>
    </xf>
    <xf numFmtId="0" fontId="18" fillId="0" borderId="1" xfId="0" applyFont="1" applyBorder="1" applyAlignment="1">
      <alignment horizontal="left" vertical="center" wrapText="1"/>
    </xf>
    <xf numFmtId="0" fontId="18" fillId="0" borderId="1" xfId="0" applyFont="1" applyBorder="1" applyAlignment="1">
      <alignment horizontal="center"/>
    </xf>
    <xf numFmtId="0" fontId="19" fillId="0" borderId="0" xfId="0" applyFont="1" applyAlignment="1">
      <alignment vertical="center" wrapText="1"/>
    </xf>
    <xf numFmtId="0" fontId="19" fillId="0" borderId="0" xfId="0" applyFont="1"/>
    <xf numFmtId="0" fontId="20" fillId="0" borderId="0" xfId="0" applyFont="1"/>
    <xf numFmtId="0" fontId="16" fillId="0" borderId="14" xfId="0" applyFont="1" applyBorder="1" applyAlignment="1">
      <alignment horizontal="left" vertical="center" wrapText="1"/>
    </xf>
    <xf numFmtId="0" fontId="16" fillId="0" borderId="10" xfId="0" applyFont="1" applyBorder="1" applyAlignment="1">
      <alignment horizontal="left" vertical="center" wrapText="1"/>
    </xf>
    <xf numFmtId="0" fontId="16" fillId="0" borderId="4" xfId="0" applyFont="1" applyBorder="1" applyAlignment="1">
      <alignment horizontal="left" vertical="center" wrapText="1"/>
    </xf>
    <xf numFmtId="0" fontId="4" fillId="2" borderId="0" xfId="0" applyFont="1" applyFill="1" applyAlignment="1">
      <alignment vertical="center" wrapText="1"/>
    </xf>
    <xf numFmtId="0" fontId="1" fillId="3" borderId="5" xfId="0" applyFont="1" applyFill="1" applyBorder="1" applyAlignment="1">
      <alignment horizontal="center" vertical="center"/>
    </xf>
    <xf numFmtId="0" fontId="1" fillId="3" borderId="3" xfId="0" applyFont="1" applyFill="1" applyBorder="1" applyAlignment="1">
      <alignment horizontal="center" vertical="center"/>
    </xf>
    <xf numFmtId="0" fontId="1" fillId="4" borderId="8" xfId="0" applyFont="1" applyFill="1" applyBorder="1" applyAlignment="1">
      <alignment horizontal="center" vertical="center"/>
    </xf>
    <xf numFmtId="0" fontId="1" fillId="4" borderId="6" xfId="0" applyFont="1" applyFill="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center" vertical="center"/>
    </xf>
    <xf numFmtId="0" fontId="0" fillId="0" borderId="9" xfId="0" applyBorder="1" applyAlignment="1">
      <alignment horizontal="center" vertical="center"/>
    </xf>
    <xf numFmtId="16" fontId="0" fillId="0" borderId="11" xfId="0" applyNumberFormat="1" applyBorder="1" applyAlignment="1">
      <alignment horizontal="center" vertical="center"/>
    </xf>
    <xf numFmtId="16" fontId="0" fillId="0" borderId="9" xfId="0" applyNumberFormat="1"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wrapText="1"/>
    </xf>
    <xf numFmtId="0" fontId="0" fillId="0" borderId="6" xfId="0" applyBorder="1" applyAlignment="1">
      <alignment horizontal="center" vertical="center" wrapText="1"/>
    </xf>
    <xf numFmtId="0" fontId="5" fillId="0" borderId="8" xfId="1" applyBorder="1" applyAlignment="1">
      <alignment horizontal="center" vertical="center"/>
    </xf>
    <xf numFmtId="0" fontId="5" fillId="0" borderId="6" xfId="1" applyBorder="1" applyAlignment="1">
      <alignment horizontal="center" vertical="center"/>
    </xf>
    <xf numFmtId="164" fontId="0" fillId="5" borderId="0" xfId="0" applyNumberFormat="1" applyFill="1"/>
    <xf numFmtId="14" fontId="0" fillId="0" borderId="0" xfId="0" applyNumberFormat="1"/>
    <xf numFmtId="164" fontId="0" fillId="5" borderId="0" xfId="3" applyNumberFormat="1" applyFont="1" applyFill="1"/>
    <xf numFmtId="0" fontId="0" fillId="5" borderId="0" xfId="0" applyFill="1"/>
    <xf numFmtId="0" fontId="22" fillId="0" borderId="0" xfId="0" quotePrefix="1" applyFont="1"/>
    <xf numFmtId="164" fontId="0" fillId="0" borderId="0" xfId="3" applyNumberFormat="1" applyFont="1" applyFill="1" applyBorder="1"/>
    <xf numFmtId="0" fontId="22" fillId="0" borderId="0" xfId="0" applyFont="1"/>
    <xf numFmtId="10" fontId="0" fillId="0" borderId="3" xfId="0" applyNumberFormat="1" applyBorder="1"/>
    <xf numFmtId="10" fontId="0" fillId="0" borderId="1" xfId="0" applyNumberFormat="1" applyBorder="1"/>
    <xf numFmtId="0" fontId="0" fillId="0" borderId="1" xfId="0" applyBorder="1"/>
    <xf numFmtId="0" fontId="22" fillId="0" borderId="4" xfId="0" applyFont="1" applyBorder="1"/>
    <xf numFmtId="10" fontId="0" fillId="0" borderId="13" xfId="4" applyNumberFormat="1" applyFont="1" applyBorder="1"/>
    <xf numFmtId="10" fontId="0" fillId="0" borderId="15" xfId="4" applyNumberFormat="1" applyFont="1" applyBorder="1"/>
    <xf numFmtId="0" fontId="22" fillId="0" borderId="15" xfId="0" applyFont="1" applyBorder="1"/>
    <xf numFmtId="0" fontId="22" fillId="0" borderId="14" xfId="0" applyFont="1" applyBorder="1"/>
    <xf numFmtId="0" fontId="0" fillId="0" borderId="10" xfId="0" applyBorder="1"/>
    <xf numFmtId="9" fontId="0" fillId="0" borderId="6" xfId="4" applyFont="1" applyBorder="1"/>
    <xf numFmtId="9" fontId="0" fillId="0" borderId="2" xfId="4" applyFont="1" applyBorder="1"/>
    <xf numFmtId="0" fontId="22" fillId="0" borderId="2" xfId="0" applyFont="1" applyBorder="1"/>
    <xf numFmtId="0" fontId="22" fillId="0" borderId="7" xfId="0" applyFont="1" applyBorder="1"/>
    <xf numFmtId="164" fontId="0" fillId="0" borderId="0" xfId="0" applyNumberFormat="1"/>
    <xf numFmtId="164" fontId="0" fillId="0" borderId="9" xfId="0" applyNumberFormat="1" applyBorder="1"/>
    <xf numFmtId="0" fontId="22" fillId="0" borderId="10" xfId="0" applyFont="1" applyBorder="1"/>
    <xf numFmtId="164" fontId="0" fillId="0" borderId="0" xfId="2" applyNumberFormat="1" applyFont="1" applyFill="1"/>
    <xf numFmtId="164" fontId="0" fillId="0" borderId="9" xfId="2" applyNumberFormat="1" applyFont="1" applyFill="1" applyBorder="1"/>
    <xf numFmtId="164" fontId="0" fillId="0" borderId="0" xfId="2" applyNumberFormat="1" applyFont="1" applyFill="1" applyBorder="1"/>
    <xf numFmtId="0" fontId="0" fillId="0" borderId="9" xfId="0" applyBorder="1"/>
    <xf numFmtId="164" fontId="0" fillId="0" borderId="0" xfId="3" applyNumberFormat="1" applyFont="1" applyFill="1"/>
    <xf numFmtId="164" fontId="0" fillId="0" borderId="9" xfId="3" applyNumberFormat="1" applyFont="1" applyBorder="1"/>
    <xf numFmtId="164" fontId="0" fillId="0" borderId="0" xfId="3" applyNumberFormat="1" applyFont="1" applyBorder="1"/>
    <xf numFmtId="14" fontId="0" fillId="0" borderId="9" xfId="0" applyNumberFormat="1" applyBorder="1"/>
    <xf numFmtId="14" fontId="0" fillId="0" borderId="13" xfId="0" applyNumberFormat="1" applyBorder="1"/>
    <xf numFmtId="14" fontId="0" fillId="0" borderId="15" xfId="0" applyNumberFormat="1" applyBorder="1"/>
    <xf numFmtId="14" fontId="0" fillId="0" borderId="3" xfId="0" applyNumberFormat="1" applyBorder="1"/>
    <xf numFmtId="14" fontId="0" fillId="0" borderId="1" xfId="0" applyNumberFormat="1" applyBorder="1"/>
    <xf numFmtId="0" fontId="0" fillId="0" borderId="4" xfId="0" applyBorder="1"/>
    <xf numFmtId="0" fontId="0" fillId="0" borderId="14" xfId="0" applyBorder="1"/>
    <xf numFmtId="0" fontId="23" fillId="0" borderId="0" xfId="0" applyFont="1"/>
    <xf numFmtId="44" fontId="23" fillId="0" borderId="0" xfId="3" applyFont="1"/>
    <xf numFmtId="165" fontId="23" fillId="0" borderId="0" xfId="0" applyNumberFormat="1" applyFont="1"/>
    <xf numFmtId="0" fontId="24" fillId="0" borderId="0" xfId="0" applyFont="1" applyAlignment="1">
      <alignment vertical="center"/>
    </xf>
    <xf numFmtId="1" fontId="23" fillId="0" borderId="0" xfId="0" applyNumberFormat="1" applyFont="1"/>
    <xf numFmtId="0" fontId="23" fillId="0" borderId="0" xfId="0" applyFont="1" applyAlignment="1">
      <alignment horizontal="left" vertical="center" indent="5"/>
    </xf>
    <xf numFmtId="0" fontId="23" fillId="0" borderId="0" xfId="0" applyFont="1" applyAlignment="1">
      <alignment vertical="center"/>
    </xf>
    <xf numFmtId="165" fontId="23" fillId="0" borderId="16" xfId="0" applyNumberFormat="1" applyFont="1" applyBorder="1" applyAlignment="1">
      <alignment horizontal="center" vertical="center" wrapText="1"/>
    </xf>
    <xf numFmtId="0" fontId="23" fillId="0" borderId="17" xfId="0" applyFont="1" applyBorder="1" applyAlignment="1">
      <alignment horizontal="center" vertical="center" wrapText="1"/>
    </xf>
    <xf numFmtId="0" fontId="23" fillId="0" borderId="16" xfId="0" applyFont="1" applyBorder="1" applyAlignment="1">
      <alignment horizontal="center" vertical="center" wrapText="1"/>
    </xf>
    <xf numFmtId="165" fontId="23" fillId="0" borderId="18" xfId="0" applyNumberFormat="1" applyFont="1" applyBorder="1" applyAlignment="1">
      <alignment horizontal="center" vertical="center" wrapText="1"/>
    </xf>
    <xf numFmtId="0" fontId="23" fillId="0" borderId="19"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20" xfId="0" applyFont="1" applyBorder="1" applyAlignment="1">
      <alignment horizontal="center"/>
    </xf>
    <xf numFmtId="0" fontId="23" fillId="0" borderId="18" xfId="0" applyFont="1" applyBorder="1" applyAlignment="1">
      <alignment horizontal="center" vertical="center" wrapText="1"/>
    </xf>
    <xf numFmtId="0" fontId="23" fillId="0" borderId="0" xfId="0" applyFont="1" applyAlignment="1">
      <alignment vertical="center" wrapText="1"/>
    </xf>
    <xf numFmtId="0" fontId="23" fillId="0" borderId="0" xfId="0" applyFont="1" applyAlignment="1">
      <alignment horizontal="left" vertical="center" indent="10"/>
    </xf>
    <xf numFmtId="0" fontId="24" fillId="0" borderId="0" xfId="0" applyFont="1"/>
    <xf numFmtId="0" fontId="25" fillId="0" borderId="0" xfId="0" applyFont="1"/>
    <xf numFmtId="0" fontId="27" fillId="0" borderId="0" xfId="0" applyFont="1" applyAlignment="1">
      <alignment vertical="center"/>
    </xf>
    <xf numFmtId="0" fontId="28" fillId="0" borderId="0" xfId="0" applyFont="1"/>
    <xf numFmtId="0" fontId="30" fillId="0" borderId="0" xfId="0" applyFont="1"/>
    <xf numFmtId="0" fontId="30" fillId="0" borderId="0" xfId="5" applyFont="1"/>
    <xf numFmtId="166" fontId="0" fillId="0" borderId="0" xfId="0" applyNumberFormat="1"/>
    <xf numFmtId="43" fontId="0" fillId="0" borderId="0" xfId="0" applyNumberFormat="1"/>
    <xf numFmtId="166" fontId="22" fillId="0" borderId="0" xfId="0" applyNumberFormat="1" applyFont="1"/>
    <xf numFmtId="167" fontId="0" fillId="0" borderId="0" xfId="0" applyNumberFormat="1"/>
    <xf numFmtId="2" fontId="22" fillId="0" borderId="0" xfId="0" applyNumberFormat="1" applyFont="1"/>
    <xf numFmtId="168" fontId="0" fillId="0" borderId="0" xfId="0" applyNumberFormat="1"/>
    <xf numFmtId="10" fontId="0" fillId="0" borderId="0" xfId="0" applyNumberFormat="1"/>
    <xf numFmtId="2" fontId="0" fillId="0" borderId="0" xfId="0" applyNumberFormat="1"/>
    <xf numFmtId="0" fontId="25" fillId="0" borderId="0" xfId="0" applyFont="1" applyAlignment="1">
      <alignment horizontal="left" vertical="center" indent="1"/>
    </xf>
    <xf numFmtId="0" fontId="0" fillId="6" borderId="0" xfId="0" applyFill="1"/>
    <xf numFmtId="0" fontId="25" fillId="6" borderId="0" xfId="0" applyFont="1" applyFill="1" applyAlignment="1">
      <alignment vertical="center"/>
    </xf>
    <xf numFmtId="0" fontId="33" fillId="6" borderId="0" xfId="0" applyFont="1" applyFill="1"/>
    <xf numFmtId="167" fontId="33" fillId="6" borderId="3" xfId="6" applyNumberFormat="1" applyFont="1" applyFill="1" applyBorder="1" applyAlignment="1">
      <alignment horizontal="right"/>
    </xf>
    <xf numFmtId="167" fontId="33" fillId="6" borderId="1" xfId="6" applyNumberFormat="1" applyFont="1" applyFill="1" applyBorder="1" applyAlignment="1">
      <alignment horizontal="right"/>
    </xf>
    <xf numFmtId="9" fontId="33" fillId="6" borderId="1" xfId="4" applyFont="1" applyFill="1" applyBorder="1" applyAlignment="1">
      <alignment horizontal="right"/>
    </xf>
    <xf numFmtId="9" fontId="33" fillId="6" borderId="5" xfId="4" applyFont="1" applyFill="1" applyBorder="1" applyAlignment="1">
      <alignment horizontal="right"/>
    </xf>
    <xf numFmtId="167" fontId="33" fillId="6" borderId="5" xfId="6" applyNumberFormat="1" applyFont="1" applyFill="1" applyBorder="1" applyAlignment="1">
      <alignment horizontal="right"/>
    </xf>
    <xf numFmtId="0" fontId="33" fillId="6" borderId="4" xfId="5" applyFont="1" applyFill="1" applyBorder="1" applyAlignment="1">
      <alignment horizontal="center"/>
    </xf>
    <xf numFmtId="169" fontId="33" fillId="6" borderId="0" xfId="0" applyNumberFormat="1" applyFont="1" applyFill="1"/>
    <xf numFmtId="170" fontId="33" fillId="6" borderId="4" xfId="6" applyNumberFormat="1" applyFont="1" applyFill="1" applyBorder="1" applyAlignment="1"/>
    <xf numFmtId="167" fontId="33" fillId="6" borderId="9" xfId="6" applyNumberFormat="1" applyFont="1" applyFill="1" applyBorder="1" applyAlignment="1">
      <alignment horizontal="right"/>
    </xf>
    <xf numFmtId="167" fontId="33" fillId="6" borderId="0" xfId="6" applyNumberFormat="1" applyFont="1" applyFill="1" applyBorder="1" applyAlignment="1">
      <alignment horizontal="right"/>
    </xf>
    <xf numFmtId="9" fontId="33" fillId="6" borderId="0" xfId="4" applyFont="1" applyFill="1" applyBorder="1" applyAlignment="1">
      <alignment horizontal="right"/>
    </xf>
    <xf numFmtId="9" fontId="33" fillId="6" borderId="11" xfId="4" applyFont="1" applyFill="1" applyBorder="1" applyAlignment="1">
      <alignment horizontal="right"/>
    </xf>
    <xf numFmtId="167" fontId="33" fillId="6" borderId="11" xfId="6" applyNumberFormat="1" applyFont="1" applyFill="1" applyBorder="1" applyAlignment="1">
      <alignment horizontal="right"/>
    </xf>
    <xf numFmtId="0" fontId="33" fillId="6" borderId="10" xfId="5" applyFont="1" applyFill="1" applyBorder="1" applyAlignment="1">
      <alignment horizontal="center"/>
    </xf>
    <xf numFmtId="170" fontId="33" fillId="6" borderId="10" xfId="6" applyNumberFormat="1" applyFont="1" applyFill="1" applyBorder="1" applyAlignment="1"/>
    <xf numFmtId="43" fontId="33" fillId="6" borderId="0" xfId="6" applyFont="1" applyFill="1" applyBorder="1" applyAlignment="1">
      <alignment horizontal="right"/>
    </xf>
    <xf numFmtId="43" fontId="33" fillId="6" borderId="11" xfId="6" applyFont="1" applyFill="1" applyBorder="1" applyAlignment="1">
      <alignment horizontal="right"/>
    </xf>
    <xf numFmtId="167" fontId="33" fillId="6" borderId="13" xfId="6" applyNumberFormat="1" applyFont="1" applyFill="1" applyBorder="1" applyAlignment="1">
      <alignment horizontal="right"/>
    </xf>
    <xf numFmtId="167" fontId="33" fillId="6" borderId="12" xfId="6" applyNumberFormat="1" applyFont="1" applyFill="1" applyBorder="1" applyAlignment="1">
      <alignment horizontal="right"/>
    </xf>
    <xf numFmtId="0" fontId="33" fillId="6" borderId="10" xfId="5" applyFont="1" applyFill="1" applyBorder="1"/>
    <xf numFmtId="0" fontId="33" fillId="6" borderId="3" xfId="5" applyFont="1" applyFill="1" applyBorder="1" applyAlignment="1">
      <alignment horizontal="center" wrapText="1"/>
    </xf>
    <xf numFmtId="0" fontId="33" fillId="6" borderId="1" xfId="5" applyFont="1" applyFill="1" applyBorder="1" applyAlignment="1">
      <alignment horizontal="center" wrapText="1"/>
    </xf>
    <xf numFmtId="0" fontId="33" fillId="6" borderId="6" xfId="5" applyFont="1" applyFill="1" applyBorder="1" applyAlignment="1">
      <alignment horizontal="center" wrapText="1"/>
    </xf>
    <xf numFmtId="0" fontId="33" fillId="6" borderId="2" xfId="5" applyFont="1" applyFill="1" applyBorder="1" applyAlignment="1">
      <alignment horizontal="center" wrapText="1"/>
    </xf>
    <xf numFmtId="0" fontId="33" fillId="6" borderId="8" xfId="5" applyFont="1" applyFill="1" applyBorder="1" applyAlignment="1">
      <alignment horizontal="center" wrapText="1"/>
    </xf>
    <xf numFmtId="0" fontId="33" fillId="6" borderId="7" xfId="0" applyFont="1" applyFill="1" applyBorder="1" applyAlignment="1">
      <alignment horizontal="center" wrapText="1"/>
    </xf>
    <xf numFmtId="0" fontId="33" fillId="6" borderId="7" xfId="5" applyFont="1" applyFill="1" applyBorder="1" applyAlignment="1">
      <alignment horizontal="center" wrapText="1"/>
    </xf>
    <xf numFmtId="0" fontId="34" fillId="6" borderId="6" xfId="5" applyFont="1" applyFill="1" applyBorder="1" applyAlignment="1">
      <alignment horizontal="centerContinuous"/>
    </xf>
    <xf numFmtId="0" fontId="34" fillId="6" borderId="2" xfId="5" applyFont="1" applyFill="1" applyBorder="1" applyAlignment="1">
      <alignment horizontal="centerContinuous"/>
    </xf>
    <xf numFmtId="0" fontId="34" fillId="6" borderId="8" xfId="5" applyFont="1" applyFill="1" applyBorder="1" applyAlignment="1">
      <alignment horizontal="centerContinuous"/>
    </xf>
    <xf numFmtId="0" fontId="34" fillId="6" borderId="6" xfId="5" applyFont="1" applyFill="1" applyBorder="1" applyAlignment="1">
      <alignment horizontal="center"/>
    </xf>
    <xf numFmtId="0" fontId="34" fillId="6" borderId="8" xfId="5" applyFont="1" applyFill="1" applyBorder="1" applyAlignment="1">
      <alignment horizontal="center"/>
    </xf>
    <xf numFmtId="0" fontId="34" fillId="6" borderId="7" xfId="5" applyFont="1" applyFill="1" applyBorder="1" applyAlignment="1">
      <alignment horizontal="left"/>
    </xf>
    <xf numFmtId="2" fontId="35" fillId="6" borderId="0" xfId="0" applyNumberFormat="1" applyFont="1" applyFill="1"/>
    <xf numFmtId="2" fontId="35" fillId="6" borderId="0" xfId="0" applyNumberFormat="1" applyFont="1" applyFill="1" applyAlignment="1">
      <alignment horizontal="right"/>
    </xf>
    <xf numFmtId="0" fontId="35" fillId="6" borderId="0" xfId="0" applyFont="1" applyFill="1"/>
    <xf numFmtId="0" fontId="36" fillId="6" borderId="0" xfId="0" applyFont="1" applyFill="1" applyAlignment="1">
      <alignment vertical="center"/>
    </xf>
    <xf numFmtId="0" fontId="39" fillId="0" borderId="0" xfId="0" applyFont="1"/>
    <xf numFmtId="0" fontId="33" fillId="0" borderId="0" xfId="5" applyFont="1" applyAlignment="1">
      <alignment horizontal="center" wrapText="1"/>
    </xf>
    <xf numFmtId="0" fontId="30" fillId="0" borderId="0" xfId="7" applyFont="1"/>
    <xf numFmtId="0" fontId="34" fillId="0" borderId="0" xfId="5" applyFont="1" applyAlignment="1">
      <alignment horizontal="center"/>
    </xf>
    <xf numFmtId="171" fontId="0" fillId="0" borderId="0" xfId="0" applyNumberFormat="1"/>
    <xf numFmtId="10" fontId="0" fillId="0" borderId="0" xfId="4" applyNumberFormat="1" applyFont="1" applyFill="1"/>
    <xf numFmtId="43" fontId="0" fillId="6" borderId="0" xfId="8" applyFont="1" applyFill="1" applyBorder="1"/>
    <xf numFmtId="2" fontId="0" fillId="6" borderId="0" xfId="0" applyNumberFormat="1" applyFill="1"/>
    <xf numFmtId="2" fontId="0" fillId="6" borderId="0" xfId="0" applyNumberFormat="1" applyFill="1" applyAlignment="1">
      <alignment horizontal="right"/>
    </xf>
    <xf numFmtId="0" fontId="23" fillId="6" borderId="0" xfId="0" applyFont="1" applyFill="1"/>
    <xf numFmtId="0" fontId="41" fillId="6" borderId="0" xfId="0" applyFont="1" applyFill="1" applyAlignment="1">
      <alignment vertical="center"/>
    </xf>
    <xf numFmtId="43" fontId="42" fillId="6" borderId="0" xfId="8" applyFont="1" applyFill="1" applyBorder="1" applyAlignment="1">
      <alignment wrapText="1"/>
    </xf>
    <xf numFmtId="0" fontId="42" fillId="6" borderId="0" xfId="0" applyFont="1" applyFill="1" applyAlignment="1">
      <alignment wrapText="1"/>
    </xf>
    <xf numFmtId="0" fontId="43" fillId="6" borderId="0" xfId="0" applyFont="1" applyFill="1"/>
    <xf numFmtId="0" fontId="44" fillId="6" borderId="0" xfId="0" applyFont="1" applyFill="1"/>
    <xf numFmtId="0" fontId="40" fillId="0" borderId="0" xfId="7"/>
    <xf numFmtId="0" fontId="45" fillId="0" borderId="0" xfId="7" applyFont="1"/>
    <xf numFmtId="0" fontId="46" fillId="0" borderId="0" xfId="7" applyFont="1"/>
    <xf numFmtId="0" fontId="39" fillId="0" borderId="0" xfId="7" applyFont="1"/>
    <xf numFmtId="166" fontId="45" fillId="0" borderId="0" xfId="7" applyNumberFormat="1" applyFont="1"/>
    <xf numFmtId="43" fontId="45" fillId="0" borderId="0" xfId="7" applyNumberFormat="1" applyFont="1"/>
    <xf numFmtId="166" fontId="46" fillId="0" borderId="0" xfId="7" applyNumberFormat="1" applyFont="1"/>
    <xf numFmtId="167" fontId="45" fillId="0" borderId="0" xfId="7" applyNumberFormat="1" applyFont="1"/>
    <xf numFmtId="2" fontId="46" fillId="5" borderId="0" xfId="7" applyNumberFormat="1" applyFont="1" applyFill="1"/>
    <xf numFmtId="168" fontId="45" fillId="0" borderId="0" xfId="7" applyNumberFormat="1" applyFont="1"/>
    <xf numFmtId="43" fontId="45" fillId="5" borderId="0" xfId="7" applyNumberFormat="1" applyFont="1" applyFill="1"/>
    <xf numFmtId="10" fontId="45" fillId="0" borderId="0" xfId="7" applyNumberFormat="1" applyFont="1"/>
    <xf numFmtId="0" fontId="47" fillId="0" borderId="0" xfId="7" applyFont="1"/>
    <xf numFmtId="2" fontId="45" fillId="0" borderId="0" xfId="7" applyNumberFormat="1" applyFont="1"/>
    <xf numFmtId="0" fontId="48" fillId="0" borderId="0" xfId="7" applyFont="1" applyAlignment="1">
      <alignment horizontal="left" vertical="center"/>
    </xf>
    <xf numFmtId="0" fontId="45" fillId="7" borderId="0" xfId="7" applyFont="1" applyFill="1"/>
    <xf numFmtId="0" fontId="48" fillId="7" borderId="0" xfId="7" applyFont="1" applyFill="1" applyAlignment="1">
      <alignment vertical="center"/>
    </xf>
    <xf numFmtId="0" fontId="50" fillId="7" borderId="0" xfId="7" applyFont="1" applyFill="1"/>
    <xf numFmtId="167" fontId="50" fillId="7" borderId="21" xfId="7" applyNumberFormat="1" applyFont="1" applyFill="1" applyBorder="1" applyAlignment="1">
      <alignment horizontal="right"/>
    </xf>
    <xf numFmtId="167" fontId="50" fillId="7" borderId="22" xfId="7" applyNumberFormat="1" applyFont="1" applyFill="1" applyBorder="1" applyAlignment="1">
      <alignment horizontal="right"/>
    </xf>
    <xf numFmtId="9" fontId="50" fillId="7" borderId="22" xfId="7" applyNumberFormat="1" applyFont="1" applyFill="1" applyBorder="1" applyAlignment="1">
      <alignment horizontal="right"/>
    </xf>
    <xf numFmtId="9" fontId="50" fillId="7" borderId="23" xfId="7" applyNumberFormat="1" applyFont="1" applyFill="1" applyBorder="1" applyAlignment="1">
      <alignment horizontal="right"/>
    </xf>
    <xf numFmtId="167" fontId="50" fillId="7" borderId="23" xfId="7" applyNumberFormat="1" applyFont="1" applyFill="1" applyBorder="1" applyAlignment="1">
      <alignment horizontal="right"/>
    </xf>
    <xf numFmtId="0" fontId="50" fillId="7" borderId="24" xfId="7" applyFont="1" applyFill="1" applyBorder="1" applyAlignment="1">
      <alignment horizontal="center"/>
    </xf>
    <xf numFmtId="169" fontId="50" fillId="7" borderId="0" xfId="7" applyNumberFormat="1" applyFont="1" applyFill="1"/>
    <xf numFmtId="170" fontId="50" fillId="7" borderId="24" xfId="7" applyNumberFormat="1" applyFont="1" applyFill="1" applyBorder="1"/>
    <xf numFmtId="167" fontId="50" fillId="7" borderId="25" xfId="7" applyNumberFormat="1" applyFont="1" applyFill="1" applyBorder="1" applyAlignment="1">
      <alignment horizontal="right"/>
    </xf>
    <xf numFmtId="167" fontId="50" fillId="7" borderId="0" xfId="7" applyNumberFormat="1" applyFont="1" applyFill="1" applyAlignment="1">
      <alignment horizontal="right"/>
    </xf>
    <xf numFmtId="9" fontId="50" fillId="7" borderId="0" xfId="7" applyNumberFormat="1" applyFont="1" applyFill="1" applyAlignment="1">
      <alignment horizontal="right"/>
    </xf>
    <xf numFmtId="9" fontId="50" fillId="7" borderId="26" xfId="7" applyNumberFormat="1" applyFont="1" applyFill="1" applyBorder="1" applyAlignment="1">
      <alignment horizontal="right"/>
    </xf>
    <xf numFmtId="167" fontId="50" fillId="7" borderId="26" xfId="7" applyNumberFormat="1" applyFont="1" applyFill="1" applyBorder="1" applyAlignment="1">
      <alignment horizontal="right"/>
    </xf>
    <xf numFmtId="0" fontId="50" fillId="7" borderId="27" xfId="7" applyFont="1" applyFill="1" applyBorder="1" applyAlignment="1">
      <alignment horizontal="center"/>
    </xf>
    <xf numFmtId="170" fontId="50" fillId="7" borderId="27" xfId="7" applyNumberFormat="1" applyFont="1" applyFill="1" applyBorder="1"/>
    <xf numFmtId="43" fontId="50" fillId="7" borderId="0" xfId="7" applyNumberFormat="1" applyFont="1" applyFill="1" applyAlignment="1">
      <alignment horizontal="right"/>
    </xf>
    <xf numFmtId="43" fontId="50" fillId="7" borderId="26" xfId="7" applyNumberFormat="1" applyFont="1" applyFill="1" applyBorder="1" applyAlignment="1">
      <alignment horizontal="right"/>
    </xf>
    <xf numFmtId="167" fontId="50" fillId="7" borderId="28" xfId="7" applyNumberFormat="1" applyFont="1" applyFill="1" applyBorder="1" applyAlignment="1">
      <alignment horizontal="right"/>
    </xf>
    <xf numFmtId="167" fontId="50" fillId="7" borderId="29" xfId="7" applyNumberFormat="1" applyFont="1" applyFill="1" applyBorder="1" applyAlignment="1">
      <alignment horizontal="right"/>
    </xf>
    <xf numFmtId="0" fontId="50" fillId="7" borderId="27" xfId="7" applyFont="1" applyFill="1" applyBorder="1"/>
    <xf numFmtId="0" fontId="50" fillId="7" borderId="21" xfId="7" applyFont="1" applyFill="1" applyBorder="1" applyAlignment="1">
      <alignment horizontal="center" wrapText="1"/>
    </xf>
    <xf numFmtId="0" fontId="50" fillId="7" borderId="22" xfId="7" applyFont="1" applyFill="1" applyBorder="1" applyAlignment="1">
      <alignment horizontal="center" wrapText="1"/>
    </xf>
    <xf numFmtId="0" fontId="50" fillId="7" borderId="30" xfId="7" applyFont="1" applyFill="1" applyBorder="1" applyAlignment="1">
      <alignment horizontal="center" wrapText="1"/>
    </xf>
    <xf numFmtId="0" fontId="50" fillId="7" borderId="31" xfId="7" applyFont="1" applyFill="1" applyBorder="1" applyAlignment="1">
      <alignment horizontal="center" wrapText="1"/>
    </xf>
    <xf numFmtId="0" fontId="50" fillId="7" borderId="32" xfId="7" applyFont="1" applyFill="1" applyBorder="1" applyAlignment="1">
      <alignment horizontal="center" wrapText="1"/>
    </xf>
    <xf numFmtId="0" fontId="50" fillId="7" borderId="33" xfId="7" applyFont="1" applyFill="1" applyBorder="1" applyAlignment="1">
      <alignment horizontal="center" wrapText="1"/>
    </xf>
    <xf numFmtId="0" fontId="51" fillId="0" borderId="30" xfId="7" applyFont="1" applyBorder="1"/>
    <xf numFmtId="0" fontId="51" fillId="0" borderId="31" xfId="7" applyFont="1" applyBorder="1"/>
    <xf numFmtId="0" fontId="52" fillId="7" borderId="32" xfId="7" applyFont="1" applyFill="1" applyBorder="1" applyAlignment="1">
      <alignment horizontal="center"/>
    </xf>
    <xf numFmtId="0" fontId="52" fillId="7" borderId="30" xfId="7" applyFont="1" applyFill="1" applyBorder="1" applyAlignment="1">
      <alignment horizontal="center"/>
    </xf>
    <xf numFmtId="0" fontId="52" fillId="7" borderId="32" xfId="7" applyFont="1" applyFill="1" applyBorder="1" applyAlignment="1">
      <alignment horizontal="center"/>
    </xf>
    <xf numFmtId="0" fontId="52" fillId="7" borderId="33" xfId="7" applyFont="1" applyFill="1" applyBorder="1" applyAlignment="1">
      <alignment horizontal="left"/>
    </xf>
    <xf numFmtId="2" fontId="45" fillId="7" borderId="0" xfId="7" applyNumberFormat="1" applyFont="1" applyFill="1"/>
    <xf numFmtId="2" fontId="45" fillId="7" borderId="0" xfId="7" applyNumberFormat="1" applyFont="1" applyFill="1" applyAlignment="1">
      <alignment horizontal="right"/>
    </xf>
    <xf numFmtId="0" fontId="50" fillId="0" borderId="0" xfId="7" applyFont="1" applyAlignment="1">
      <alignment horizontal="center" wrapText="1"/>
    </xf>
    <xf numFmtId="0" fontId="52" fillId="0" borderId="0" xfId="7" applyFont="1" applyAlignment="1">
      <alignment horizontal="center"/>
    </xf>
    <xf numFmtId="2" fontId="45" fillId="5" borderId="0" xfId="7" applyNumberFormat="1" applyFont="1" applyFill="1"/>
    <xf numFmtId="171" fontId="45" fillId="0" borderId="0" xfId="7" applyNumberFormat="1" applyFont="1"/>
    <xf numFmtId="43" fontId="45" fillId="7" borderId="0" xfId="7" applyNumberFormat="1" applyFont="1" applyFill="1"/>
    <xf numFmtId="0" fontId="55" fillId="7" borderId="0" xfId="7" applyFont="1" applyFill="1" applyAlignment="1">
      <alignment vertical="center"/>
    </xf>
    <xf numFmtId="43" fontId="56" fillId="7" borderId="0" xfId="7" applyNumberFormat="1" applyFont="1" applyFill="1" applyAlignment="1">
      <alignment wrapText="1"/>
    </xf>
    <xf numFmtId="0" fontId="56" fillId="7" borderId="0" xfId="7" applyFont="1" applyFill="1" applyAlignment="1">
      <alignment wrapText="1"/>
    </xf>
    <xf numFmtId="0" fontId="57" fillId="7" borderId="0" xfId="7" applyFont="1" applyFill="1"/>
    <xf numFmtId="0" fontId="58" fillId="7" borderId="0" xfId="7" applyFont="1" applyFill="1"/>
    <xf numFmtId="0" fontId="59" fillId="0" borderId="0" xfId="0" applyFont="1"/>
    <xf numFmtId="0" fontId="59" fillId="0" borderId="0" xfId="0" applyFont="1" applyAlignment="1">
      <alignment horizontal="left" vertical="top"/>
    </xf>
    <xf numFmtId="0" fontId="59" fillId="8" borderId="0" xfId="0" applyFont="1" applyFill="1"/>
    <xf numFmtId="0" fontId="60" fillId="8" borderId="0" xfId="0" applyFont="1" applyFill="1"/>
    <xf numFmtId="43" fontId="61" fillId="8" borderId="19" xfId="0" applyNumberFormat="1" applyFont="1" applyFill="1" applyBorder="1"/>
    <xf numFmtId="43" fontId="59" fillId="8" borderId="0" xfId="0" applyNumberFormat="1" applyFont="1" applyFill="1"/>
    <xf numFmtId="0" fontId="59" fillId="0" borderId="0" xfId="0" applyFont="1" applyAlignment="1">
      <alignment vertical="top" wrapText="1"/>
    </xf>
    <xf numFmtId="167" fontId="59" fillId="8" borderId="0" xfId="0" applyNumberFormat="1" applyFont="1" applyFill="1"/>
    <xf numFmtId="0" fontId="25" fillId="8" borderId="0" xfId="0" applyFont="1" applyFill="1" applyAlignment="1">
      <alignment horizontal="left" vertical="center" indent="1"/>
    </xf>
    <xf numFmtId="0" fontId="62" fillId="8" borderId="0" xfId="0" applyFont="1" applyFill="1"/>
    <xf numFmtId="0" fontId="63" fillId="8" borderId="0" xfId="0" applyFont="1" applyFill="1"/>
    <xf numFmtId="0" fontId="25" fillId="6" borderId="0" xfId="0" applyFont="1" applyFill="1" applyAlignment="1">
      <alignment horizontal="left" vertical="center" indent="1"/>
    </xf>
    <xf numFmtId="43" fontId="61" fillId="8" borderId="0" xfId="0" applyNumberFormat="1" applyFont="1" applyFill="1"/>
    <xf numFmtId="0" fontId="59" fillId="8" borderId="0" xfId="0" applyFont="1" applyFill="1" applyAlignment="1">
      <alignment horizontal="right"/>
    </xf>
    <xf numFmtId="43" fontId="59" fillId="8" borderId="0" xfId="2" applyFont="1" applyFill="1"/>
    <xf numFmtId="172" fontId="59" fillId="8" borderId="0" xfId="4" applyNumberFormat="1" applyFont="1" applyFill="1"/>
    <xf numFmtId="10" fontId="59" fillId="8" borderId="0" xfId="0" applyNumberFormat="1" applyFont="1" applyFill="1"/>
    <xf numFmtId="0" fontId="66" fillId="8" borderId="0" xfId="0" applyFont="1" applyFill="1"/>
    <xf numFmtId="10" fontId="59" fillId="8" borderId="0" xfId="4" applyNumberFormat="1" applyFont="1" applyFill="1"/>
    <xf numFmtId="0" fontId="66" fillId="8" borderId="0" xfId="0" applyFont="1" applyFill="1" applyAlignment="1">
      <alignment horizontal="right"/>
    </xf>
    <xf numFmtId="0" fontId="67" fillId="8" borderId="0" xfId="0" applyFont="1" applyFill="1"/>
    <xf numFmtId="0" fontId="61" fillId="8" borderId="0" xfId="0" applyFont="1" applyFill="1"/>
    <xf numFmtId="167" fontId="59" fillId="8" borderId="0" xfId="2" applyNumberFormat="1" applyFont="1" applyFill="1" applyBorder="1"/>
    <xf numFmtId="167" fontId="59" fillId="8" borderId="0" xfId="2" applyNumberFormat="1" applyFont="1" applyFill="1"/>
    <xf numFmtId="10" fontId="61" fillId="8" borderId="19" xfId="0" applyNumberFormat="1" applyFont="1" applyFill="1" applyBorder="1"/>
    <xf numFmtId="167" fontId="59" fillId="8" borderId="7" xfId="2" applyNumberFormat="1" applyFont="1" applyFill="1" applyBorder="1"/>
    <xf numFmtId="0" fontId="59" fillId="8" borderId="7" xfId="0" applyFont="1" applyFill="1" applyBorder="1" applyAlignment="1">
      <alignment horizontal="right"/>
    </xf>
    <xf numFmtId="0" fontId="59" fillId="8" borderId="7" xfId="0" applyFont="1" applyFill="1" applyBorder="1"/>
    <xf numFmtId="0" fontId="0" fillId="6" borderId="0" xfId="0" applyFill="1" applyAlignment="1">
      <alignment horizontal="left"/>
    </xf>
    <xf numFmtId="0" fontId="25" fillId="6" borderId="0" xfId="0" applyFont="1" applyFill="1" applyAlignment="1">
      <alignment horizontal="left" vertical="center"/>
    </xf>
    <xf numFmtId="9" fontId="67" fillId="0" borderId="0" xfId="0" applyNumberFormat="1" applyFont="1" applyAlignment="1">
      <alignment vertical="top" wrapText="1"/>
    </xf>
    <xf numFmtId="0" fontId="68" fillId="8" borderId="0" xfId="0" applyFont="1" applyFill="1" applyAlignment="1">
      <alignment horizontal="center" vertical="center" wrapText="1"/>
    </xf>
    <xf numFmtId="9" fontId="67" fillId="0" borderId="0" xfId="0" applyNumberFormat="1" applyFont="1" applyAlignment="1">
      <alignment vertical="top"/>
    </xf>
    <xf numFmtId="173" fontId="59" fillId="8" borderId="0" xfId="0" applyNumberFormat="1" applyFont="1" applyFill="1"/>
    <xf numFmtId="10" fontId="61" fillId="8" borderId="19" xfId="4" applyNumberFormat="1" applyFont="1" applyFill="1" applyBorder="1"/>
    <xf numFmtId="10" fontId="61" fillId="8" borderId="0" xfId="4" applyNumberFormat="1" applyFont="1" applyFill="1" applyBorder="1"/>
    <xf numFmtId="10" fontId="61" fillId="8" borderId="7" xfId="4" applyNumberFormat="1" applyFont="1" applyFill="1" applyBorder="1"/>
    <xf numFmtId="10" fontId="59" fillId="8" borderId="0" xfId="0" applyNumberFormat="1" applyFont="1" applyFill="1" applyAlignment="1">
      <alignment horizontal="right"/>
    </xf>
    <xf numFmtId="10" fontId="59" fillId="8" borderId="0" xfId="4" applyNumberFormat="1" applyFont="1" applyFill="1" applyBorder="1"/>
    <xf numFmtId="10" fontId="69" fillId="8" borderId="7" xfId="0" applyNumberFormat="1" applyFont="1" applyFill="1" applyBorder="1"/>
    <xf numFmtId="0" fontId="59" fillId="8" borderId="0" xfId="0" applyFont="1" applyFill="1" applyAlignment="1">
      <alignment horizontal="center"/>
    </xf>
    <xf numFmtId="9" fontId="59" fillId="8" borderId="0" xfId="0" applyNumberFormat="1" applyFont="1" applyFill="1"/>
    <xf numFmtId="0" fontId="67" fillId="8" borderId="0" xfId="0" applyFont="1" applyFill="1" applyAlignment="1">
      <alignment horizontal="left" indent="9"/>
    </xf>
    <xf numFmtId="0" fontId="59" fillId="0" borderId="0" xfId="0" applyFont="1" applyAlignment="1">
      <alignment wrapText="1"/>
    </xf>
    <xf numFmtId="10" fontId="67" fillId="8" borderId="0" xfId="0" applyNumberFormat="1" applyFont="1" applyFill="1"/>
    <xf numFmtId="9" fontId="59" fillId="0" borderId="0" xfId="4" applyFont="1"/>
    <xf numFmtId="9" fontId="67" fillId="8" borderId="0" xfId="0" applyNumberFormat="1" applyFont="1" applyFill="1"/>
    <xf numFmtId="0" fontId="67" fillId="8" borderId="0" xfId="0" applyFont="1" applyFill="1" applyAlignment="1">
      <alignment horizontal="left" indent="5"/>
    </xf>
    <xf numFmtId="0" fontId="28" fillId="6" borderId="0" xfId="0" applyFont="1" applyFill="1" applyAlignment="1">
      <alignment vertical="center"/>
    </xf>
    <xf numFmtId="0" fontId="28" fillId="6" borderId="0" xfId="0" applyFont="1" applyFill="1" applyAlignment="1">
      <alignment horizontal="right" vertical="center"/>
    </xf>
    <xf numFmtId="0" fontId="28" fillId="6" borderId="0" xfId="0" applyFont="1" applyFill="1" applyAlignment="1">
      <alignment horizontal="center" vertical="center"/>
    </xf>
    <xf numFmtId="0" fontId="70" fillId="6" borderId="16" xfId="0" applyFont="1" applyFill="1" applyBorder="1" applyAlignment="1">
      <alignment vertical="center"/>
    </xf>
    <xf numFmtId="0" fontId="70" fillId="6" borderId="17" xfId="0" applyFont="1" applyFill="1" applyBorder="1" applyAlignment="1">
      <alignment vertical="center"/>
    </xf>
    <xf numFmtId="3" fontId="70" fillId="6" borderId="16" xfId="0" applyNumberFormat="1" applyFont="1" applyFill="1" applyBorder="1" applyAlignment="1">
      <alignment vertical="center"/>
    </xf>
    <xf numFmtId="0" fontId="70" fillId="6" borderId="18" xfId="0" applyFont="1" applyFill="1" applyBorder="1" applyAlignment="1">
      <alignment vertical="center"/>
    </xf>
    <xf numFmtId="0" fontId="70" fillId="6" borderId="19" xfId="0" applyFont="1" applyFill="1" applyBorder="1" applyAlignment="1">
      <alignment vertical="center"/>
    </xf>
    <xf numFmtId="0" fontId="71" fillId="6" borderId="0" xfId="0" applyFont="1" applyFill="1" applyAlignment="1">
      <alignment horizontal="left" vertical="center" indent="3"/>
    </xf>
  </cellXfs>
  <cellStyles count="9">
    <cellStyle name="Comma" xfId="2" builtinId="3"/>
    <cellStyle name="Comma 2" xfId="6" xr:uid="{C730090C-8DB5-491D-B6A7-A113680B4FAA}"/>
    <cellStyle name="Comma 9" xfId="8" xr:uid="{60B96279-F8D8-4AED-B987-44A50C5CFC7D}"/>
    <cellStyle name="Currency" xfId="3" builtinId="4"/>
    <cellStyle name="Hyperlink" xfId="1" builtinId="8"/>
    <cellStyle name="Normal" xfId="0" builtinId="0"/>
    <cellStyle name="Normal 10" xfId="5" xr:uid="{461BBAD0-856C-4A60-AD02-7E04D5064162}"/>
    <cellStyle name="Normal 2" xfId="7" xr:uid="{7D2D7316-38A2-4DC5-8781-488BB8F4329C}"/>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161925</xdr:colOff>
      <xdr:row>24</xdr:row>
      <xdr:rowOff>57150</xdr:rowOff>
    </xdr:from>
    <xdr:to>
      <xdr:col>3</xdr:col>
      <xdr:colOff>381000</xdr:colOff>
      <xdr:row>29</xdr:row>
      <xdr:rowOff>9525</xdr:rowOff>
    </xdr:to>
    <xdr:sp macro="" textlink="">
      <xdr:nvSpPr>
        <xdr:cNvPr id="2" name="TextBox 1">
          <a:extLst>
            <a:ext uri="{FF2B5EF4-FFF2-40B4-BE49-F238E27FC236}">
              <a16:creationId xmlns:a16="http://schemas.microsoft.com/office/drawing/2014/main" id="{0FDD6F3D-3BCF-439B-AE7A-BDCED7324D26}"/>
            </a:ext>
          </a:extLst>
        </xdr:cNvPr>
        <xdr:cNvSpPr txBox="1"/>
      </xdr:nvSpPr>
      <xdr:spPr>
        <a:xfrm>
          <a:off x="161925" y="4629150"/>
          <a:ext cx="4362450" cy="904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editAs="oneCell">
    <xdr:from>
      <xdr:col>0</xdr:col>
      <xdr:colOff>161925</xdr:colOff>
      <xdr:row>24</xdr:row>
      <xdr:rowOff>57150</xdr:rowOff>
    </xdr:from>
    <xdr:to>
      <xdr:col>4</xdr:col>
      <xdr:colOff>205776</xdr:colOff>
      <xdr:row>27</xdr:row>
      <xdr:rowOff>95174</xdr:rowOff>
    </xdr:to>
    <xdr:pic>
      <xdr:nvPicPr>
        <xdr:cNvPr id="3" name="Picture 2">
          <a:extLst>
            <a:ext uri="{FF2B5EF4-FFF2-40B4-BE49-F238E27FC236}">
              <a16:creationId xmlns:a16="http://schemas.microsoft.com/office/drawing/2014/main" id="{B22D439C-5F2A-405F-972A-A8C9B34C1474}"/>
            </a:ext>
          </a:extLst>
        </xdr:cNvPr>
        <xdr:cNvPicPr>
          <a:picLocks noChangeAspect="1"/>
        </xdr:cNvPicPr>
      </xdr:nvPicPr>
      <xdr:blipFill>
        <a:blip xmlns:r="http://schemas.openxmlformats.org/officeDocument/2006/relationships" r:embed="rId1"/>
        <a:stretch>
          <a:fillRect/>
        </a:stretch>
      </xdr:blipFill>
      <xdr:spPr>
        <a:xfrm>
          <a:off x="161925" y="4629150"/>
          <a:ext cx="4790476" cy="6095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89dba222d76f19a3/SOA/Exam/2025/12%20Central%20Grading%20Clearwater/Rubrics%20Final/ILA201U%201125%20Rubric%20Q3.xlsx" TargetMode="External"/><Relationship Id="rId1" Type="http://schemas.openxmlformats.org/officeDocument/2006/relationships/externalLinkPath" Target="https://d.docs.live.net/89dba222d76f19a3/SOA/Exam/2025/12%20Central%20Grading%20Clearwater/Rubrics%20Final/ILA201U%201125%20Rubric%20Q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kjin\Documents\SOA%20grading\ILA%20201U%20Candidate%20Files%20-%20Combined\22607.xlsx" TargetMode="External"/><Relationship Id="rId1" Type="http://schemas.openxmlformats.org/officeDocument/2006/relationships/externalLinkPath" Target="ILA%20201U%20Candidate%20Files%20-%20Combined/22607.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kjin\Documents\SOA%20grading\ILA%20201U%20Candidate%20Files%20-%20Combined\21070.xlsx" TargetMode="External"/><Relationship Id="rId1" Type="http://schemas.openxmlformats.org/officeDocument/2006/relationships/externalLinkPath" Target="ILA%20201U%20Candidate%20Files%20-%20Combined/2107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Owner/Downloads/ILA%20201U%20Candidate%20Files%20-%20Combined/2260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Owner/Downloads/ILA%20201U%20Candidate%20Files%20-%20Combined/2107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Rubric"/>
      <sheetName val="answer-a-"/>
      <sheetName val="answer-b-i"/>
      <sheetName val="answer-b-ii"/>
      <sheetName val="Lookups"/>
    </sheetNames>
    <sheetDataSet>
      <sheetData sheetId="0"/>
      <sheetData sheetId="1"/>
      <sheetData sheetId="2"/>
      <sheetData sheetId="3"/>
      <sheetData sheetId="4"/>
      <sheetData sheetId="5">
        <row r="2">
          <cell r="B2" t="str">
            <v>LO1 o   Chapter 1: Overview of Valuation Concepts (excluding 1.1-1.9)·        Statutory Valuation of Individual Life and Annuity Contracts, Claire, D., Lombardi, L. and Summers, S., 5th Edition, 2018</v>
          </cell>
        </row>
        <row r="3">
          <cell r="B3" t="str">
            <v>LO1 o   Chapter 2: Product Classifications (2.2 only)·        Statutory Valuation of Individual Life and Annuity Contracts, Claire, D., Lombardi, L. and Summers, S., 5th Edition, 2018</v>
          </cell>
        </row>
        <row r="4">
          <cell r="B4" t="str">
            <v>LO1 o   Chapter 3: NAIC Annual Statement·        Statutory Valuation of Individual Life and Annuity Contracts, Claire, D., Lombardi, L. and Summers, S., 5th Edition, 2018</v>
          </cell>
        </row>
        <row r="5">
          <cell r="B5" t="str">
            <v>LO1 o   Chapter 5: The Valuation Manual (excluding 5.4)·        Statutory Valuation of Individual Life and Annuity Contracts, Claire, D., Lombardi, L. and Summers, S., 5th Edition, 2018</v>
          </cell>
        </row>
        <row r="6">
          <cell r="B6" t="str">
            <v>LO1 o   Chapter 10: Valuation Assumptions (excluding 10.1.3 &amp; 10.3.8)·        Statutory Valuation of Individual Life and Annuity Contracts, Claire, D., Lombardi, L. and Summers, S., 5th Edition, 2018</v>
          </cell>
        </row>
        <row r="7">
          <cell r="B7" t="str">
            <v>LO1 o   Chapter 11: Valuation Methodologies (excluding 11.3.9-11.3.11)·        Statutory Valuation of Individual Life and Annuity Contracts, Claire, D., Lombardi, L. and Summers, S., 5th Edition, 2018</v>
          </cell>
        </row>
        <row r="8">
          <cell r="B8" t="str">
            <v>LO1 o   Chapter 12: Whole Life ·        Statutory Valuation of Individual Life and Annuity Contracts, Claire, D., Lombardi, L. and Summers, S., 5th Edition, 2018</v>
          </cell>
        </row>
        <row r="9">
          <cell r="B9" t="str">
            <v>LO1 o   Chapter 13: Term Life Insurance ·        Statutory Valuation of Individual Life and Annuity Contracts, Claire, D., Lombardi, L. and Summers, S., 5th Edition, 2018</v>
          </cell>
        </row>
        <row r="10">
          <cell r="B10" t="str">
            <v>LO1 o   Chapter 14: Universal Life (excluding 14.4.8, 14.4.9, 14.5.0 &amp; 14.6.2-14.6.6)·        Statutory Valuation of Individual Life and Annuity Contracts, Claire, D., Lombardi, L. and Summers, S., 5th Edition, 2018</v>
          </cell>
        </row>
        <row r="11">
          <cell r="B11" t="str">
            <v>LO1 o   Chapter 16: Indexed Universal Life (excluding 16.4.2-16.4.3)·        Statutory Valuation of Individual Life and Annuity Contracts, Claire, D., Lombardi, L. and Summers, S., 5th Edition, 2018</v>
          </cell>
        </row>
        <row r="12">
          <cell r="B12" t="str">
            <v>LO1 o   Chapter 18: Fixed Deferred Annuities (excluding 18.7.4 &amp; 18.8)·        Statutory Valuation of Individual Life and Annuity Contracts, Claire, D., Lombardi, L. and Summers, S., 5th Edition, 2018</v>
          </cell>
        </row>
        <row r="13">
          <cell r="B13" t="str">
            <v>LO1 o   Chapter 20: Indexed Deferred Annuities ·        Statutory Valuation of Individual Life and Annuity Contracts, Claire, D., Lombardi, L. and Summers, S., 5th Edition, 2018</v>
          </cell>
        </row>
        <row r="14">
          <cell r="B14" t="str">
            <v>LO1 o   Chapter 21: Immediate Annuities ·        Statutory Valuation of Individual Life and Annuity Contracts, Claire, D., Lombardi, L. and Summers, S., 5th Edition, 2018</v>
          </cell>
        </row>
        <row r="15">
          <cell r="B15" t="str">
            <v>LO1 o   Chapter 23: VM-20: PBR for Life Products (excluding 23.1)·        Statutory Valuation of Individual Life and Annuity Contracts, Claire, D., Lombardi, L. and Summers, S., 5th Edition, 2018</v>
          </cell>
        </row>
        <row r="16">
          <cell r="B16" t="str">
            <v>LO1 o   Chapter 24: VM 21: PBR for Variable Annuities·        Statutory Valuation of Individual Life and Annuity Contracts, Claire, D., Lombardi, L. and Summers, S., 5th Edition, 2018</v>
          </cell>
        </row>
        <row r="17">
          <cell r="B17" t="str">
            <v>LO1 o   Chapter 25: Principle-Based Reserve Report·        Statutory Valuation of Individual Life and Annuity Contracts, Claire, D., Lombardi, L. and Summers, S., 5th Edition, 2018</v>
          </cell>
        </row>
        <row r="18">
          <cell r="B18" t="str">
            <v xml:space="preserve">LO1 o   Chapter 1: US GAAP Objectives and their Implications to Insurers·         US GAAP for Insurers, Freedman, M., and Frasca, R., 3rd Edition, 2024 </v>
          </cell>
        </row>
        <row r="19">
          <cell r="B19" t="str">
            <v xml:space="preserve">LO1 o   Chapter 3: Product Classification and Measurement·         US GAAP for Insurers, Freedman, M., and Frasca, R., 3rd Edition, 2024 </v>
          </cell>
        </row>
        <row r="20">
          <cell r="B20" t="str">
            <v xml:space="preserve">LO1 o   Chapter 4: Expenses·         US GAAP for Insurers, Freedman, M., and Frasca, R., 3rd Edition, 2024 </v>
          </cell>
        </row>
        <row r="21">
          <cell r="B21" t="str">
            <v xml:space="preserve">LO1 o   Chapter 5: Nonparticipating Traditional Life Insurance·         US GAAP for Insurers, Freedman, M., and Frasca, R., 3rd Edition, 2024 </v>
          </cell>
        </row>
        <row r="22">
          <cell r="B22" t="str">
            <v xml:space="preserve">LO1 o   Chapter 7: Universal Life Insurance (only sections 1, 2, 5-7)·         US GAAP for Insurers, Freedman, M., and Frasca, R., 3rd Edition, 2024 </v>
          </cell>
        </row>
        <row r="23">
          <cell r="B23" t="str">
            <v xml:space="preserve">LO1 o   Chapter 11: Deferred Annuities ·         US GAAP for Insurers, Freedman, M., and Frasca, R., 3rd Edition, 2024 </v>
          </cell>
        </row>
        <row r="24">
          <cell r="B24" t="str">
            <v xml:space="preserve">LO1 o   Chapter 12: Payout Annuities ·         US GAAP for Insurers, Freedman, M., and Frasca, R., 3rd Edition, 2024 </v>
          </cell>
        </row>
        <row r="25">
          <cell r="B25" t="str">
            <v>LO1 ·        Interactive Principle-Based Reserves Model</v>
          </cell>
        </row>
        <row r="26">
          <cell r="B26" t="str">
            <v>LO1 ·        Implementation Considerations for VA Market Risk Benefits, Financial Reporter, Sep 2019</v>
          </cell>
        </row>
        <row r="27">
          <cell r="B27" t="str">
            <v>LO1 Targeted Improvements Interactive Model</v>
          </cell>
        </row>
        <row r="28">
          <cell r="B28" t="str">
            <v>LO2 o   Ch. 29: Risk-Based Capital·        Statutory Valuation of Individual Life and Annuity Contracts, Claire, D., Lombardi, L. and Summers, S., 5th Edition, 2018</v>
          </cell>
        </row>
        <row r="29">
          <cell r="B29" t="str">
            <v>LO2 ·        ILA201-800-25: The Theory of Risk Capital in Financial Firms</v>
          </cell>
        </row>
        <row r="30">
          <cell r="B30" t="str">
            <v>LO2 ·        Economic Capital for Life Insurance Companies, SOA Research Paper, Oct 2016 (Sections 2 &amp; 6)</v>
          </cell>
        </row>
        <row r="31">
          <cell r="B31" t="str">
            <v>LO2 A Multi-Stakeholder Approach to Capital Adequacy, Conning Research, Actuarial Practice Forum</v>
          </cell>
        </row>
        <row r="32">
          <cell r="B32" t="str">
            <v>LO3 ·        ILA201-801-25: Diversification of Longevity and Mortality Risk</v>
          </cell>
        </row>
        <row r="33">
          <cell r="B33" t="str">
            <v>LO3 ·        ILA201-100-25: Diversification: Consideration on Modelling Aspects &amp; Related Fungibility and Individual Life and Annuities – Life ALM and Modelling Exam Fall 2024 and Spring 2025 6 Transferability, CRO, Oct 2013, pp. 1-18</v>
          </cell>
        </row>
        <row r="34">
          <cell r="B34" t="str">
            <v>LO3 ·        ILA201-802-25: NAIC Own Risk and Solvency Assessment (ORSA) Guidance Manual, National Association of Insurance Commissioners, Dec 2017</v>
          </cell>
        </row>
        <row r="35">
          <cell r="B35" t="str">
            <v>LO3 Rating Agency Perspectives on Insurance Company Capital, SOA Research Institute, Aug 2023 (excluding Appendices)</v>
          </cell>
        </row>
        <row r="36">
          <cell r="B36" t="str">
            <v xml:space="preserve">LO4 ILA201-101-25: Life in-force Management: Improving Consumer Value and Long-Term Profitability </v>
          </cell>
        </row>
        <row r="37">
          <cell r="B37" t="str">
            <v>LO4 ILA201-102-25: Economics of Insurance: How Insurers Create Value for Shareholders, pp. 4-31</v>
          </cell>
        </row>
        <row r="38">
          <cell r="B38" t="str">
            <v>LO4 I FAQ on Certain Insurance Reserves Held by Insurance Companies for the Purpose of Determining U.S. Taxable Income after the Passage of the Tax Cuts and Jobs Act of 2017</v>
          </cell>
        </row>
        <row r="39">
          <cell r="B39" t="str">
            <v>LO4 Evolving Strategies to Improve Inforce Post-Level Term Profitability, Product Matters, Feb 2015, pp. 23-28</v>
          </cell>
        </row>
        <row r="40">
          <cell r="B40" t="str">
            <v>LO4 Mechanics of Dividends, SOA Research Institute, Mar 2022</v>
          </cell>
        </row>
        <row r="41">
          <cell r="B41" t="str">
            <v>LO4 Embedded Value: Practice and Theory, Actuarial Practice Forum, Mar 2009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Q1(b)"/>
      <sheetName val="Q2(b),(c)"/>
      <sheetName val="Q3(a),(b)"/>
      <sheetName val="Q4(b)"/>
      <sheetName val="Q5(a),(b)"/>
      <sheetName val="Q6(a),(b),(c)"/>
    </sheetNames>
    <sheetDataSet>
      <sheetData sheetId="0" refreshError="1"/>
      <sheetData sheetId="1" refreshError="1"/>
      <sheetData sheetId="2">
        <row r="11">
          <cell r="J11">
            <v>100000</v>
          </cell>
        </row>
      </sheetData>
      <sheetData sheetId="3" refreshError="1"/>
      <sheetData sheetId="4"/>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Q1(b)"/>
      <sheetName val="Q2(b),(c)"/>
      <sheetName val="Q3(a),(b)"/>
      <sheetName val="Q4(b)"/>
      <sheetName val="Q5(a),(b)"/>
      <sheetName val="Q6(a),(b),(c)"/>
    </sheetNames>
    <sheetDataSet>
      <sheetData sheetId="0" refreshError="1"/>
      <sheetData sheetId="1" refreshError="1"/>
      <sheetData sheetId="2">
        <row r="10">
          <cell r="G10">
            <v>0.96618357487922713</v>
          </cell>
        </row>
      </sheetData>
      <sheetData sheetId="3" refreshError="1"/>
      <sheetData sheetId="4"/>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1(b)"/>
      <sheetName val="Q2(b),(c)"/>
      <sheetName val="Q3(a),(b)"/>
      <sheetName val="Q4(b)"/>
      <sheetName val="Q5(a),(b)"/>
      <sheetName val="Q6(a),(b),(c)"/>
    </sheetNames>
    <sheetDataSet>
      <sheetData sheetId="0" refreshError="1"/>
      <sheetData sheetId="1" refreshError="1"/>
      <sheetData sheetId="2"/>
      <sheetData sheetId="3" refreshError="1"/>
      <sheetData sheetId="4"/>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1(b)"/>
      <sheetName val="Q2(b),(c)"/>
      <sheetName val="Q3(a),(b)"/>
      <sheetName val="Q4(b)"/>
      <sheetName val="Q5(a),(b)"/>
      <sheetName val="Q6(a),(b),(c)"/>
    </sheetNames>
    <sheetDataSet>
      <sheetData sheetId="0" refreshError="1"/>
      <sheetData sheetId="1" refreshError="1"/>
      <sheetData sheetId="2"/>
      <sheetData sheetId="3" refreshError="1"/>
      <sheetData sheetId="4"/>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2.xml.rels><?xml version="1.0" encoding="UTF-8" standalone="yes"?>
<Relationships xmlns="http://schemas.openxmlformats.org/package/2006/relationships"><Relationship Id="rId8" Type="http://schemas.openxmlformats.org/officeDocument/2006/relationships/hyperlink" Target="http://www.soa.org/library/journals/actuarial-practice-forum/2009/march/apf-2009-03-frasca-lasorella.aspx" TargetMode="External"/><Relationship Id="rId3" Type="http://schemas.openxmlformats.org/officeDocument/2006/relationships/hyperlink" Target="https://www.soa.org/globalassets/assets/files/edu/2020/spring/intro-study-notes/targeted-improvements-interactive-model.xlsx" TargetMode="External"/><Relationship Id="rId7" Type="http://schemas.openxmlformats.org/officeDocument/2006/relationships/hyperlink" Target="https://www.soa.org/globalassets/assets/files/resources/research-report/2022/mechanics-dividends.pdf" TargetMode="External"/><Relationship Id="rId2" Type="http://schemas.openxmlformats.org/officeDocument/2006/relationships/hyperlink" Target="https://sections.soa.org/publication/?m=59605&amp;i=614324&amp;view=articleBrowser&amp;article_id=3465172" TargetMode="External"/><Relationship Id="rId1" Type="http://schemas.openxmlformats.org/officeDocument/2006/relationships/hyperlink" Target="https://www.soa.org/globalassets/assets/files/edu/2020/spring/intro-study-notes/interactive-principle-based-reserves.xlsx" TargetMode="External"/><Relationship Id="rId6" Type="http://schemas.openxmlformats.org/officeDocument/2006/relationships/hyperlink" Target="https://www.soa.org/globalassets/assets/library/newsletters/product-development-news/2015/february/pro-2015-iss91-hrischenko.pdf" TargetMode="External"/><Relationship Id="rId5" Type="http://schemas.openxmlformats.org/officeDocument/2006/relationships/hyperlink" Target="https://www.actuary.org/sites/default/files/2021-12/Tax_WG_FAQ2%20.pdf" TargetMode="External"/><Relationship Id="rId4" Type="http://schemas.openxmlformats.org/officeDocument/2006/relationships/hyperlink" Target="https://www.soa.org/4a506a/globalassets/assets/files/resources/research-report/2023/rating-agency-perspectives.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5468A-3C63-3947-865C-C86125ED1582}">
  <sheetPr codeName="Sheet1"/>
  <dimension ref="A1:B17"/>
  <sheetViews>
    <sheetView workbookViewId="0">
      <selection activeCell="B4" sqref="B4"/>
    </sheetView>
  </sheetViews>
  <sheetFormatPr defaultColWidth="11.44140625" defaultRowHeight="14.4"/>
  <cols>
    <col min="1" max="1" width="55" customWidth="1"/>
    <col min="2" max="2" width="107.33203125" style="24" customWidth="1"/>
  </cols>
  <sheetData>
    <row r="1" spans="1:2" s="29" customFormat="1" ht="54">
      <c r="A1" s="27" t="s">
        <v>66</v>
      </c>
      <c r="B1" s="28" t="s">
        <v>67</v>
      </c>
    </row>
    <row r="2" spans="1:2" s="29" customFormat="1" ht="18">
      <c r="A2" s="25" t="s">
        <v>0</v>
      </c>
      <c r="B2" s="28" t="s">
        <v>68</v>
      </c>
    </row>
    <row r="3" spans="1:2" s="29" customFormat="1" ht="36">
      <c r="A3" s="26" t="s">
        <v>1</v>
      </c>
      <c r="B3" s="28" t="s">
        <v>69</v>
      </c>
    </row>
    <row r="4" spans="1:2" s="29" customFormat="1" ht="18">
      <c r="A4" s="27" t="s">
        <v>7</v>
      </c>
      <c r="B4" s="28" t="s">
        <v>70</v>
      </c>
    </row>
    <row r="5" spans="1:2" s="29" customFormat="1" ht="18">
      <c r="A5" s="27" t="s">
        <v>4</v>
      </c>
      <c r="B5" s="28" t="s">
        <v>71</v>
      </c>
    </row>
    <row r="6" spans="1:2" s="29" customFormat="1" ht="18">
      <c r="A6" s="27" t="s">
        <v>5</v>
      </c>
      <c r="B6" s="28" t="s">
        <v>72</v>
      </c>
    </row>
    <row r="7" spans="1:2" s="29" customFormat="1" ht="36">
      <c r="A7" s="27" t="s">
        <v>6</v>
      </c>
      <c r="B7" s="28" t="s">
        <v>73</v>
      </c>
    </row>
    <row r="8" spans="1:2" s="29" customFormat="1" ht="36">
      <c r="A8" s="27" t="s">
        <v>10</v>
      </c>
      <c r="B8" s="28" t="s">
        <v>74</v>
      </c>
    </row>
    <row r="9" spans="1:2" s="29" customFormat="1" ht="36">
      <c r="A9" s="27" t="s">
        <v>17</v>
      </c>
      <c r="B9" s="28" t="s">
        <v>75</v>
      </c>
    </row>
    <row r="10" spans="1:2" s="29" customFormat="1" ht="54">
      <c r="A10" s="27" t="s">
        <v>8</v>
      </c>
      <c r="B10" s="28" t="s">
        <v>76</v>
      </c>
    </row>
    <row r="11" spans="1:2" s="29" customFormat="1" ht="72">
      <c r="A11" s="27" t="s">
        <v>9</v>
      </c>
      <c r="B11" s="28" t="s">
        <v>77</v>
      </c>
    </row>
    <row r="12" spans="1:2" s="29" customFormat="1" ht="18">
      <c r="A12" s="27" t="s">
        <v>12</v>
      </c>
      <c r="B12" s="40" t="s">
        <v>78</v>
      </c>
    </row>
    <row r="13" spans="1:2" s="29" customFormat="1" ht="18">
      <c r="A13" s="27" t="s">
        <v>13</v>
      </c>
      <c r="B13" s="41"/>
    </row>
    <row r="14" spans="1:2" s="29" customFormat="1" ht="18">
      <c r="A14" s="27" t="s">
        <v>14</v>
      </c>
      <c r="B14" s="41"/>
    </row>
    <row r="15" spans="1:2" s="29" customFormat="1" ht="18">
      <c r="A15" s="27" t="s">
        <v>15</v>
      </c>
      <c r="B15" s="41"/>
    </row>
    <row r="16" spans="1:2" s="29" customFormat="1" ht="18">
      <c r="A16" s="27" t="s">
        <v>16</v>
      </c>
      <c r="B16" s="42"/>
    </row>
    <row r="17" spans="2:2" s="29" customFormat="1" ht="18">
      <c r="B17" s="30"/>
    </row>
  </sheetData>
  <mergeCells count="1">
    <mergeCell ref="B12:B1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9120D-0449-4511-B655-3074A7E4EBE8}">
  <dimension ref="A1:Z999"/>
  <sheetViews>
    <sheetView topLeftCell="A12" workbookViewId="0">
      <selection activeCell="A108" sqref="A108"/>
    </sheetView>
  </sheetViews>
  <sheetFormatPr defaultColWidth="12.6640625" defaultRowHeight="15" customHeight="1"/>
  <cols>
    <col min="1" max="1" width="10.6640625" style="185" customWidth="1"/>
    <col min="2" max="2" width="11" style="185" customWidth="1"/>
    <col min="3" max="3" width="9.33203125" style="185" customWidth="1"/>
    <col min="4" max="4" width="12" style="185" customWidth="1"/>
    <col min="5" max="5" width="11.33203125" style="185" customWidth="1"/>
    <col min="6" max="7" width="8.6640625" style="185" customWidth="1"/>
    <col min="8" max="13" width="7.88671875" style="185" customWidth="1"/>
    <col min="14" max="14" width="26.33203125" style="185" customWidth="1"/>
    <col min="15" max="15" width="8.5546875" style="185" customWidth="1"/>
    <col min="16" max="19" width="7.88671875" style="185" customWidth="1"/>
    <col min="20" max="26" width="8.6640625" style="185" customWidth="1"/>
    <col min="27" max="16384" width="12.6640625" style="185"/>
  </cols>
  <sheetData>
    <row r="1" spans="1:26" ht="17.399999999999999">
      <c r="A1" s="246" t="s">
        <v>295</v>
      </c>
      <c r="B1" s="200"/>
      <c r="C1" s="200"/>
      <c r="D1" s="200"/>
      <c r="E1" s="200"/>
      <c r="F1" s="200"/>
      <c r="G1" s="200"/>
      <c r="H1" s="200"/>
      <c r="I1" s="200"/>
      <c r="J1" s="200"/>
      <c r="K1" s="200"/>
      <c r="L1" s="200"/>
      <c r="M1" s="200"/>
      <c r="N1" s="200"/>
      <c r="O1" s="200"/>
      <c r="P1" s="200"/>
      <c r="Q1" s="200"/>
      <c r="R1" s="200"/>
      <c r="S1" s="200"/>
      <c r="T1" s="200"/>
      <c r="U1" s="200"/>
      <c r="V1" s="200"/>
      <c r="W1" s="200"/>
      <c r="X1" s="200"/>
      <c r="Y1" s="200"/>
      <c r="Z1" s="200"/>
    </row>
    <row r="2" spans="1:26" ht="15.6">
      <c r="A2" s="245" t="s">
        <v>294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row>
    <row r="3" spans="1:26" ht="15.6">
      <c r="A3" s="245" t="s">
        <v>293</v>
      </c>
      <c r="B3" s="200"/>
      <c r="C3" s="200"/>
      <c r="D3" s="200"/>
      <c r="E3" s="200"/>
      <c r="F3" s="200"/>
      <c r="G3" s="200"/>
      <c r="H3" s="200"/>
      <c r="I3" s="200"/>
      <c r="J3" s="200"/>
      <c r="K3" s="200"/>
      <c r="L3" s="200"/>
      <c r="M3" s="200"/>
      <c r="N3" s="200"/>
      <c r="O3" s="200"/>
      <c r="P3" s="200"/>
      <c r="Q3" s="200"/>
      <c r="R3" s="200"/>
      <c r="S3" s="200"/>
      <c r="T3" s="200"/>
      <c r="U3" s="200"/>
      <c r="V3" s="200"/>
      <c r="W3" s="200"/>
      <c r="X3" s="200"/>
      <c r="Y3" s="200"/>
      <c r="Z3" s="200"/>
    </row>
    <row r="4" spans="1:26" ht="15.6">
      <c r="A4" s="201"/>
      <c r="B4" s="200"/>
      <c r="C4" s="200"/>
      <c r="D4" s="200"/>
      <c r="E4" s="200"/>
      <c r="F4" s="200"/>
      <c r="G4" s="200"/>
      <c r="H4" s="200"/>
      <c r="I4" s="200"/>
      <c r="J4" s="200"/>
      <c r="K4" s="200"/>
      <c r="L4" s="200"/>
      <c r="M4" s="200"/>
      <c r="N4" s="200"/>
      <c r="O4" s="200"/>
      <c r="P4" s="200"/>
      <c r="Q4" s="200"/>
      <c r="R4" s="200"/>
      <c r="S4" s="200"/>
      <c r="T4" s="200"/>
      <c r="U4" s="200"/>
      <c r="V4" s="200"/>
      <c r="W4" s="200"/>
      <c r="X4" s="200"/>
      <c r="Y4" s="200"/>
      <c r="Z4" s="200"/>
    </row>
    <row r="5" spans="1:26" ht="15.6">
      <c r="A5" s="201" t="s">
        <v>292</v>
      </c>
      <c r="B5" s="200"/>
      <c r="C5" s="200"/>
      <c r="D5" s="200"/>
      <c r="E5" s="200"/>
      <c r="F5" s="200"/>
      <c r="G5" s="200"/>
      <c r="H5" s="200"/>
      <c r="I5" s="200"/>
      <c r="J5" s="200"/>
      <c r="K5" s="200"/>
      <c r="L5" s="200"/>
      <c r="M5" s="200"/>
      <c r="N5" s="200"/>
      <c r="O5" s="200"/>
      <c r="P5" s="200"/>
      <c r="Q5" s="200"/>
      <c r="R5" s="200"/>
      <c r="S5" s="200"/>
      <c r="T5" s="200"/>
      <c r="U5" s="200"/>
      <c r="V5" s="200"/>
      <c r="W5" s="200"/>
      <c r="X5" s="200"/>
      <c r="Y5" s="200"/>
      <c r="Z5" s="200"/>
    </row>
    <row r="6" spans="1:26" ht="15.6">
      <c r="A6" s="201"/>
      <c r="B6" s="200"/>
      <c r="C6" s="200"/>
      <c r="D6" s="200"/>
      <c r="E6" s="200"/>
      <c r="F6" s="200"/>
      <c r="G6" s="200"/>
      <c r="H6" s="200"/>
      <c r="I6" s="200"/>
      <c r="J6" s="200"/>
      <c r="K6" s="200"/>
      <c r="L6" s="200"/>
      <c r="M6" s="200"/>
      <c r="N6" s="200"/>
      <c r="O6" s="200"/>
      <c r="P6" s="200"/>
      <c r="Q6" s="200"/>
      <c r="R6" s="200"/>
      <c r="S6" s="200"/>
      <c r="T6" s="200"/>
      <c r="U6" s="200"/>
      <c r="V6" s="200"/>
      <c r="W6" s="200"/>
      <c r="X6" s="200"/>
      <c r="Y6" s="200"/>
      <c r="Z6" s="200"/>
    </row>
    <row r="7" spans="1:26" ht="15.6">
      <c r="A7" s="242" t="s">
        <v>311</v>
      </c>
      <c r="B7" s="200"/>
      <c r="C7" s="200"/>
      <c r="D7" s="200"/>
      <c r="E7" s="200"/>
      <c r="F7" s="200"/>
      <c r="G7" s="200"/>
      <c r="H7" s="200"/>
      <c r="I7" s="200"/>
      <c r="J7" s="200"/>
      <c r="K7" s="200"/>
      <c r="L7" s="200"/>
      <c r="M7" s="200"/>
      <c r="N7" s="200"/>
      <c r="O7" s="200"/>
      <c r="P7" s="200"/>
      <c r="Q7" s="200"/>
      <c r="R7" s="200"/>
      <c r="S7" s="200"/>
      <c r="T7" s="200"/>
      <c r="U7" s="200"/>
      <c r="V7" s="200"/>
      <c r="W7" s="200"/>
      <c r="X7" s="200"/>
      <c r="Y7" s="200"/>
      <c r="Z7" s="200"/>
    </row>
    <row r="8" spans="1:26" ht="15.6">
      <c r="A8" s="242" t="s">
        <v>310</v>
      </c>
      <c r="B8" s="244"/>
      <c r="C8" s="244"/>
      <c r="D8" s="243"/>
      <c r="E8" s="200"/>
      <c r="F8" s="200"/>
      <c r="G8" s="200"/>
      <c r="H8" s="200"/>
      <c r="I8" s="200"/>
      <c r="J8" s="200"/>
      <c r="K8" s="200"/>
      <c r="L8" s="200"/>
      <c r="M8" s="200"/>
      <c r="N8" s="200"/>
      <c r="O8" s="200"/>
      <c r="P8" s="200"/>
      <c r="Q8" s="200"/>
      <c r="R8" s="200"/>
      <c r="S8" s="200"/>
      <c r="T8" s="200"/>
      <c r="U8" s="200"/>
      <c r="V8" s="200"/>
      <c r="W8" s="200"/>
      <c r="X8" s="200"/>
      <c r="Y8" s="200"/>
      <c r="Z8" s="200"/>
    </row>
    <row r="9" spans="1:26" ht="15.6">
      <c r="A9" s="242" t="s">
        <v>309</v>
      </c>
      <c r="B9" s="236"/>
      <c r="C9" s="235"/>
      <c r="D9" s="241"/>
      <c r="E9" s="200"/>
      <c r="F9" s="200"/>
      <c r="G9" s="200"/>
      <c r="H9" s="200"/>
      <c r="I9" s="200"/>
      <c r="J9" s="200"/>
      <c r="K9" s="200"/>
      <c r="L9" s="200"/>
      <c r="M9" s="200"/>
      <c r="N9" s="200"/>
      <c r="O9" s="200"/>
      <c r="P9" s="200"/>
      <c r="Q9" s="200"/>
      <c r="R9" s="200"/>
      <c r="S9" s="200"/>
      <c r="T9" s="200"/>
      <c r="U9" s="200"/>
      <c r="V9" s="200"/>
      <c r="W9" s="200"/>
      <c r="X9" s="200"/>
      <c r="Y9" s="200"/>
      <c r="Z9" s="200"/>
    </row>
    <row r="10" spans="1:26" ht="15.6">
      <c r="A10" s="242" t="s">
        <v>308</v>
      </c>
      <c r="B10" s="236"/>
      <c r="C10" s="235"/>
      <c r="D10" s="241"/>
      <c r="E10" s="200"/>
      <c r="F10" s="200"/>
      <c r="G10" s="200"/>
      <c r="H10" s="200"/>
      <c r="I10" s="200"/>
      <c r="J10" s="200"/>
      <c r="K10" s="200"/>
      <c r="L10" s="200"/>
      <c r="M10" s="200"/>
      <c r="N10" s="200"/>
      <c r="O10" s="200"/>
      <c r="P10" s="200"/>
      <c r="Q10" s="200"/>
      <c r="R10" s="200"/>
      <c r="S10" s="200"/>
      <c r="T10" s="200"/>
      <c r="U10" s="200"/>
      <c r="V10" s="200"/>
      <c r="W10" s="200"/>
      <c r="X10" s="200"/>
      <c r="Y10" s="200"/>
      <c r="Z10" s="200"/>
    </row>
    <row r="11" spans="1:26" ht="15.6">
      <c r="A11" s="242" t="s">
        <v>307</v>
      </c>
      <c r="B11" s="236"/>
      <c r="C11" s="235"/>
      <c r="D11" s="241"/>
      <c r="E11" s="200"/>
      <c r="F11" s="200"/>
      <c r="G11" s="200"/>
      <c r="H11" s="200"/>
      <c r="I11" s="200"/>
      <c r="J11" s="200"/>
      <c r="K11" s="200"/>
      <c r="L11" s="200"/>
      <c r="M11" s="200"/>
      <c r="N11" s="200"/>
      <c r="O11" s="200"/>
      <c r="P11" s="200"/>
      <c r="Q11" s="200"/>
      <c r="R11" s="200"/>
      <c r="S11" s="200"/>
      <c r="T11" s="200"/>
      <c r="U11" s="200"/>
      <c r="V11" s="200"/>
      <c r="W11" s="200"/>
      <c r="X11" s="200"/>
      <c r="Y11" s="200"/>
      <c r="Z11" s="200"/>
    </row>
    <row r="12" spans="1:26" ht="15.6">
      <c r="A12" s="201"/>
      <c r="B12" s="236"/>
      <c r="C12" s="235"/>
      <c r="D12" s="241"/>
      <c r="E12" s="200"/>
      <c r="F12" s="200"/>
      <c r="G12" s="200"/>
      <c r="H12" s="200"/>
      <c r="I12" s="200"/>
      <c r="J12" s="200"/>
      <c r="K12" s="200"/>
      <c r="L12" s="200"/>
      <c r="M12" s="200"/>
      <c r="N12" s="200"/>
      <c r="O12" s="200"/>
      <c r="P12" s="200"/>
      <c r="Q12" s="200"/>
      <c r="R12" s="200"/>
      <c r="S12" s="200"/>
      <c r="T12" s="200"/>
      <c r="U12" s="200"/>
      <c r="V12" s="200"/>
      <c r="W12" s="200"/>
      <c r="X12" s="200"/>
      <c r="Y12" s="200"/>
      <c r="Z12" s="200"/>
    </row>
    <row r="13" spans="1:26" ht="15.6">
      <c r="A13" s="201" t="s">
        <v>286</v>
      </c>
      <c r="B13" s="236"/>
      <c r="C13" s="235"/>
      <c r="D13" s="241"/>
      <c r="E13" s="200"/>
      <c r="F13" s="200"/>
      <c r="G13" s="200"/>
      <c r="H13" s="200"/>
      <c r="I13" s="200"/>
      <c r="J13" s="200"/>
      <c r="K13" s="200"/>
      <c r="L13" s="200"/>
      <c r="M13" s="200"/>
      <c r="N13" s="200"/>
      <c r="O13" s="200"/>
      <c r="P13" s="200"/>
      <c r="Q13" s="200"/>
      <c r="R13" s="200"/>
      <c r="S13" s="200"/>
      <c r="T13" s="200"/>
      <c r="U13" s="200"/>
      <c r="V13" s="200"/>
      <c r="W13" s="200"/>
      <c r="X13" s="200"/>
      <c r="Y13" s="200"/>
      <c r="Z13" s="200"/>
    </row>
    <row r="14" spans="1:26" ht="15.6">
      <c r="A14" s="201"/>
      <c r="B14" s="236"/>
      <c r="C14" s="235"/>
      <c r="D14" s="241"/>
      <c r="E14" s="200"/>
      <c r="F14" s="200"/>
      <c r="G14" s="200"/>
      <c r="H14" s="200"/>
      <c r="I14" s="200"/>
      <c r="J14" s="200"/>
      <c r="K14" s="200"/>
      <c r="L14" s="200"/>
      <c r="M14" s="200"/>
      <c r="N14" s="200"/>
      <c r="O14" s="200"/>
      <c r="P14" s="200"/>
      <c r="Q14" s="200"/>
      <c r="R14" s="200"/>
      <c r="S14" s="200"/>
      <c r="T14" s="200"/>
      <c r="U14" s="200"/>
      <c r="V14" s="200"/>
      <c r="W14" s="200"/>
      <c r="X14" s="200"/>
      <c r="Y14" s="200"/>
      <c r="Z14" s="200"/>
    </row>
    <row r="15" spans="1:26" ht="15.6">
      <c r="A15" s="242" t="s">
        <v>306</v>
      </c>
      <c r="B15" s="236"/>
      <c r="C15" s="235"/>
      <c r="D15" s="241"/>
      <c r="E15" s="200"/>
      <c r="F15" s="200"/>
      <c r="G15" s="200"/>
      <c r="H15" s="200"/>
      <c r="I15" s="200"/>
      <c r="J15" s="200"/>
      <c r="K15" s="200"/>
      <c r="L15" s="200"/>
      <c r="M15" s="200"/>
      <c r="N15" s="200"/>
      <c r="O15" s="200"/>
      <c r="P15" s="200"/>
      <c r="Q15" s="200"/>
      <c r="R15" s="200"/>
      <c r="S15" s="200"/>
      <c r="T15" s="200"/>
      <c r="U15" s="200"/>
      <c r="V15" s="200"/>
      <c r="W15" s="200"/>
      <c r="X15" s="200"/>
      <c r="Y15" s="200"/>
      <c r="Z15" s="200"/>
    </row>
    <row r="16" spans="1:26" ht="15.6">
      <c r="A16" s="242" t="s">
        <v>305</v>
      </c>
      <c r="B16" s="236"/>
      <c r="C16" s="235"/>
      <c r="D16" s="241"/>
      <c r="E16" s="200"/>
      <c r="F16" s="200"/>
      <c r="G16" s="200"/>
      <c r="H16" s="200"/>
      <c r="I16" s="200"/>
      <c r="J16" s="200"/>
      <c r="K16" s="200"/>
      <c r="L16" s="200"/>
      <c r="M16" s="200"/>
      <c r="N16" s="200"/>
      <c r="O16" s="200"/>
      <c r="P16" s="200"/>
      <c r="Q16" s="200"/>
      <c r="R16" s="200"/>
      <c r="S16" s="200"/>
      <c r="T16" s="200"/>
      <c r="U16" s="200"/>
      <c r="V16" s="200"/>
      <c r="W16" s="200"/>
      <c r="X16" s="200"/>
      <c r="Y16" s="200"/>
      <c r="Z16" s="200"/>
    </row>
    <row r="17" spans="1:26" ht="15.6">
      <c r="A17" s="242" t="s">
        <v>304</v>
      </c>
      <c r="B17" s="236"/>
      <c r="C17" s="235"/>
      <c r="D17" s="241"/>
      <c r="E17" s="200"/>
      <c r="F17" s="200"/>
      <c r="G17" s="200"/>
      <c r="H17" s="200"/>
      <c r="I17" s="200"/>
      <c r="J17" s="200"/>
      <c r="K17" s="200"/>
      <c r="L17" s="200"/>
      <c r="M17" s="200"/>
      <c r="N17" s="200"/>
      <c r="O17" s="200"/>
      <c r="P17" s="200"/>
      <c r="Q17" s="200"/>
      <c r="R17" s="200"/>
      <c r="S17" s="200"/>
      <c r="T17" s="200"/>
      <c r="U17" s="200"/>
      <c r="V17" s="200"/>
      <c r="W17" s="200"/>
      <c r="X17" s="200"/>
      <c r="Y17" s="200"/>
      <c r="Z17" s="200"/>
    </row>
    <row r="18" spans="1:26" ht="15.6">
      <c r="A18" s="242" t="s">
        <v>303</v>
      </c>
      <c r="B18" s="236"/>
      <c r="C18" s="235"/>
      <c r="D18" s="241"/>
      <c r="E18" s="200"/>
      <c r="F18" s="200"/>
      <c r="G18" s="200"/>
      <c r="H18" s="200"/>
      <c r="I18" s="200"/>
      <c r="J18" s="200"/>
      <c r="K18" s="200"/>
      <c r="L18" s="200"/>
      <c r="M18" s="200"/>
      <c r="N18" s="200"/>
      <c r="O18" s="200"/>
      <c r="P18" s="200"/>
      <c r="Q18" s="200"/>
      <c r="R18" s="200"/>
      <c r="S18" s="200"/>
      <c r="T18" s="200"/>
      <c r="U18" s="200"/>
      <c r="V18" s="200"/>
      <c r="W18" s="200"/>
      <c r="X18" s="200"/>
      <c r="Y18" s="200"/>
      <c r="Z18" s="200"/>
    </row>
    <row r="19" spans="1:26" ht="15.6">
      <c r="A19" s="242" t="s">
        <v>302</v>
      </c>
      <c r="B19" s="236"/>
      <c r="C19" s="235"/>
      <c r="D19" s="241"/>
      <c r="E19" s="200"/>
      <c r="F19" s="200"/>
      <c r="G19" s="200"/>
      <c r="H19" s="200"/>
      <c r="I19" s="200"/>
      <c r="J19" s="200"/>
      <c r="K19" s="200"/>
      <c r="L19" s="200"/>
      <c r="M19" s="200"/>
      <c r="N19" s="200"/>
      <c r="O19" s="200"/>
      <c r="P19" s="200"/>
      <c r="Q19" s="200"/>
      <c r="R19" s="200"/>
      <c r="S19" s="200"/>
      <c r="T19" s="200"/>
      <c r="U19" s="200"/>
      <c r="V19" s="200"/>
      <c r="W19" s="200"/>
      <c r="X19" s="200"/>
      <c r="Y19" s="200"/>
      <c r="Z19" s="200"/>
    </row>
    <row r="20" spans="1:26" ht="15.6">
      <c r="A20" s="201"/>
      <c r="B20" s="236"/>
      <c r="C20" s="235"/>
      <c r="D20" s="241"/>
      <c r="E20" s="200"/>
      <c r="F20" s="200"/>
      <c r="G20" s="200"/>
      <c r="H20" s="200"/>
      <c r="I20" s="200"/>
      <c r="J20" s="200"/>
      <c r="K20" s="200"/>
      <c r="L20" s="200"/>
      <c r="M20" s="200"/>
      <c r="N20" s="200"/>
      <c r="O20" s="200"/>
      <c r="P20" s="200"/>
      <c r="Q20" s="200"/>
      <c r="R20" s="200"/>
      <c r="S20" s="200"/>
      <c r="T20" s="200"/>
      <c r="U20" s="200"/>
      <c r="V20" s="200"/>
      <c r="W20" s="200"/>
      <c r="X20" s="200"/>
      <c r="Y20" s="200"/>
      <c r="Z20" s="200"/>
    </row>
    <row r="21" spans="1:26" ht="15.75" customHeight="1">
      <c r="A21" s="201"/>
      <c r="B21" s="236"/>
      <c r="C21" s="235"/>
      <c r="D21" s="241"/>
      <c r="E21" s="200"/>
      <c r="F21" s="200"/>
      <c r="G21" s="200"/>
      <c r="H21" s="200"/>
      <c r="I21" s="200"/>
      <c r="J21" s="200"/>
      <c r="K21" s="200"/>
      <c r="L21" s="200"/>
      <c r="M21" s="200"/>
      <c r="N21" s="200"/>
      <c r="O21" s="200"/>
      <c r="P21" s="200"/>
      <c r="Q21" s="200"/>
      <c r="R21" s="200"/>
      <c r="S21" s="200"/>
      <c r="T21" s="200"/>
      <c r="U21" s="200"/>
      <c r="V21" s="200"/>
      <c r="W21" s="200"/>
      <c r="X21" s="200"/>
      <c r="Y21" s="200"/>
      <c r="Z21" s="200"/>
    </row>
    <row r="22" spans="1:26" ht="15.75" customHeight="1">
      <c r="A22" s="201" t="s">
        <v>301</v>
      </c>
      <c r="B22" s="236"/>
      <c r="C22" s="235"/>
      <c r="D22" s="241"/>
      <c r="E22" s="200"/>
      <c r="F22" s="200"/>
      <c r="G22" s="200"/>
      <c r="H22" s="200"/>
      <c r="I22" s="200"/>
      <c r="J22" s="200"/>
      <c r="K22" s="200"/>
      <c r="L22" s="200"/>
      <c r="M22" s="200"/>
      <c r="N22" s="200"/>
      <c r="O22" s="200"/>
      <c r="P22" s="200"/>
      <c r="Q22" s="200"/>
      <c r="R22" s="200"/>
      <c r="S22" s="200"/>
      <c r="T22" s="200"/>
      <c r="U22" s="200"/>
      <c r="V22" s="200"/>
      <c r="W22" s="200"/>
      <c r="X22" s="200"/>
      <c r="Y22" s="200"/>
      <c r="Z22" s="200"/>
    </row>
    <row r="23" spans="1:26" ht="15.75" customHeight="1">
      <c r="A23" s="202"/>
      <c r="B23" s="236"/>
      <c r="C23" s="235"/>
      <c r="D23" s="202"/>
      <c r="E23" s="234" t="s">
        <v>279</v>
      </c>
      <c r="F23" s="233"/>
      <c r="G23" s="232"/>
      <c r="H23" s="231" t="s">
        <v>273</v>
      </c>
      <c r="I23" s="230"/>
      <c r="J23" s="230"/>
      <c r="K23" s="230"/>
      <c r="L23" s="231" t="s">
        <v>272</v>
      </c>
      <c r="M23" s="230"/>
      <c r="N23" s="230"/>
      <c r="O23" s="230"/>
      <c r="P23" s="231" t="s">
        <v>271</v>
      </c>
      <c r="Q23" s="230"/>
      <c r="R23" s="230"/>
      <c r="S23" s="229"/>
      <c r="T23" s="202"/>
      <c r="U23" s="202"/>
      <c r="V23" s="202"/>
      <c r="W23" s="202"/>
      <c r="X23" s="202"/>
      <c r="Y23" s="202"/>
      <c r="Z23" s="202"/>
    </row>
    <row r="24" spans="1:26" ht="47.25" customHeight="1">
      <c r="A24" s="202"/>
      <c r="B24" s="228" t="s">
        <v>269</v>
      </c>
      <c r="C24" s="228" t="s">
        <v>270</v>
      </c>
      <c r="D24" s="201"/>
      <c r="E24" s="228" t="s">
        <v>269</v>
      </c>
      <c r="F24" s="227" t="s">
        <v>268</v>
      </c>
      <c r="G24" s="225" t="s">
        <v>267</v>
      </c>
      <c r="H24" s="227" t="s">
        <v>266</v>
      </c>
      <c r="I24" s="226" t="s">
        <v>265</v>
      </c>
      <c r="J24" s="226" t="s">
        <v>264</v>
      </c>
      <c r="K24" s="225" t="s">
        <v>263</v>
      </c>
      <c r="L24" s="227" t="s">
        <v>266</v>
      </c>
      <c r="M24" s="226" t="s">
        <v>265</v>
      </c>
      <c r="N24" s="226" t="s">
        <v>264</v>
      </c>
      <c r="O24" s="225" t="s">
        <v>263</v>
      </c>
      <c r="P24" s="224" t="s">
        <v>266</v>
      </c>
      <c r="Q24" s="224" t="s">
        <v>265</v>
      </c>
      <c r="R24" s="224" t="s">
        <v>264</v>
      </c>
      <c r="S24" s="223" t="s">
        <v>263</v>
      </c>
      <c r="T24" s="202"/>
      <c r="U24" s="202"/>
      <c r="V24" s="202"/>
      <c r="W24" s="202"/>
      <c r="X24" s="202"/>
      <c r="Y24" s="202"/>
      <c r="Z24" s="202"/>
    </row>
    <row r="25" spans="1:26" ht="15.75" customHeight="1">
      <c r="A25" s="202"/>
      <c r="B25" s="216">
        <v>0</v>
      </c>
      <c r="C25" s="222"/>
      <c r="D25" s="201"/>
      <c r="E25" s="216">
        <v>0</v>
      </c>
      <c r="F25" s="221"/>
      <c r="G25" s="220"/>
      <c r="H25" s="219"/>
      <c r="I25" s="212"/>
      <c r="J25" s="212"/>
      <c r="K25" s="211"/>
      <c r="L25" s="219"/>
      <c r="M25" s="212"/>
      <c r="N25" s="212"/>
      <c r="O25" s="211"/>
      <c r="P25" s="218"/>
      <c r="Q25" s="212"/>
      <c r="R25" s="212"/>
      <c r="S25" s="211"/>
      <c r="T25" s="202"/>
      <c r="U25" s="202"/>
      <c r="V25" s="202"/>
      <c r="W25" s="202"/>
      <c r="X25" s="202"/>
      <c r="Y25" s="202"/>
      <c r="Z25" s="202"/>
    </row>
    <row r="26" spans="1:26" ht="15.75" customHeight="1">
      <c r="A26" s="202"/>
      <c r="B26" s="216">
        <v>1</v>
      </c>
      <c r="C26" s="217">
        <v>1.6E-2</v>
      </c>
      <c r="D26" s="201"/>
      <c r="E26" s="216">
        <v>1</v>
      </c>
      <c r="F26" s="215">
        <v>10000</v>
      </c>
      <c r="G26" s="211">
        <v>10500</v>
      </c>
      <c r="H26" s="214">
        <v>0.19999999999999996</v>
      </c>
      <c r="I26" s="212">
        <v>1999.9999999999995</v>
      </c>
      <c r="J26" s="212">
        <v>150</v>
      </c>
      <c r="K26" s="211">
        <v>11850</v>
      </c>
      <c r="L26" s="214">
        <v>-9.9999999999999978E-2</v>
      </c>
      <c r="M26" s="212">
        <v>-999.99999999999977</v>
      </c>
      <c r="N26" s="212">
        <v>150</v>
      </c>
      <c r="O26" s="211">
        <v>8850</v>
      </c>
      <c r="P26" s="213">
        <v>0.10000000000000009</v>
      </c>
      <c r="Q26" s="212">
        <v>1000.0000000000009</v>
      </c>
      <c r="R26" s="212">
        <v>150</v>
      </c>
      <c r="S26" s="211">
        <v>10850</v>
      </c>
      <c r="T26" s="202"/>
      <c r="U26" s="202"/>
      <c r="V26" s="202"/>
      <c r="W26" s="202"/>
      <c r="X26" s="202"/>
      <c r="Y26" s="202"/>
      <c r="Z26" s="202"/>
    </row>
    <row r="27" spans="1:26" ht="15.75" customHeight="1">
      <c r="A27" s="202"/>
      <c r="B27" s="216">
        <v>2</v>
      </c>
      <c r="C27" s="217">
        <v>1.7999999999999999E-2</v>
      </c>
      <c r="D27" s="201"/>
      <c r="E27" s="216">
        <v>2</v>
      </c>
      <c r="F27" s="215">
        <v>0</v>
      </c>
      <c r="G27" s="211">
        <v>11025</v>
      </c>
      <c r="H27" s="214">
        <v>-0.20833333333333337</v>
      </c>
      <c r="I27" s="212">
        <v>-2468.7500000000005</v>
      </c>
      <c r="J27" s="212">
        <v>177.75</v>
      </c>
      <c r="K27" s="211">
        <v>9203.5</v>
      </c>
      <c r="L27" s="214">
        <v>5.555555555555558E-2</v>
      </c>
      <c r="M27" s="212">
        <v>491.66666666666691</v>
      </c>
      <c r="N27" s="212">
        <v>132.75</v>
      </c>
      <c r="O27" s="211">
        <v>9208.9166666666661</v>
      </c>
      <c r="P27" s="213">
        <v>0.13636363636363624</v>
      </c>
      <c r="Q27" s="212">
        <v>1479.5454545454531</v>
      </c>
      <c r="R27" s="212">
        <v>162.75</v>
      </c>
      <c r="S27" s="211">
        <v>12166.795454545452</v>
      </c>
      <c r="T27" s="202"/>
      <c r="U27" s="202"/>
      <c r="V27" s="202"/>
      <c r="W27" s="202"/>
      <c r="X27" s="202"/>
      <c r="Y27" s="202"/>
      <c r="Z27" s="202"/>
    </row>
    <row r="28" spans="1:26" ht="15.75" customHeight="1">
      <c r="A28" s="202"/>
      <c r="B28" s="216">
        <v>3</v>
      </c>
      <c r="C28" s="217">
        <v>0.02</v>
      </c>
      <c r="D28" s="201"/>
      <c r="E28" s="216">
        <v>3</v>
      </c>
      <c r="F28" s="215">
        <v>0</v>
      </c>
      <c r="G28" s="211">
        <v>11576.250000000002</v>
      </c>
      <c r="H28" s="214">
        <v>0.10526315789473695</v>
      </c>
      <c r="I28" s="212">
        <v>968.78947368421154</v>
      </c>
      <c r="J28" s="212">
        <v>138.05250000000001</v>
      </c>
      <c r="K28" s="211">
        <v>10034.236973684212</v>
      </c>
      <c r="L28" s="214">
        <v>0.10526315789473695</v>
      </c>
      <c r="M28" s="212">
        <v>969.35964912280792</v>
      </c>
      <c r="N28" s="212">
        <v>138.13374999999999</v>
      </c>
      <c r="O28" s="211">
        <v>10040.142565789472</v>
      </c>
      <c r="P28" s="213">
        <v>0.11999999999999988</v>
      </c>
      <c r="Q28" s="212">
        <v>1460.0154545454529</v>
      </c>
      <c r="R28" s="212">
        <v>182.50193181818179</v>
      </c>
      <c r="S28" s="211">
        <v>13444.308977272723</v>
      </c>
      <c r="T28" s="202"/>
      <c r="U28" s="202"/>
      <c r="V28" s="202"/>
      <c r="W28" s="202"/>
      <c r="X28" s="202"/>
      <c r="Y28" s="202"/>
      <c r="Z28" s="202"/>
    </row>
    <row r="29" spans="1:26" ht="15.75" customHeight="1">
      <c r="A29" s="202"/>
      <c r="B29" s="216">
        <v>4</v>
      </c>
      <c r="C29" s="217">
        <v>2.1999999999999999E-2</v>
      </c>
      <c r="D29" s="201"/>
      <c r="E29" s="216">
        <v>4</v>
      </c>
      <c r="F29" s="215">
        <v>0</v>
      </c>
      <c r="G29" s="211">
        <v>12155.0625</v>
      </c>
      <c r="H29" s="214">
        <v>4.7619047619047672E-2</v>
      </c>
      <c r="I29" s="212">
        <v>477.82080827067728</v>
      </c>
      <c r="J29" s="212">
        <v>150.51355460526318</v>
      </c>
      <c r="K29" s="211">
        <v>10361.544227349626</v>
      </c>
      <c r="L29" s="214">
        <v>-2.3809523809523947E-2</v>
      </c>
      <c r="M29" s="212">
        <v>-239.05101347117929</v>
      </c>
      <c r="N29" s="212">
        <v>150.60213848684208</v>
      </c>
      <c r="O29" s="211">
        <v>9650.4894138314521</v>
      </c>
      <c r="P29" s="213">
        <v>-1.7857142857142794E-2</v>
      </c>
      <c r="Q29" s="212">
        <v>-240.07694602272636</v>
      </c>
      <c r="R29" s="212">
        <v>201.66463465909084</v>
      </c>
      <c r="S29" s="211">
        <v>13002.567396590906</v>
      </c>
      <c r="T29" s="202"/>
      <c r="U29" s="202"/>
      <c r="V29" s="202"/>
      <c r="W29" s="202"/>
      <c r="X29" s="202"/>
      <c r="Y29" s="202"/>
      <c r="Z29" s="202"/>
    </row>
    <row r="30" spans="1:26" ht="15.75" customHeight="1">
      <c r="A30" s="202"/>
      <c r="B30" s="216">
        <v>5</v>
      </c>
      <c r="C30" s="217">
        <v>2.4E-2</v>
      </c>
      <c r="D30" s="201"/>
      <c r="E30" s="216">
        <v>5</v>
      </c>
      <c r="F30" s="215">
        <v>0</v>
      </c>
      <c r="G30" s="211">
        <v>12762.815625000001</v>
      </c>
      <c r="H30" s="214">
        <v>9.0909090909090828E-2</v>
      </c>
      <c r="I30" s="212">
        <v>941.95856612269245</v>
      </c>
      <c r="J30" s="212">
        <v>155.4231634102444</v>
      </c>
      <c r="K30" s="211">
        <v>11148.079630062073</v>
      </c>
      <c r="L30" s="214">
        <v>4.8780487804878092E-2</v>
      </c>
      <c r="M30" s="212">
        <v>470.75558116251028</v>
      </c>
      <c r="N30" s="212">
        <v>144.75734120747177</v>
      </c>
      <c r="O30" s="211">
        <v>9976.4876537864893</v>
      </c>
      <c r="P30" s="213">
        <v>9.0909090909090828E-2</v>
      </c>
      <c r="Q30" s="212">
        <v>1182.0515815082631</v>
      </c>
      <c r="R30" s="212">
        <v>195.03851094886357</v>
      </c>
      <c r="S30" s="211">
        <v>13989.580467150307</v>
      </c>
      <c r="T30" s="202"/>
      <c r="U30" s="202"/>
      <c r="V30" s="202"/>
      <c r="W30" s="202"/>
      <c r="X30" s="202"/>
      <c r="Y30" s="202"/>
      <c r="Z30" s="202"/>
    </row>
    <row r="31" spans="1:26" ht="15.75" customHeight="1">
      <c r="A31" s="202"/>
      <c r="B31" s="216">
        <v>6</v>
      </c>
      <c r="C31" s="217">
        <v>2.7E-2</v>
      </c>
      <c r="D31" s="201"/>
      <c r="E31" s="216">
        <v>6</v>
      </c>
      <c r="F31" s="215">
        <v>0</v>
      </c>
      <c r="G31" s="211">
        <v>13400.956406249999</v>
      </c>
      <c r="H31" s="214">
        <v>8.3333333333333481E-2</v>
      </c>
      <c r="I31" s="212">
        <v>929.0066358385078</v>
      </c>
      <c r="J31" s="212">
        <v>167.22119445093108</v>
      </c>
      <c r="K31" s="211">
        <v>11909.865071449651</v>
      </c>
      <c r="L31" s="214">
        <v>6.9767441860465018E-2</v>
      </c>
      <c r="M31" s="212">
        <v>696.03402235719591</v>
      </c>
      <c r="N31" s="212">
        <v>149.64731480679734</v>
      </c>
      <c r="O31" s="211">
        <v>10522.874361336888</v>
      </c>
      <c r="P31" s="213">
        <v>9.9999999999999867E-2</v>
      </c>
      <c r="Q31" s="212">
        <v>1398.9580467150288</v>
      </c>
      <c r="R31" s="212">
        <v>209.84370700725458</v>
      </c>
      <c r="S31" s="211">
        <v>15178.69480685808</v>
      </c>
      <c r="T31" s="202"/>
      <c r="U31" s="202"/>
      <c r="V31" s="202"/>
      <c r="W31" s="202"/>
      <c r="X31" s="202"/>
      <c r="Y31" s="202"/>
      <c r="Z31" s="202"/>
    </row>
    <row r="32" spans="1:26" ht="15.75" customHeight="1">
      <c r="A32" s="202"/>
      <c r="B32" s="216">
        <v>7</v>
      </c>
      <c r="C32" s="217">
        <v>0.03</v>
      </c>
      <c r="D32" s="201"/>
      <c r="E32" s="216">
        <v>7</v>
      </c>
      <c r="F32" s="215">
        <v>0</v>
      </c>
      <c r="G32" s="211">
        <v>14071.004226562502</v>
      </c>
      <c r="H32" s="214">
        <v>7.6923076923076872E-2</v>
      </c>
      <c r="I32" s="212">
        <v>916.14346703458796</v>
      </c>
      <c r="J32" s="212">
        <v>178.64797607174475</v>
      </c>
      <c r="K32" s="211">
        <v>12647.360562412494</v>
      </c>
      <c r="L32" s="214">
        <v>0.13043478260869579</v>
      </c>
      <c r="M32" s="212">
        <v>1372.5488297395955</v>
      </c>
      <c r="N32" s="212">
        <v>157.84311542005332</v>
      </c>
      <c r="O32" s="211">
        <v>11737.580075656429</v>
      </c>
      <c r="P32" s="213">
        <v>6.0606060606060552E-2</v>
      </c>
      <c r="Q32" s="212">
        <v>919.92089738533741</v>
      </c>
      <c r="R32" s="212">
        <v>227.6804221028712</v>
      </c>
      <c r="S32" s="211">
        <v>15870.935282140546</v>
      </c>
      <c r="T32" s="202"/>
      <c r="U32" s="202"/>
      <c r="V32" s="202"/>
      <c r="W32" s="202"/>
      <c r="X32" s="202"/>
      <c r="Y32" s="202"/>
      <c r="Z32" s="202"/>
    </row>
    <row r="33" spans="1:26" ht="15.75" customHeight="1">
      <c r="A33" s="202"/>
      <c r="B33" s="216">
        <v>8</v>
      </c>
      <c r="C33" s="217">
        <v>3.4000000000000002E-2</v>
      </c>
      <c r="D33" s="201"/>
      <c r="E33" s="216">
        <v>8</v>
      </c>
      <c r="F33" s="215">
        <v>0</v>
      </c>
      <c r="G33" s="211">
        <v>14774.554437890625</v>
      </c>
      <c r="H33" s="214">
        <v>7.1428571428571397E-2</v>
      </c>
      <c r="I33" s="212">
        <v>903.38289731517773</v>
      </c>
      <c r="J33" s="212">
        <v>189.71040843618741</v>
      </c>
      <c r="K33" s="211">
        <v>13361.033051291484</v>
      </c>
      <c r="L33" s="214">
        <v>0.11538461538461542</v>
      </c>
      <c r="M33" s="212">
        <v>1354.3361625757423</v>
      </c>
      <c r="N33" s="212">
        <v>176.06370113484644</v>
      </c>
      <c r="O33" s="211">
        <v>12915.852537097326</v>
      </c>
      <c r="P33" s="213">
        <v>2.8571428571428692E-2</v>
      </c>
      <c r="Q33" s="212">
        <v>453.45529377544608</v>
      </c>
      <c r="R33" s="212">
        <v>238.0640292321082</v>
      </c>
      <c r="S33" s="211">
        <v>16086.326546683886</v>
      </c>
      <c r="T33" s="202"/>
      <c r="U33" s="202"/>
      <c r="V33" s="202"/>
      <c r="W33" s="202"/>
      <c r="X33" s="202"/>
      <c r="Y33" s="202"/>
      <c r="Z33" s="202"/>
    </row>
    <row r="34" spans="1:26" ht="15.75" customHeight="1">
      <c r="A34" s="202"/>
      <c r="B34" s="216">
        <v>9</v>
      </c>
      <c r="C34" s="217">
        <v>3.7999999999999999E-2</v>
      </c>
      <c r="D34" s="201"/>
      <c r="E34" s="216">
        <v>9</v>
      </c>
      <c r="F34" s="215">
        <v>0</v>
      </c>
      <c r="G34" s="211">
        <v>15513.282159785158</v>
      </c>
      <c r="H34" s="214">
        <v>6.6666666666666652E-2</v>
      </c>
      <c r="I34" s="212">
        <v>890.73553675276537</v>
      </c>
      <c r="J34" s="212">
        <v>200.41549576937226</v>
      </c>
      <c r="K34" s="211">
        <v>14051.353092274878</v>
      </c>
      <c r="L34" s="214">
        <v>-3.4482758620689724E-2</v>
      </c>
      <c r="M34" s="212">
        <v>-445.37422541715006</v>
      </c>
      <c r="N34" s="212">
        <v>193.73778805645989</v>
      </c>
      <c r="O34" s="211">
        <v>12276.740523623715</v>
      </c>
      <c r="P34" s="213">
        <v>0.11111111111111116</v>
      </c>
      <c r="Q34" s="212">
        <v>1787.3696162982103</v>
      </c>
      <c r="R34" s="212">
        <v>241.29489820025827</v>
      </c>
      <c r="S34" s="211">
        <v>17632.401264781834</v>
      </c>
      <c r="T34" s="202"/>
      <c r="U34" s="202"/>
      <c r="V34" s="202"/>
      <c r="W34" s="202"/>
      <c r="X34" s="202"/>
      <c r="Y34" s="202"/>
      <c r="Z34" s="202"/>
    </row>
    <row r="35" spans="1:26" ht="15.75" customHeight="1">
      <c r="A35" s="202"/>
      <c r="B35" s="208">
        <v>10</v>
      </c>
      <c r="C35" s="210">
        <v>4.2000000000000003E-2</v>
      </c>
      <c r="D35" s="201"/>
      <c r="E35" s="208">
        <v>10</v>
      </c>
      <c r="F35" s="207">
        <v>0</v>
      </c>
      <c r="G35" s="203">
        <v>16288.946267774416</v>
      </c>
      <c r="H35" s="206">
        <v>9.375E-2</v>
      </c>
      <c r="I35" s="204">
        <v>1317.3143524007698</v>
      </c>
      <c r="J35" s="204">
        <v>210.77029638412316</v>
      </c>
      <c r="K35" s="203">
        <v>15157.897148291524</v>
      </c>
      <c r="L35" s="206">
        <v>0.10714285714285721</v>
      </c>
      <c r="M35" s="204">
        <v>1315.3650561025418</v>
      </c>
      <c r="N35" s="204">
        <v>184.15110785435573</v>
      </c>
      <c r="O35" s="203">
        <v>13407.954471871903</v>
      </c>
      <c r="P35" s="205">
        <v>0.19999999999999996</v>
      </c>
      <c r="Q35" s="204">
        <v>3526.4802529563663</v>
      </c>
      <c r="R35" s="204">
        <v>264.4860189717275</v>
      </c>
      <c r="S35" s="203">
        <v>20894.395498766473</v>
      </c>
      <c r="T35" s="202"/>
      <c r="U35" s="202"/>
      <c r="V35" s="202"/>
      <c r="W35" s="202"/>
      <c r="X35" s="202"/>
      <c r="Y35" s="202"/>
      <c r="Z35" s="202"/>
    </row>
    <row r="36" spans="1:26" ht="15.75" customHeight="1">
      <c r="A36" s="201"/>
      <c r="B36" s="236"/>
      <c r="C36" s="235"/>
      <c r="D36" s="241"/>
      <c r="E36" s="200"/>
      <c r="F36" s="200"/>
      <c r="G36" s="200"/>
      <c r="H36" s="200"/>
      <c r="I36" s="200"/>
      <c r="J36" s="200"/>
      <c r="K36" s="200"/>
      <c r="L36" s="200"/>
      <c r="M36" s="200"/>
      <c r="N36" s="200"/>
      <c r="O36" s="200"/>
      <c r="P36" s="200"/>
      <c r="Q36" s="200"/>
      <c r="R36" s="200"/>
      <c r="S36" s="200"/>
      <c r="T36" s="200"/>
      <c r="U36" s="200"/>
      <c r="V36" s="200"/>
      <c r="W36" s="200"/>
      <c r="X36" s="200"/>
      <c r="Y36" s="200"/>
      <c r="Z36" s="200"/>
    </row>
    <row r="37" spans="1:26" ht="15.75" customHeight="1">
      <c r="A37" s="201" t="s">
        <v>278</v>
      </c>
      <c r="B37" s="236"/>
      <c r="C37" s="235"/>
      <c r="D37" s="241"/>
      <c r="E37" s="200"/>
      <c r="F37" s="200"/>
      <c r="G37" s="200"/>
      <c r="H37" s="200"/>
      <c r="I37" s="200"/>
      <c r="J37" s="200"/>
      <c r="K37" s="200"/>
      <c r="L37" s="200"/>
      <c r="M37" s="200"/>
      <c r="N37" s="200"/>
      <c r="O37" s="200"/>
      <c r="P37" s="200"/>
      <c r="Q37" s="200"/>
      <c r="R37" s="200"/>
      <c r="S37" s="200"/>
      <c r="T37" s="200"/>
      <c r="U37" s="200"/>
      <c r="V37" s="200"/>
      <c r="W37" s="200"/>
      <c r="X37" s="200"/>
      <c r="Y37" s="200"/>
      <c r="Z37" s="200"/>
    </row>
    <row r="38" spans="1:26" ht="15.75" customHeight="1">
      <c r="A38" s="199" t="s">
        <v>261</v>
      </c>
      <c r="B38" s="186"/>
      <c r="C38" s="186" t="s">
        <v>298</v>
      </c>
      <c r="D38" s="186"/>
      <c r="E38" s="186"/>
      <c r="F38" s="186" t="s">
        <v>258</v>
      </c>
      <c r="G38" s="186"/>
      <c r="H38" s="186"/>
      <c r="I38" s="186" t="s">
        <v>257</v>
      </c>
      <c r="J38" s="186"/>
      <c r="K38" s="186"/>
      <c r="L38" s="186"/>
      <c r="M38" s="186"/>
      <c r="N38" s="186"/>
      <c r="O38" s="186"/>
      <c r="P38" s="186"/>
      <c r="Q38" s="186"/>
      <c r="R38" s="186"/>
      <c r="S38" s="186"/>
      <c r="T38" s="186"/>
      <c r="U38" s="186"/>
      <c r="V38" s="186"/>
      <c r="W38" s="186"/>
      <c r="X38" s="186"/>
      <c r="Y38" s="186"/>
      <c r="Z38" s="186"/>
    </row>
    <row r="39" spans="1:26" ht="15.75" customHeight="1">
      <c r="A39" s="186"/>
      <c r="B39" s="186"/>
      <c r="C39" s="186" t="s">
        <v>256</v>
      </c>
      <c r="D39" s="186"/>
      <c r="E39" s="186"/>
      <c r="F39" s="186"/>
      <c r="G39" s="186"/>
      <c r="H39" s="186"/>
      <c r="I39" s="186" t="s">
        <v>255</v>
      </c>
      <c r="J39" s="186"/>
      <c r="K39" s="186"/>
      <c r="L39" s="186"/>
      <c r="M39" s="186"/>
      <c r="N39" s="186"/>
      <c r="O39" s="186"/>
      <c r="P39" s="186"/>
      <c r="Q39" s="186"/>
      <c r="R39" s="186"/>
      <c r="S39" s="186"/>
      <c r="T39" s="186"/>
      <c r="U39" s="186"/>
      <c r="V39" s="186"/>
      <c r="W39" s="186"/>
      <c r="X39" s="186"/>
      <c r="Y39" s="186"/>
      <c r="Z39" s="186"/>
    </row>
    <row r="40" spans="1:26" ht="15.75" customHeight="1">
      <c r="A40" s="186" t="s">
        <v>225</v>
      </c>
      <c r="B40" s="186" t="s">
        <v>254</v>
      </c>
      <c r="C40" s="186" t="s">
        <v>136</v>
      </c>
      <c r="D40" s="186" t="s">
        <v>137</v>
      </c>
      <c r="E40" s="186" t="s">
        <v>138</v>
      </c>
      <c r="F40" s="186" t="s">
        <v>136</v>
      </c>
      <c r="G40" s="186" t="s">
        <v>137</v>
      </c>
      <c r="H40" s="186" t="s">
        <v>138</v>
      </c>
      <c r="I40" s="186" t="s">
        <v>136</v>
      </c>
      <c r="J40" s="186" t="s">
        <v>137</v>
      </c>
      <c r="K40" s="186" t="s">
        <v>138</v>
      </c>
      <c r="L40" s="186"/>
      <c r="M40" s="186"/>
      <c r="N40" s="186" t="s">
        <v>253</v>
      </c>
      <c r="O40" s="186"/>
      <c r="P40" s="198">
        <f>AVERAGE(C53:E53)</f>
        <v>1279.0580464976529</v>
      </c>
      <c r="Q40" s="186"/>
      <c r="R40" s="186"/>
      <c r="S40" s="186"/>
      <c r="T40" s="186"/>
      <c r="U40" s="186"/>
      <c r="V40" s="186"/>
      <c r="W40" s="186"/>
      <c r="X40" s="186"/>
      <c r="Y40" s="186"/>
      <c r="Z40" s="186"/>
    </row>
    <row r="41" spans="1:26" ht="15.75" customHeight="1">
      <c r="A41" s="186">
        <v>0</v>
      </c>
      <c r="B41" s="194">
        <v>1</v>
      </c>
      <c r="C41" s="186"/>
      <c r="D41" s="186"/>
      <c r="E41" s="186"/>
      <c r="F41" s="186"/>
      <c r="G41" s="186"/>
      <c r="H41" s="186"/>
      <c r="I41" s="186"/>
      <c r="J41" s="186"/>
      <c r="K41" s="186"/>
      <c r="L41" s="186"/>
      <c r="M41" s="186"/>
      <c r="N41" s="186" t="s">
        <v>277</v>
      </c>
      <c r="O41" s="186"/>
      <c r="P41" s="189">
        <f>AVERAGE(I53:K53)</f>
        <v>242.70770474617461</v>
      </c>
      <c r="Q41" s="186"/>
      <c r="R41" s="186"/>
      <c r="S41" s="186"/>
      <c r="T41" s="186"/>
      <c r="U41" s="186"/>
      <c r="V41" s="186"/>
      <c r="W41" s="186"/>
      <c r="X41" s="186"/>
      <c r="Y41" s="186"/>
      <c r="Z41" s="186"/>
    </row>
    <row r="42" spans="1:26" ht="15.75" customHeight="1">
      <c r="A42" s="186">
        <v>1</v>
      </c>
      <c r="B42" s="194">
        <f>B41*(1-C26)</f>
        <v>0.98399999999999999</v>
      </c>
      <c r="C42" s="239">
        <f>J26*B42</f>
        <v>147.6</v>
      </c>
      <c r="D42" s="239">
        <f>N26*B42</f>
        <v>147.6</v>
      </c>
      <c r="E42" s="239">
        <f>R26*B42</f>
        <v>147.6</v>
      </c>
      <c r="F42" s="192">
        <f>MAX(0,$G26-K26)</f>
        <v>0</v>
      </c>
      <c r="G42" s="192">
        <f>MAX(0,$G26-O26)</f>
        <v>1650</v>
      </c>
      <c r="H42" s="192">
        <f>MAX(0,$G26-S26)</f>
        <v>0</v>
      </c>
      <c r="I42" s="189">
        <f>F42*$B41*$C26</f>
        <v>0</v>
      </c>
      <c r="J42" s="189">
        <f>G42*$B41*$C26</f>
        <v>26.400000000000002</v>
      </c>
      <c r="K42" s="189">
        <f>H42*$B41*$C26</f>
        <v>0</v>
      </c>
      <c r="L42" s="186"/>
      <c r="M42" s="186"/>
      <c r="N42" s="186" t="s">
        <v>276</v>
      </c>
      <c r="O42" s="186"/>
      <c r="P42" s="196">
        <f>MIN(1,P41/P40)</f>
        <v>0.18975503528613311</v>
      </c>
      <c r="Q42" s="186"/>
      <c r="R42" s="186"/>
      <c r="S42" s="186"/>
      <c r="T42" s="186"/>
      <c r="U42" s="186"/>
      <c r="V42" s="186"/>
      <c r="W42" s="186"/>
      <c r="X42" s="186"/>
      <c r="Y42" s="186"/>
      <c r="Z42" s="186"/>
    </row>
    <row r="43" spans="1:26" ht="15.75" customHeight="1">
      <c r="A43" s="186">
        <v>2</v>
      </c>
      <c r="B43" s="194">
        <f>B42*(1-C27)</f>
        <v>0.96628799999999992</v>
      </c>
      <c r="C43" s="239">
        <f>J27*B43</f>
        <v>171.75769199999999</v>
      </c>
      <c r="D43" s="239">
        <f>N27*B43</f>
        <v>128.274732</v>
      </c>
      <c r="E43" s="239">
        <f>R27*B43</f>
        <v>157.26337199999998</v>
      </c>
      <c r="F43" s="192">
        <f>MAX(0,$G27-K27)</f>
        <v>1821.5</v>
      </c>
      <c r="G43" s="192">
        <f>MAX(0,$G27-O27)</f>
        <v>1816.0833333333339</v>
      </c>
      <c r="H43" s="192">
        <f>MAX(0,$G27-S27)</f>
        <v>0</v>
      </c>
      <c r="I43" s="189">
        <f>F43*$B42*$C27</f>
        <v>32.262408000000001</v>
      </c>
      <c r="J43" s="189">
        <f>G43*$B42*$C27</f>
        <v>32.166468000000009</v>
      </c>
      <c r="K43" s="189">
        <f>H43*$B42*$C27</f>
        <v>0</v>
      </c>
      <c r="L43" s="186"/>
      <c r="M43" s="186"/>
      <c r="N43" s="186" t="s">
        <v>250</v>
      </c>
      <c r="O43" s="186"/>
      <c r="P43" s="190">
        <f>P41-P40*P42</f>
        <v>0</v>
      </c>
      <c r="Q43" s="186"/>
      <c r="R43" s="186"/>
      <c r="S43" s="186"/>
      <c r="T43" s="186"/>
      <c r="U43" s="186"/>
      <c r="V43" s="186"/>
      <c r="W43" s="186"/>
      <c r="X43" s="186"/>
      <c r="Y43" s="186"/>
      <c r="Z43" s="186"/>
    </row>
    <row r="44" spans="1:26" ht="15.75" customHeight="1">
      <c r="A44" s="186">
        <v>3</v>
      </c>
      <c r="B44" s="194">
        <f>B43*(1-C28)</f>
        <v>0.94696223999999996</v>
      </c>
      <c r="C44" s="239">
        <f>J28*B44</f>
        <v>130.73050463760001</v>
      </c>
      <c r="D44" s="239">
        <f>N28*B44</f>
        <v>130.80744531959999</v>
      </c>
      <c r="E44" s="239">
        <f>R28*B44</f>
        <v>172.8224381588727</v>
      </c>
      <c r="F44" s="192">
        <f>MAX(0,$G28-K28)</f>
        <v>1542.0130263157898</v>
      </c>
      <c r="G44" s="192">
        <f>MAX(0,$G28-O28)</f>
        <v>1536.1074342105294</v>
      </c>
      <c r="H44" s="192">
        <f>MAX(0,$G28-S28)</f>
        <v>0</v>
      </c>
      <c r="I44" s="189">
        <f>F44*$B43*$C28</f>
        <v>29.800573663452639</v>
      </c>
      <c r="J44" s="189">
        <f>G44*$B43*$C28</f>
        <v>29.686443607768478</v>
      </c>
      <c r="K44" s="189">
        <f>H44*$B43*$C28</f>
        <v>0</v>
      </c>
      <c r="L44" s="186"/>
      <c r="M44" s="186"/>
      <c r="N44" s="186"/>
      <c r="O44" s="186"/>
      <c r="P44" s="186"/>
      <c r="Q44" s="186"/>
      <c r="R44" s="186"/>
      <c r="S44" s="186"/>
      <c r="T44" s="186"/>
      <c r="U44" s="186"/>
      <c r="V44" s="186"/>
      <c r="W44" s="186"/>
      <c r="X44" s="186"/>
      <c r="Y44" s="186"/>
      <c r="Z44" s="186"/>
    </row>
    <row r="45" spans="1:26" ht="15.75" customHeight="1">
      <c r="A45" s="186">
        <v>4</v>
      </c>
      <c r="B45" s="194">
        <f>B44*(1-C29)</f>
        <v>0.92612907071999995</v>
      </c>
      <c r="C45" s="239">
        <f>J29*B45</f>
        <v>139.39497845733635</v>
      </c>
      <c r="D45" s="239">
        <f>N29*B45</f>
        <v>139.47701856526379</v>
      </c>
      <c r="E45" s="239">
        <f>R29*B45</f>
        <v>186.76748069391209</v>
      </c>
      <c r="F45" s="192">
        <f>MAX(0,$G29-K29)</f>
        <v>1793.5182726503735</v>
      </c>
      <c r="G45" s="192">
        <f>MAX(0,$G29-O29)</f>
        <v>2504.5730861685479</v>
      </c>
      <c r="H45" s="192">
        <f>MAX(0,$G29-S29)</f>
        <v>0</v>
      </c>
      <c r="I45" s="189">
        <f>F45*$B44*$C29</f>
        <v>37.364669780898424</v>
      </c>
      <c r="J45" s="189">
        <f>G45*$B44*$C29</f>
        <v>52.178195078281384</v>
      </c>
      <c r="K45" s="189">
        <f>H45*$B44*$C29</f>
        <v>0</v>
      </c>
      <c r="L45" s="186"/>
      <c r="M45" s="186"/>
      <c r="N45" s="186"/>
      <c r="O45" s="186"/>
      <c r="P45" s="186"/>
      <c r="Q45" s="186"/>
      <c r="R45" s="186"/>
      <c r="S45" s="186"/>
      <c r="T45" s="186"/>
      <c r="U45" s="186"/>
      <c r="V45" s="186"/>
      <c r="W45" s="186"/>
      <c r="X45" s="186"/>
      <c r="Y45" s="186"/>
      <c r="Z45" s="186"/>
    </row>
    <row r="46" spans="1:26" ht="15.75" customHeight="1">
      <c r="A46" s="186">
        <v>5</v>
      </c>
      <c r="B46" s="194">
        <f>B45*(1-C30)</f>
        <v>0.90390197302271991</v>
      </c>
      <c r="C46" s="239">
        <f>J30*B46</f>
        <v>140.48730405995252</v>
      </c>
      <c r="D46" s="239">
        <f>N30*B46</f>
        <v>130.84644632695679</v>
      </c>
      <c r="E46" s="239">
        <f>R30*B46</f>
        <v>176.29569486209115</v>
      </c>
      <c r="F46" s="192">
        <f>MAX(0,$G30-K30)</f>
        <v>1614.7359949379279</v>
      </c>
      <c r="G46" s="192">
        <f>MAX(0,$G30-O30)</f>
        <v>2786.3279712135118</v>
      </c>
      <c r="H46" s="192">
        <f>MAX(0,$G30-S30)</f>
        <v>0</v>
      </c>
      <c r="I46" s="189">
        <f>F46*$B45*$C30</f>
        <v>35.890894714799941</v>
      </c>
      <c r="J46" s="189">
        <f>G46*$B45*$C30</f>
        <v>61.931984032826698</v>
      </c>
      <c r="K46" s="189">
        <f>H46*$B45*$C30</f>
        <v>0</v>
      </c>
      <c r="L46" s="186"/>
      <c r="M46" s="240"/>
      <c r="N46" s="186"/>
      <c r="O46" s="186"/>
      <c r="P46" s="186"/>
      <c r="Q46" s="186"/>
      <c r="R46" s="186"/>
      <c r="S46" s="186"/>
      <c r="T46" s="186"/>
      <c r="U46" s="186"/>
      <c r="V46" s="186"/>
      <c r="W46" s="186"/>
      <c r="X46" s="186"/>
      <c r="Y46" s="186"/>
      <c r="Z46" s="186"/>
    </row>
    <row r="47" spans="1:26" ht="15.75" customHeight="1">
      <c r="A47" s="186">
        <v>6</v>
      </c>
      <c r="B47" s="194">
        <f>B46*(1-C31)</f>
        <v>0.87949661975110649</v>
      </c>
      <c r="C47" s="239">
        <f>J31*B47</f>
        <v>147.07047527033637</v>
      </c>
      <c r="D47" s="239">
        <f>N31*B47</f>
        <v>131.61430752740796</v>
      </c>
      <c r="E47" s="239">
        <f>R31*B47</f>
        <v>184.55683098892197</v>
      </c>
      <c r="F47" s="192">
        <f>MAX(0,$G31-K31)</f>
        <v>1491.0913348003487</v>
      </c>
      <c r="G47" s="192">
        <f>MAX(0,$G31-O31)</f>
        <v>2878.0820449131115</v>
      </c>
      <c r="H47" s="192">
        <f>MAX(0,$G31-S31)</f>
        <v>0</v>
      </c>
      <c r="I47" s="189">
        <f>F47*$B46*$C31</f>
        <v>36.390610786044142</v>
      </c>
      <c r="J47" s="189">
        <f>G47*$B46*$C31</f>
        <v>70.240609050792102</v>
      </c>
      <c r="K47" s="189">
        <f>H47*$B46*$C31</f>
        <v>0</v>
      </c>
      <c r="L47" s="186"/>
      <c r="M47" s="186"/>
      <c r="N47" s="186"/>
      <c r="O47" s="186"/>
      <c r="P47" s="186"/>
      <c r="Q47" s="186"/>
      <c r="R47" s="186"/>
      <c r="S47" s="186"/>
      <c r="T47" s="186"/>
      <c r="U47" s="186"/>
      <c r="V47" s="186"/>
      <c r="W47" s="186"/>
      <c r="X47" s="186"/>
      <c r="Y47" s="186"/>
      <c r="Z47" s="186"/>
    </row>
    <row r="48" spans="1:26" ht="15.75" customHeight="1">
      <c r="A48" s="186">
        <v>7</v>
      </c>
      <c r="B48" s="194">
        <f>B47*(1-C32)</f>
        <v>0.85311172115857326</v>
      </c>
      <c r="C48" s="239">
        <f>J32*B48</f>
        <v>152.40668234806176</v>
      </c>
      <c r="D48" s="239">
        <f>N32*B48</f>
        <v>134.65781186903303</v>
      </c>
      <c r="E48" s="239">
        <f>R32*B48</f>
        <v>194.23683677429091</v>
      </c>
      <c r="F48" s="192">
        <f>MAX(0,$G32-K32)</f>
        <v>1423.6436641500077</v>
      </c>
      <c r="G48" s="192">
        <f>MAX(0,$G32-O32)</f>
        <v>2333.4241509060721</v>
      </c>
      <c r="H48" s="192">
        <f>MAX(0,$G32-S32)</f>
        <v>0</v>
      </c>
      <c r="I48" s="189">
        <f>F48*$B47*$C32</f>
        <v>37.562693710500341</v>
      </c>
      <c r="J48" s="189">
        <f>G48*$B47*$C32</f>
        <v>61.567159595024577</v>
      </c>
      <c r="K48" s="189">
        <f>H48*$B47*$C32</f>
        <v>0</v>
      </c>
      <c r="L48" s="186"/>
      <c r="M48" s="186"/>
      <c r="N48" s="186"/>
      <c r="O48" s="186"/>
      <c r="P48" s="186"/>
      <c r="Q48" s="186"/>
      <c r="R48" s="186"/>
      <c r="S48" s="186"/>
      <c r="T48" s="186"/>
      <c r="U48" s="186"/>
      <c r="V48" s="186"/>
      <c r="W48" s="186"/>
      <c r="X48" s="186"/>
      <c r="Y48" s="186"/>
      <c r="Z48" s="186"/>
    </row>
    <row r="49" spans="1:26" ht="15.75" customHeight="1">
      <c r="A49" s="186">
        <v>8</v>
      </c>
      <c r="B49" s="194">
        <f>B48*(1-C33)</f>
        <v>0.8241059226391817</v>
      </c>
      <c r="C49" s="239">
        <f>J33*B49</f>
        <v>156.34147117856023</v>
      </c>
      <c r="D49" s="239">
        <f>N33*B49</f>
        <v>145.09513886700176</v>
      </c>
      <c r="E49" s="239">
        <f>R33*B49</f>
        <v>196.18997645752765</v>
      </c>
      <c r="F49" s="192">
        <f>MAX(0,$G33-K33)</f>
        <v>1413.5213865991409</v>
      </c>
      <c r="G49" s="192">
        <f>MAX(0,$G33-O33)</f>
        <v>1858.7019007932995</v>
      </c>
      <c r="H49" s="192">
        <f>MAX(0,$G33-S33)</f>
        <v>0</v>
      </c>
      <c r="I49" s="189">
        <f>F49*$B48*$C33</f>
        <v>41.000316542545569</v>
      </c>
      <c r="J49" s="189">
        <f>G49*$B48*$C33</f>
        <v>53.913132842020438</v>
      </c>
      <c r="K49" s="189">
        <f>H49*$B48*$C33</f>
        <v>0</v>
      </c>
      <c r="L49" s="186"/>
      <c r="M49" s="186"/>
      <c r="N49" s="186"/>
      <c r="O49" s="186"/>
      <c r="P49" s="186"/>
      <c r="Q49" s="186"/>
      <c r="R49" s="186"/>
      <c r="S49" s="186"/>
      <c r="T49" s="186"/>
      <c r="U49" s="186"/>
      <c r="V49" s="186"/>
      <c r="W49" s="186"/>
      <c r="X49" s="186"/>
      <c r="Y49" s="186"/>
      <c r="Z49" s="186"/>
    </row>
    <row r="50" spans="1:26" ht="15.75" customHeight="1">
      <c r="A50" s="186">
        <v>9</v>
      </c>
      <c r="B50" s="194">
        <f>B49*(1-C34)</f>
        <v>0.79278989757889273</v>
      </c>
      <c r="C50" s="239">
        <f>J34*B50</f>
        <v>158.88738036422365</v>
      </c>
      <c r="D50" s="239">
        <f>N34*B50</f>
        <v>153.59336115044206</v>
      </c>
      <c r="E50" s="239">
        <f>R34*B50</f>
        <v>191.2961576304921</v>
      </c>
      <c r="F50" s="192">
        <f>MAX(0,$G34-K34)</f>
        <v>1461.9290675102802</v>
      </c>
      <c r="G50" s="192">
        <f>MAX(0,$G34-O34)</f>
        <v>3236.5416361614425</v>
      </c>
      <c r="H50" s="192">
        <f>MAX(0,$G34-S34)</f>
        <v>0</v>
      </c>
      <c r="I50" s="189">
        <f>F50*$B49*$C34</f>
        <v>45.781807314516719</v>
      </c>
      <c r="J50" s="189">
        <f>G50*$B49*$C34</f>
        <v>101.35561898670019</v>
      </c>
      <c r="K50" s="189">
        <f>H50*$B49*$C34</f>
        <v>0</v>
      </c>
      <c r="L50" s="186"/>
      <c r="M50" s="186"/>
      <c r="N50" s="186"/>
      <c r="O50" s="186"/>
      <c r="P50" s="186"/>
      <c r="Q50" s="186"/>
      <c r="R50" s="186"/>
      <c r="S50" s="186"/>
      <c r="T50" s="186"/>
      <c r="U50" s="186"/>
      <c r="V50" s="186"/>
      <c r="W50" s="186"/>
      <c r="X50" s="186"/>
      <c r="Y50" s="186"/>
      <c r="Z50" s="186"/>
    </row>
    <row r="51" spans="1:26" ht="15.75" customHeight="1">
      <c r="A51" s="186">
        <v>10</v>
      </c>
      <c r="B51" s="194">
        <f>B50*(1-C35)</f>
        <v>0.75949272188057926</v>
      </c>
      <c r="C51" s="239">
        <f>J35*B51</f>
        <v>160.0785060923541</v>
      </c>
      <c r="D51" s="239">
        <f>N35*B51</f>
        <v>139.86142614162875</v>
      </c>
      <c r="E51" s="239">
        <f>R35*B51</f>
        <v>200.87520644819585</v>
      </c>
      <c r="F51" s="192">
        <f>MAX(0,$G35-K35)</f>
        <v>1131.0491194828919</v>
      </c>
      <c r="G51" s="192">
        <f>MAX(0,$G35-O35)</f>
        <v>2880.9917959025133</v>
      </c>
      <c r="H51" s="192">
        <f>MAX(0,$G35-S35)</f>
        <v>0</v>
      </c>
      <c r="I51" s="189">
        <f>F51*$B50*$C35</f>
        <v>37.660741254844631</v>
      </c>
      <c r="J51" s="189">
        <f>G51*$B50*$C35</f>
        <v>95.928890013565734</v>
      </c>
      <c r="K51" s="189">
        <f>H51*$B50*$C35</f>
        <v>0</v>
      </c>
      <c r="L51" s="186"/>
      <c r="M51" s="186"/>
      <c r="N51" s="186"/>
      <c r="O51" s="186"/>
      <c r="P51" s="186"/>
      <c r="Q51" s="186"/>
      <c r="R51" s="186"/>
      <c r="S51" s="186"/>
      <c r="T51" s="186"/>
      <c r="U51" s="186"/>
      <c r="V51" s="186"/>
      <c r="W51" s="186"/>
      <c r="X51" s="186"/>
      <c r="Y51" s="186"/>
      <c r="Z51" s="186"/>
    </row>
    <row r="52" spans="1:26" ht="15.75" customHeight="1">
      <c r="A52" s="186"/>
      <c r="B52" s="194"/>
      <c r="C52" s="198"/>
      <c r="D52" s="198"/>
      <c r="E52" s="198"/>
      <c r="F52" s="192"/>
      <c r="G52" s="192"/>
      <c r="H52" s="192"/>
      <c r="I52" s="189"/>
      <c r="J52" s="189"/>
      <c r="K52" s="189"/>
      <c r="L52" s="186"/>
      <c r="M52" s="186"/>
      <c r="N52" s="186"/>
      <c r="O52" s="186"/>
      <c r="P52" s="186"/>
      <c r="Q52" s="186"/>
      <c r="R52" s="186"/>
      <c r="S52" s="186"/>
      <c r="T52" s="186"/>
      <c r="U52" s="186"/>
      <c r="V52" s="186"/>
      <c r="W52" s="186"/>
      <c r="X52" s="186"/>
      <c r="Y52" s="186"/>
      <c r="Z52" s="186"/>
    </row>
    <row r="53" spans="1:26" ht="15.75" customHeight="1">
      <c r="A53" s="186"/>
      <c r="B53" s="194" t="s">
        <v>249</v>
      </c>
      <c r="C53" s="193">
        <f>NPV($C$55,C42:C51)</f>
        <v>1233.087332356502</v>
      </c>
      <c r="D53" s="193">
        <f>NPV($C$55,D42:D51)</f>
        <v>1132.5319296280597</v>
      </c>
      <c r="E53" s="193">
        <f>NPV($C$55,E42:E51)</f>
        <v>1471.5548775083971</v>
      </c>
      <c r="F53" s="192"/>
      <c r="G53" s="192" t="s">
        <v>248</v>
      </c>
      <c r="H53" s="186"/>
      <c r="I53" s="191">
        <f>NPV($C$55,I42:I51)</f>
        <v>266.4430270039839</v>
      </c>
      <c r="J53" s="191">
        <f>NPV($C$55,J42:J51)</f>
        <v>461.68008723453994</v>
      </c>
      <c r="K53" s="191">
        <f>NPV($C$55,K42:K51)</f>
        <v>0</v>
      </c>
      <c r="L53" s="186"/>
      <c r="M53" s="186"/>
      <c r="N53" s="186"/>
      <c r="O53" s="186"/>
      <c r="P53" s="186"/>
      <c r="Q53" s="186"/>
      <c r="R53" s="186"/>
      <c r="S53" s="186"/>
      <c r="T53" s="186"/>
      <c r="U53" s="186"/>
      <c r="V53" s="186"/>
      <c r="W53" s="186"/>
      <c r="X53" s="186"/>
      <c r="Y53" s="186"/>
      <c r="Z53" s="186"/>
    </row>
    <row r="54" spans="1:26" ht="15.75" customHeight="1">
      <c r="A54" s="186"/>
      <c r="B54" s="186" t="s">
        <v>247</v>
      </c>
      <c r="C54" s="186"/>
      <c r="D54" s="186"/>
      <c r="E54" s="186"/>
      <c r="F54" s="186"/>
      <c r="G54" s="186"/>
      <c r="H54" s="186"/>
      <c r="I54" s="186"/>
      <c r="J54" s="186"/>
      <c r="K54" s="186"/>
      <c r="L54" s="186"/>
      <c r="M54" s="186"/>
      <c r="N54" s="186"/>
      <c r="O54" s="186"/>
      <c r="P54" s="186"/>
      <c r="Q54" s="186"/>
      <c r="R54" s="186"/>
      <c r="S54" s="186"/>
      <c r="T54" s="186"/>
      <c r="U54" s="186"/>
      <c r="V54" s="186"/>
      <c r="W54" s="186"/>
      <c r="X54" s="186"/>
      <c r="Y54" s="186"/>
      <c r="Z54" s="186"/>
    </row>
    <row r="55" spans="1:26" ht="15.75" customHeight="1">
      <c r="A55" s="186"/>
      <c r="B55" s="186" t="s">
        <v>246</v>
      </c>
      <c r="C55" s="187">
        <f>3.5%+0.25%</f>
        <v>3.7500000000000006E-2</v>
      </c>
      <c r="D55" s="186"/>
      <c r="E55" s="186"/>
      <c r="F55" s="186"/>
      <c r="G55" s="186"/>
      <c r="H55" s="186"/>
      <c r="I55" s="186"/>
      <c r="J55" s="186"/>
      <c r="K55" s="186"/>
      <c r="L55" s="186"/>
      <c r="M55" s="186"/>
      <c r="N55" s="186"/>
      <c r="O55" s="186"/>
      <c r="P55" s="186"/>
      <c r="Q55" s="186"/>
      <c r="R55" s="186"/>
      <c r="S55" s="186"/>
      <c r="T55" s="186"/>
      <c r="U55" s="186"/>
      <c r="V55" s="186"/>
      <c r="W55" s="186"/>
      <c r="X55" s="186"/>
      <c r="Y55" s="186"/>
      <c r="Z55" s="186"/>
    </row>
    <row r="56" spans="1:26" ht="15.75" customHeight="1">
      <c r="A56" s="186"/>
      <c r="B56" s="186"/>
      <c r="C56" s="187"/>
      <c r="D56" s="186"/>
      <c r="E56" s="186"/>
      <c r="F56" s="186"/>
      <c r="G56" s="186"/>
      <c r="H56" s="186"/>
      <c r="I56" s="186"/>
      <c r="J56" s="186"/>
      <c r="K56" s="186"/>
      <c r="L56" s="186"/>
      <c r="M56" s="186"/>
      <c r="N56" s="186"/>
      <c r="O56" s="186"/>
      <c r="P56" s="186"/>
      <c r="Q56" s="186"/>
      <c r="R56" s="186"/>
      <c r="S56" s="186"/>
      <c r="T56" s="186"/>
      <c r="U56" s="186"/>
      <c r="V56" s="186"/>
      <c r="W56" s="186"/>
      <c r="X56" s="186"/>
      <c r="Y56" s="186"/>
      <c r="Z56" s="186"/>
    </row>
    <row r="57" spans="1:26" ht="15.75" customHeight="1">
      <c r="B57" s="238"/>
      <c r="C57" s="187"/>
      <c r="D57" s="186"/>
      <c r="E57" s="186"/>
      <c r="F57" s="186"/>
      <c r="G57" s="186"/>
      <c r="H57" s="186"/>
      <c r="I57" s="186"/>
      <c r="J57" s="186"/>
      <c r="K57" s="186"/>
      <c r="L57" s="186"/>
      <c r="M57" s="186"/>
      <c r="N57" s="186"/>
      <c r="O57" s="186"/>
      <c r="P57" s="186"/>
      <c r="Q57" s="186"/>
      <c r="R57" s="186"/>
      <c r="S57" s="186"/>
      <c r="T57" s="186"/>
      <c r="U57" s="186"/>
      <c r="V57" s="186"/>
      <c r="W57" s="186"/>
      <c r="X57" s="186"/>
      <c r="Y57" s="186"/>
      <c r="Z57" s="186"/>
    </row>
    <row r="58" spans="1:26" ht="15.75" customHeight="1">
      <c r="A58" s="188"/>
      <c r="B58" s="238"/>
      <c r="C58" s="187"/>
      <c r="D58" s="186"/>
      <c r="E58" s="186"/>
      <c r="F58" s="186"/>
      <c r="G58" s="186"/>
      <c r="H58" s="186"/>
      <c r="I58" s="186"/>
      <c r="J58" s="186"/>
      <c r="K58" s="186"/>
      <c r="L58" s="186"/>
      <c r="M58" s="186"/>
      <c r="N58" s="186"/>
      <c r="O58" s="186"/>
      <c r="P58" s="186"/>
      <c r="Q58" s="186"/>
      <c r="R58" s="186"/>
      <c r="S58" s="186"/>
      <c r="T58" s="186"/>
      <c r="U58" s="186"/>
      <c r="V58" s="186"/>
      <c r="W58" s="186"/>
      <c r="X58" s="186"/>
      <c r="Y58" s="186"/>
      <c r="Z58" s="186"/>
    </row>
    <row r="59" spans="1:26" ht="15.75" customHeight="1">
      <c r="A59" s="188"/>
      <c r="B59" s="238"/>
      <c r="C59" s="187"/>
      <c r="D59" s="186"/>
      <c r="E59" s="186"/>
      <c r="F59" s="186"/>
      <c r="G59" s="186"/>
      <c r="H59" s="186"/>
      <c r="I59" s="186"/>
      <c r="J59" s="186"/>
      <c r="K59" s="186"/>
      <c r="L59" s="186"/>
      <c r="M59" s="186"/>
      <c r="N59" s="186"/>
      <c r="O59" s="186"/>
      <c r="P59" s="186"/>
      <c r="Q59" s="186"/>
      <c r="R59" s="186"/>
      <c r="S59" s="186"/>
      <c r="T59" s="186"/>
      <c r="U59" s="186"/>
      <c r="V59" s="186"/>
      <c r="W59" s="186"/>
      <c r="X59" s="186"/>
      <c r="Y59" s="186"/>
      <c r="Z59" s="186"/>
    </row>
    <row r="60" spans="1:26" ht="15.75" customHeight="1">
      <c r="A60" s="188"/>
      <c r="B60" s="238"/>
      <c r="C60" s="187"/>
      <c r="D60" s="186"/>
      <c r="E60" s="186"/>
      <c r="F60" s="186"/>
      <c r="G60" s="186"/>
      <c r="H60" s="186"/>
      <c r="I60" s="186"/>
      <c r="J60" s="186"/>
      <c r="K60" s="186"/>
      <c r="L60" s="186"/>
      <c r="M60" s="186"/>
      <c r="N60" s="186"/>
      <c r="O60" s="186"/>
      <c r="P60" s="186"/>
      <c r="Q60" s="186"/>
      <c r="R60" s="186"/>
      <c r="S60" s="186"/>
      <c r="T60" s="186"/>
      <c r="U60" s="186"/>
      <c r="V60" s="186"/>
      <c r="W60" s="186"/>
      <c r="X60" s="186"/>
      <c r="Y60" s="186"/>
      <c r="Z60" s="186"/>
    </row>
    <row r="61" spans="1:26" ht="15.75" customHeight="1">
      <c r="A61" s="188"/>
      <c r="B61" s="237"/>
      <c r="C61" s="187"/>
      <c r="D61" s="186"/>
      <c r="E61" s="186"/>
      <c r="F61" s="186"/>
      <c r="G61" s="186"/>
      <c r="H61" s="186"/>
      <c r="I61" s="186"/>
      <c r="J61" s="186"/>
      <c r="K61" s="186"/>
      <c r="L61" s="186"/>
      <c r="M61" s="186"/>
      <c r="N61" s="186"/>
      <c r="O61" s="186"/>
      <c r="P61" s="186"/>
      <c r="Q61" s="186"/>
      <c r="R61" s="186"/>
      <c r="S61" s="186"/>
      <c r="T61" s="186"/>
      <c r="U61" s="186"/>
      <c r="V61" s="186"/>
      <c r="W61" s="186"/>
      <c r="X61" s="186"/>
      <c r="Y61" s="186"/>
      <c r="Z61" s="186"/>
    </row>
    <row r="62" spans="1:26" ht="15.75" customHeight="1">
      <c r="A62" s="188"/>
      <c r="B62" s="186"/>
      <c r="C62" s="187"/>
      <c r="D62" s="186"/>
      <c r="E62" s="186"/>
      <c r="F62" s="186"/>
      <c r="G62" s="186"/>
      <c r="H62" s="186"/>
      <c r="I62" s="186"/>
      <c r="J62" s="186"/>
      <c r="K62" s="186"/>
      <c r="L62" s="186"/>
      <c r="M62" s="186"/>
      <c r="N62" s="186"/>
      <c r="O62" s="186"/>
      <c r="P62" s="186"/>
      <c r="Q62" s="186"/>
      <c r="R62" s="186"/>
      <c r="S62" s="186"/>
      <c r="T62" s="186"/>
      <c r="U62" s="186"/>
      <c r="V62" s="186"/>
      <c r="W62" s="186"/>
      <c r="X62" s="186"/>
      <c r="Y62" s="186"/>
      <c r="Z62" s="186"/>
    </row>
    <row r="63" spans="1:26" ht="15.75" customHeight="1">
      <c r="A63" s="188"/>
      <c r="B63" s="186"/>
      <c r="C63" s="187"/>
      <c r="D63" s="186"/>
      <c r="E63" s="186"/>
      <c r="F63" s="186"/>
      <c r="G63" s="186"/>
      <c r="H63" s="186"/>
      <c r="I63" s="186"/>
      <c r="J63" s="186"/>
      <c r="K63" s="186"/>
      <c r="L63" s="186"/>
      <c r="M63" s="186"/>
      <c r="N63" s="186"/>
      <c r="O63" s="186"/>
      <c r="P63" s="186"/>
      <c r="Q63" s="186"/>
      <c r="R63" s="186"/>
      <c r="S63" s="186"/>
      <c r="T63" s="186"/>
      <c r="U63" s="186"/>
      <c r="V63" s="186"/>
      <c r="W63" s="186"/>
      <c r="X63" s="186"/>
      <c r="Y63" s="186"/>
      <c r="Z63" s="186"/>
    </row>
    <row r="64" spans="1:26" ht="15.75" customHeight="1">
      <c r="P64" s="186"/>
      <c r="Q64" s="186"/>
      <c r="R64" s="186"/>
      <c r="S64" s="186"/>
      <c r="T64" s="186"/>
      <c r="U64" s="186"/>
      <c r="V64" s="186"/>
      <c r="W64" s="186"/>
      <c r="X64" s="186"/>
      <c r="Y64" s="186"/>
      <c r="Z64" s="186"/>
    </row>
    <row r="65" spans="1:26" ht="15.75" customHeight="1">
      <c r="A65" s="172"/>
      <c r="B65" s="186"/>
      <c r="C65" s="187"/>
      <c r="D65" s="186"/>
      <c r="E65" s="186"/>
      <c r="F65" s="186"/>
      <c r="G65" s="186"/>
      <c r="H65" s="186"/>
      <c r="I65" s="186"/>
      <c r="J65" s="186"/>
      <c r="K65" s="186"/>
      <c r="L65" s="186"/>
      <c r="M65" s="186"/>
      <c r="N65" s="186"/>
      <c r="O65" s="186"/>
      <c r="P65" s="186"/>
      <c r="Q65" s="186"/>
      <c r="R65" s="186"/>
      <c r="S65" s="186"/>
      <c r="T65" s="186"/>
      <c r="U65" s="186"/>
      <c r="V65" s="186"/>
      <c r="W65" s="186"/>
      <c r="X65" s="186"/>
      <c r="Y65" s="186"/>
      <c r="Z65" s="186"/>
    </row>
    <row r="66" spans="1:26" ht="15.75" customHeight="1">
      <c r="A66" s="186"/>
      <c r="B66" s="186"/>
      <c r="C66" s="187"/>
      <c r="D66" s="186"/>
      <c r="E66" s="186"/>
      <c r="F66" s="186"/>
      <c r="G66" s="186"/>
      <c r="H66" s="186"/>
      <c r="I66" s="186"/>
      <c r="J66" s="186"/>
      <c r="K66" s="186"/>
      <c r="L66" s="186"/>
      <c r="M66" s="186"/>
      <c r="N66" s="186"/>
      <c r="O66" s="186"/>
      <c r="P66" s="186"/>
      <c r="Q66" s="186"/>
      <c r="R66" s="186"/>
      <c r="S66" s="186"/>
      <c r="T66" s="186"/>
      <c r="U66" s="186"/>
      <c r="V66" s="186"/>
      <c r="W66" s="186"/>
      <c r="X66" s="186"/>
      <c r="Y66" s="186"/>
      <c r="Z66" s="186"/>
    </row>
    <row r="67" spans="1:26" ht="15.75" customHeight="1">
      <c r="A67" s="186"/>
      <c r="B67" s="186"/>
      <c r="C67" s="187"/>
      <c r="D67" s="186"/>
      <c r="E67" s="186"/>
      <c r="F67" s="186"/>
      <c r="G67" s="186"/>
      <c r="H67" s="186"/>
      <c r="I67" s="186"/>
      <c r="J67" s="186"/>
      <c r="K67" s="186"/>
      <c r="L67" s="186"/>
      <c r="M67" s="186"/>
      <c r="N67" s="186"/>
      <c r="O67" s="186"/>
      <c r="P67" s="186"/>
      <c r="Q67" s="186"/>
      <c r="R67" s="186"/>
      <c r="S67" s="186"/>
      <c r="T67" s="186"/>
      <c r="U67" s="186"/>
      <c r="V67" s="186"/>
      <c r="W67" s="186"/>
      <c r="X67" s="186"/>
      <c r="Y67" s="186"/>
      <c r="Z67" s="186"/>
    </row>
    <row r="68" spans="1:26" ht="15.75" customHeight="1">
      <c r="A68" s="186"/>
      <c r="B68" s="186"/>
      <c r="C68" s="187"/>
      <c r="D68" s="186"/>
      <c r="E68" s="186"/>
      <c r="F68" s="186"/>
      <c r="G68" s="186"/>
      <c r="H68" s="186"/>
      <c r="I68" s="186"/>
      <c r="J68" s="186"/>
      <c r="K68" s="186"/>
      <c r="L68" s="186"/>
      <c r="M68" s="186"/>
      <c r="N68" s="186"/>
      <c r="O68" s="186"/>
      <c r="P68" s="186"/>
      <c r="Q68" s="186"/>
      <c r="R68" s="186"/>
      <c r="S68" s="186"/>
      <c r="T68" s="186"/>
      <c r="U68" s="186"/>
      <c r="V68" s="186"/>
      <c r="W68" s="186"/>
      <c r="X68" s="186"/>
      <c r="Y68" s="186"/>
      <c r="Z68" s="186"/>
    </row>
    <row r="69" spans="1:26" ht="15.75" customHeight="1">
      <c r="A69" s="201" t="s">
        <v>300</v>
      </c>
      <c r="B69" s="200"/>
      <c r="C69" s="200"/>
      <c r="D69" s="200"/>
      <c r="E69" s="200"/>
      <c r="F69" s="200"/>
      <c r="G69" s="200"/>
      <c r="H69" s="200"/>
      <c r="I69" s="200"/>
      <c r="J69" s="200"/>
      <c r="K69" s="200"/>
      <c r="L69" s="200"/>
      <c r="M69" s="200"/>
      <c r="N69" s="200"/>
      <c r="O69" s="200"/>
      <c r="P69" s="200"/>
      <c r="Q69" s="200"/>
      <c r="R69" s="200"/>
      <c r="S69" s="200"/>
      <c r="T69" s="200"/>
      <c r="U69" s="200"/>
      <c r="V69" s="200"/>
      <c r="W69" s="200"/>
      <c r="X69" s="200"/>
      <c r="Y69" s="200"/>
      <c r="Z69" s="200"/>
    </row>
    <row r="70" spans="1:26" ht="15.75" customHeight="1">
      <c r="A70" s="202"/>
      <c r="B70" s="236"/>
      <c r="C70" s="235"/>
      <c r="D70" s="202"/>
      <c r="E70" s="234" t="s">
        <v>274</v>
      </c>
      <c r="F70" s="233"/>
      <c r="G70" s="232"/>
      <c r="H70" s="231" t="s">
        <v>273</v>
      </c>
      <c r="I70" s="230"/>
      <c r="J70" s="230"/>
      <c r="K70" s="230"/>
      <c r="L70" s="231" t="s">
        <v>272</v>
      </c>
      <c r="M70" s="230"/>
      <c r="N70" s="230"/>
      <c r="O70" s="230"/>
      <c r="P70" s="231" t="s">
        <v>271</v>
      </c>
      <c r="Q70" s="230"/>
      <c r="R70" s="230"/>
      <c r="S70" s="229"/>
      <c r="T70" s="202"/>
      <c r="U70" s="202"/>
      <c r="V70" s="202"/>
      <c r="W70" s="202"/>
      <c r="X70" s="202"/>
      <c r="Y70" s="202"/>
      <c r="Z70" s="202"/>
    </row>
    <row r="71" spans="1:26" ht="42.75" customHeight="1">
      <c r="A71" s="202"/>
      <c r="B71" s="228" t="s">
        <v>269</v>
      </c>
      <c r="C71" s="228" t="s">
        <v>270</v>
      </c>
      <c r="D71" s="202"/>
      <c r="E71" s="228" t="s">
        <v>269</v>
      </c>
      <c r="F71" s="227" t="s">
        <v>268</v>
      </c>
      <c r="G71" s="225" t="s">
        <v>267</v>
      </c>
      <c r="H71" s="227" t="s">
        <v>266</v>
      </c>
      <c r="I71" s="226" t="s">
        <v>265</v>
      </c>
      <c r="J71" s="226" t="s">
        <v>264</v>
      </c>
      <c r="K71" s="225" t="s">
        <v>263</v>
      </c>
      <c r="L71" s="227" t="s">
        <v>266</v>
      </c>
      <c r="M71" s="226" t="s">
        <v>265</v>
      </c>
      <c r="N71" s="226" t="s">
        <v>264</v>
      </c>
      <c r="O71" s="225" t="s">
        <v>263</v>
      </c>
      <c r="P71" s="224" t="s">
        <v>266</v>
      </c>
      <c r="Q71" s="224" t="s">
        <v>265</v>
      </c>
      <c r="R71" s="224" t="s">
        <v>264</v>
      </c>
      <c r="S71" s="223" t="s">
        <v>263</v>
      </c>
      <c r="T71" s="202"/>
      <c r="U71" s="202"/>
      <c r="V71" s="202"/>
      <c r="W71" s="202"/>
      <c r="X71" s="202"/>
      <c r="Y71" s="202"/>
      <c r="Z71" s="202"/>
    </row>
    <row r="72" spans="1:26" ht="15.75" customHeight="1">
      <c r="A72" s="202"/>
      <c r="B72" s="216">
        <v>0</v>
      </c>
      <c r="C72" s="222"/>
      <c r="D72" s="202"/>
      <c r="E72" s="216">
        <v>0</v>
      </c>
      <c r="F72" s="221">
        <v>10000</v>
      </c>
      <c r="G72" s="220"/>
      <c r="H72" s="219"/>
      <c r="I72" s="212"/>
      <c r="J72" s="212"/>
      <c r="K72" s="211"/>
      <c r="L72" s="219"/>
      <c r="M72" s="212"/>
      <c r="N72" s="212"/>
      <c r="O72" s="211"/>
      <c r="P72" s="218"/>
      <c r="Q72" s="212"/>
      <c r="R72" s="212"/>
      <c r="S72" s="211"/>
      <c r="T72" s="202"/>
      <c r="U72" s="202"/>
      <c r="V72" s="202"/>
      <c r="W72" s="202"/>
      <c r="X72" s="202"/>
      <c r="Y72" s="202"/>
      <c r="Z72" s="202"/>
    </row>
    <row r="73" spans="1:26" ht="15.75" customHeight="1">
      <c r="A73" s="202"/>
      <c r="B73" s="216">
        <v>1</v>
      </c>
      <c r="C73" s="217"/>
      <c r="D73" s="209"/>
      <c r="E73" s="216">
        <v>1</v>
      </c>
      <c r="F73" s="215">
        <v>0</v>
      </c>
      <c r="G73" s="211">
        <v>10500</v>
      </c>
      <c r="H73" s="214">
        <v>0.1</v>
      </c>
      <c r="I73" s="212">
        <v>1000</v>
      </c>
      <c r="J73" s="212">
        <v>150</v>
      </c>
      <c r="K73" s="211">
        <v>10850</v>
      </c>
      <c r="L73" s="214">
        <v>0.1</v>
      </c>
      <c r="M73" s="212">
        <v>1000</v>
      </c>
      <c r="N73" s="212">
        <v>150</v>
      </c>
      <c r="O73" s="211">
        <v>10850</v>
      </c>
      <c r="P73" s="213">
        <v>0.1</v>
      </c>
      <c r="Q73" s="212">
        <v>1000</v>
      </c>
      <c r="R73" s="212">
        <v>150</v>
      </c>
      <c r="S73" s="211">
        <v>10850</v>
      </c>
      <c r="T73" s="202"/>
      <c r="U73" s="202"/>
      <c r="V73" s="202"/>
      <c r="W73" s="202"/>
      <c r="X73" s="202"/>
      <c r="Y73" s="202"/>
      <c r="Z73" s="202"/>
    </row>
    <row r="74" spans="1:26" ht="15.75" customHeight="1">
      <c r="A74" s="202"/>
      <c r="B74" s="216">
        <v>2</v>
      </c>
      <c r="C74" s="217">
        <v>1.7999999999999999E-2</v>
      </c>
      <c r="D74" s="209"/>
      <c r="E74" s="216">
        <v>2</v>
      </c>
      <c r="F74" s="215">
        <v>0</v>
      </c>
      <c r="G74" s="211">
        <v>11025</v>
      </c>
      <c r="H74" s="214">
        <v>-0.20833333333333337</v>
      </c>
      <c r="I74" s="212">
        <v>-2260.416666666667</v>
      </c>
      <c r="J74" s="212">
        <v>162.75</v>
      </c>
      <c r="K74" s="211">
        <v>8426.8333333333321</v>
      </c>
      <c r="L74" s="214">
        <v>5.555555555555558E-2</v>
      </c>
      <c r="M74" s="212">
        <v>602.77777777777806</v>
      </c>
      <c r="N74" s="212">
        <v>162.75</v>
      </c>
      <c r="O74" s="211">
        <v>11290.027777777777</v>
      </c>
      <c r="P74" s="213">
        <v>0.13636363636363624</v>
      </c>
      <c r="Q74" s="212">
        <v>1479.5454545454531</v>
      </c>
      <c r="R74" s="212">
        <v>162.75</v>
      </c>
      <c r="S74" s="211">
        <v>12166.795454545452</v>
      </c>
      <c r="T74" s="202"/>
      <c r="U74" s="202"/>
      <c r="V74" s="202"/>
      <c r="W74" s="202"/>
      <c r="X74" s="202"/>
      <c r="Y74" s="202"/>
      <c r="Z74" s="202"/>
    </row>
    <row r="75" spans="1:26" ht="15.75" customHeight="1">
      <c r="A75" s="202"/>
      <c r="B75" s="216">
        <v>3</v>
      </c>
      <c r="C75" s="217">
        <v>0.02</v>
      </c>
      <c r="D75" s="209"/>
      <c r="E75" s="216">
        <v>3</v>
      </c>
      <c r="F75" s="215">
        <v>0</v>
      </c>
      <c r="G75" s="211">
        <v>11576.250000000002</v>
      </c>
      <c r="H75" s="214">
        <v>0.10526315789473695</v>
      </c>
      <c r="I75" s="212">
        <v>887.03508771929899</v>
      </c>
      <c r="J75" s="212">
        <v>126.40249999999997</v>
      </c>
      <c r="K75" s="211">
        <v>9187.4659210526315</v>
      </c>
      <c r="L75" s="214">
        <v>0.10526315789473695</v>
      </c>
      <c r="M75" s="212">
        <v>1188.4239766081882</v>
      </c>
      <c r="N75" s="212">
        <v>169.35041666666666</v>
      </c>
      <c r="O75" s="211">
        <v>12309.101337719299</v>
      </c>
      <c r="P75" s="213">
        <v>0.11999999999999988</v>
      </c>
      <c r="Q75" s="212">
        <v>1460.0154545454529</v>
      </c>
      <c r="R75" s="212">
        <v>182.50193181818179</v>
      </c>
      <c r="S75" s="211">
        <v>13444.308977272723</v>
      </c>
      <c r="T75" s="202"/>
      <c r="U75" s="202"/>
      <c r="V75" s="202"/>
      <c r="W75" s="202"/>
      <c r="X75" s="202"/>
      <c r="Y75" s="202"/>
      <c r="Z75" s="202"/>
    </row>
    <row r="76" spans="1:26" ht="15.75" customHeight="1">
      <c r="A76" s="202"/>
      <c r="B76" s="216">
        <v>4</v>
      </c>
      <c r="C76" s="217">
        <v>2.1999999999999999E-2</v>
      </c>
      <c r="D76" s="209"/>
      <c r="E76" s="216">
        <v>4</v>
      </c>
      <c r="F76" s="215">
        <v>0</v>
      </c>
      <c r="G76" s="211">
        <v>12155.0625</v>
      </c>
      <c r="H76" s="214">
        <v>4.7619047619047672E-2</v>
      </c>
      <c r="I76" s="212">
        <v>437.49837719298296</v>
      </c>
      <c r="J76" s="212">
        <v>137.81198881578948</v>
      </c>
      <c r="K76" s="211">
        <v>9487.1523094298263</v>
      </c>
      <c r="L76" s="214">
        <v>-2.3809523809524169E-2</v>
      </c>
      <c r="M76" s="212">
        <v>-293.07384137427346</v>
      </c>
      <c r="N76" s="212">
        <v>184.63652006578948</v>
      </c>
      <c r="O76" s="211">
        <v>11831.390976279237</v>
      </c>
      <c r="P76" s="213">
        <v>-1.7857142857142683E-2</v>
      </c>
      <c r="Q76" s="212">
        <v>-240.07694602272485</v>
      </c>
      <c r="R76" s="212">
        <v>201.66463465909084</v>
      </c>
      <c r="S76" s="211">
        <v>13002.567396590906</v>
      </c>
      <c r="T76" s="202"/>
      <c r="U76" s="202"/>
      <c r="V76" s="202"/>
      <c r="W76" s="202"/>
      <c r="X76" s="202"/>
      <c r="Y76" s="202"/>
      <c r="Z76" s="202"/>
    </row>
    <row r="77" spans="1:26" ht="15.75" customHeight="1">
      <c r="A77" s="202"/>
      <c r="B77" s="216">
        <v>5</v>
      </c>
      <c r="C77" s="217">
        <v>2.4E-2</v>
      </c>
      <c r="D77" s="209"/>
      <c r="E77" s="216">
        <v>5</v>
      </c>
      <c r="F77" s="215">
        <v>0</v>
      </c>
      <c r="G77" s="211">
        <v>12762.815625000001</v>
      </c>
      <c r="H77" s="214">
        <v>9.0909090909090828E-2</v>
      </c>
      <c r="I77" s="212">
        <v>862.46839176634705</v>
      </c>
      <c r="J77" s="212">
        <v>142.30728464144738</v>
      </c>
      <c r="K77" s="211">
        <v>10207.313416554727</v>
      </c>
      <c r="L77" s="214">
        <v>4.8780487804878092E-2</v>
      </c>
      <c r="M77" s="212">
        <v>577.14102323313409</v>
      </c>
      <c r="N77" s="212">
        <v>177.47086464418857</v>
      </c>
      <c r="O77" s="211">
        <v>12231.061134868183</v>
      </c>
      <c r="P77" s="213">
        <v>9.0909090909090828E-2</v>
      </c>
      <c r="Q77" s="212">
        <v>1182.0515815082631</v>
      </c>
      <c r="R77" s="212">
        <v>195.03851094886357</v>
      </c>
      <c r="S77" s="211">
        <v>13989.580467150307</v>
      </c>
      <c r="T77" s="202"/>
      <c r="U77" s="202"/>
      <c r="V77" s="202"/>
      <c r="W77" s="202"/>
      <c r="X77" s="202"/>
      <c r="Y77" s="202"/>
      <c r="Z77" s="202"/>
    </row>
    <row r="78" spans="1:26" ht="15.75" customHeight="1">
      <c r="A78" s="202"/>
      <c r="B78" s="216">
        <v>6</v>
      </c>
      <c r="C78" s="217">
        <v>2.7E-2</v>
      </c>
      <c r="D78" s="209"/>
      <c r="E78" s="216">
        <v>6</v>
      </c>
      <c r="F78" s="215">
        <v>0</v>
      </c>
      <c r="G78" s="211">
        <v>13400.956406249999</v>
      </c>
      <c r="H78" s="214">
        <v>8.3333333333333481E-2</v>
      </c>
      <c r="I78" s="212">
        <v>850.60945137956207</v>
      </c>
      <c r="J78" s="212">
        <v>153.1097012483209</v>
      </c>
      <c r="K78" s="211">
        <v>10904.813166685968</v>
      </c>
      <c r="L78" s="214">
        <v>6.9767441860464796E-2</v>
      </c>
      <c r="M78" s="212">
        <v>853.3298466187066</v>
      </c>
      <c r="N78" s="212">
        <v>183.46591702302274</v>
      </c>
      <c r="O78" s="211">
        <v>12900.925064463867</v>
      </c>
      <c r="P78" s="213">
        <v>9.9999999999999867E-2</v>
      </c>
      <c r="Q78" s="212">
        <v>1398.9580467150288</v>
      </c>
      <c r="R78" s="212">
        <v>209.84370700725458</v>
      </c>
      <c r="S78" s="211">
        <v>15178.69480685808</v>
      </c>
      <c r="T78" s="202"/>
      <c r="U78" s="202"/>
      <c r="V78" s="202"/>
      <c r="W78" s="202"/>
      <c r="X78" s="202"/>
      <c r="Y78" s="202"/>
      <c r="Z78" s="202"/>
    </row>
    <row r="79" spans="1:26" ht="15.75" customHeight="1">
      <c r="A79" s="202"/>
      <c r="B79" s="216">
        <v>7</v>
      </c>
      <c r="C79" s="217">
        <v>0.03</v>
      </c>
      <c r="D79" s="209"/>
      <c r="E79" s="216">
        <v>7</v>
      </c>
      <c r="F79" s="215">
        <v>0</v>
      </c>
      <c r="G79" s="211">
        <v>14071.004226562502</v>
      </c>
      <c r="H79" s="214">
        <v>7.6923076923076872E-2</v>
      </c>
      <c r="I79" s="212">
        <v>838.83178205276624</v>
      </c>
      <c r="J79" s="212">
        <v>163.57219750028952</v>
      </c>
      <c r="K79" s="211">
        <v>11580.072751238446</v>
      </c>
      <c r="L79" s="214">
        <v>0.13043478260869579</v>
      </c>
      <c r="M79" s="212">
        <v>1682.7293562344191</v>
      </c>
      <c r="N79" s="212">
        <v>193.51387596695798</v>
      </c>
      <c r="O79" s="211">
        <v>14390.140544731328</v>
      </c>
      <c r="P79" s="213">
        <v>6.060606060606033E-2</v>
      </c>
      <c r="Q79" s="212">
        <v>919.920897385334</v>
      </c>
      <c r="R79" s="212">
        <v>227.6804221028712</v>
      </c>
      <c r="S79" s="211">
        <v>15870.935282140545</v>
      </c>
      <c r="T79" s="202"/>
      <c r="U79" s="202"/>
      <c r="V79" s="202"/>
      <c r="W79" s="202"/>
      <c r="X79" s="202"/>
      <c r="Y79" s="202"/>
      <c r="Z79" s="202"/>
    </row>
    <row r="80" spans="1:26" ht="15.75" customHeight="1">
      <c r="A80" s="202"/>
      <c r="B80" s="216">
        <v>8</v>
      </c>
      <c r="C80" s="217">
        <v>3.4000000000000002E-2</v>
      </c>
      <c r="D80" s="209"/>
      <c r="E80" s="216">
        <v>8</v>
      </c>
      <c r="F80" s="215">
        <v>0</v>
      </c>
      <c r="G80" s="211">
        <v>14774.554437890625</v>
      </c>
      <c r="H80" s="214">
        <v>7.1428571428571397E-2</v>
      </c>
      <c r="I80" s="212">
        <v>827.14805365988855</v>
      </c>
      <c r="J80" s="212">
        <v>173.70109126857668</v>
      </c>
      <c r="K80" s="211">
        <v>12233.519713629757</v>
      </c>
      <c r="L80" s="214">
        <v>0.11538461538461542</v>
      </c>
      <c r="M80" s="212">
        <v>1660.4008320843845</v>
      </c>
      <c r="N80" s="212">
        <v>215.85210817096993</v>
      </c>
      <c r="O80" s="211">
        <v>15834.689268644743</v>
      </c>
      <c r="P80" s="213">
        <v>2.8571428571428692E-2</v>
      </c>
      <c r="Q80" s="212">
        <v>453.45529377544602</v>
      </c>
      <c r="R80" s="212">
        <v>238.06402923210817</v>
      </c>
      <c r="S80" s="211">
        <v>16086.326546683882</v>
      </c>
      <c r="T80" s="202"/>
      <c r="U80" s="202"/>
      <c r="V80" s="202"/>
      <c r="W80" s="202"/>
      <c r="X80" s="202"/>
      <c r="Y80" s="202"/>
      <c r="Z80" s="202"/>
    </row>
    <row r="81" spans="1:26" ht="15.75" customHeight="1">
      <c r="A81" s="202"/>
      <c r="B81" s="216">
        <v>9</v>
      </c>
      <c r="C81" s="217">
        <v>3.7999999999999999E-2</v>
      </c>
      <c r="D81" s="209"/>
      <c r="E81" s="216">
        <v>9</v>
      </c>
      <c r="F81" s="215">
        <v>0</v>
      </c>
      <c r="G81" s="211">
        <v>15513.282159785158</v>
      </c>
      <c r="H81" s="214">
        <v>6.6666666666666652E-2</v>
      </c>
      <c r="I81" s="212">
        <v>815.56798090865027</v>
      </c>
      <c r="J81" s="212">
        <v>183.50279570444636</v>
      </c>
      <c r="K81" s="211">
        <v>12865.584898833962</v>
      </c>
      <c r="L81" s="214">
        <v>-3.4482758620689724E-2</v>
      </c>
      <c r="M81" s="212">
        <v>-546.02376788430252</v>
      </c>
      <c r="N81" s="212">
        <v>237.52033902967113</v>
      </c>
      <c r="O81" s="211">
        <v>15051.145161730768</v>
      </c>
      <c r="P81" s="213">
        <v>0.11111111111111116</v>
      </c>
      <c r="Q81" s="212">
        <v>1787.3696162982098</v>
      </c>
      <c r="R81" s="212">
        <v>241.29489820025822</v>
      </c>
      <c r="S81" s="211">
        <v>17632.401264781831</v>
      </c>
      <c r="T81" s="202"/>
      <c r="U81" s="202"/>
      <c r="V81" s="202"/>
      <c r="W81" s="202"/>
      <c r="X81" s="202"/>
      <c r="Y81" s="202"/>
      <c r="Z81" s="202"/>
    </row>
    <row r="82" spans="1:26" ht="15.75" customHeight="1">
      <c r="A82" s="202"/>
      <c r="B82" s="208">
        <v>10</v>
      </c>
      <c r="C82" s="210">
        <v>4.2000000000000003E-2</v>
      </c>
      <c r="D82" s="209"/>
      <c r="E82" s="208">
        <v>10</v>
      </c>
      <c r="F82" s="207">
        <v>0</v>
      </c>
      <c r="G82" s="203">
        <v>16288.946267774416</v>
      </c>
      <c r="H82" s="206">
        <v>9.375E-2</v>
      </c>
      <c r="I82" s="204">
        <v>1206.1485842656839</v>
      </c>
      <c r="J82" s="204">
        <v>192.98377348250943</v>
      </c>
      <c r="K82" s="203">
        <v>13878.749709617137</v>
      </c>
      <c r="L82" s="206">
        <v>0.10714285714285721</v>
      </c>
      <c r="M82" s="204">
        <v>1612.6226958997261</v>
      </c>
      <c r="N82" s="204">
        <v>225.76717742596151</v>
      </c>
      <c r="O82" s="203">
        <v>16438.000680204532</v>
      </c>
      <c r="P82" s="205">
        <v>0.19999999999999996</v>
      </c>
      <c r="Q82" s="204">
        <v>3526.4802529563653</v>
      </c>
      <c r="R82" s="204">
        <v>264.48601897172745</v>
      </c>
      <c r="S82" s="203">
        <v>20894.395498766466</v>
      </c>
      <c r="T82" s="202"/>
      <c r="U82" s="202"/>
      <c r="V82" s="202"/>
      <c r="W82" s="202"/>
      <c r="X82" s="202"/>
      <c r="Y82" s="202"/>
      <c r="Z82" s="202"/>
    </row>
    <row r="83" spans="1:26" ht="15.75" customHeight="1">
      <c r="A83" s="201"/>
      <c r="B83" s="200"/>
      <c r="C83" s="200"/>
      <c r="D83" s="200"/>
      <c r="E83" s="200"/>
      <c r="F83" s="200"/>
      <c r="G83" s="200"/>
      <c r="H83" s="200"/>
      <c r="I83" s="200"/>
      <c r="J83" s="200"/>
      <c r="K83" s="200"/>
      <c r="L83" s="200"/>
      <c r="M83" s="200"/>
      <c r="N83" s="200"/>
      <c r="O83" s="200"/>
      <c r="P83" s="200"/>
      <c r="Q83" s="200"/>
      <c r="R83" s="200"/>
      <c r="S83" s="200"/>
      <c r="T83" s="200"/>
      <c r="U83" s="200"/>
      <c r="V83" s="200"/>
      <c r="W83" s="200"/>
      <c r="X83" s="200"/>
      <c r="Y83" s="200"/>
      <c r="Z83" s="200"/>
    </row>
    <row r="84" spans="1:26" ht="15.75" customHeight="1">
      <c r="A84" s="201" t="s">
        <v>299</v>
      </c>
      <c r="B84" s="200"/>
      <c r="C84" s="200"/>
      <c r="D84" s="200"/>
      <c r="E84" s="200"/>
      <c r="F84" s="200"/>
      <c r="G84" s="200"/>
      <c r="H84" s="200"/>
      <c r="I84" s="200"/>
      <c r="J84" s="200"/>
      <c r="K84" s="200"/>
      <c r="L84" s="200"/>
      <c r="M84" s="200"/>
      <c r="N84" s="200"/>
      <c r="O84" s="200"/>
      <c r="P84" s="200"/>
      <c r="Q84" s="200"/>
      <c r="R84" s="200"/>
      <c r="S84" s="200"/>
      <c r="T84" s="200"/>
      <c r="U84" s="200"/>
      <c r="V84" s="200"/>
      <c r="W84" s="200"/>
      <c r="X84" s="200"/>
      <c r="Y84" s="200"/>
      <c r="Z84" s="200"/>
    </row>
    <row r="85" spans="1:26" ht="15.75" customHeight="1">
      <c r="A85" s="199" t="s">
        <v>261</v>
      </c>
    </row>
    <row r="86" spans="1:26" ht="15.75" customHeight="1"/>
    <row r="87" spans="1:26" ht="15.75" customHeight="1">
      <c r="A87" s="185" t="s">
        <v>260</v>
      </c>
    </row>
    <row r="88" spans="1:26" ht="15.75" customHeight="1">
      <c r="A88" s="186"/>
      <c r="B88" s="186"/>
      <c r="C88" s="186"/>
      <c r="D88" s="186"/>
      <c r="E88" s="186"/>
      <c r="F88" s="186"/>
      <c r="G88" s="186"/>
      <c r="H88" s="186"/>
      <c r="I88" s="186"/>
      <c r="J88" s="186"/>
      <c r="K88" s="186"/>
      <c r="L88" s="186"/>
      <c r="M88" s="186"/>
      <c r="N88" s="186"/>
      <c r="O88" s="186"/>
      <c r="P88" s="186"/>
      <c r="Q88" s="186"/>
      <c r="R88" s="186"/>
      <c r="S88" s="186"/>
      <c r="T88" s="186"/>
      <c r="U88" s="186"/>
      <c r="V88" s="186"/>
      <c r="W88" s="186"/>
      <c r="X88" s="186"/>
      <c r="Y88" s="186"/>
      <c r="Z88" s="186"/>
    </row>
    <row r="89" spans="1:26" ht="15.75" customHeight="1">
      <c r="A89" s="186"/>
      <c r="B89" s="186"/>
      <c r="C89" s="186" t="s">
        <v>298</v>
      </c>
      <c r="D89" s="186"/>
      <c r="E89" s="186"/>
      <c r="F89" s="186" t="s">
        <v>258</v>
      </c>
      <c r="G89" s="186"/>
      <c r="H89" s="186"/>
      <c r="I89" s="186" t="s">
        <v>257</v>
      </c>
      <c r="J89" s="186"/>
      <c r="K89" s="186"/>
      <c r="L89" s="186"/>
      <c r="M89" s="186"/>
      <c r="N89" s="186"/>
      <c r="O89" s="186"/>
      <c r="P89" s="186"/>
      <c r="Q89" s="186"/>
      <c r="R89" s="186"/>
      <c r="S89" s="186"/>
      <c r="T89" s="186"/>
      <c r="U89" s="186"/>
      <c r="V89" s="186"/>
      <c r="W89" s="186"/>
      <c r="X89" s="186"/>
      <c r="Y89" s="186"/>
      <c r="Z89" s="186"/>
    </row>
    <row r="90" spans="1:26" ht="15.75" customHeight="1">
      <c r="A90" s="186"/>
      <c r="B90" s="186"/>
      <c r="C90" s="186" t="s">
        <v>256</v>
      </c>
      <c r="D90" s="186"/>
      <c r="E90" s="186"/>
      <c r="F90" s="186"/>
      <c r="G90" s="186"/>
      <c r="H90" s="186"/>
      <c r="I90" s="186" t="s">
        <v>255</v>
      </c>
      <c r="J90" s="186"/>
      <c r="K90" s="186"/>
      <c r="L90" s="186"/>
      <c r="M90" s="186"/>
      <c r="N90" s="186"/>
      <c r="O90" s="186"/>
      <c r="P90" s="186"/>
      <c r="Q90" s="186"/>
      <c r="R90" s="186"/>
      <c r="S90" s="186"/>
      <c r="T90" s="186"/>
      <c r="U90" s="186"/>
      <c r="V90" s="186"/>
      <c r="W90" s="186"/>
      <c r="X90" s="186"/>
      <c r="Y90" s="186"/>
      <c r="Z90" s="186"/>
    </row>
    <row r="91" spans="1:26" ht="15.75" customHeight="1">
      <c r="A91" s="186" t="s">
        <v>225</v>
      </c>
      <c r="B91" s="186" t="s">
        <v>254</v>
      </c>
      <c r="C91" s="186" t="s">
        <v>136</v>
      </c>
      <c r="D91" s="186" t="s">
        <v>137</v>
      </c>
      <c r="E91" s="186" t="s">
        <v>138</v>
      </c>
      <c r="F91" s="186" t="s">
        <v>136</v>
      </c>
      <c r="G91" s="186" t="s">
        <v>137</v>
      </c>
      <c r="H91" s="186" t="s">
        <v>138</v>
      </c>
      <c r="I91" s="186" t="s">
        <v>136</v>
      </c>
      <c r="J91" s="186" t="s">
        <v>137</v>
      </c>
      <c r="K91" s="186" t="s">
        <v>138</v>
      </c>
      <c r="L91" s="186"/>
      <c r="M91" s="186"/>
      <c r="N91" s="186"/>
      <c r="O91" s="186"/>
      <c r="P91" s="186"/>
      <c r="Q91" s="186"/>
      <c r="R91" s="186"/>
      <c r="S91" s="186"/>
      <c r="T91" s="186"/>
      <c r="U91" s="186"/>
      <c r="V91" s="186"/>
      <c r="W91" s="186"/>
      <c r="X91" s="186"/>
      <c r="Y91" s="186"/>
      <c r="Z91" s="186"/>
    </row>
    <row r="92" spans="1:26" ht="15.75" customHeight="1">
      <c r="A92" s="186">
        <v>0</v>
      </c>
      <c r="B92" s="194">
        <v>1</v>
      </c>
      <c r="C92" s="186"/>
      <c r="D92" s="186"/>
      <c r="E92" s="186"/>
      <c r="F92" s="186"/>
      <c r="G92" s="186"/>
      <c r="H92" s="186"/>
      <c r="I92" s="186"/>
      <c r="J92" s="186"/>
      <c r="K92" s="186"/>
      <c r="L92" s="186"/>
      <c r="M92" s="186"/>
      <c r="N92" s="186"/>
      <c r="O92" s="186" t="s">
        <v>253</v>
      </c>
      <c r="P92" s="186"/>
      <c r="Q92" s="198">
        <f>AVERAGE(C103:E103)</f>
        <v>1244.9000349703113</v>
      </c>
      <c r="R92" s="186"/>
      <c r="S92" s="186"/>
      <c r="T92" s="186"/>
      <c r="U92" s="186"/>
      <c r="V92" s="186"/>
      <c r="W92" s="186"/>
      <c r="X92" s="186"/>
      <c r="Y92" s="186"/>
      <c r="Z92" s="186"/>
    </row>
    <row r="93" spans="1:26" ht="15.75" customHeight="1">
      <c r="A93" s="186">
        <v>1</v>
      </c>
      <c r="B93" s="194">
        <f>B92*(1-C74)</f>
        <v>0.98199999999999998</v>
      </c>
      <c r="C93" s="195">
        <f>$B93*J74</f>
        <v>159.82050000000001</v>
      </c>
      <c r="D93" s="195">
        <f>$B93*N74</f>
        <v>159.82050000000001</v>
      </c>
      <c r="E93" s="195">
        <f>$B93*R74</f>
        <v>159.82050000000001</v>
      </c>
      <c r="F93" s="192">
        <f>MAX(0,$G74-K74)</f>
        <v>2598.1666666666679</v>
      </c>
      <c r="G93" s="192">
        <f>MAX(0,$G74-O74)</f>
        <v>0</v>
      </c>
      <c r="H93" s="192">
        <f>MAX(0,$G74-S74)</f>
        <v>0</v>
      </c>
      <c r="I93" s="190">
        <f>F93*$B92*$C74</f>
        <v>46.767000000000017</v>
      </c>
      <c r="J93" s="190">
        <f>G93*$B92*$C74</f>
        <v>0</v>
      </c>
      <c r="K93" s="190">
        <f>H93*$B92*$C74</f>
        <v>0</v>
      </c>
      <c r="L93" s="186"/>
      <c r="M93" s="186"/>
      <c r="N93" s="186"/>
      <c r="O93" s="186" t="s">
        <v>252</v>
      </c>
      <c r="P93" s="186"/>
      <c r="Q93" s="189">
        <f>AVERAGE(I103:K103)</f>
        <v>170.36790111569243</v>
      </c>
      <c r="R93" s="186"/>
      <c r="S93" s="186"/>
      <c r="T93" s="186"/>
      <c r="U93" s="186"/>
      <c r="V93" s="186"/>
      <c r="W93" s="186"/>
      <c r="X93" s="186"/>
      <c r="Y93" s="186"/>
      <c r="Z93" s="186"/>
    </row>
    <row r="94" spans="1:26" ht="15.75" customHeight="1">
      <c r="A94" s="186">
        <v>2</v>
      </c>
      <c r="B94" s="194">
        <f>B93*(1-C75)</f>
        <v>0.96235999999999999</v>
      </c>
      <c r="C94" s="195">
        <f>$B94*J75</f>
        <v>121.64470989999998</v>
      </c>
      <c r="D94" s="195">
        <f>$B94*N75</f>
        <v>162.97606698333334</v>
      </c>
      <c r="E94" s="195">
        <f>$B94*R75</f>
        <v>175.63255910454544</v>
      </c>
      <c r="F94" s="192">
        <f>MAX(0,$G75-K75)</f>
        <v>2388.7840789473703</v>
      </c>
      <c r="G94" s="192">
        <f>MAX(0,$G75-O75)</f>
        <v>0</v>
      </c>
      <c r="H94" s="192">
        <f>MAX(0,$G75-S75)</f>
        <v>0</v>
      </c>
      <c r="I94" s="190">
        <f>F94*$B93*$C75</f>
        <v>46.915719310526356</v>
      </c>
      <c r="J94" s="190">
        <f>G94*$B93*$C75</f>
        <v>0</v>
      </c>
      <c r="K94" s="190">
        <f>H94*$B93*$C75</f>
        <v>0</v>
      </c>
      <c r="L94" s="186"/>
      <c r="M94" s="186"/>
      <c r="N94" s="186"/>
      <c r="O94" s="197" t="s">
        <v>297</v>
      </c>
      <c r="P94" s="186"/>
      <c r="Q94" s="196">
        <f>P42</f>
        <v>0.18975503528613311</v>
      </c>
      <c r="R94" s="186"/>
      <c r="S94" s="186"/>
      <c r="T94" s="186"/>
      <c r="U94" s="186"/>
      <c r="V94" s="186"/>
      <c r="W94" s="186"/>
      <c r="X94" s="186"/>
      <c r="Y94" s="186"/>
      <c r="Z94" s="186"/>
    </row>
    <row r="95" spans="1:26" ht="15.75" customHeight="1">
      <c r="A95" s="186">
        <v>3</v>
      </c>
      <c r="B95" s="194">
        <f>B94*(1-C76)</f>
        <v>0.94118807999999998</v>
      </c>
      <c r="C95" s="195">
        <f>$B95*J76</f>
        <v>129.70700115451436</v>
      </c>
      <c r="D95" s="195">
        <f>$B95*N76</f>
        <v>173.77769181860188</v>
      </c>
      <c r="E95" s="195">
        <f>$B95*R76</f>
        <v>189.80435029869116</v>
      </c>
      <c r="F95" s="192">
        <f>MAX(0,$G76-K76)</f>
        <v>2667.9101905701737</v>
      </c>
      <c r="G95" s="192">
        <f>MAX(0,$G76-O76)</f>
        <v>323.67152372076271</v>
      </c>
      <c r="H95" s="192">
        <f>MAX(0,$G76-S76)</f>
        <v>0</v>
      </c>
      <c r="I95" s="190">
        <f>F95*$B94*$C76</f>
        <v>56.484781121936464</v>
      </c>
      <c r="J95" s="190">
        <f>G95*$B94*$C76</f>
        <v>6.8527476064940895</v>
      </c>
      <c r="K95" s="190">
        <f>H95*$B94*$C76</f>
        <v>0</v>
      </c>
      <c r="L95" s="186"/>
      <c r="M95" s="186"/>
      <c r="N95" s="186"/>
      <c r="O95" s="186" t="s">
        <v>250</v>
      </c>
      <c r="P95" s="186"/>
      <c r="Q95" s="190">
        <f>Q93-Q92*Q94</f>
        <v>-65.858148947807308</v>
      </c>
      <c r="R95" s="186"/>
      <c r="S95" s="186"/>
      <c r="T95" s="186"/>
      <c r="U95" s="186"/>
      <c r="V95" s="186"/>
      <c r="W95" s="186"/>
      <c r="X95" s="186"/>
      <c r="Y95" s="186"/>
      <c r="Z95" s="186"/>
    </row>
    <row r="96" spans="1:26" ht="15.75" customHeight="1">
      <c r="A96" s="186">
        <v>4</v>
      </c>
      <c r="B96" s="194">
        <f>B95*(1-C77)</f>
        <v>0.91859956607999993</v>
      </c>
      <c r="C96" s="195">
        <f>$B96*J77</f>
        <v>130.72340992165661</v>
      </c>
      <c r="D96" s="195">
        <f>$B96*N77</f>
        <v>163.02465925399403</v>
      </c>
      <c r="E96" s="195">
        <f>$B96*R77</f>
        <v>179.16229152651539</v>
      </c>
      <c r="F96" s="192">
        <f>MAX(0,$G77-K77)</f>
        <v>2555.5022084452739</v>
      </c>
      <c r="G96" s="192">
        <f>MAX(0,$G77-O77)</f>
        <v>531.75449013181787</v>
      </c>
      <c r="H96" s="192">
        <f>MAX(0,$G77-S77)</f>
        <v>0</v>
      </c>
      <c r="I96" s="190">
        <f>F96*$B95*$C77</f>
        <v>57.724997208056813</v>
      </c>
      <c r="J96" s="190">
        <f>G96*$B95*$C77</f>
        <v>12.011543702365071</v>
      </c>
      <c r="K96" s="190">
        <f>H96*$B95*$C77</f>
        <v>0</v>
      </c>
      <c r="L96" s="186"/>
      <c r="M96" s="186"/>
      <c r="N96" s="186"/>
      <c r="O96" s="186"/>
      <c r="P96" s="186"/>
      <c r="Q96" s="186"/>
      <c r="R96" s="186"/>
      <c r="S96" s="186"/>
      <c r="T96" s="186"/>
      <c r="U96" s="186"/>
      <c r="V96" s="186"/>
      <c r="W96" s="186"/>
      <c r="X96" s="186"/>
      <c r="Y96" s="186"/>
      <c r="Z96" s="186"/>
    </row>
    <row r="97" spans="1:26" ht="15.75" customHeight="1">
      <c r="A97" s="186">
        <v>5</v>
      </c>
      <c r="B97" s="194">
        <f>B96*(1-C78)</f>
        <v>0.8937973777958399</v>
      </c>
      <c r="C97" s="195">
        <f>$B97*J78</f>
        <v>136.84904949085364</v>
      </c>
      <c r="D97" s="195">
        <f>$B97*N78</f>
        <v>163.98135555008687</v>
      </c>
      <c r="E97" s="195">
        <f>$B97*R78</f>
        <v>187.55775507004265</v>
      </c>
      <c r="F97" s="192">
        <f>MAX(0,$G78-K78)</f>
        <v>2496.1432395640313</v>
      </c>
      <c r="G97" s="192">
        <f>MAX(0,$G78-O78)</f>
        <v>500.03134178613254</v>
      </c>
      <c r="H97" s="192">
        <f>MAX(0,$G78-S78)</f>
        <v>0</v>
      </c>
      <c r="I97" s="190">
        <f>F97*$B96*$C78</f>
        <v>61.909814611900195</v>
      </c>
      <c r="J97" s="190">
        <f>G97*$B96*$C78</f>
        <v>12.40187148696082</v>
      </c>
      <c r="K97" s="190">
        <f>H97*$B96*$C78</f>
        <v>0</v>
      </c>
      <c r="L97" s="186"/>
      <c r="M97" s="186"/>
      <c r="N97" s="186"/>
      <c r="O97" s="186"/>
      <c r="P97" s="186"/>
      <c r="Q97" s="186"/>
      <c r="R97" s="186"/>
      <c r="S97" s="186"/>
      <c r="T97" s="186"/>
      <c r="U97" s="186"/>
      <c r="V97" s="186"/>
      <c r="W97" s="186"/>
      <c r="X97" s="186"/>
      <c r="Y97" s="186"/>
      <c r="Z97" s="186"/>
    </row>
    <row r="98" spans="1:26" ht="15.75" customHeight="1">
      <c r="A98" s="186">
        <v>6</v>
      </c>
      <c r="B98" s="194">
        <f>B97*(1-C79)</f>
        <v>0.86698345646196473</v>
      </c>
      <c r="C98" s="195">
        <f>$B98*J79</f>
        <v>141.81438916988014</v>
      </c>
      <c r="D98" s="195">
        <f>$B98*N79</f>
        <v>167.77332905918516</v>
      </c>
      <c r="E98" s="195">
        <f>$B98*R79</f>
        <v>197.3951593234664</v>
      </c>
      <c r="F98" s="192">
        <f>MAX(0,$G79-K79)</f>
        <v>2490.931475324056</v>
      </c>
      <c r="G98" s="192">
        <f>MAX(0,$G79-O79)</f>
        <v>0</v>
      </c>
      <c r="H98" s="192">
        <f>MAX(0,$G79-S79)</f>
        <v>0</v>
      </c>
      <c r="I98" s="190">
        <f>F98*$B97*$C79</f>
        <v>66.791640627412917</v>
      </c>
      <c r="J98" s="190">
        <f>G98*$B97*$C79</f>
        <v>0</v>
      </c>
      <c r="K98" s="190">
        <f>H98*$B97*$C79</f>
        <v>0</v>
      </c>
      <c r="L98" s="186"/>
      <c r="M98" s="186"/>
      <c r="N98" s="186"/>
      <c r="O98" s="186"/>
      <c r="P98" s="186"/>
      <c r="Q98" s="186"/>
      <c r="R98" s="186"/>
      <c r="S98" s="186"/>
      <c r="T98" s="186"/>
      <c r="U98" s="186"/>
      <c r="V98" s="186"/>
      <c r="W98" s="186"/>
      <c r="X98" s="186"/>
      <c r="Y98" s="186"/>
      <c r="Z98" s="186"/>
    </row>
    <row r="99" spans="1:26" ht="15.75" customHeight="1">
      <c r="A99" s="186">
        <v>7</v>
      </c>
      <c r="B99" s="194">
        <f>B98*(1-C80)</f>
        <v>0.83750601894225796</v>
      </c>
      <c r="C99" s="195">
        <f>$B99*J80</f>
        <v>145.47570943427147</v>
      </c>
      <c r="D99" s="195">
        <f>$B99*N80</f>
        <v>180.77743979456267</v>
      </c>
      <c r="E99" s="195">
        <f>$B99*R80</f>
        <v>199.38005737553624</v>
      </c>
      <c r="F99" s="192">
        <f>MAX(0,$G80-K80)</f>
        <v>2541.0347242608677</v>
      </c>
      <c r="G99" s="192">
        <f>MAX(0,$G80-O80)</f>
        <v>0</v>
      </c>
      <c r="H99" s="192">
        <f>MAX(0,$G80-S80)</f>
        <v>0</v>
      </c>
      <c r="I99" s="190">
        <f>F99*$B98*$C80</f>
        <v>74.903192319805129</v>
      </c>
      <c r="J99" s="190">
        <f>G99*$B98*$C80</f>
        <v>0</v>
      </c>
      <c r="K99" s="190">
        <f>H99*$B98*$C80</f>
        <v>0</v>
      </c>
      <c r="L99" s="186"/>
      <c r="M99" s="186"/>
      <c r="N99" s="186"/>
      <c r="O99" s="186"/>
      <c r="P99" s="186"/>
      <c r="Q99" s="186"/>
      <c r="R99" s="186"/>
      <c r="S99" s="186"/>
      <c r="T99" s="186"/>
      <c r="U99" s="186"/>
      <c r="V99" s="186"/>
      <c r="W99" s="186"/>
      <c r="X99" s="186"/>
      <c r="Y99" s="186"/>
      <c r="Z99" s="186"/>
    </row>
    <row r="100" spans="1:26" ht="15.75" customHeight="1">
      <c r="A100" s="186">
        <v>8</v>
      </c>
      <c r="B100" s="194">
        <f>B99*(1-C81)</f>
        <v>0.80568079022245209</v>
      </c>
      <c r="C100" s="195">
        <f>$B100*J81</f>
        <v>147.84467745118752</v>
      </c>
      <c r="D100" s="195">
        <f>$B100*N81</f>
        <v>191.36557444333016</v>
      </c>
      <c r="E100" s="195">
        <f>$B100*R81</f>
        <v>194.40666425863017</v>
      </c>
      <c r="F100" s="192">
        <f>MAX(0,$G81-K81)</f>
        <v>2647.6972609511959</v>
      </c>
      <c r="G100" s="192">
        <f>MAX(0,$G81-O81)</f>
        <v>462.13699805438955</v>
      </c>
      <c r="H100" s="192">
        <f>MAX(0,$G81-S81)</f>
        <v>0</v>
      </c>
      <c r="I100" s="190">
        <f>F100*$B99*$C81</f>
        <v>84.26357091057514</v>
      </c>
      <c r="J100" s="190">
        <f>G100*$B99*$C81</f>
        <v>14.707615662965395</v>
      </c>
      <c r="K100" s="190">
        <f>H100*$B99*$C81</f>
        <v>0</v>
      </c>
      <c r="L100" s="186"/>
      <c r="M100" s="186"/>
      <c r="N100" s="186"/>
      <c r="O100" s="186"/>
      <c r="P100" s="186"/>
      <c r="Q100" s="186"/>
      <c r="R100" s="186"/>
      <c r="S100" s="186"/>
      <c r="T100" s="186"/>
      <c r="U100" s="186"/>
      <c r="V100" s="186"/>
      <c r="W100" s="186"/>
      <c r="X100" s="186"/>
      <c r="Y100" s="186"/>
      <c r="Z100" s="186"/>
    </row>
    <row r="101" spans="1:26" ht="15.75" customHeight="1">
      <c r="A101" s="186">
        <v>9</v>
      </c>
      <c r="B101" s="194">
        <f>B100*(1-C82)</f>
        <v>0.77184219703310908</v>
      </c>
      <c r="C101" s="195">
        <f>$B101*J82</f>
        <v>148.95301971647993</v>
      </c>
      <c r="D101" s="195">
        <f>$B101*N82</f>
        <v>174.25663424241787</v>
      </c>
      <c r="E101" s="195">
        <f>$B101*R82</f>
        <v>204.14146996767869</v>
      </c>
      <c r="F101" s="192">
        <f>MAX(0,$G82-K82)</f>
        <v>2410.1965581572786</v>
      </c>
      <c r="G101" s="192">
        <f>MAX(0,$G82-O82)</f>
        <v>0</v>
      </c>
      <c r="H101" s="192">
        <f>MAX(0,$G82-S82)</f>
        <v>0</v>
      </c>
      <c r="I101" s="190">
        <f>F101*$B100*$C82</f>
        <v>81.55766083783881</v>
      </c>
      <c r="J101" s="190">
        <f>G101*$B100*$C82</f>
        <v>0</v>
      </c>
      <c r="K101" s="190">
        <f>H101*$B100*$C82</f>
        <v>0</v>
      </c>
      <c r="L101" s="186"/>
      <c r="M101" s="186"/>
      <c r="N101" s="186"/>
      <c r="O101" s="186"/>
      <c r="P101" s="186"/>
      <c r="Q101" s="186"/>
      <c r="R101" s="186"/>
      <c r="S101" s="186"/>
      <c r="T101" s="186"/>
      <c r="U101" s="186"/>
      <c r="V101" s="186"/>
      <c r="W101" s="186"/>
      <c r="X101" s="186"/>
      <c r="Y101" s="186"/>
      <c r="Z101" s="186"/>
    </row>
    <row r="102" spans="1:26" ht="15.75" customHeight="1">
      <c r="A102" s="186"/>
      <c r="B102" s="186"/>
      <c r="C102" s="186"/>
      <c r="D102" s="186"/>
      <c r="E102" s="186"/>
      <c r="F102" s="186"/>
      <c r="G102" s="186"/>
      <c r="H102" s="186"/>
      <c r="I102" s="186"/>
      <c r="J102" s="186"/>
      <c r="K102" s="186"/>
      <c r="L102" s="186"/>
      <c r="M102" s="186"/>
      <c r="N102" s="186"/>
      <c r="O102" s="186"/>
      <c r="P102" s="186"/>
      <c r="Q102" s="186"/>
      <c r="R102" s="186"/>
      <c r="S102" s="186"/>
      <c r="T102" s="186"/>
      <c r="U102" s="186"/>
      <c r="V102" s="186"/>
      <c r="W102" s="186"/>
      <c r="X102" s="186"/>
      <c r="Y102" s="186"/>
      <c r="Z102" s="186"/>
    </row>
    <row r="103" spans="1:26" ht="15.75" customHeight="1">
      <c r="A103" s="186"/>
      <c r="B103" s="194" t="s">
        <v>249</v>
      </c>
      <c r="C103" s="193">
        <f>NPV($C$105,C93:C101)</f>
        <v>1053.0727903348597</v>
      </c>
      <c r="D103" s="193">
        <f>NPV($C$105,D93:D101)</f>
        <v>1280.0641180161535</v>
      </c>
      <c r="E103" s="193">
        <f>NPV($C$105,E93:E101)</f>
        <v>1401.5631965599207</v>
      </c>
      <c r="F103" s="192"/>
      <c r="G103" s="192" t="s">
        <v>248</v>
      </c>
      <c r="H103" s="186"/>
      <c r="I103" s="191">
        <f>NPV($C$105,I93:I101)</f>
        <v>473.32817828663894</v>
      </c>
      <c r="J103" s="191">
        <f>NPV($C$105,J93:J101)</f>
        <v>37.775525060438298</v>
      </c>
      <c r="K103" s="191">
        <f>NPV($C$55,K93:K101)</f>
        <v>0</v>
      </c>
      <c r="L103" s="186"/>
      <c r="M103" s="186"/>
      <c r="N103" s="186"/>
      <c r="O103" s="186"/>
      <c r="P103" s="186"/>
      <c r="Q103" s="186"/>
      <c r="R103" s="186"/>
      <c r="S103" s="186"/>
      <c r="T103" s="186"/>
      <c r="U103" s="186"/>
      <c r="V103" s="186"/>
      <c r="W103" s="186"/>
      <c r="X103" s="186"/>
      <c r="Y103" s="186"/>
      <c r="Z103" s="186"/>
    </row>
    <row r="104" spans="1:26" ht="15.75" customHeight="1">
      <c r="A104" s="186"/>
      <c r="B104" s="186" t="s">
        <v>247</v>
      </c>
      <c r="C104" s="186"/>
      <c r="D104" s="186"/>
      <c r="E104" s="186"/>
      <c r="F104" s="186"/>
      <c r="G104" s="186"/>
      <c r="H104" s="186"/>
      <c r="I104" s="186"/>
      <c r="J104" s="186"/>
      <c r="K104" s="186"/>
      <c r="L104" s="186"/>
      <c r="M104" s="186"/>
      <c r="N104" s="186"/>
      <c r="O104" s="186"/>
      <c r="P104" s="186"/>
      <c r="Q104" s="186"/>
      <c r="R104" s="186"/>
      <c r="S104" s="186"/>
      <c r="T104" s="186"/>
      <c r="U104" s="186"/>
      <c r="V104" s="186"/>
      <c r="W104" s="186"/>
      <c r="X104" s="186"/>
      <c r="Y104" s="186"/>
      <c r="Z104" s="186"/>
    </row>
    <row r="105" spans="1:26" ht="15.75" customHeight="1">
      <c r="A105" s="186"/>
      <c r="B105" s="186" t="s">
        <v>246</v>
      </c>
      <c r="C105" s="187">
        <f>C55</f>
        <v>3.7500000000000006E-2</v>
      </c>
      <c r="D105" s="186"/>
      <c r="E105" s="186"/>
      <c r="F105" s="186"/>
      <c r="G105" s="186"/>
      <c r="H105" s="186"/>
      <c r="I105" s="190"/>
      <c r="J105" s="186"/>
      <c r="K105" s="186"/>
      <c r="L105" s="186"/>
      <c r="M105" s="186"/>
      <c r="N105" s="186"/>
      <c r="O105" s="186"/>
      <c r="P105" s="186"/>
      <c r="Q105" s="186"/>
      <c r="R105" s="186"/>
      <c r="S105" s="186"/>
      <c r="T105" s="186"/>
      <c r="U105" s="186"/>
      <c r="V105" s="186"/>
      <c r="W105" s="186"/>
      <c r="X105" s="186"/>
      <c r="Y105" s="186"/>
      <c r="Z105" s="186"/>
    </row>
    <row r="106" spans="1:26" ht="15.75" customHeight="1">
      <c r="A106" s="186"/>
      <c r="B106" s="186"/>
      <c r="C106" s="186"/>
      <c r="D106" s="186"/>
      <c r="E106" s="186"/>
      <c r="F106" s="186"/>
      <c r="G106" s="186"/>
      <c r="H106" s="186"/>
      <c r="I106" s="189"/>
      <c r="J106" s="186"/>
      <c r="K106" s="186"/>
      <c r="L106" s="186"/>
      <c r="M106" s="186"/>
      <c r="N106" s="186"/>
      <c r="O106" s="186"/>
      <c r="P106" s="186"/>
      <c r="Q106" s="186"/>
      <c r="R106" s="186"/>
      <c r="S106" s="186"/>
      <c r="T106" s="186"/>
      <c r="U106" s="186"/>
      <c r="V106" s="186"/>
      <c r="W106" s="186"/>
      <c r="X106" s="186"/>
      <c r="Y106" s="186"/>
      <c r="Z106" s="186"/>
    </row>
    <row r="107" spans="1:26" ht="15.75" customHeight="1">
      <c r="A107" s="186"/>
      <c r="B107" s="186"/>
      <c r="C107" s="186"/>
      <c r="D107" s="186"/>
      <c r="E107" s="186"/>
      <c r="F107" s="186"/>
      <c r="G107" s="186"/>
      <c r="H107" s="186"/>
      <c r="I107" s="186"/>
      <c r="J107" s="186"/>
      <c r="K107" s="186"/>
      <c r="L107" s="186"/>
      <c r="M107" s="186"/>
      <c r="N107" s="186"/>
      <c r="O107" s="186"/>
      <c r="P107" s="186"/>
      <c r="Q107" s="186"/>
      <c r="R107" s="186"/>
      <c r="S107" s="186"/>
      <c r="T107" s="186"/>
      <c r="U107" s="186"/>
      <c r="V107" s="186"/>
      <c r="W107" s="186"/>
      <c r="X107" s="186"/>
      <c r="Y107" s="186"/>
      <c r="Z107" s="186"/>
    </row>
    <row r="108" spans="1:26" ht="15.75" customHeight="1">
      <c r="A108" s="188" t="s">
        <v>296</v>
      </c>
      <c r="B108" s="186"/>
      <c r="C108" s="186"/>
      <c r="D108" s="186"/>
      <c r="E108" s="186"/>
      <c r="F108" s="186"/>
      <c r="G108" s="186"/>
      <c r="H108" s="186"/>
      <c r="I108" s="186"/>
      <c r="J108" s="186"/>
      <c r="K108" s="186"/>
      <c r="L108" s="186"/>
      <c r="M108" s="186"/>
      <c r="N108" s="186"/>
      <c r="O108" s="186"/>
      <c r="P108" s="186"/>
      <c r="Q108" s="186"/>
      <c r="R108" s="186"/>
      <c r="S108" s="186"/>
      <c r="T108" s="186"/>
      <c r="U108" s="186"/>
      <c r="V108" s="186"/>
      <c r="W108" s="186"/>
      <c r="X108" s="186"/>
      <c r="Y108" s="186"/>
      <c r="Z108" s="186"/>
    </row>
    <row r="109" spans="1:26" ht="15.75" customHeight="1">
      <c r="A109" s="188"/>
      <c r="B109" s="186"/>
      <c r="C109" s="186"/>
      <c r="D109" s="186"/>
      <c r="E109" s="186"/>
      <c r="F109" s="186"/>
      <c r="G109" s="186"/>
      <c r="H109" s="186"/>
      <c r="I109" s="186"/>
      <c r="J109" s="186"/>
      <c r="K109" s="186"/>
      <c r="L109" s="186"/>
      <c r="M109" s="186"/>
      <c r="N109" s="186"/>
      <c r="O109" s="186"/>
      <c r="P109" s="186"/>
      <c r="Q109" s="186"/>
      <c r="R109" s="186"/>
      <c r="S109" s="186"/>
      <c r="T109" s="186"/>
      <c r="U109" s="186"/>
      <c r="V109" s="186"/>
      <c r="W109" s="186"/>
      <c r="X109" s="186"/>
      <c r="Y109" s="186"/>
      <c r="Z109" s="186"/>
    </row>
    <row r="110" spans="1:26" ht="15.75" customHeight="1">
      <c r="A110" s="188"/>
      <c r="B110" s="186"/>
      <c r="C110" s="186"/>
      <c r="D110" s="186"/>
      <c r="E110" s="186"/>
      <c r="F110" s="186"/>
      <c r="G110" s="186"/>
      <c r="H110" s="186"/>
      <c r="I110" s="186"/>
      <c r="J110" s="186"/>
      <c r="K110" s="186"/>
      <c r="L110" s="186"/>
      <c r="M110" s="186"/>
      <c r="N110" s="186"/>
      <c r="O110" s="186"/>
      <c r="P110" s="186"/>
      <c r="Q110" s="186"/>
      <c r="R110" s="186"/>
      <c r="S110" s="186"/>
      <c r="T110" s="186"/>
      <c r="U110" s="186"/>
      <c r="V110" s="186"/>
      <c r="W110" s="186"/>
      <c r="X110" s="186"/>
      <c r="Y110" s="186"/>
      <c r="Z110" s="186"/>
    </row>
    <row r="111" spans="1:26" ht="15.75" customHeight="1">
      <c r="A111" s="172"/>
      <c r="B111" s="186"/>
      <c r="C111" s="187"/>
      <c r="D111" s="186"/>
      <c r="E111" s="186"/>
      <c r="F111" s="186"/>
      <c r="G111" s="186"/>
      <c r="H111" s="186"/>
      <c r="I111" s="186"/>
      <c r="J111" s="186"/>
      <c r="K111" s="186"/>
      <c r="L111" s="186"/>
      <c r="M111" s="186"/>
      <c r="N111" s="186"/>
    </row>
    <row r="112" spans="1:26" ht="15.75" customHeight="1"/>
    <row r="113" s="185" customFormat="1" ht="15.75" customHeight="1"/>
    <row r="114" s="185" customFormat="1" ht="15.75" customHeight="1"/>
    <row r="115" s="185" customFormat="1" ht="15.75" customHeight="1"/>
    <row r="116" s="185" customFormat="1" ht="15.75" customHeight="1"/>
    <row r="117" s="185" customFormat="1" ht="15.75" customHeight="1"/>
    <row r="118" s="185" customFormat="1" ht="15.75" customHeight="1"/>
    <row r="119" s="185" customFormat="1" ht="15.75" customHeight="1"/>
    <row r="120" s="185" customFormat="1" ht="15.75" customHeight="1"/>
    <row r="121" s="185" customFormat="1" ht="15.75" customHeight="1"/>
    <row r="122" s="185" customFormat="1" ht="15.75" customHeight="1"/>
    <row r="123" s="185" customFormat="1" ht="15.75" customHeight="1"/>
    <row r="124" s="185" customFormat="1" ht="15.75" customHeight="1"/>
    <row r="125" s="185" customFormat="1" ht="15.75" customHeight="1"/>
    <row r="126" s="185" customFormat="1" ht="15.75" customHeight="1"/>
    <row r="127" s="185" customFormat="1" ht="15.75" customHeight="1"/>
    <row r="128" s="185" customFormat="1" ht="15.75" customHeight="1"/>
    <row r="129" s="185" customFormat="1" ht="15.75" customHeight="1"/>
    <row r="130" s="185" customFormat="1" ht="15.75" customHeight="1"/>
    <row r="131" s="185" customFormat="1" ht="15.75" customHeight="1"/>
    <row r="132" s="185" customFormat="1" ht="15.75" customHeight="1"/>
    <row r="133" s="185" customFormat="1" ht="15.75" customHeight="1"/>
    <row r="134" s="185" customFormat="1" ht="15.75" customHeight="1"/>
    <row r="135" s="185" customFormat="1" ht="15.75" customHeight="1"/>
    <row r="136" s="185" customFormat="1" ht="15.75" customHeight="1"/>
    <row r="137" s="185" customFormat="1" ht="15.75" customHeight="1"/>
    <row r="138" s="185" customFormat="1" ht="15.75" customHeight="1"/>
    <row r="139" s="185" customFormat="1" ht="15.75" customHeight="1"/>
    <row r="140" s="185" customFormat="1" ht="15.75" customHeight="1"/>
    <row r="141" s="185" customFormat="1" ht="15.75" customHeight="1"/>
    <row r="142" s="185" customFormat="1" ht="15.75" customHeight="1"/>
    <row r="143" s="185" customFormat="1" ht="15.75" customHeight="1"/>
    <row r="144" s="185" customFormat="1" ht="15.75" customHeight="1"/>
    <row r="145" s="185" customFormat="1" ht="15.75" customHeight="1"/>
    <row r="146" s="185" customFormat="1" ht="15.75" customHeight="1"/>
    <row r="147" s="185" customFormat="1" ht="15.75" customHeight="1"/>
    <row r="148" s="185" customFormat="1" ht="15.75" customHeight="1"/>
    <row r="149" s="185" customFormat="1" ht="15.75" customHeight="1"/>
    <row r="150" s="185" customFormat="1" ht="15.75" customHeight="1"/>
    <row r="151" s="185" customFormat="1" ht="15.75" customHeight="1"/>
    <row r="152" s="185" customFormat="1" ht="15.75" customHeight="1"/>
    <row r="153" s="185" customFormat="1" ht="15.75" customHeight="1"/>
    <row r="154" s="185" customFormat="1" ht="15.75" customHeight="1"/>
    <row r="155" s="185" customFormat="1" ht="15.75" customHeight="1"/>
    <row r="156" s="185" customFormat="1" ht="15.75" customHeight="1"/>
    <row r="157" s="185" customFormat="1" ht="15.75" customHeight="1"/>
    <row r="158" s="185" customFormat="1" ht="15.75" customHeight="1"/>
    <row r="159" s="185" customFormat="1" ht="15.75" customHeight="1"/>
    <row r="160" s="185" customFormat="1" ht="15.75" customHeight="1"/>
    <row r="161" s="185" customFormat="1" ht="15.75" customHeight="1"/>
    <row r="162" s="185" customFormat="1" ht="15.75" customHeight="1"/>
    <row r="163" s="185" customFormat="1" ht="15.75" customHeight="1"/>
    <row r="164" s="185" customFormat="1" ht="15.75" customHeight="1"/>
    <row r="165" s="185" customFormat="1" ht="15.75" customHeight="1"/>
    <row r="166" s="185" customFormat="1" ht="15.75" customHeight="1"/>
    <row r="167" s="185" customFormat="1" ht="15.75" customHeight="1"/>
    <row r="168" s="185" customFormat="1" ht="15.75" customHeight="1"/>
    <row r="169" s="185" customFormat="1" ht="15.75" customHeight="1"/>
    <row r="170" s="185" customFormat="1" ht="15.75" customHeight="1"/>
    <row r="171" s="185" customFormat="1" ht="15.75" customHeight="1"/>
    <row r="172" s="185" customFormat="1" ht="15.75" customHeight="1"/>
    <row r="173" s="185" customFormat="1" ht="15.75" customHeight="1"/>
    <row r="174" s="185" customFormat="1" ht="15.75" customHeight="1"/>
    <row r="175" s="185" customFormat="1" ht="15.75" customHeight="1"/>
    <row r="176" s="185" customFormat="1" ht="15.75" customHeight="1"/>
    <row r="177" s="185" customFormat="1" ht="15.75" customHeight="1"/>
    <row r="178" s="185" customFormat="1" ht="15.75" customHeight="1"/>
    <row r="179" s="185" customFormat="1" ht="15.75" customHeight="1"/>
    <row r="180" s="185" customFormat="1" ht="15.75" customHeight="1"/>
    <row r="181" s="185" customFormat="1" ht="15.75" customHeight="1"/>
    <row r="182" s="185" customFormat="1" ht="15.75" customHeight="1"/>
    <row r="183" s="185" customFormat="1" ht="15.75" customHeight="1"/>
    <row r="184" s="185" customFormat="1" ht="15.75" customHeight="1"/>
    <row r="185" s="185" customFormat="1" ht="15.75" customHeight="1"/>
    <row r="186" s="185" customFormat="1" ht="15.75" customHeight="1"/>
    <row r="187" s="185" customFormat="1" ht="15.75" customHeight="1"/>
    <row r="188" s="185" customFormat="1" ht="15.75" customHeight="1"/>
    <row r="189" s="185" customFormat="1" ht="15.75" customHeight="1"/>
    <row r="190" s="185" customFormat="1" ht="15.75" customHeight="1"/>
    <row r="191" s="185" customFormat="1" ht="15.75" customHeight="1"/>
    <row r="192" s="185" customFormat="1" ht="15.75" customHeight="1"/>
    <row r="193" s="185" customFormat="1" ht="15.75" customHeight="1"/>
    <row r="194" s="185" customFormat="1" ht="15.75" customHeight="1"/>
    <row r="195" s="185" customFormat="1" ht="15.75" customHeight="1"/>
    <row r="196" s="185" customFormat="1" ht="15.75" customHeight="1"/>
    <row r="197" s="185" customFormat="1" ht="15.75" customHeight="1"/>
    <row r="198" s="185" customFormat="1" ht="15.75" customHeight="1"/>
    <row r="199" s="185" customFormat="1" ht="15.75" customHeight="1"/>
    <row r="200" s="185" customFormat="1" ht="15.75" customHeight="1"/>
    <row r="201" s="185" customFormat="1" ht="15.75" customHeight="1"/>
    <row r="202" s="185" customFormat="1" ht="15.75" customHeight="1"/>
    <row r="203" s="185" customFormat="1" ht="15.75" customHeight="1"/>
    <row r="204" s="185" customFormat="1" ht="15.75" customHeight="1"/>
    <row r="205" s="185" customFormat="1" ht="15.75" customHeight="1"/>
    <row r="206" s="185" customFormat="1" ht="15.75" customHeight="1"/>
    <row r="207" s="185" customFormat="1" ht="15.75" customHeight="1"/>
    <row r="208" s="185" customFormat="1" ht="15.75" customHeight="1"/>
    <row r="209" s="185" customFormat="1" ht="15.75" customHeight="1"/>
    <row r="210" s="185" customFormat="1" ht="15.75" customHeight="1"/>
    <row r="211" s="185" customFormat="1" ht="15.75" customHeight="1"/>
    <row r="212" s="185" customFormat="1" ht="15.75" customHeight="1"/>
    <row r="213" s="185" customFormat="1" ht="15.75" customHeight="1"/>
    <row r="214" s="185" customFormat="1" ht="15.75" customHeight="1"/>
    <row r="215" s="185" customFormat="1" ht="15.75" customHeight="1"/>
    <row r="216" s="185" customFormat="1" ht="15.75" customHeight="1"/>
    <row r="217" s="185" customFormat="1" ht="15.75" customHeight="1"/>
    <row r="218" s="185" customFormat="1" ht="15.75" customHeight="1"/>
    <row r="219" s="185" customFormat="1" ht="15.75" customHeight="1"/>
    <row r="220" s="185" customFormat="1" ht="15.75" customHeight="1"/>
    <row r="221" s="185" customFormat="1" ht="15.75" customHeight="1"/>
    <row r="222" s="185" customFormat="1" ht="15.75" customHeight="1"/>
    <row r="223" s="185" customFormat="1" ht="15.75" customHeight="1"/>
    <row r="224" s="185" customFormat="1" ht="15.75" customHeight="1"/>
    <row r="225" s="185" customFormat="1" ht="15.75" customHeight="1"/>
    <row r="226" s="185" customFormat="1" ht="15.75" customHeight="1"/>
    <row r="227" s="185" customFormat="1" ht="15.75" customHeight="1"/>
    <row r="228" s="185" customFormat="1" ht="15.75" customHeight="1"/>
    <row r="229" s="185" customFormat="1" ht="15.75" customHeight="1"/>
    <row r="230" s="185" customFormat="1" ht="15.75" customHeight="1"/>
    <row r="231" s="185" customFormat="1" ht="15.75" customHeight="1"/>
    <row r="232" s="185" customFormat="1" ht="15.75" customHeight="1"/>
    <row r="233" s="185" customFormat="1" ht="15.75" customHeight="1"/>
    <row r="234" s="185" customFormat="1" ht="15.75" customHeight="1"/>
    <row r="235" s="185" customFormat="1" ht="15.75" customHeight="1"/>
    <row r="236" s="185" customFormat="1" ht="15.75" customHeight="1"/>
    <row r="237" s="185" customFormat="1" ht="15.75" customHeight="1"/>
    <row r="238" s="185" customFormat="1" ht="15.75" customHeight="1"/>
    <row r="239" s="185" customFormat="1" ht="15.75" customHeight="1"/>
    <row r="240" s="185" customFormat="1" ht="15.75" customHeight="1"/>
    <row r="241" s="185" customFormat="1" ht="15.75" customHeight="1"/>
    <row r="242" s="185" customFormat="1" ht="15.75" customHeight="1"/>
    <row r="243" s="185" customFormat="1" ht="15.75" customHeight="1"/>
    <row r="244" s="185" customFormat="1" ht="15.75" customHeight="1"/>
    <row r="245" s="185" customFormat="1" ht="15.75" customHeight="1"/>
    <row r="246" s="185" customFormat="1" ht="15.75" customHeight="1"/>
    <row r="247" s="185" customFormat="1" ht="15.75" customHeight="1"/>
    <row r="248" s="185" customFormat="1" ht="15.75" customHeight="1"/>
    <row r="249" s="185" customFormat="1" ht="15.75" customHeight="1"/>
    <row r="250" s="185" customFormat="1" ht="15.75" customHeight="1"/>
    <row r="251" s="185" customFormat="1" ht="15.75" customHeight="1"/>
    <row r="252" s="185" customFormat="1" ht="15.75" customHeight="1"/>
    <row r="253" s="185" customFormat="1" ht="15.75" customHeight="1"/>
    <row r="254" s="185" customFormat="1" ht="15.75" customHeight="1"/>
    <row r="255" s="185" customFormat="1" ht="15.75" customHeight="1"/>
    <row r="256" s="185" customFormat="1" ht="15.75" customHeight="1"/>
    <row r="257" s="185" customFormat="1" ht="15.75" customHeight="1"/>
    <row r="258" s="185" customFormat="1" ht="15.75" customHeight="1"/>
    <row r="259" s="185" customFormat="1" ht="15.75" customHeight="1"/>
    <row r="260" s="185" customFormat="1" ht="15.75" customHeight="1"/>
    <row r="261" s="185" customFormat="1" ht="15.75" customHeight="1"/>
    <row r="262" s="185" customFormat="1" ht="15.75" customHeight="1"/>
    <row r="263" s="185" customFormat="1" ht="15.75" customHeight="1"/>
    <row r="264" s="185" customFormat="1" ht="15.75" customHeight="1"/>
    <row r="265" s="185" customFormat="1" ht="15.75" customHeight="1"/>
    <row r="266" s="185" customFormat="1" ht="15.75" customHeight="1"/>
    <row r="267" s="185" customFormat="1" ht="15.75" customHeight="1"/>
    <row r="268" s="185" customFormat="1" ht="15.75" customHeight="1"/>
    <row r="269" s="185" customFormat="1" ht="15.75" customHeight="1"/>
    <row r="270" s="185" customFormat="1" ht="15.75" customHeight="1"/>
    <row r="271" s="185" customFormat="1" ht="15.75" customHeight="1"/>
    <row r="272" s="185" customFormat="1" ht="15.75" customHeight="1"/>
    <row r="273" s="185" customFormat="1" ht="15.75" customHeight="1"/>
    <row r="274" s="185" customFormat="1" ht="15.75" customHeight="1"/>
    <row r="275" s="185" customFormat="1" ht="15.75" customHeight="1"/>
    <row r="276" s="185" customFormat="1" ht="15.75" customHeight="1"/>
    <row r="277" s="185" customFormat="1" ht="15.75" customHeight="1"/>
    <row r="278" s="185" customFormat="1" ht="15.75" customHeight="1"/>
    <row r="279" s="185" customFormat="1" ht="15.75" customHeight="1"/>
    <row r="280" s="185" customFormat="1" ht="15.75" customHeight="1"/>
    <row r="281" s="185" customFormat="1" ht="15.75" customHeight="1"/>
    <row r="282" s="185" customFormat="1" ht="15.75" customHeight="1"/>
    <row r="283" s="185" customFormat="1" ht="15.75" customHeight="1"/>
    <row r="284" s="185" customFormat="1" ht="15.75" customHeight="1"/>
    <row r="285" s="185" customFormat="1" ht="15.75" customHeight="1"/>
    <row r="286" s="185" customFormat="1" ht="15.75" customHeight="1"/>
    <row r="287" s="185" customFormat="1" ht="15.75" customHeight="1"/>
    <row r="288" s="185" customFormat="1" ht="15.75" customHeight="1"/>
    <row r="289" s="185" customFormat="1" ht="15.75" customHeight="1"/>
    <row r="290" s="185" customFormat="1" ht="15.75" customHeight="1"/>
    <row r="291" s="185" customFormat="1" ht="15.75" customHeight="1"/>
    <row r="292" s="185" customFormat="1" ht="15.75" customHeight="1"/>
    <row r="293" s="185" customFormat="1" ht="15.75" customHeight="1"/>
    <row r="294" s="185" customFormat="1" ht="15.75" customHeight="1"/>
    <row r="295" s="185" customFormat="1" ht="15.75" customHeight="1"/>
    <row r="296" s="185" customFormat="1" ht="15.75" customHeight="1"/>
    <row r="297" s="185" customFormat="1" ht="15.75" customHeight="1"/>
    <row r="298" s="185" customFormat="1" ht="15.75" customHeight="1"/>
    <row r="299" s="185" customFormat="1" ht="15.75" customHeight="1"/>
    <row r="300" s="185" customFormat="1" ht="15.75" customHeight="1"/>
    <row r="301" s="185" customFormat="1" ht="15.75" customHeight="1"/>
    <row r="302" s="185" customFormat="1" ht="15.75" customHeight="1"/>
    <row r="303" s="185" customFormat="1" ht="15.75" customHeight="1"/>
    <row r="304" s="185" customFormat="1" ht="15.75" customHeight="1"/>
    <row r="305" s="185" customFormat="1" ht="15.75" customHeight="1"/>
    <row r="306" s="185" customFormat="1" ht="15.75" customHeight="1"/>
    <row r="307" s="185" customFormat="1" ht="15.75" customHeight="1"/>
    <row r="308" s="185" customFormat="1" ht="15.75" customHeight="1"/>
    <row r="309" s="185" customFormat="1" ht="15.75" customHeight="1"/>
    <row r="310" s="185" customFormat="1" ht="15.75" customHeight="1"/>
    <row r="311" s="185" customFormat="1" ht="15.75" customHeight="1"/>
    <row r="312" s="185" customFormat="1" ht="15.75" customHeight="1"/>
    <row r="313" s="185" customFormat="1" ht="15.75" customHeight="1"/>
    <row r="314" s="185" customFormat="1" ht="15.75" customHeight="1"/>
    <row r="315" s="185" customFormat="1" ht="15.75" customHeight="1"/>
    <row r="316" s="185" customFormat="1" ht="15.75" customHeight="1"/>
    <row r="317" s="185" customFormat="1" ht="15.75" customHeight="1"/>
    <row r="318" s="185" customFormat="1" ht="15.75" customHeight="1"/>
    <row r="319" s="185" customFormat="1" ht="15.75" customHeight="1"/>
    <row r="320" s="185" customFormat="1" ht="15.75" customHeight="1"/>
    <row r="321" s="185" customFormat="1" ht="15.75" customHeight="1"/>
    <row r="322" s="185" customFormat="1" ht="15.75" customHeight="1"/>
    <row r="323" s="185" customFormat="1" ht="15.75" customHeight="1"/>
    <row r="324" s="185" customFormat="1" ht="15.75" customHeight="1"/>
    <row r="325" s="185" customFormat="1" ht="15.75" customHeight="1"/>
    <row r="326" s="185" customFormat="1" ht="15.75" customHeight="1"/>
    <row r="327" s="185" customFormat="1" ht="15.75" customHeight="1"/>
    <row r="328" s="185" customFormat="1" ht="15.75" customHeight="1"/>
    <row r="329" s="185" customFormat="1" ht="15.75" customHeight="1"/>
    <row r="330" s="185" customFormat="1" ht="15.75" customHeight="1"/>
    <row r="331" s="185" customFormat="1" ht="15.75" customHeight="1"/>
    <row r="332" s="185" customFormat="1" ht="15.75" customHeight="1"/>
    <row r="333" s="185" customFormat="1" ht="15.75" customHeight="1"/>
    <row r="334" s="185" customFormat="1" ht="15.75" customHeight="1"/>
    <row r="335" s="185" customFormat="1" ht="15.75" customHeight="1"/>
    <row r="336" s="185" customFormat="1" ht="15.75" customHeight="1"/>
    <row r="337" s="185" customFormat="1" ht="15.75" customHeight="1"/>
    <row r="338" s="185" customFormat="1" ht="15.75" customHeight="1"/>
    <row r="339" s="185" customFormat="1" ht="15.75" customHeight="1"/>
    <row r="340" s="185" customFormat="1" ht="15.75" customHeight="1"/>
    <row r="341" s="185" customFormat="1" ht="15.75" customHeight="1"/>
    <row r="342" s="185" customFormat="1" ht="15.75" customHeight="1"/>
    <row r="343" s="185" customFormat="1" ht="15.75" customHeight="1"/>
    <row r="344" s="185" customFormat="1" ht="15.75" customHeight="1"/>
    <row r="345" s="185" customFormat="1" ht="15.75" customHeight="1"/>
    <row r="346" s="185" customFormat="1" ht="15.75" customHeight="1"/>
    <row r="347" s="185" customFormat="1" ht="15.75" customHeight="1"/>
    <row r="348" s="185" customFormat="1" ht="15.75" customHeight="1"/>
    <row r="349" s="185" customFormat="1" ht="15.75" customHeight="1"/>
    <row r="350" s="185" customFormat="1" ht="15.75" customHeight="1"/>
    <row r="351" s="185" customFormat="1" ht="15.75" customHeight="1"/>
    <row r="352" s="185" customFormat="1" ht="15.75" customHeight="1"/>
    <row r="353" s="185" customFormat="1" ht="15.75" customHeight="1"/>
    <row r="354" s="185" customFormat="1" ht="15.75" customHeight="1"/>
    <row r="355" s="185" customFormat="1" ht="15.75" customHeight="1"/>
    <row r="356" s="185" customFormat="1" ht="15.75" customHeight="1"/>
    <row r="357" s="185" customFormat="1" ht="15.75" customHeight="1"/>
    <row r="358" s="185" customFormat="1" ht="15.75" customHeight="1"/>
    <row r="359" s="185" customFormat="1" ht="15.75" customHeight="1"/>
    <row r="360" s="185" customFormat="1" ht="15.75" customHeight="1"/>
    <row r="361" s="185" customFormat="1" ht="15.75" customHeight="1"/>
    <row r="362" s="185" customFormat="1" ht="15.75" customHeight="1"/>
    <row r="363" s="185" customFormat="1" ht="15.75" customHeight="1"/>
    <row r="364" s="185" customFormat="1" ht="15.75" customHeight="1"/>
    <row r="365" s="185" customFormat="1" ht="15.75" customHeight="1"/>
    <row r="366" s="185" customFormat="1" ht="15.75" customHeight="1"/>
    <row r="367" s="185" customFormat="1" ht="15.75" customHeight="1"/>
    <row r="368" s="185" customFormat="1" ht="15.75" customHeight="1"/>
    <row r="369" s="185" customFormat="1" ht="15.75" customHeight="1"/>
    <row r="370" s="185" customFormat="1" ht="15.75" customHeight="1"/>
    <row r="371" s="185" customFormat="1" ht="15.75" customHeight="1"/>
    <row r="372" s="185" customFormat="1" ht="15.75" customHeight="1"/>
    <row r="373" s="185" customFormat="1" ht="15.75" customHeight="1"/>
    <row r="374" s="185" customFormat="1" ht="15.75" customHeight="1"/>
    <row r="375" s="185" customFormat="1" ht="15.75" customHeight="1"/>
    <row r="376" s="185" customFormat="1" ht="15.75" customHeight="1"/>
    <row r="377" s="185" customFormat="1" ht="15.75" customHeight="1"/>
    <row r="378" s="185" customFormat="1" ht="15.75" customHeight="1"/>
    <row r="379" s="185" customFormat="1" ht="15.75" customHeight="1"/>
    <row r="380" s="185" customFormat="1" ht="15.75" customHeight="1"/>
    <row r="381" s="185" customFormat="1" ht="15.75" customHeight="1"/>
    <row r="382" s="185" customFormat="1" ht="15.75" customHeight="1"/>
    <row r="383" s="185" customFormat="1" ht="15.75" customHeight="1"/>
    <row r="384" s="185" customFormat="1" ht="15.75" customHeight="1"/>
    <row r="385" s="185" customFormat="1" ht="15.75" customHeight="1"/>
    <row r="386" s="185" customFormat="1" ht="15.75" customHeight="1"/>
    <row r="387" s="185" customFormat="1" ht="15.75" customHeight="1"/>
    <row r="388" s="185" customFormat="1" ht="15.75" customHeight="1"/>
    <row r="389" s="185" customFormat="1" ht="15.75" customHeight="1"/>
    <row r="390" s="185" customFormat="1" ht="15.75" customHeight="1"/>
    <row r="391" s="185" customFormat="1" ht="15.75" customHeight="1"/>
    <row r="392" s="185" customFormat="1" ht="15.75" customHeight="1"/>
    <row r="393" s="185" customFormat="1" ht="15.75" customHeight="1"/>
    <row r="394" s="185" customFormat="1" ht="15.75" customHeight="1"/>
    <row r="395" s="185" customFormat="1" ht="15.75" customHeight="1"/>
    <row r="396" s="185" customFormat="1" ht="15.75" customHeight="1"/>
    <row r="397" s="185" customFormat="1" ht="15.75" customHeight="1"/>
    <row r="398" s="185" customFormat="1" ht="15.75" customHeight="1"/>
    <row r="399" s="185" customFormat="1" ht="15.75" customHeight="1"/>
    <row r="400" s="185" customFormat="1" ht="15.75" customHeight="1"/>
    <row r="401" s="185" customFormat="1" ht="15.75" customHeight="1"/>
    <row r="402" s="185" customFormat="1" ht="15.75" customHeight="1"/>
    <row r="403" s="185" customFormat="1" ht="15.75" customHeight="1"/>
    <row r="404" s="185" customFormat="1" ht="15.75" customHeight="1"/>
    <row r="405" s="185" customFormat="1" ht="15.75" customHeight="1"/>
    <row r="406" s="185" customFormat="1" ht="15.75" customHeight="1"/>
    <row r="407" s="185" customFormat="1" ht="15.75" customHeight="1"/>
    <row r="408" s="185" customFormat="1" ht="15.75" customHeight="1"/>
    <row r="409" s="185" customFormat="1" ht="15.75" customHeight="1"/>
    <row r="410" s="185" customFormat="1" ht="15.75" customHeight="1"/>
    <row r="411" s="185" customFormat="1" ht="15.75" customHeight="1"/>
    <row r="412" s="185" customFormat="1" ht="15.75" customHeight="1"/>
    <row r="413" s="185" customFormat="1" ht="15.75" customHeight="1"/>
    <row r="414" s="185" customFormat="1" ht="15.75" customHeight="1"/>
    <row r="415" s="185" customFormat="1" ht="15.75" customHeight="1"/>
    <row r="416" s="185" customFormat="1" ht="15.75" customHeight="1"/>
    <row r="417" s="185" customFormat="1" ht="15.75" customHeight="1"/>
    <row r="418" s="185" customFormat="1" ht="15.75" customHeight="1"/>
    <row r="419" s="185" customFormat="1" ht="15.75" customHeight="1"/>
    <row r="420" s="185" customFormat="1" ht="15.75" customHeight="1"/>
    <row r="421" s="185" customFormat="1" ht="15.75" customHeight="1"/>
    <row r="422" s="185" customFormat="1" ht="15.75" customHeight="1"/>
    <row r="423" s="185" customFormat="1" ht="15.75" customHeight="1"/>
    <row r="424" s="185" customFormat="1" ht="15.75" customHeight="1"/>
    <row r="425" s="185" customFormat="1" ht="15.75" customHeight="1"/>
    <row r="426" s="185" customFormat="1" ht="15.75" customHeight="1"/>
    <row r="427" s="185" customFormat="1" ht="15.75" customHeight="1"/>
    <row r="428" s="185" customFormat="1" ht="15.75" customHeight="1"/>
    <row r="429" s="185" customFormat="1" ht="15.75" customHeight="1"/>
    <row r="430" s="185" customFormat="1" ht="15.75" customHeight="1"/>
    <row r="431" s="185" customFormat="1" ht="15.75" customHeight="1"/>
    <row r="432" s="185" customFormat="1" ht="15.75" customHeight="1"/>
    <row r="433" s="185" customFormat="1" ht="15.75" customHeight="1"/>
    <row r="434" s="185" customFormat="1" ht="15.75" customHeight="1"/>
    <row r="435" s="185" customFormat="1" ht="15.75" customHeight="1"/>
    <row r="436" s="185" customFormat="1" ht="15.75" customHeight="1"/>
    <row r="437" s="185" customFormat="1" ht="15.75" customHeight="1"/>
    <row r="438" s="185" customFormat="1" ht="15.75" customHeight="1"/>
    <row r="439" s="185" customFormat="1" ht="15.75" customHeight="1"/>
    <row r="440" s="185" customFormat="1" ht="15.75" customHeight="1"/>
    <row r="441" s="185" customFormat="1" ht="15.75" customHeight="1"/>
    <row r="442" s="185" customFormat="1" ht="15.75" customHeight="1"/>
    <row r="443" s="185" customFormat="1" ht="15.75" customHeight="1"/>
    <row r="444" s="185" customFormat="1" ht="15.75" customHeight="1"/>
    <row r="445" s="185" customFormat="1" ht="15.75" customHeight="1"/>
    <row r="446" s="185" customFormat="1" ht="15.75" customHeight="1"/>
    <row r="447" s="185" customFormat="1" ht="15.75" customHeight="1"/>
    <row r="448" s="185" customFormat="1" ht="15.75" customHeight="1"/>
    <row r="449" s="185" customFormat="1" ht="15.75" customHeight="1"/>
    <row r="450" s="185" customFormat="1" ht="15.75" customHeight="1"/>
    <row r="451" s="185" customFormat="1" ht="15.75" customHeight="1"/>
    <row r="452" s="185" customFormat="1" ht="15.75" customHeight="1"/>
    <row r="453" s="185" customFormat="1" ht="15.75" customHeight="1"/>
    <row r="454" s="185" customFormat="1" ht="15.75" customHeight="1"/>
    <row r="455" s="185" customFormat="1" ht="15.75" customHeight="1"/>
    <row r="456" s="185" customFormat="1" ht="15.75" customHeight="1"/>
    <row r="457" s="185" customFormat="1" ht="15.75" customHeight="1"/>
    <row r="458" s="185" customFormat="1" ht="15.75" customHeight="1"/>
    <row r="459" s="185" customFormat="1" ht="15.75" customHeight="1"/>
    <row r="460" s="185" customFormat="1" ht="15.75" customHeight="1"/>
    <row r="461" s="185" customFormat="1" ht="15.75" customHeight="1"/>
    <row r="462" s="185" customFormat="1" ht="15.75" customHeight="1"/>
    <row r="463" s="185" customFormat="1" ht="15.75" customHeight="1"/>
    <row r="464" s="185" customFormat="1" ht="15.75" customHeight="1"/>
    <row r="465" s="185" customFormat="1" ht="15.75" customHeight="1"/>
    <row r="466" s="185" customFormat="1" ht="15.75" customHeight="1"/>
    <row r="467" s="185" customFormat="1" ht="15.75" customHeight="1"/>
    <row r="468" s="185" customFormat="1" ht="15.75" customHeight="1"/>
    <row r="469" s="185" customFormat="1" ht="15.75" customHeight="1"/>
    <row r="470" s="185" customFormat="1" ht="15.75" customHeight="1"/>
    <row r="471" s="185" customFormat="1" ht="15.75" customHeight="1"/>
    <row r="472" s="185" customFormat="1" ht="15.75" customHeight="1"/>
    <row r="473" s="185" customFormat="1" ht="15.75" customHeight="1"/>
    <row r="474" s="185" customFormat="1" ht="15.75" customHeight="1"/>
    <row r="475" s="185" customFormat="1" ht="15.75" customHeight="1"/>
    <row r="476" s="185" customFormat="1" ht="15.75" customHeight="1"/>
    <row r="477" s="185" customFormat="1" ht="15.75" customHeight="1"/>
    <row r="478" s="185" customFormat="1" ht="15.75" customHeight="1"/>
    <row r="479" s="185" customFormat="1" ht="15.75" customHeight="1"/>
    <row r="480" s="185" customFormat="1" ht="15.75" customHeight="1"/>
    <row r="481" s="185" customFormat="1" ht="15.75" customHeight="1"/>
    <row r="482" s="185" customFormat="1" ht="15.75" customHeight="1"/>
    <row r="483" s="185" customFormat="1" ht="15.75" customHeight="1"/>
    <row r="484" s="185" customFormat="1" ht="15.75" customHeight="1"/>
    <row r="485" s="185" customFormat="1" ht="15.75" customHeight="1"/>
    <row r="486" s="185" customFormat="1" ht="15.75" customHeight="1"/>
    <row r="487" s="185" customFormat="1" ht="15.75" customHeight="1"/>
    <row r="488" s="185" customFormat="1" ht="15.75" customHeight="1"/>
    <row r="489" s="185" customFormat="1" ht="15.75" customHeight="1"/>
    <row r="490" s="185" customFormat="1" ht="15.75" customHeight="1"/>
    <row r="491" s="185" customFormat="1" ht="15.75" customHeight="1"/>
    <row r="492" s="185" customFormat="1" ht="15.75" customHeight="1"/>
    <row r="493" s="185" customFormat="1" ht="15.75" customHeight="1"/>
    <row r="494" s="185" customFormat="1" ht="15.75" customHeight="1"/>
    <row r="495" s="185" customFormat="1" ht="15.75" customHeight="1"/>
    <row r="496" s="185" customFormat="1" ht="15.75" customHeight="1"/>
    <row r="497" s="185" customFormat="1" ht="15.75" customHeight="1"/>
    <row r="498" s="185" customFormat="1" ht="15.75" customHeight="1"/>
    <row r="499" s="185" customFormat="1" ht="15.75" customHeight="1"/>
    <row r="500" s="185" customFormat="1" ht="15.75" customHeight="1"/>
    <row r="501" s="185" customFormat="1" ht="15.75" customHeight="1"/>
    <row r="502" s="185" customFormat="1" ht="15.75" customHeight="1"/>
    <row r="503" s="185" customFormat="1" ht="15.75" customHeight="1"/>
    <row r="504" s="185" customFormat="1" ht="15.75" customHeight="1"/>
    <row r="505" s="185" customFormat="1" ht="15.75" customHeight="1"/>
    <row r="506" s="185" customFormat="1" ht="15.75" customHeight="1"/>
    <row r="507" s="185" customFormat="1" ht="15.75" customHeight="1"/>
    <row r="508" s="185" customFormat="1" ht="15.75" customHeight="1"/>
    <row r="509" s="185" customFormat="1" ht="15.75" customHeight="1"/>
    <row r="510" s="185" customFormat="1" ht="15.75" customHeight="1"/>
    <row r="511" s="185" customFormat="1" ht="15.75" customHeight="1"/>
    <row r="512" s="185" customFormat="1" ht="15.75" customHeight="1"/>
    <row r="513" s="185" customFormat="1" ht="15.75" customHeight="1"/>
    <row r="514" s="185" customFormat="1" ht="15.75" customHeight="1"/>
    <row r="515" s="185" customFormat="1" ht="15.75" customHeight="1"/>
    <row r="516" s="185" customFormat="1" ht="15.75" customHeight="1"/>
    <row r="517" s="185" customFormat="1" ht="15.75" customHeight="1"/>
    <row r="518" s="185" customFormat="1" ht="15.75" customHeight="1"/>
    <row r="519" s="185" customFormat="1" ht="15.75" customHeight="1"/>
    <row r="520" s="185" customFormat="1" ht="15.75" customHeight="1"/>
    <row r="521" s="185" customFormat="1" ht="15.75" customHeight="1"/>
    <row r="522" s="185" customFormat="1" ht="15.75" customHeight="1"/>
    <row r="523" s="185" customFormat="1" ht="15.75" customHeight="1"/>
    <row r="524" s="185" customFormat="1" ht="15.75" customHeight="1"/>
    <row r="525" s="185" customFormat="1" ht="15.75" customHeight="1"/>
    <row r="526" s="185" customFormat="1" ht="15.75" customHeight="1"/>
    <row r="527" s="185" customFormat="1" ht="15.75" customHeight="1"/>
    <row r="528" s="185" customFormat="1" ht="15.75" customHeight="1"/>
    <row r="529" s="185" customFormat="1" ht="15.75" customHeight="1"/>
    <row r="530" s="185" customFormat="1" ht="15.75" customHeight="1"/>
    <row r="531" s="185" customFormat="1" ht="15.75" customHeight="1"/>
    <row r="532" s="185" customFormat="1" ht="15.75" customHeight="1"/>
    <row r="533" s="185" customFormat="1" ht="15.75" customHeight="1"/>
    <row r="534" s="185" customFormat="1" ht="15.75" customHeight="1"/>
    <row r="535" s="185" customFormat="1" ht="15.75" customHeight="1"/>
    <row r="536" s="185" customFormat="1" ht="15.75" customHeight="1"/>
    <row r="537" s="185" customFormat="1" ht="15.75" customHeight="1"/>
    <row r="538" s="185" customFormat="1" ht="15.75" customHeight="1"/>
    <row r="539" s="185" customFormat="1" ht="15.75" customHeight="1"/>
    <row r="540" s="185" customFormat="1" ht="15.75" customHeight="1"/>
    <row r="541" s="185" customFormat="1" ht="15.75" customHeight="1"/>
    <row r="542" s="185" customFormat="1" ht="15.75" customHeight="1"/>
    <row r="543" s="185" customFormat="1" ht="15.75" customHeight="1"/>
    <row r="544" s="185" customFormat="1" ht="15.75" customHeight="1"/>
    <row r="545" s="185" customFormat="1" ht="15.75" customHeight="1"/>
    <row r="546" s="185" customFormat="1" ht="15.75" customHeight="1"/>
    <row r="547" s="185" customFormat="1" ht="15.75" customHeight="1"/>
    <row r="548" s="185" customFormat="1" ht="15.75" customHeight="1"/>
    <row r="549" s="185" customFormat="1" ht="15.75" customHeight="1"/>
    <row r="550" s="185" customFormat="1" ht="15.75" customHeight="1"/>
    <row r="551" s="185" customFormat="1" ht="15.75" customHeight="1"/>
    <row r="552" s="185" customFormat="1" ht="15.75" customHeight="1"/>
    <row r="553" s="185" customFormat="1" ht="15.75" customHeight="1"/>
    <row r="554" s="185" customFormat="1" ht="15.75" customHeight="1"/>
    <row r="555" s="185" customFormat="1" ht="15.75" customHeight="1"/>
    <row r="556" s="185" customFormat="1" ht="15.75" customHeight="1"/>
    <row r="557" s="185" customFormat="1" ht="15.75" customHeight="1"/>
    <row r="558" s="185" customFormat="1" ht="15.75" customHeight="1"/>
    <row r="559" s="185" customFormat="1" ht="15.75" customHeight="1"/>
    <row r="560" s="185" customFormat="1" ht="15.75" customHeight="1"/>
    <row r="561" s="185" customFormat="1" ht="15.75" customHeight="1"/>
    <row r="562" s="185" customFormat="1" ht="15.75" customHeight="1"/>
    <row r="563" s="185" customFormat="1" ht="15.75" customHeight="1"/>
    <row r="564" s="185" customFormat="1" ht="15.75" customHeight="1"/>
    <row r="565" s="185" customFormat="1" ht="15.75" customHeight="1"/>
    <row r="566" s="185" customFormat="1" ht="15.75" customHeight="1"/>
    <row r="567" s="185" customFormat="1" ht="15.75" customHeight="1"/>
    <row r="568" s="185" customFormat="1" ht="15.75" customHeight="1"/>
    <row r="569" s="185" customFormat="1" ht="15.75" customHeight="1"/>
    <row r="570" s="185" customFormat="1" ht="15.75" customHeight="1"/>
    <row r="571" s="185" customFormat="1" ht="15.75" customHeight="1"/>
    <row r="572" s="185" customFormat="1" ht="15.75" customHeight="1"/>
    <row r="573" s="185" customFormat="1" ht="15.75" customHeight="1"/>
    <row r="574" s="185" customFormat="1" ht="15.75" customHeight="1"/>
    <row r="575" s="185" customFormat="1" ht="15.75" customHeight="1"/>
    <row r="576" s="185" customFormat="1" ht="15.75" customHeight="1"/>
    <row r="577" s="185" customFormat="1" ht="15.75" customHeight="1"/>
    <row r="578" s="185" customFormat="1" ht="15.75" customHeight="1"/>
    <row r="579" s="185" customFormat="1" ht="15.75" customHeight="1"/>
    <row r="580" s="185" customFormat="1" ht="15.75" customHeight="1"/>
    <row r="581" s="185" customFormat="1" ht="15.75" customHeight="1"/>
    <row r="582" s="185" customFormat="1" ht="15.75" customHeight="1"/>
    <row r="583" s="185" customFormat="1" ht="15.75" customHeight="1"/>
    <row r="584" s="185" customFormat="1" ht="15.75" customHeight="1"/>
    <row r="585" s="185" customFormat="1" ht="15.75" customHeight="1"/>
    <row r="586" s="185" customFormat="1" ht="15.75" customHeight="1"/>
    <row r="587" s="185" customFormat="1" ht="15.75" customHeight="1"/>
    <row r="588" s="185" customFormat="1" ht="15.75" customHeight="1"/>
    <row r="589" s="185" customFormat="1" ht="15.75" customHeight="1"/>
    <row r="590" s="185" customFormat="1" ht="15.75" customHeight="1"/>
    <row r="591" s="185" customFormat="1" ht="15.75" customHeight="1"/>
    <row r="592" s="185" customFormat="1" ht="15.75" customHeight="1"/>
    <row r="593" s="185" customFormat="1" ht="15.75" customHeight="1"/>
    <row r="594" s="185" customFormat="1" ht="15.75" customHeight="1"/>
    <row r="595" s="185" customFormat="1" ht="15.75" customHeight="1"/>
    <row r="596" s="185" customFormat="1" ht="15.75" customHeight="1"/>
    <row r="597" s="185" customFormat="1" ht="15.75" customHeight="1"/>
    <row r="598" s="185" customFormat="1" ht="15.75" customHeight="1"/>
    <row r="599" s="185" customFormat="1" ht="15.75" customHeight="1"/>
    <row r="600" s="185" customFormat="1" ht="15.75" customHeight="1"/>
    <row r="601" s="185" customFormat="1" ht="15.75" customHeight="1"/>
    <row r="602" s="185" customFormat="1" ht="15.75" customHeight="1"/>
    <row r="603" s="185" customFormat="1" ht="15.75" customHeight="1"/>
    <row r="604" s="185" customFormat="1" ht="15.75" customHeight="1"/>
    <row r="605" s="185" customFormat="1" ht="15.75" customHeight="1"/>
    <row r="606" s="185" customFormat="1" ht="15.75" customHeight="1"/>
    <row r="607" s="185" customFormat="1" ht="15.75" customHeight="1"/>
    <row r="608" s="185" customFormat="1" ht="15.75" customHeight="1"/>
    <row r="609" s="185" customFormat="1" ht="15.75" customHeight="1"/>
    <row r="610" s="185" customFormat="1" ht="15.75" customHeight="1"/>
    <row r="611" s="185" customFormat="1" ht="15.75" customHeight="1"/>
    <row r="612" s="185" customFormat="1" ht="15.75" customHeight="1"/>
    <row r="613" s="185" customFormat="1" ht="15.75" customHeight="1"/>
    <row r="614" s="185" customFormat="1" ht="15.75" customHeight="1"/>
    <row r="615" s="185" customFormat="1" ht="15.75" customHeight="1"/>
    <row r="616" s="185" customFormat="1" ht="15.75" customHeight="1"/>
    <row r="617" s="185" customFormat="1" ht="15.75" customHeight="1"/>
    <row r="618" s="185" customFormat="1" ht="15.75" customHeight="1"/>
    <row r="619" s="185" customFormat="1" ht="15.75" customHeight="1"/>
    <row r="620" s="185" customFormat="1" ht="15.75" customHeight="1"/>
    <row r="621" s="185" customFormat="1" ht="15.75" customHeight="1"/>
    <row r="622" s="185" customFormat="1" ht="15.75" customHeight="1"/>
    <row r="623" s="185" customFormat="1" ht="15.75" customHeight="1"/>
    <row r="624" s="185" customFormat="1" ht="15.75" customHeight="1"/>
    <row r="625" s="185" customFormat="1" ht="15.75" customHeight="1"/>
    <row r="626" s="185" customFormat="1" ht="15.75" customHeight="1"/>
    <row r="627" s="185" customFormat="1" ht="15.75" customHeight="1"/>
    <row r="628" s="185" customFormat="1" ht="15.75" customHeight="1"/>
    <row r="629" s="185" customFormat="1" ht="15.75" customHeight="1"/>
    <row r="630" s="185" customFormat="1" ht="15.75" customHeight="1"/>
    <row r="631" s="185" customFormat="1" ht="15.75" customHeight="1"/>
    <row r="632" s="185" customFormat="1" ht="15.75" customHeight="1"/>
    <row r="633" s="185" customFormat="1" ht="15.75" customHeight="1"/>
    <row r="634" s="185" customFormat="1" ht="15.75" customHeight="1"/>
    <row r="635" s="185" customFormat="1" ht="15.75" customHeight="1"/>
    <row r="636" s="185" customFormat="1" ht="15.75" customHeight="1"/>
    <row r="637" s="185" customFormat="1" ht="15.75" customHeight="1"/>
    <row r="638" s="185" customFormat="1" ht="15.75" customHeight="1"/>
    <row r="639" s="185" customFormat="1" ht="15.75" customHeight="1"/>
    <row r="640" s="185" customFormat="1" ht="15.75" customHeight="1"/>
    <row r="641" s="185" customFormat="1" ht="15.75" customHeight="1"/>
    <row r="642" s="185" customFormat="1" ht="15.75" customHeight="1"/>
    <row r="643" s="185" customFormat="1" ht="15.75" customHeight="1"/>
    <row r="644" s="185" customFormat="1" ht="15.75" customHeight="1"/>
    <row r="645" s="185" customFormat="1" ht="15.75" customHeight="1"/>
    <row r="646" s="185" customFormat="1" ht="15.75" customHeight="1"/>
    <row r="647" s="185" customFormat="1" ht="15.75" customHeight="1"/>
    <row r="648" s="185" customFormat="1" ht="15.75" customHeight="1"/>
    <row r="649" s="185" customFormat="1" ht="15.75" customHeight="1"/>
    <row r="650" s="185" customFormat="1" ht="15.75" customHeight="1"/>
    <row r="651" s="185" customFormat="1" ht="15.75" customHeight="1"/>
    <row r="652" s="185" customFormat="1" ht="15.75" customHeight="1"/>
    <row r="653" s="185" customFormat="1" ht="15.75" customHeight="1"/>
    <row r="654" s="185" customFormat="1" ht="15.75" customHeight="1"/>
    <row r="655" s="185" customFormat="1" ht="15.75" customHeight="1"/>
    <row r="656" s="185" customFormat="1" ht="15.75" customHeight="1"/>
    <row r="657" s="185" customFormat="1" ht="15.75" customHeight="1"/>
    <row r="658" s="185" customFormat="1" ht="15.75" customHeight="1"/>
    <row r="659" s="185" customFormat="1" ht="15.75" customHeight="1"/>
    <row r="660" s="185" customFormat="1" ht="15.75" customHeight="1"/>
    <row r="661" s="185" customFormat="1" ht="15.75" customHeight="1"/>
    <row r="662" s="185" customFormat="1" ht="15.75" customHeight="1"/>
    <row r="663" s="185" customFormat="1" ht="15.75" customHeight="1"/>
    <row r="664" s="185" customFormat="1" ht="15.75" customHeight="1"/>
    <row r="665" s="185" customFormat="1" ht="15.75" customHeight="1"/>
    <row r="666" s="185" customFormat="1" ht="15.75" customHeight="1"/>
    <row r="667" s="185" customFormat="1" ht="15.75" customHeight="1"/>
    <row r="668" s="185" customFormat="1" ht="15.75" customHeight="1"/>
    <row r="669" s="185" customFormat="1" ht="15.75" customHeight="1"/>
    <row r="670" s="185" customFormat="1" ht="15.75" customHeight="1"/>
    <row r="671" s="185" customFormat="1" ht="15.75" customHeight="1"/>
    <row r="672" s="185" customFormat="1" ht="15.75" customHeight="1"/>
    <row r="673" s="185" customFormat="1" ht="15.75" customHeight="1"/>
    <row r="674" s="185" customFormat="1" ht="15.75" customHeight="1"/>
    <row r="675" s="185" customFormat="1" ht="15.75" customHeight="1"/>
    <row r="676" s="185" customFormat="1" ht="15.75" customHeight="1"/>
    <row r="677" s="185" customFormat="1" ht="15.75" customHeight="1"/>
    <row r="678" s="185" customFormat="1" ht="15.75" customHeight="1"/>
    <row r="679" s="185" customFormat="1" ht="15.75" customHeight="1"/>
    <row r="680" s="185" customFormat="1" ht="15.75" customHeight="1"/>
    <row r="681" s="185" customFormat="1" ht="15.75" customHeight="1"/>
    <row r="682" s="185" customFormat="1" ht="15.75" customHeight="1"/>
    <row r="683" s="185" customFormat="1" ht="15.75" customHeight="1"/>
    <row r="684" s="185" customFormat="1" ht="15.75" customHeight="1"/>
    <row r="685" s="185" customFormat="1" ht="15.75" customHeight="1"/>
    <row r="686" s="185" customFormat="1" ht="15.75" customHeight="1"/>
    <row r="687" s="185" customFormat="1" ht="15.75" customHeight="1"/>
    <row r="688" s="185" customFormat="1" ht="15.75" customHeight="1"/>
    <row r="689" s="185" customFormat="1" ht="15.75" customHeight="1"/>
    <row r="690" s="185" customFormat="1" ht="15.75" customHeight="1"/>
    <row r="691" s="185" customFormat="1" ht="15.75" customHeight="1"/>
    <row r="692" s="185" customFormat="1" ht="15.75" customHeight="1"/>
    <row r="693" s="185" customFormat="1" ht="15.75" customHeight="1"/>
    <row r="694" s="185" customFormat="1" ht="15.75" customHeight="1"/>
    <row r="695" s="185" customFormat="1" ht="15.75" customHeight="1"/>
    <row r="696" s="185" customFormat="1" ht="15.75" customHeight="1"/>
    <row r="697" s="185" customFormat="1" ht="15.75" customHeight="1"/>
    <row r="698" s="185" customFormat="1" ht="15.75" customHeight="1"/>
    <row r="699" s="185" customFormat="1" ht="15.75" customHeight="1"/>
    <row r="700" s="185" customFormat="1" ht="15.75" customHeight="1"/>
    <row r="701" s="185" customFormat="1" ht="15.75" customHeight="1"/>
    <row r="702" s="185" customFormat="1" ht="15.75" customHeight="1"/>
    <row r="703" s="185" customFormat="1" ht="15.75" customHeight="1"/>
    <row r="704" s="185" customFormat="1" ht="15.75" customHeight="1"/>
    <row r="705" s="185" customFormat="1" ht="15.75" customHeight="1"/>
    <row r="706" s="185" customFormat="1" ht="15.75" customHeight="1"/>
    <row r="707" s="185" customFormat="1" ht="15.75" customHeight="1"/>
    <row r="708" s="185" customFormat="1" ht="15.75" customHeight="1"/>
    <row r="709" s="185" customFormat="1" ht="15.75" customHeight="1"/>
    <row r="710" s="185" customFormat="1" ht="15.75" customHeight="1"/>
    <row r="711" s="185" customFormat="1" ht="15.75" customHeight="1"/>
    <row r="712" s="185" customFormat="1" ht="15.75" customHeight="1"/>
    <row r="713" s="185" customFormat="1" ht="15.75" customHeight="1"/>
    <row r="714" s="185" customFormat="1" ht="15.75" customHeight="1"/>
    <row r="715" s="185" customFormat="1" ht="15.75" customHeight="1"/>
    <row r="716" s="185" customFormat="1" ht="15.75" customHeight="1"/>
    <row r="717" s="185" customFormat="1" ht="15.75" customHeight="1"/>
    <row r="718" s="185" customFormat="1" ht="15.75" customHeight="1"/>
    <row r="719" s="185" customFormat="1" ht="15.75" customHeight="1"/>
    <row r="720" s="185" customFormat="1" ht="15.75" customHeight="1"/>
    <row r="721" s="185" customFormat="1" ht="15.75" customHeight="1"/>
    <row r="722" s="185" customFormat="1" ht="15.75" customHeight="1"/>
    <row r="723" s="185" customFormat="1" ht="15.75" customHeight="1"/>
    <row r="724" s="185" customFormat="1" ht="15.75" customHeight="1"/>
    <row r="725" s="185" customFormat="1" ht="15.75" customHeight="1"/>
    <row r="726" s="185" customFormat="1" ht="15.75" customHeight="1"/>
    <row r="727" s="185" customFormat="1" ht="15.75" customHeight="1"/>
    <row r="728" s="185" customFormat="1" ht="15.75" customHeight="1"/>
    <row r="729" s="185" customFormat="1" ht="15.75" customHeight="1"/>
    <row r="730" s="185" customFormat="1" ht="15.75" customHeight="1"/>
    <row r="731" s="185" customFormat="1" ht="15.75" customHeight="1"/>
    <row r="732" s="185" customFormat="1" ht="15.75" customHeight="1"/>
    <row r="733" s="185" customFormat="1" ht="15.75" customHeight="1"/>
    <row r="734" s="185" customFormat="1" ht="15.75" customHeight="1"/>
    <row r="735" s="185" customFormat="1" ht="15.75" customHeight="1"/>
    <row r="736" s="185" customFormat="1" ht="15.75" customHeight="1"/>
    <row r="737" s="185" customFormat="1" ht="15.75" customHeight="1"/>
    <row r="738" s="185" customFormat="1" ht="15.75" customHeight="1"/>
    <row r="739" s="185" customFormat="1" ht="15.75" customHeight="1"/>
    <row r="740" s="185" customFormat="1" ht="15.75" customHeight="1"/>
    <row r="741" s="185" customFormat="1" ht="15.75" customHeight="1"/>
    <row r="742" s="185" customFormat="1" ht="15.75" customHeight="1"/>
    <row r="743" s="185" customFormat="1" ht="15.75" customHeight="1"/>
    <row r="744" s="185" customFormat="1" ht="15.75" customHeight="1"/>
    <row r="745" s="185" customFormat="1" ht="15.75" customHeight="1"/>
    <row r="746" s="185" customFormat="1" ht="15.75" customHeight="1"/>
    <row r="747" s="185" customFormat="1" ht="15.75" customHeight="1"/>
    <row r="748" s="185" customFormat="1" ht="15.75" customHeight="1"/>
    <row r="749" s="185" customFormat="1" ht="15.75" customHeight="1"/>
    <row r="750" s="185" customFormat="1" ht="15.75" customHeight="1"/>
    <row r="751" s="185" customFormat="1" ht="15.75" customHeight="1"/>
    <row r="752" s="185" customFormat="1" ht="15.75" customHeight="1"/>
    <row r="753" s="185" customFormat="1" ht="15.75" customHeight="1"/>
    <row r="754" s="185" customFormat="1" ht="15.75" customHeight="1"/>
    <row r="755" s="185" customFormat="1" ht="15.75" customHeight="1"/>
    <row r="756" s="185" customFormat="1" ht="15.75" customHeight="1"/>
    <row r="757" s="185" customFormat="1" ht="15.75" customHeight="1"/>
    <row r="758" s="185" customFormat="1" ht="15.75" customHeight="1"/>
    <row r="759" s="185" customFormat="1" ht="15.75" customHeight="1"/>
    <row r="760" s="185" customFormat="1" ht="15.75" customHeight="1"/>
    <row r="761" s="185" customFormat="1" ht="15.75" customHeight="1"/>
    <row r="762" s="185" customFormat="1" ht="15.75" customHeight="1"/>
    <row r="763" s="185" customFormat="1" ht="15.75" customHeight="1"/>
    <row r="764" s="185" customFormat="1" ht="15.75" customHeight="1"/>
    <row r="765" s="185" customFormat="1" ht="15.75" customHeight="1"/>
    <row r="766" s="185" customFormat="1" ht="15.75" customHeight="1"/>
    <row r="767" s="185" customFormat="1" ht="15.75" customHeight="1"/>
    <row r="768" s="185" customFormat="1" ht="15.75" customHeight="1"/>
    <row r="769" s="185" customFormat="1" ht="15.75" customHeight="1"/>
    <row r="770" s="185" customFormat="1" ht="15.75" customHeight="1"/>
    <row r="771" s="185" customFormat="1" ht="15.75" customHeight="1"/>
    <row r="772" s="185" customFormat="1" ht="15.75" customHeight="1"/>
    <row r="773" s="185" customFormat="1" ht="15.75" customHeight="1"/>
    <row r="774" s="185" customFormat="1" ht="15.75" customHeight="1"/>
    <row r="775" s="185" customFormat="1" ht="15.75" customHeight="1"/>
    <row r="776" s="185" customFormat="1" ht="15.75" customHeight="1"/>
    <row r="777" s="185" customFormat="1" ht="15.75" customHeight="1"/>
    <row r="778" s="185" customFormat="1" ht="15.75" customHeight="1"/>
    <row r="779" s="185" customFormat="1" ht="15.75" customHeight="1"/>
    <row r="780" s="185" customFormat="1" ht="15.75" customHeight="1"/>
    <row r="781" s="185" customFormat="1" ht="15.75" customHeight="1"/>
    <row r="782" s="185" customFormat="1" ht="15.75" customHeight="1"/>
    <row r="783" s="185" customFormat="1" ht="15.75" customHeight="1"/>
    <row r="784" s="185" customFormat="1" ht="15.75" customHeight="1"/>
    <row r="785" s="185" customFormat="1" ht="15.75" customHeight="1"/>
    <row r="786" s="185" customFormat="1" ht="15.75" customHeight="1"/>
    <row r="787" s="185" customFormat="1" ht="15.75" customHeight="1"/>
    <row r="788" s="185" customFormat="1" ht="15.75" customHeight="1"/>
    <row r="789" s="185" customFormat="1" ht="15.75" customHeight="1"/>
    <row r="790" s="185" customFormat="1" ht="15.75" customHeight="1"/>
    <row r="791" s="185" customFormat="1" ht="15.75" customHeight="1"/>
    <row r="792" s="185" customFormat="1" ht="15.75" customHeight="1"/>
    <row r="793" s="185" customFormat="1" ht="15.75" customHeight="1"/>
    <row r="794" s="185" customFormat="1" ht="15.75" customHeight="1"/>
    <row r="795" s="185" customFormat="1" ht="15.75" customHeight="1"/>
    <row r="796" s="185" customFormat="1" ht="15.75" customHeight="1"/>
    <row r="797" s="185" customFormat="1" ht="15.75" customHeight="1"/>
    <row r="798" s="185" customFormat="1" ht="15.75" customHeight="1"/>
    <row r="799" s="185" customFormat="1" ht="15.75" customHeight="1"/>
    <row r="800" s="185" customFormat="1" ht="15.75" customHeight="1"/>
    <row r="801" s="185" customFormat="1" ht="15.75" customHeight="1"/>
    <row r="802" s="185" customFormat="1" ht="15.75" customHeight="1"/>
    <row r="803" s="185" customFormat="1" ht="15.75" customHeight="1"/>
    <row r="804" s="185" customFormat="1" ht="15.75" customHeight="1"/>
    <row r="805" s="185" customFormat="1" ht="15.75" customHeight="1"/>
    <row r="806" s="185" customFormat="1" ht="15.75" customHeight="1"/>
    <row r="807" s="185" customFormat="1" ht="15.75" customHeight="1"/>
    <row r="808" s="185" customFormat="1" ht="15.75" customHeight="1"/>
    <row r="809" s="185" customFormat="1" ht="15.75" customHeight="1"/>
    <row r="810" s="185" customFormat="1" ht="15.75" customHeight="1"/>
    <row r="811" s="185" customFormat="1" ht="15.75" customHeight="1"/>
    <row r="812" s="185" customFormat="1" ht="15.75" customHeight="1"/>
    <row r="813" s="185" customFormat="1" ht="15.75" customHeight="1"/>
    <row r="814" s="185" customFormat="1" ht="15.75" customHeight="1"/>
    <row r="815" s="185" customFormat="1" ht="15.75" customHeight="1"/>
    <row r="816" s="185" customFormat="1" ht="15.75" customHeight="1"/>
    <row r="817" s="185" customFormat="1" ht="15.75" customHeight="1"/>
    <row r="818" s="185" customFormat="1" ht="15.75" customHeight="1"/>
    <row r="819" s="185" customFormat="1" ht="15.75" customHeight="1"/>
    <row r="820" s="185" customFormat="1" ht="15.75" customHeight="1"/>
    <row r="821" s="185" customFormat="1" ht="15.75" customHeight="1"/>
    <row r="822" s="185" customFormat="1" ht="15.75" customHeight="1"/>
    <row r="823" s="185" customFormat="1" ht="15.75" customHeight="1"/>
    <row r="824" s="185" customFormat="1" ht="15.75" customHeight="1"/>
    <row r="825" s="185" customFormat="1" ht="15.75" customHeight="1"/>
    <row r="826" s="185" customFormat="1" ht="15.75" customHeight="1"/>
    <row r="827" s="185" customFormat="1" ht="15.75" customHeight="1"/>
    <row r="828" s="185" customFormat="1" ht="15.75" customHeight="1"/>
    <row r="829" s="185" customFormat="1" ht="15.75" customHeight="1"/>
    <row r="830" s="185" customFormat="1" ht="15.75" customHeight="1"/>
    <row r="831" s="185" customFormat="1" ht="15.75" customHeight="1"/>
    <row r="832" s="185" customFormat="1" ht="15.75" customHeight="1"/>
    <row r="833" s="185" customFormat="1" ht="15.75" customHeight="1"/>
    <row r="834" s="185" customFormat="1" ht="15.75" customHeight="1"/>
    <row r="835" s="185" customFormat="1" ht="15.75" customHeight="1"/>
    <row r="836" s="185" customFormat="1" ht="15.75" customHeight="1"/>
    <row r="837" s="185" customFormat="1" ht="15.75" customHeight="1"/>
    <row r="838" s="185" customFormat="1" ht="15.75" customHeight="1"/>
    <row r="839" s="185" customFormat="1" ht="15.75" customHeight="1"/>
    <row r="840" s="185" customFormat="1" ht="15.75" customHeight="1"/>
    <row r="841" s="185" customFormat="1" ht="15.75" customHeight="1"/>
    <row r="842" s="185" customFormat="1" ht="15.75" customHeight="1"/>
    <row r="843" s="185" customFormat="1" ht="15.75" customHeight="1"/>
    <row r="844" s="185" customFormat="1" ht="15.75" customHeight="1"/>
    <row r="845" s="185" customFormat="1" ht="15.75" customHeight="1"/>
    <row r="846" s="185" customFormat="1" ht="15.75" customHeight="1"/>
    <row r="847" s="185" customFormat="1" ht="15.75" customHeight="1"/>
    <row r="848" s="185" customFormat="1" ht="15.75" customHeight="1"/>
    <row r="849" s="185" customFormat="1" ht="15.75" customHeight="1"/>
    <row r="850" s="185" customFormat="1" ht="15.75" customHeight="1"/>
    <row r="851" s="185" customFormat="1" ht="15.75" customHeight="1"/>
    <row r="852" s="185" customFormat="1" ht="15.75" customHeight="1"/>
    <row r="853" s="185" customFormat="1" ht="15.75" customHeight="1"/>
    <row r="854" s="185" customFormat="1" ht="15.75" customHeight="1"/>
    <row r="855" s="185" customFormat="1" ht="15.75" customHeight="1"/>
    <row r="856" s="185" customFormat="1" ht="15.75" customHeight="1"/>
    <row r="857" s="185" customFormat="1" ht="15.75" customHeight="1"/>
    <row r="858" s="185" customFormat="1" ht="15.75" customHeight="1"/>
    <row r="859" s="185" customFormat="1" ht="15.75" customHeight="1"/>
    <row r="860" s="185" customFormat="1" ht="15.75" customHeight="1"/>
    <row r="861" s="185" customFormat="1" ht="15.75" customHeight="1"/>
    <row r="862" s="185" customFormat="1" ht="15.75" customHeight="1"/>
    <row r="863" s="185" customFormat="1" ht="15.75" customHeight="1"/>
    <row r="864" s="185" customFormat="1" ht="15.75" customHeight="1"/>
    <row r="865" s="185" customFormat="1" ht="15.75" customHeight="1"/>
    <row r="866" s="185" customFormat="1" ht="15.75" customHeight="1"/>
    <row r="867" s="185" customFormat="1" ht="15.75" customHeight="1"/>
    <row r="868" s="185" customFormat="1" ht="15.75" customHeight="1"/>
    <row r="869" s="185" customFormat="1" ht="15.75" customHeight="1"/>
    <row r="870" s="185" customFormat="1" ht="15.75" customHeight="1"/>
    <row r="871" s="185" customFormat="1" ht="15.75" customHeight="1"/>
    <row r="872" s="185" customFormat="1" ht="15.75" customHeight="1"/>
    <row r="873" s="185" customFormat="1" ht="15.75" customHeight="1"/>
    <row r="874" s="185" customFormat="1" ht="15.75" customHeight="1"/>
    <row r="875" s="185" customFormat="1" ht="15.75" customHeight="1"/>
    <row r="876" s="185" customFormat="1" ht="15.75" customHeight="1"/>
    <row r="877" s="185" customFormat="1" ht="15.75" customHeight="1"/>
    <row r="878" s="185" customFormat="1" ht="15.75" customHeight="1"/>
    <row r="879" s="185" customFormat="1" ht="15.75" customHeight="1"/>
    <row r="880" s="185" customFormat="1" ht="15.75" customHeight="1"/>
    <row r="881" s="185" customFormat="1" ht="15.75" customHeight="1"/>
    <row r="882" s="185" customFormat="1" ht="15.75" customHeight="1"/>
    <row r="883" s="185" customFormat="1" ht="15.75" customHeight="1"/>
    <row r="884" s="185" customFormat="1" ht="15.75" customHeight="1"/>
    <row r="885" s="185" customFormat="1" ht="15.75" customHeight="1"/>
    <row r="886" s="185" customFormat="1" ht="15.75" customHeight="1"/>
    <row r="887" s="185" customFormat="1" ht="15.75" customHeight="1"/>
    <row r="888" s="185" customFormat="1" ht="15.75" customHeight="1"/>
    <row r="889" s="185" customFormat="1" ht="15.75" customHeight="1"/>
    <row r="890" s="185" customFormat="1" ht="15.75" customHeight="1"/>
    <row r="891" s="185" customFormat="1" ht="15.75" customHeight="1"/>
    <row r="892" s="185" customFormat="1" ht="15.75" customHeight="1"/>
    <row r="893" s="185" customFormat="1" ht="15.75" customHeight="1"/>
    <row r="894" s="185" customFormat="1" ht="15.75" customHeight="1"/>
    <row r="895" s="185" customFormat="1" ht="15.75" customHeight="1"/>
    <row r="896" s="185" customFormat="1" ht="15.75" customHeight="1"/>
    <row r="897" s="185" customFormat="1" ht="15.75" customHeight="1"/>
    <row r="898" s="185" customFormat="1" ht="15.75" customHeight="1"/>
    <row r="899" s="185" customFormat="1" ht="15.75" customHeight="1"/>
    <row r="900" s="185" customFormat="1" ht="15.75" customHeight="1"/>
    <row r="901" s="185" customFormat="1" ht="15.75" customHeight="1"/>
    <row r="902" s="185" customFormat="1" ht="15.75" customHeight="1"/>
    <row r="903" s="185" customFormat="1" ht="15.75" customHeight="1"/>
    <row r="904" s="185" customFormat="1" ht="15.75" customHeight="1"/>
    <row r="905" s="185" customFormat="1" ht="15.75" customHeight="1"/>
    <row r="906" s="185" customFormat="1" ht="15.75" customHeight="1"/>
    <row r="907" s="185" customFormat="1" ht="15.75" customHeight="1"/>
    <row r="908" s="185" customFormat="1" ht="15.75" customHeight="1"/>
    <row r="909" s="185" customFormat="1" ht="15.75" customHeight="1"/>
    <row r="910" s="185" customFormat="1" ht="15.75" customHeight="1"/>
    <row r="911" s="185" customFormat="1" ht="15.75" customHeight="1"/>
    <row r="912" s="185" customFormat="1" ht="15.75" customHeight="1"/>
    <row r="913" s="185" customFormat="1" ht="15.75" customHeight="1"/>
    <row r="914" s="185" customFormat="1" ht="15.75" customHeight="1"/>
    <row r="915" s="185" customFormat="1" ht="15.75" customHeight="1"/>
    <row r="916" s="185" customFormat="1" ht="15.75" customHeight="1"/>
    <row r="917" s="185" customFormat="1" ht="15.75" customHeight="1"/>
    <row r="918" s="185" customFormat="1" ht="15.75" customHeight="1"/>
    <row r="919" s="185" customFormat="1" ht="15.75" customHeight="1"/>
    <row r="920" s="185" customFormat="1" ht="15.75" customHeight="1"/>
    <row r="921" s="185" customFormat="1" ht="15.75" customHeight="1"/>
    <row r="922" s="185" customFormat="1" ht="15.75" customHeight="1"/>
    <row r="923" s="185" customFormat="1" ht="15.75" customHeight="1"/>
    <row r="924" s="185" customFormat="1" ht="15.75" customHeight="1"/>
    <row r="925" s="185" customFormat="1" ht="15.75" customHeight="1"/>
    <row r="926" s="185" customFormat="1" ht="15.75" customHeight="1"/>
    <row r="927" s="185" customFormat="1" ht="15.75" customHeight="1"/>
    <row r="928" s="185" customFormat="1" ht="15.75" customHeight="1"/>
    <row r="929" s="185" customFormat="1" ht="15.75" customHeight="1"/>
    <row r="930" s="185" customFormat="1" ht="15.75" customHeight="1"/>
    <row r="931" s="185" customFormat="1" ht="15.75" customHeight="1"/>
    <row r="932" s="185" customFormat="1" ht="15.75" customHeight="1"/>
    <row r="933" s="185" customFormat="1" ht="15.75" customHeight="1"/>
    <row r="934" s="185" customFormat="1" ht="15.75" customHeight="1"/>
    <row r="935" s="185" customFormat="1" ht="15.75" customHeight="1"/>
    <row r="936" s="185" customFormat="1" ht="15.75" customHeight="1"/>
    <row r="937" s="185" customFormat="1" ht="15.75" customHeight="1"/>
    <row r="938" s="185" customFormat="1" ht="15.75" customHeight="1"/>
    <row r="939" s="185" customFormat="1" ht="15.75" customHeight="1"/>
    <row r="940" s="185" customFormat="1" ht="15.75" customHeight="1"/>
    <row r="941" s="185" customFormat="1" ht="15.75" customHeight="1"/>
    <row r="942" s="185" customFormat="1" ht="15.75" customHeight="1"/>
    <row r="943" s="185" customFormat="1" ht="15.75" customHeight="1"/>
    <row r="944" s="185" customFormat="1" ht="15.75" customHeight="1"/>
    <row r="945" s="185" customFormat="1" ht="15.75" customHeight="1"/>
    <row r="946" s="185" customFormat="1" ht="15.75" customHeight="1"/>
    <row r="947" s="185" customFormat="1" ht="15.75" customHeight="1"/>
    <row r="948" s="185" customFormat="1" ht="15.75" customHeight="1"/>
    <row r="949" s="185" customFormat="1" ht="15.75" customHeight="1"/>
    <row r="950" s="185" customFormat="1" ht="15.75" customHeight="1"/>
    <row r="951" s="185" customFormat="1" ht="15.75" customHeight="1"/>
    <row r="952" s="185" customFormat="1" ht="15.75" customHeight="1"/>
    <row r="953" s="185" customFormat="1" ht="15.75" customHeight="1"/>
    <row r="954" s="185" customFormat="1" ht="15.75" customHeight="1"/>
    <row r="955" s="185" customFormat="1" ht="15.75" customHeight="1"/>
    <row r="956" s="185" customFormat="1" ht="15.75" customHeight="1"/>
    <row r="957" s="185" customFormat="1" ht="15.75" customHeight="1"/>
    <row r="958" s="185" customFormat="1" ht="15.75" customHeight="1"/>
    <row r="959" s="185" customFormat="1" ht="15.75" customHeight="1"/>
    <row r="960" s="185" customFormat="1" ht="15.75" customHeight="1"/>
    <row r="961" s="185" customFormat="1" ht="15.75" customHeight="1"/>
    <row r="962" s="185" customFormat="1" ht="15.75" customHeight="1"/>
    <row r="963" s="185" customFormat="1" ht="15.75" customHeight="1"/>
    <row r="964" s="185" customFormat="1" ht="15.75" customHeight="1"/>
    <row r="965" s="185" customFormat="1" ht="15.75" customHeight="1"/>
    <row r="966" s="185" customFormat="1" ht="15.75" customHeight="1"/>
    <row r="967" s="185" customFormat="1" ht="15.75" customHeight="1"/>
    <row r="968" s="185" customFormat="1" ht="15.75" customHeight="1"/>
    <row r="969" s="185" customFormat="1" ht="15.75" customHeight="1"/>
    <row r="970" s="185" customFormat="1" ht="15.75" customHeight="1"/>
    <row r="971" s="185" customFormat="1" ht="15.75" customHeight="1"/>
    <row r="972" s="185" customFormat="1" ht="15.75" customHeight="1"/>
    <row r="973" s="185" customFormat="1" ht="15.75" customHeight="1"/>
    <row r="974" s="185" customFormat="1" ht="15.75" customHeight="1"/>
    <row r="975" s="185" customFormat="1" ht="15.75" customHeight="1"/>
    <row r="976" s="185" customFormat="1" ht="15.75" customHeight="1"/>
    <row r="977" s="185" customFormat="1" ht="15.75" customHeight="1"/>
    <row r="978" s="185" customFormat="1" ht="15.75" customHeight="1"/>
    <row r="979" s="185" customFormat="1" ht="15.75" customHeight="1"/>
    <row r="980" s="185" customFormat="1" ht="15.75" customHeight="1"/>
    <row r="981" s="185" customFormat="1" ht="15.75" customHeight="1"/>
    <row r="982" s="185" customFormat="1" ht="15.75" customHeight="1"/>
    <row r="983" s="185" customFormat="1" ht="15.75" customHeight="1"/>
    <row r="984" s="185" customFormat="1" ht="15.75" customHeight="1"/>
    <row r="985" s="185" customFormat="1" ht="15.75" customHeight="1"/>
    <row r="986" s="185" customFormat="1" ht="15.75" customHeight="1"/>
    <row r="987" s="185" customFormat="1" ht="15.75" customHeight="1"/>
    <row r="988" s="185" customFormat="1" ht="15.75" customHeight="1"/>
    <row r="989" s="185" customFormat="1" ht="15.75" customHeight="1"/>
    <row r="990" s="185" customFormat="1" ht="15.75" customHeight="1"/>
    <row r="991" s="185" customFormat="1" ht="15.75" customHeight="1"/>
    <row r="992" s="185" customFormat="1" ht="15.75" customHeight="1"/>
    <row r="993" s="185" customFormat="1" ht="15.75" customHeight="1"/>
    <row r="994" s="185" customFormat="1" ht="15.75" customHeight="1"/>
    <row r="995" s="185" customFormat="1" ht="15.75" customHeight="1"/>
    <row r="996" s="185" customFormat="1" ht="15.75" customHeight="1"/>
    <row r="997" s="185" customFormat="1" ht="15.75" customHeight="1"/>
    <row r="998" s="185" customFormat="1" ht="15.75" customHeight="1"/>
    <row r="999" s="185" customFormat="1" ht="15.75" customHeight="1"/>
  </sheetData>
  <mergeCells count="6">
    <mergeCell ref="H23:K23"/>
    <mergeCell ref="L23:O23"/>
    <mergeCell ref="P23:S23"/>
    <mergeCell ref="H70:K70"/>
    <mergeCell ref="L70:O70"/>
    <mergeCell ref="P70:S70"/>
  </mergeCells>
  <pageMargins left="0.7" right="0.7" top="0.75" bottom="0.75" header="0" footer="0"/>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27FED-8971-415C-93E7-A052BB47FFB1}">
  <dimension ref="A1:V112"/>
  <sheetViews>
    <sheetView tabSelected="1" zoomScale="85" zoomScaleNormal="85" workbookViewId="0">
      <selection activeCell="P33" sqref="P33"/>
    </sheetView>
  </sheetViews>
  <sheetFormatPr defaultColWidth="8.77734375" defaultRowHeight="14.4"/>
  <cols>
    <col min="1" max="1" width="12.77734375" style="247" customWidth="1"/>
    <col min="2" max="2" width="10.44140625" style="247" customWidth="1"/>
    <col min="3" max="3" width="12.6640625" style="247" customWidth="1"/>
    <col min="4" max="4" width="13.109375" style="247" customWidth="1"/>
    <col min="5" max="9" width="12.6640625" style="247" customWidth="1"/>
    <col min="10" max="10" width="19.6640625" style="247" customWidth="1"/>
    <col min="11" max="13" width="12.6640625" style="247" customWidth="1"/>
    <col min="14" max="14" width="3.77734375" customWidth="1"/>
    <col min="15" max="21" width="12.6640625" style="247" customWidth="1"/>
    <col min="22" max="16384" width="8.77734375" style="247"/>
  </cols>
  <sheetData>
    <row r="1" spans="1:9" s="130" customFormat="1" ht="16.05" customHeight="1">
      <c r="A1" s="184" t="s">
        <v>388</v>
      </c>
    </row>
    <row r="2" spans="1:9" s="130" customFormat="1" ht="16.05" customHeight="1">
      <c r="A2" s="183" t="s">
        <v>387</v>
      </c>
    </row>
    <row r="3" spans="1:9" s="130" customFormat="1" ht="16.05" customHeight="1"/>
    <row r="4" spans="1:9" s="130" customFormat="1" ht="16.05" customHeight="1">
      <c r="A4" s="131" t="s">
        <v>386</v>
      </c>
    </row>
    <row r="5" spans="1:9" s="130" customFormat="1" ht="16.05" customHeight="1">
      <c r="A5" s="131"/>
    </row>
    <row r="6" spans="1:9" s="130" customFormat="1" ht="16.05" customHeight="1">
      <c r="A6" s="180" t="s">
        <v>385</v>
      </c>
    </row>
    <row r="7" spans="1:9" s="130" customFormat="1" ht="16.05" customHeight="1">
      <c r="A7" s="180" t="s">
        <v>384</v>
      </c>
    </row>
    <row r="8" spans="1:9" s="130" customFormat="1" ht="16.05" customHeight="1">
      <c r="A8" s="180" t="s">
        <v>383</v>
      </c>
    </row>
    <row r="9" spans="1:9" s="130" customFormat="1" ht="16.05" customHeight="1">
      <c r="A9" s="180" t="s">
        <v>382</v>
      </c>
    </row>
    <row r="10" spans="1:9" s="130" customFormat="1" ht="16.05" customHeight="1">
      <c r="A10" s="180" t="s">
        <v>381</v>
      </c>
    </row>
    <row r="11" spans="1:9" s="130" customFormat="1" ht="16.05" customHeight="1">
      <c r="A11" s="180" t="s">
        <v>380</v>
      </c>
    </row>
    <row r="12" spans="1:9" s="130" customFormat="1" ht="16.05" customHeight="1">
      <c r="A12" s="303" t="s">
        <v>379</v>
      </c>
    </row>
    <row r="13" spans="1:9" s="130" customFormat="1" ht="16.05" customHeight="1">
      <c r="A13" s="303" t="s">
        <v>378</v>
      </c>
    </row>
    <row r="14" spans="1:9" s="130" customFormat="1" ht="16.05" customHeight="1" thickBot="1">
      <c r="A14" s="180" t="s">
        <v>377</v>
      </c>
    </row>
    <row r="15" spans="1:9" s="130" customFormat="1" ht="16.05" customHeight="1" thickBot="1">
      <c r="A15" s="302" t="s">
        <v>354</v>
      </c>
      <c r="B15" s="301">
        <v>0</v>
      </c>
      <c r="C15" s="301">
        <v>1</v>
      </c>
      <c r="D15" s="301">
        <v>2</v>
      </c>
      <c r="E15" s="301">
        <v>3</v>
      </c>
      <c r="F15" s="301">
        <v>4</v>
      </c>
      <c r="G15" s="301">
        <v>5</v>
      </c>
      <c r="H15" s="297"/>
      <c r="I15" s="297"/>
    </row>
    <row r="16" spans="1:9" s="130" customFormat="1" ht="16.05" customHeight="1" thickBot="1">
      <c r="A16" s="299" t="s">
        <v>353</v>
      </c>
      <c r="B16" s="300">
        <v>1000</v>
      </c>
      <c r="C16" s="300">
        <v>1200</v>
      </c>
      <c r="D16" s="300">
        <v>1400</v>
      </c>
      <c r="E16" s="300">
        <v>1550</v>
      </c>
      <c r="F16" s="300">
        <v>1580</v>
      </c>
      <c r="G16" s="300">
        <v>1650</v>
      </c>
      <c r="H16" s="296"/>
      <c r="I16" s="296"/>
    </row>
    <row r="17" spans="1:16" s="130" customFormat="1" ht="16.05" customHeight="1" thickBot="1">
      <c r="A17" s="299" t="s">
        <v>352</v>
      </c>
      <c r="B17" s="298">
        <v>360</v>
      </c>
      <c r="C17" s="298">
        <v>345</v>
      </c>
      <c r="D17" s="298">
        <v>320</v>
      </c>
      <c r="E17" s="298">
        <v>310</v>
      </c>
      <c r="F17" s="298">
        <v>295</v>
      </c>
      <c r="G17" s="298">
        <v>280</v>
      </c>
      <c r="H17" s="296"/>
      <c r="I17" s="296"/>
    </row>
    <row r="18" spans="1:16" s="130" customFormat="1" ht="16.05" customHeight="1">
      <c r="A18" s="131"/>
      <c r="H18" s="296"/>
      <c r="I18" s="296"/>
    </row>
    <row r="19" spans="1:16" s="130" customFormat="1" ht="16.05" customHeight="1">
      <c r="A19" s="180" t="s">
        <v>376</v>
      </c>
      <c r="H19" s="296"/>
      <c r="I19" s="296"/>
    </row>
    <row r="20" spans="1:16" s="130" customFormat="1" ht="16.05" customHeight="1">
      <c r="A20" s="180" t="s">
        <v>375</v>
      </c>
      <c r="H20" s="295"/>
      <c r="I20" s="295"/>
    </row>
    <row r="21" spans="1:16" s="130" customFormat="1" ht="16.05" customHeight="1">
      <c r="A21" s="180" t="s">
        <v>374</v>
      </c>
      <c r="H21" s="297"/>
      <c r="I21" s="297"/>
    </row>
    <row r="22" spans="1:16" s="130" customFormat="1" ht="16.05" customHeight="1">
      <c r="A22" s="296"/>
      <c r="B22" s="296"/>
      <c r="C22" s="296"/>
      <c r="D22" s="296"/>
      <c r="F22" s="296"/>
      <c r="G22" s="295"/>
      <c r="H22" s="295"/>
      <c r="I22" s="295"/>
    </row>
    <row r="23" spans="1:16" s="130" customFormat="1" ht="16.05" customHeight="1">
      <c r="A23" s="131" t="s">
        <v>373</v>
      </c>
    </row>
    <row r="24" spans="1:16" ht="15.6">
      <c r="A24" s="255" t="s">
        <v>261</v>
      </c>
      <c r="B24" s="249"/>
      <c r="C24" s="249"/>
      <c r="D24" s="249"/>
      <c r="E24" s="249"/>
      <c r="F24" s="249"/>
      <c r="G24" s="249"/>
      <c r="H24" s="249"/>
      <c r="I24" s="249"/>
      <c r="J24" s="249"/>
      <c r="K24" s="249"/>
      <c r="L24" s="249"/>
      <c r="M24" s="249"/>
    </row>
    <row r="25" spans="1:16">
      <c r="A25" s="256"/>
      <c r="B25" s="249" t="s">
        <v>372</v>
      </c>
      <c r="C25" s="249"/>
      <c r="D25" s="249"/>
      <c r="E25" s="249"/>
      <c r="F25" s="249"/>
      <c r="G25" s="249"/>
      <c r="H25" s="249"/>
      <c r="I25" s="249"/>
      <c r="J25" s="263">
        <v>6.25E-2</v>
      </c>
      <c r="K25" s="249"/>
      <c r="L25" s="249"/>
      <c r="M25" s="249"/>
    </row>
    <row r="26" spans="1:16">
      <c r="A26" s="256"/>
      <c r="B26" s="249" t="s">
        <v>371</v>
      </c>
      <c r="C26" s="249"/>
      <c r="D26" s="249"/>
      <c r="E26" s="249"/>
      <c r="F26" s="249"/>
      <c r="G26" s="249"/>
      <c r="H26" s="249"/>
      <c r="I26" s="249"/>
      <c r="J26" s="288">
        <v>0.2</v>
      </c>
      <c r="K26" s="249"/>
      <c r="L26" s="249"/>
      <c r="M26" s="249"/>
    </row>
    <row r="27" spans="1:16">
      <c r="A27" s="256"/>
      <c r="B27" s="249"/>
      <c r="C27" s="249"/>
      <c r="D27" s="249"/>
      <c r="E27" s="249"/>
      <c r="F27" s="249"/>
      <c r="G27" s="249"/>
      <c r="H27" s="249"/>
      <c r="I27" s="249"/>
      <c r="J27" s="249"/>
      <c r="K27" s="249"/>
      <c r="L27" s="249"/>
      <c r="M27" s="249"/>
    </row>
    <row r="28" spans="1:16">
      <c r="A28" s="256"/>
      <c r="B28" s="249" t="s">
        <v>370</v>
      </c>
      <c r="C28" s="249"/>
      <c r="D28" s="249"/>
      <c r="E28" s="249"/>
      <c r="F28" s="249"/>
      <c r="G28" s="249"/>
      <c r="H28" s="249"/>
      <c r="I28" s="249"/>
      <c r="J28" s="249"/>
      <c r="K28" s="249"/>
      <c r="L28" s="249"/>
      <c r="M28" s="249"/>
    </row>
    <row r="29" spans="1:16">
      <c r="A29" s="256"/>
      <c r="B29" s="294" t="s">
        <v>369</v>
      </c>
      <c r="C29" s="267"/>
      <c r="D29" s="267"/>
      <c r="E29" s="267"/>
      <c r="F29" s="267"/>
      <c r="G29" s="267"/>
      <c r="H29" s="267"/>
      <c r="I29" s="267"/>
      <c r="J29" s="291">
        <v>3.5000000000000003E-2</v>
      </c>
      <c r="K29" s="249"/>
      <c r="L29" s="249"/>
      <c r="M29" s="249"/>
    </row>
    <row r="30" spans="1:16">
      <c r="A30" s="256"/>
      <c r="B30" s="294" t="s">
        <v>368</v>
      </c>
      <c r="C30" s="267"/>
      <c r="D30" s="267"/>
      <c r="E30" s="267"/>
      <c r="F30" s="267"/>
      <c r="G30" s="267"/>
      <c r="H30" s="267"/>
      <c r="I30" s="267"/>
      <c r="J30" s="291">
        <v>7.4999999999999997E-2</v>
      </c>
      <c r="K30" s="249"/>
      <c r="L30" s="249"/>
      <c r="M30" s="249"/>
    </row>
    <row r="31" spans="1:16">
      <c r="A31" s="256"/>
      <c r="B31" s="294" t="s">
        <v>367</v>
      </c>
      <c r="C31" s="267"/>
      <c r="D31" s="267"/>
      <c r="E31" s="267"/>
      <c r="F31" s="267"/>
      <c r="G31" s="267"/>
      <c r="H31" s="267"/>
      <c r="I31" s="267"/>
      <c r="J31" s="293">
        <v>1.1000000000000001</v>
      </c>
      <c r="K31" s="249"/>
      <c r="L31" s="249"/>
      <c r="M31" s="249"/>
    </row>
    <row r="32" spans="1:16">
      <c r="A32" s="256"/>
      <c r="B32" s="294" t="s">
        <v>366</v>
      </c>
      <c r="C32" s="267"/>
      <c r="D32" s="267"/>
      <c r="E32" s="267"/>
      <c r="F32" s="267"/>
      <c r="G32" s="267"/>
      <c r="H32" s="267"/>
      <c r="I32" s="267"/>
      <c r="J32" s="293"/>
      <c r="K32" s="249"/>
      <c r="L32" s="249"/>
      <c r="M32" s="249"/>
      <c r="P32" s="292"/>
    </row>
    <row r="33" spans="1:22">
      <c r="A33" s="256"/>
      <c r="B33" s="289" t="s">
        <v>365</v>
      </c>
      <c r="C33" s="267"/>
      <c r="D33" s="267"/>
      <c r="E33" s="267"/>
      <c r="F33" s="267"/>
      <c r="G33" s="267"/>
      <c r="H33" s="267"/>
      <c r="I33" s="267"/>
      <c r="J33" s="291">
        <v>0.08</v>
      </c>
      <c r="K33" s="249"/>
      <c r="L33" s="249"/>
      <c r="M33" s="249"/>
      <c r="O33" s="290"/>
    </row>
    <row r="34" spans="1:22">
      <c r="A34" s="256"/>
      <c r="B34" s="289" t="s">
        <v>364</v>
      </c>
      <c r="C34" s="249"/>
      <c r="D34" s="249"/>
      <c r="E34" s="249"/>
      <c r="F34" s="249"/>
      <c r="G34" s="249"/>
      <c r="H34" s="249"/>
      <c r="I34" s="249"/>
      <c r="J34" s="288">
        <f>J31</f>
        <v>1.1000000000000001</v>
      </c>
      <c r="K34" s="249"/>
      <c r="L34" s="249"/>
      <c r="M34" s="249"/>
    </row>
    <row r="35" spans="1:22">
      <c r="A35" s="256"/>
      <c r="B35" s="249"/>
      <c r="C35" s="249"/>
      <c r="D35" s="249"/>
      <c r="E35" s="249"/>
      <c r="F35" s="249"/>
      <c r="G35" s="249"/>
      <c r="H35" s="249"/>
      <c r="I35" s="249"/>
      <c r="J35" s="287" t="s">
        <v>363</v>
      </c>
      <c r="K35" s="287" t="s">
        <v>362</v>
      </c>
      <c r="L35" s="249"/>
      <c r="M35" s="249"/>
    </row>
    <row r="36" spans="1:22" ht="14.55" customHeight="1">
      <c r="A36" s="256"/>
      <c r="B36" s="249" t="s">
        <v>361</v>
      </c>
      <c r="C36" s="249"/>
      <c r="D36" s="249"/>
      <c r="E36" s="249"/>
      <c r="F36" s="249"/>
      <c r="G36" s="249"/>
      <c r="H36" s="249"/>
      <c r="I36" s="249"/>
      <c r="J36" s="263">
        <f>J30-J29</f>
        <v>3.9999999999999994E-2</v>
      </c>
      <c r="K36" s="263">
        <v>0.04</v>
      </c>
      <c r="L36" s="249"/>
      <c r="M36" s="249"/>
      <c r="R36" s="279"/>
    </row>
    <row r="37" spans="1:22">
      <c r="A37" s="249"/>
      <c r="B37" s="268" t="s">
        <v>360</v>
      </c>
      <c r="C37" s="268"/>
      <c r="D37" s="268"/>
      <c r="E37" s="268"/>
      <c r="F37" s="268"/>
      <c r="G37" s="268"/>
      <c r="H37" s="268"/>
      <c r="I37" s="268"/>
      <c r="J37" s="283">
        <f>(J29+J31*(J30-J29))*(1-J26)</f>
        <v>6.3200000000000006E-2</v>
      </c>
      <c r="K37" s="286">
        <f>(J29+J31*(J30-J29))</f>
        <v>7.9000000000000001E-2</v>
      </c>
      <c r="L37" s="249"/>
      <c r="M37" s="249"/>
      <c r="R37" s="279"/>
    </row>
    <row r="38" spans="1:22" ht="15" customHeight="1">
      <c r="A38" s="249"/>
      <c r="B38" s="249" t="s">
        <v>359</v>
      </c>
      <c r="C38" s="268"/>
      <c r="D38" s="268"/>
      <c r="E38" s="268"/>
      <c r="F38" s="268"/>
      <c r="G38" s="268"/>
      <c r="H38" s="268"/>
      <c r="I38" s="268"/>
      <c r="J38" s="285">
        <f>J33*(1-J26)</f>
        <v>6.4000000000000001E-2</v>
      </c>
      <c r="K38" s="284">
        <v>0.08</v>
      </c>
      <c r="L38" s="249"/>
      <c r="M38" s="280"/>
      <c r="O38" s="279"/>
      <c r="P38" s="277"/>
      <c r="Q38" s="277"/>
      <c r="R38" s="277"/>
      <c r="S38" s="277"/>
      <c r="T38" s="277"/>
      <c r="U38" s="277"/>
      <c r="V38" s="277"/>
    </row>
    <row r="39" spans="1:22" ht="15" customHeight="1">
      <c r="A39" s="249"/>
      <c r="B39" s="268" t="s">
        <v>358</v>
      </c>
      <c r="C39" s="268"/>
      <c r="D39" s="268"/>
      <c r="E39" s="268"/>
      <c r="F39" s="268"/>
      <c r="G39" s="268"/>
      <c r="H39" s="268"/>
      <c r="I39" s="268"/>
      <c r="J39" s="283">
        <f>$J$37*F72/(F72+F73)+$J$38*F73/(F72+F73)</f>
        <v>6.3520000000000007E-2</v>
      </c>
      <c r="K39" s="283">
        <f>$K$37*G72/(G72+G73)+$K$38*G73/(G72+G73)</f>
        <v>7.9399999999999998E-2</v>
      </c>
      <c r="L39" s="249"/>
      <c r="M39" s="280"/>
      <c r="O39" s="279"/>
      <c r="P39" s="277"/>
      <c r="Q39" s="277"/>
      <c r="R39" s="277"/>
      <c r="S39" s="277"/>
      <c r="T39" s="277"/>
      <c r="U39" s="277"/>
      <c r="V39" s="277"/>
    </row>
    <row r="40" spans="1:22" ht="15" customHeight="1" thickBot="1">
      <c r="A40" s="249"/>
      <c r="B40" s="268"/>
      <c r="C40" s="268"/>
      <c r="D40" s="268"/>
      <c r="E40" s="268"/>
      <c r="F40" s="268"/>
      <c r="G40" s="268"/>
      <c r="H40" s="268"/>
      <c r="I40" s="268"/>
      <c r="J40" s="282"/>
      <c r="K40" s="280"/>
      <c r="L40" s="249"/>
      <c r="M40" s="280"/>
      <c r="O40" s="279"/>
      <c r="P40" s="277"/>
      <c r="Q40" s="277"/>
      <c r="R40" s="277"/>
      <c r="S40" s="277"/>
      <c r="T40" s="277"/>
      <c r="U40" s="277"/>
      <c r="V40" s="277"/>
    </row>
    <row r="41" spans="1:22" ht="15" customHeight="1" thickBot="1">
      <c r="A41" s="249"/>
      <c r="B41" s="268" t="s">
        <v>357</v>
      </c>
      <c r="C41" s="268"/>
      <c r="D41" s="268"/>
      <c r="E41" s="268"/>
      <c r="F41" s="268"/>
      <c r="G41" s="268"/>
      <c r="H41" s="268"/>
      <c r="I41" s="268"/>
      <c r="J41" s="281">
        <f>J37</f>
        <v>6.3200000000000006E-2</v>
      </c>
      <c r="K41" s="280"/>
      <c r="L41" s="249"/>
      <c r="M41" s="280"/>
      <c r="O41" s="279"/>
      <c r="P41" s="277"/>
      <c r="Q41" s="277"/>
      <c r="R41" s="277"/>
      <c r="S41" s="277"/>
      <c r="T41" s="277"/>
      <c r="U41" s="277"/>
      <c r="V41" s="277"/>
    </row>
    <row r="42" spans="1:22" ht="15" customHeight="1">
      <c r="A42" s="249"/>
      <c r="B42" s="249"/>
      <c r="C42" s="249"/>
      <c r="D42" s="249"/>
      <c r="E42" s="249"/>
      <c r="F42" s="249"/>
      <c r="G42" s="249"/>
      <c r="H42" s="249"/>
      <c r="I42" s="249"/>
      <c r="J42" s="249"/>
      <c r="K42" s="249"/>
      <c r="L42" s="249"/>
      <c r="M42" s="280"/>
      <c r="O42" s="279"/>
      <c r="P42" s="277"/>
      <c r="Q42" s="277"/>
      <c r="R42" s="277"/>
      <c r="S42" s="277"/>
      <c r="T42" s="277"/>
      <c r="U42" s="277"/>
      <c r="V42" s="277"/>
    </row>
    <row r="43" spans="1:22" ht="13.95" customHeight="1">
      <c r="A43" s="249"/>
      <c r="B43" s="249"/>
      <c r="C43" s="278"/>
      <c r="D43" s="278"/>
      <c r="E43" s="278"/>
      <c r="F43" s="278"/>
      <c r="G43" s="278"/>
      <c r="H43" s="278"/>
      <c r="I43" s="278"/>
      <c r="J43" s="278"/>
      <c r="K43" s="278"/>
      <c r="L43" s="278"/>
      <c r="M43" s="278"/>
      <c r="O43" s="277"/>
      <c r="P43" s="277"/>
      <c r="Q43" s="277"/>
      <c r="R43" s="277"/>
    </row>
    <row r="44" spans="1:22">
      <c r="A44" s="249"/>
      <c r="B44" s="249"/>
      <c r="C44" s="249"/>
      <c r="D44" s="249"/>
      <c r="E44" s="249"/>
      <c r="F44" s="249"/>
      <c r="G44" s="249"/>
      <c r="H44" s="249"/>
      <c r="I44" s="249"/>
      <c r="J44" s="249"/>
      <c r="K44" s="249"/>
      <c r="L44" s="249"/>
      <c r="M44" s="249"/>
      <c r="O44" s="277"/>
      <c r="P44" s="277"/>
      <c r="Q44" s="277"/>
      <c r="R44" s="277"/>
    </row>
    <row r="45" spans="1:22">
      <c r="A45" s="249"/>
      <c r="B45" s="249"/>
      <c r="C45" s="249"/>
      <c r="D45" s="249"/>
      <c r="E45" s="249"/>
      <c r="F45" s="249"/>
      <c r="G45" s="249"/>
      <c r="H45" s="249"/>
      <c r="I45" s="249"/>
      <c r="J45" s="249"/>
      <c r="K45" s="249"/>
      <c r="L45" s="249"/>
      <c r="M45" s="249"/>
      <c r="O45" s="277"/>
      <c r="P45" s="277"/>
      <c r="Q45" s="277"/>
      <c r="R45" s="277"/>
    </row>
    <row r="46" spans="1:22" s="275" customFormat="1" ht="15.6">
      <c r="A46" s="276" t="s">
        <v>356</v>
      </c>
    </row>
    <row r="47" spans="1:22" s="275" customFormat="1" ht="15.6">
      <c r="A47" s="276"/>
    </row>
    <row r="48" spans="1:22" s="275" customFormat="1" ht="15.6">
      <c r="A48" s="258" t="s">
        <v>355</v>
      </c>
    </row>
    <row r="49" spans="1:22" ht="15.6">
      <c r="A49" s="255" t="s">
        <v>261</v>
      </c>
      <c r="B49" s="249"/>
      <c r="C49" s="249"/>
      <c r="D49" s="249"/>
      <c r="E49" s="249"/>
      <c r="F49" s="249"/>
      <c r="G49" s="249"/>
      <c r="H49" s="263"/>
      <c r="I49" s="249"/>
      <c r="J49" s="249"/>
      <c r="K49" s="249"/>
      <c r="L49" s="249"/>
      <c r="M49" s="249"/>
    </row>
    <row r="50" spans="1:22">
      <c r="A50" s="249"/>
      <c r="B50" s="249"/>
      <c r="C50" s="249"/>
      <c r="D50" s="249"/>
      <c r="E50" s="273" t="s">
        <v>354</v>
      </c>
      <c r="F50" s="274">
        <v>0</v>
      </c>
      <c r="G50" s="274">
        <v>1</v>
      </c>
      <c r="H50" s="274">
        <v>2</v>
      </c>
      <c r="I50" s="274">
        <v>3</v>
      </c>
      <c r="J50" s="274">
        <v>4</v>
      </c>
      <c r="K50" s="274">
        <v>5</v>
      </c>
      <c r="L50" s="263"/>
      <c r="M50" s="263"/>
    </row>
    <row r="51" spans="1:22">
      <c r="A51" s="249"/>
      <c r="B51" s="249"/>
      <c r="C51" s="249"/>
      <c r="D51" s="249"/>
      <c r="E51" s="273" t="s">
        <v>353</v>
      </c>
      <c r="F51" s="272">
        <v>1000</v>
      </c>
      <c r="G51" s="272">
        <v>1200</v>
      </c>
      <c r="H51" s="272">
        <v>1400</v>
      </c>
      <c r="I51" s="272">
        <v>1550</v>
      </c>
      <c r="J51" s="272">
        <v>1580</v>
      </c>
      <c r="K51" s="272">
        <v>1650</v>
      </c>
      <c r="L51" s="263"/>
      <c r="M51" s="263"/>
    </row>
    <row r="52" spans="1:22">
      <c r="A52" s="249"/>
      <c r="B52" s="249"/>
      <c r="C52" s="249"/>
      <c r="D52" s="249"/>
      <c r="E52" s="273" t="s">
        <v>352</v>
      </c>
      <c r="F52" s="272">
        <v>360</v>
      </c>
      <c r="G52" s="272">
        <v>345</v>
      </c>
      <c r="H52" s="272">
        <v>320</v>
      </c>
      <c r="I52" s="272">
        <v>310</v>
      </c>
      <c r="J52" s="272">
        <v>295</v>
      </c>
      <c r="K52" s="272">
        <v>280</v>
      </c>
      <c r="L52" s="263"/>
      <c r="M52" s="263"/>
      <c r="P52" s="253"/>
      <c r="Q52" s="253"/>
      <c r="R52" s="253"/>
      <c r="S52" s="253"/>
      <c r="T52" s="253"/>
      <c r="U52" s="253"/>
      <c r="V52" s="253"/>
    </row>
    <row r="53" spans="1:22" ht="15" thickBot="1">
      <c r="A53" s="249"/>
      <c r="B53" s="249"/>
      <c r="C53" s="249"/>
      <c r="D53" s="249"/>
      <c r="E53" s="249"/>
      <c r="F53" s="249"/>
      <c r="G53" s="249"/>
      <c r="H53" s="249"/>
      <c r="I53" s="249"/>
      <c r="J53" s="249"/>
      <c r="K53" s="249"/>
      <c r="L53" s="263"/>
      <c r="M53" s="263"/>
      <c r="P53" s="253"/>
      <c r="Q53" s="253"/>
      <c r="R53" s="253"/>
      <c r="S53" s="253"/>
      <c r="T53" s="253"/>
      <c r="U53" s="253"/>
      <c r="V53" s="253"/>
    </row>
    <row r="54" spans="1:22" ht="15" thickBot="1">
      <c r="A54" s="249"/>
      <c r="B54" s="249"/>
      <c r="C54" s="249"/>
      <c r="D54" s="249"/>
      <c r="E54" s="260" t="s">
        <v>351</v>
      </c>
      <c r="F54" s="249"/>
      <c r="G54" s="249"/>
      <c r="H54" s="249"/>
      <c r="I54" s="249"/>
      <c r="J54" s="249"/>
      <c r="K54" s="271">
        <f>J25*(1-J26)</f>
        <v>0.05</v>
      </c>
      <c r="L54" s="249"/>
      <c r="M54" s="263"/>
      <c r="P54" s="253"/>
      <c r="Q54" s="253"/>
      <c r="R54" s="253"/>
      <c r="S54" s="253"/>
      <c r="T54" s="253"/>
      <c r="U54" s="253"/>
      <c r="V54" s="253"/>
    </row>
    <row r="55" spans="1:22">
      <c r="A55" s="249"/>
      <c r="B55" s="249"/>
      <c r="C55" s="249"/>
      <c r="D55" s="249"/>
      <c r="E55" s="260" t="s">
        <v>350</v>
      </c>
      <c r="F55" s="263">
        <f>$K$54</f>
        <v>0.05</v>
      </c>
      <c r="G55" s="263">
        <f>$K$54</f>
        <v>0.05</v>
      </c>
      <c r="H55" s="263">
        <f>$K$54</f>
        <v>0.05</v>
      </c>
      <c r="I55" s="263">
        <f>$K$54</f>
        <v>0.05</v>
      </c>
      <c r="J55" s="263">
        <f>$K$54</f>
        <v>0.05</v>
      </c>
      <c r="K55" s="263">
        <f>$K$54</f>
        <v>0.05</v>
      </c>
      <c r="L55" s="267"/>
      <c r="M55" s="249"/>
      <c r="P55" s="253"/>
      <c r="Q55" s="253"/>
      <c r="R55" s="253"/>
      <c r="S55" s="253"/>
      <c r="T55" s="253"/>
      <c r="U55" s="253"/>
      <c r="V55" s="253"/>
    </row>
    <row r="56" spans="1:22">
      <c r="A56" s="249"/>
      <c r="B56" s="249"/>
      <c r="C56" s="249"/>
      <c r="D56" s="249"/>
      <c r="E56" s="260" t="s">
        <v>349</v>
      </c>
      <c r="F56" s="249"/>
      <c r="G56" s="254">
        <f>G51-F51*(1+G55)</f>
        <v>150</v>
      </c>
      <c r="H56" s="254">
        <f>H51-G51*(1+H55)</f>
        <v>140</v>
      </c>
      <c r="I56" s="254">
        <f>I51-H51*(1+I55)</f>
        <v>80</v>
      </c>
      <c r="J56" s="254">
        <f>J51-I51*(1+J55)</f>
        <v>-47.5</v>
      </c>
      <c r="K56" s="254">
        <f>K51-J51*(1+K55)</f>
        <v>-9</v>
      </c>
      <c r="L56" s="249"/>
      <c r="M56" s="249"/>
      <c r="P56" s="253"/>
      <c r="Q56" s="253"/>
      <c r="R56" s="253"/>
      <c r="S56" s="253"/>
      <c r="T56" s="253"/>
      <c r="U56" s="253"/>
      <c r="V56" s="253"/>
    </row>
    <row r="57" spans="1:22">
      <c r="A57" s="249"/>
      <c r="B57" s="249"/>
      <c r="C57" s="249"/>
      <c r="D57" s="249"/>
      <c r="E57" s="260" t="s">
        <v>348</v>
      </c>
      <c r="F57" s="249"/>
      <c r="G57" s="270">
        <f>G56*(1+$J$41)^-G50</f>
        <v>141.08352144469526</v>
      </c>
      <c r="H57" s="270">
        <f>H56*(1+$J$41)^-H50</f>
        <v>123.85059570013382</v>
      </c>
      <c r="I57" s="270">
        <f>I56*(1+$J$41)^-I50</f>
        <v>66.564869235802334</v>
      </c>
      <c r="J57" s="270">
        <f>J56*(1+$J$41)^-J50</f>
        <v>-37.173524368658427</v>
      </c>
      <c r="K57" s="270">
        <f>K56*(1+$J$41)^-K50</f>
        <v>-6.6247221757143446</v>
      </c>
      <c r="L57" s="249"/>
      <c r="M57" s="249"/>
      <c r="P57" s="253"/>
      <c r="Q57" s="253"/>
      <c r="R57" s="253"/>
      <c r="S57" s="253"/>
      <c r="T57" s="253"/>
      <c r="U57" s="253"/>
      <c r="V57" s="253"/>
    </row>
    <row r="58" spans="1:22" ht="15" thickBot="1">
      <c r="A58" s="249"/>
      <c r="B58" s="249"/>
      <c r="C58" s="249"/>
      <c r="D58" s="249"/>
      <c r="E58" s="260" t="s">
        <v>347</v>
      </c>
      <c r="F58" s="249"/>
      <c r="G58" s="270">
        <f>G56*(1+$J$39)^-G50</f>
        <v>141.04107115992176</v>
      </c>
      <c r="H58" s="270">
        <f>H56*(1+$J$39)^-H50</f>
        <v>123.7760766911705</v>
      </c>
      <c r="I58" s="270">
        <f>I56*(1+$J$39)^-I50</f>
        <v>66.504801678077385</v>
      </c>
      <c r="J58" s="270">
        <f>J56*(1+$J$39)^-J50</f>
        <v>-37.128804344402027</v>
      </c>
      <c r="K58" s="270">
        <f>K56*(1+$J$39)^-K50</f>
        <v>-6.6147616871009927</v>
      </c>
      <c r="L58" s="249"/>
      <c r="M58" s="249"/>
      <c r="P58" s="253"/>
      <c r="Q58" s="253"/>
      <c r="R58" s="253"/>
      <c r="S58" s="253"/>
      <c r="T58" s="253"/>
      <c r="U58" s="253"/>
      <c r="V58" s="253"/>
    </row>
    <row r="59" spans="1:22" ht="14.55" customHeight="1" thickBot="1">
      <c r="A59" s="249"/>
      <c r="B59" s="249"/>
      <c r="C59" s="249"/>
      <c r="D59" s="249" t="s">
        <v>346</v>
      </c>
      <c r="E59" s="260" t="s">
        <v>344</v>
      </c>
      <c r="F59" s="251">
        <f>SUM(G57:K57)</f>
        <v>287.70073983625866</v>
      </c>
      <c r="G59" s="269"/>
      <c r="H59" s="269"/>
      <c r="I59" s="269"/>
      <c r="J59" s="269"/>
      <c r="K59" s="269"/>
      <c r="L59" s="249"/>
      <c r="M59" s="249"/>
      <c r="P59" s="253"/>
      <c r="Q59" s="253"/>
      <c r="R59" s="253"/>
      <c r="S59" s="253"/>
      <c r="T59" s="253"/>
      <c r="U59" s="253"/>
      <c r="V59" s="253"/>
    </row>
    <row r="60" spans="1:22" ht="15" thickBot="1">
      <c r="A60" s="249"/>
      <c r="B60" s="249"/>
      <c r="C60" s="249"/>
      <c r="D60" s="249" t="s">
        <v>345</v>
      </c>
      <c r="E60" s="260" t="s">
        <v>344</v>
      </c>
      <c r="F60" s="251">
        <f>SUM(G58:K58)</f>
        <v>287.57838349766666</v>
      </c>
      <c r="G60" s="249"/>
      <c r="H60" s="249"/>
      <c r="I60" s="249"/>
      <c r="J60" s="249"/>
      <c r="K60" s="249"/>
      <c r="L60" s="249"/>
      <c r="M60" s="249"/>
    </row>
    <row r="61" spans="1:22">
      <c r="A61" s="249"/>
      <c r="B61" s="268"/>
      <c r="C61" s="249"/>
      <c r="D61" s="249"/>
      <c r="E61" s="260"/>
      <c r="F61" s="254"/>
      <c r="G61" s="249"/>
      <c r="H61" s="249"/>
      <c r="I61" s="249"/>
      <c r="J61" s="249"/>
      <c r="K61" s="249"/>
      <c r="L61" s="249"/>
      <c r="M61" s="249"/>
      <c r="O61"/>
      <c r="P61"/>
      <c r="Q61"/>
      <c r="R61"/>
    </row>
    <row r="62" spans="1:22" s="130" customFormat="1" ht="15.6">
      <c r="A62" s="258" t="s">
        <v>343</v>
      </c>
    </row>
    <row r="63" spans="1:22" ht="15.6">
      <c r="A63" s="255" t="s">
        <v>261</v>
      </c>
      <c r="B63" s="268" t="s">
        <v>342</v>
      </c>
      <c r="C63" s="249"/>
      <c r="D63" s="249"/>
      <c r="E63" s="249"/>
      <c r="F63" s="249"/>
      <c r="G63" s="249"/>
      <c r="H63" s="249"/>
      <c r="I63" s="249"/>
      <c r="J63" s="249"/>
      <c r="K63" s="249"/>
      <c r="L63" s="249"/>
      <c r="M63" s="249"/>
      <c r="P63" s="253"/>
      <c r="Q63" s="253"/>
      <c r="R63" s="253"/>
      <c r="S63" s="253"/>
      <c r="T63" s="253"/>
      <c r="U63" s="253"/>
      <c r="V63" s="253"/>
    </row>
    <row r="64" spans="1:22">
      <c r="A64" s="256"/>
      <c r="B64" s="264" t="s">
        <v>341</v>
      </c>
      <c r="C64" s="267"/>
      <c r="D64" s="249"/>
      <c r="E64" s="249"/>
      <c r="F64" s="249"/>
      <c r="G64" s="249"/>
      <c r="H64" s="249"/>
      <c r="I64" s="249"/>
      <c r="J64" s="249"/>
      <c r="K64" s="249"/>
      <c r="L64" s="249"/>
      <c r="M64" s="249"/>
      <c r="P64" s="253"/>
      <c r="Q64" s="253"/>
      <c r="R64" s="253"/>
      <c r="S64" s="253"/>
      <c r="T64" s="253"/>
      <c r="U64" s="253"/>
      <c r="V64" s="253"/>
    </row>
    <row r="65" spans="1:22">
      <c r="A65" s="249"/>
      <c r="B65" s="267"/>
      <c r="C65" s="249"/>
      <c r="D65" s="267"/>
      <c r="E65" s="266"/>
      <c r="F65" s="249"/>
      <c r="G65" s="249"/>
      <c r="H65" s="249"/>
      <c r="I65" s="249"/>
      <c r="J65" s="249"/>
      <c r="K65" s="249"/>
      <c r="L65" s="249"/>
      <c r="M65" s="249"/>
      <c r="P65" s="253"/>
      <c r="Q65" s="253"/>
      <c r="R65" s="253"/>
      <c r="S65" s="253"/>
      <c r="T65" s="253"/>
      <c r="U65" s="253"/>
      <c r="V65" s="253"/>
    </row>
    <row r="66" spans="1:22">
      <c r="A66" s="249"/>
      <c r="B66" s="249"/>
      <c r="C66" s="249"/>
      <c r="D66" s="249"/>
      <c r="E66" s="260" t="s">
        <v>340</v>
      </c>
      <c r="F66" s="262"/>
      <c r="G66" s="265">
        <f>$J$39</f>
        <v>6.3520000000000007E-2</v>
      </c>
      <c r="H66" s="265">
        <f>$J$39</f>
        <v>6.3520000000000007E-2</v>
      </c>
      <c r="I66" s="265">
        <f>$J$39</f>
        <v>6.3520000000000007E-2</v>
      </c>
      <c r="J66" s="265">
        <f>$J$39</f>
        <v>6.3520000000000007E-2</v>
      </c>
      <c r="K66" s="265">
        <f>$J$39</f>
        <v>6.3520000000000007E-2</v>
      </c>
      <c r="L66" s="249"/>
      <c r="M66" s="249"/>
      <c r="P66" s="253"/>
      <c r="Q66" s="253"/>
      <c r="R66" s="253"/>
      <c r="S66" s="253"/>
      <c r="T66" s="253"/>
      <c r="U66" s="253"/>
      <c r="V66" s="253"/>
    </row>
    <row r="67" spans="1:22">
      <c r="A67" s="249"/>
      <c r="B67" s="249"/>
      <c r="C67" s="249"/>
      <c r="D67" s="249"/>
      <c r="E67" s="260" t="s">
        <v>339</v>
      </c>
      <c r="F67" s="254">
        <f>F52</f>
        <v>360</v>
      </c>
      <c r="G67" s="254">
        <f>G52</f>
        <v>345</v>
      </c>
      <c r="H67" s="254">
        <f>H52</f>
        <v>320</v>
      </c>
      <c r="I67" s="254">
        <f>I52</f>
        <v>310</v>
      </c>
      <c r="J67" s="254">
        <f>J52</f>
        <v>295</v>
      </c>
      <c r="K67" s="254">
        <f>K52</f>
        <v>280</v>
      </c>
      <c r="L67" s="249"/>
      <c r="M67" s="249"/>
      <c r="P67" s="253"/>
      <c r="Q67" s="253"/>
      <c r="R67" s="253"/>
      <c r="S67" s="253"/>
      <c r="T67" s="253"/>
      <c r="U67" s="253"/>
      <c r="V67" s="253"/>
    </row>
    <row r="68" spans="1:22">
      <c r="A68" s="249"/>
      <c r="B68" s="249"/>
      <c r="C68" s="249"/>
      <c r="D68" s="249"/>
      <c r="E68" s="260" t="s">
        <v>338</v>
      </c>
      <c r="F68" s="262"/>
      <c r="G68" s="261">
        <f>F67*($G$66-$K$54)</f>
        <v>4.8672000000000013</v>
      </c>
      <c r="H68" s="261">
        <f>G67*($G$66-$K$54)</f>
        <v>4.6644000000000014</v>
      </c>
      <c r="I68" s="261">
        <f>H67*($G$66-$K$54)</f>
        <v>4.3264000000000014</v>
      </c>
      <c r="J68" s="261">
        <f>I67*($G$66-$K$54)</f>
        <v>4.1912000000000011</v>
      </c>
      <c r="K68" s="261">
        <f>J67*($G$66-$K$54)</f>
        <v>3.9884000000000013</v>
      </c>
      <c r="L68" s="249"/>
      <c r="M68" s="249"/>
      <c r="P68" s="253"/>
      <c r="Q68" s="253"/>
      <c r="R68" s="253"/>
      <c r="S68" s="253"/>
      <c r="T68" s="253"/>
      <c r="U68" s="253"/>
      <c r="V68" s="253"/>
    </row>
    <row r="69" spans="1:22" ht="15" thickBot="1">
      <c r="A69" s="249"/>
      <c r="B69" s="249"/>
      <c r="C69" s="249"/>
      <c r="D69" s="249"/>
      <c r="E69" s="260" t="s">
        <v>337</v>
      </c>
      <c r="F69" s="261"/>
      <c r="G69" s="261">
        <f>G68*(1+$G$66)^-G$50</f>
        <v>4.576500676997143</v>
      </c>
      <c r="H69" s="261">
        <f>H68*(1+$G$66)^-H$50</f>
        <v>4.1238652294163991</v>
      </c>
      <c r="I69" s="261">
        <f>I68*(1+$G$66)^-I$50</f>
        <v>3.5965796747504259</v>
      </c>
      <c r="J69" s="261">
        <f>J68*(1+$G$66)^-J$50</f>
        <v>3.2760893635422699</v>
      </c>
      <c r="K69" s="261">
        <f>K68*(1+$G$66)^-K$50</f>
        <v>2.9313683903148453</v>
      </c>
      <c r="L69" s="249"/>
      <c r="M69" s="249"/>
      <c r="P69" s="253"/>
      <c r="Q69" s="253"/>
      <c r="R69" s="253"/>
      <c r="S69" s="253"/>
      <c r="T69" s="253"/>
      <c r="U69" s="253"/>
      <c r="V69" s="253"/>
    </row>
    <row r="70" spans="1:22" ht="15" thickBot="1">
      <c r="A70" s="249"/>
      <c r="B70" s="249"/>
      <c r="C70" s="249"/>
      <c r="D70" s="249"/>
      <c r="E70" s="260" t="s">
        <v>329</v>
      </c>
      <c r="F70" s="251">
        <f>SUM(G69:K69)</f>
        <v>18.504403335021081</v>
      </c>
      <c r="G70" s="249"/>
      <c r="H70" s="249"/>
      <c r="I70" s="249"/>
      <c r="J70" s="249"/>
      <c r="K70" s="249"/>
      <c r="L70" s="249"/>
      <c r="M70" s="249"/>
    </row>
    <row r="71" spans="1:22">
      <c r="A71" s="249"/>
      <c r="B71" s="249"/>
      <c r="C71" s="249"/>
      <c r="D71" s="249"/>
      <c r="E71" s="260"/>
      <c r="F71" s="259"/>
      <c r="G71" s="249"/>
      <c r="H71" s="249"/>
      <c r="I71" s="249"/>
      <c r="J71" s="249"/>
      <c r="K71" s="249"/>
      <c r="L71" s="249"/>
      <c r="M71" s="249"/>
    </row>
    <row r="72" spans="1:22">
      <c r="A72" s="256"/>
      <c r="B72" s="264" t="s">
        <v>336</v>
      </c>
      <c r="C72" s="249"/>
      <c r="D72" s="249"/>
      <c r="E72" s="260" t="s">
        <v>335</v>
      </c>
      <c r="F72" s="254">
        <f>F52-F73</f>
        <v>216</v>
      </c>
      <c r="G72" s="254">
        <f>G52-G73</f>
        <v>207</v>
      </c>
      <c r="H72" s="254">
        <f>H52-H73</f>
        <v>192</v>
      </c>
      <c r="I72" s="254">
        <f>I52-I73</f>
        <v>186</v>
      </c>
      <c r="J72" s="254">
        <f>J52-J73</f>
        <v>177</v>
      </c>
      <c r="K72" s="254">
        <f>K52-K73</f>
        <v>168</v>
      </c>
      <c r="L72" s="249"/>
      <c r="M72" s="249"/>
    </row>
    <row r="73" spans="1:22">
      <c r="A73" s="249"/>
      <c r="B73" s="249"/>
      <c r="C73" s="249"/>
      <c r="D73" s="249"/>
      <c r="E73" s="260" t="s">
        <v>334</v>
      </c>
      <c r="F73" s="254">
        <f>40%*F52</f>
        <v>144</v>
      </c>
      <c r="G73" s="254">
        <f>40%*G52</f>
        <v>138</v>
      </c>
      <c r="H73" s="254">
        <f>40%*H52</f>
        <v>128</v>
      </c>
      <c r="I73" s="254">
        <f>40%*I52</f>
        <v>124</v>
      </c>
      <c r="J73" s="254">
        <f>40%*J52</f>
        <v>118</v>
      </c>
      <c r="K73" s="254">
        <f>40%*K52</f>
        <v>112</v>
      </c>
      <c r="L73" s="249"/>
      <c r="M73" s="249"/>
    </row>
    <row r="74" spans="1:22">
      <c r="A74" s="249"/>
      <c r="B74" s="249"/>
      <c r="C74" s="249"/>
      <c r="D74" s="249"/>
      <c r="E74" s="260" t="s">
        <v>333</v>
      </c>
      <c r="F74" s="263">
        <f>$J$37-$K$54</f>
        <v>1.3200000000000003E-2</v>
      </c>
      <c r="G74" s="263">
        <f>$J$37-$K$54</f>
        <v>1.3200000000000003E-2</v>
      </c>
      <c r="H74" s="263">
        <f>$J$37-$K$54</f>
        <v>1.3200000000000003E-2</v>
      </c>
      <c r="I74" s="263">
        <f>$J$37-$K$54</f>
        <v>1.3200000000000003E-2</v>
      </c>
      <c r="J74" s="263">
        <f>$J$37-$K$54</f>
        <v>1.3200000000000003E-2</v>
      </c>
      <c r="K74" s="263">
        <f>$J$37-$K$54</f>
        <v>1.3200000000000003E-2</v>
      </c>
      <c r="L74" s="249"/>
      <c r="M74" s="249"/>
    </row>
    <row r="75" spans="1:22">
      <c r="A75" s="249"/>
      <c r="B75" s="249"/>
      <c r="C75" s="249"/>
      <c r="D75" s="249"/>
      <c r="E75" s="260" t="s">
        <v>332</v>
      </c>
      <c r="F75" s="263">
        <f>$J$38-$K$54</f>
        <v>1.3999999999999999E-2</v>
      </c>
      <c r="G75" s="263">
        <f>$J$38-$K$54</f>
        <v>1.3999999999999999E-2</v>
      </c>
      <c r="H75" s="263">
        <f>$J$38-$K$54</f>
        <v>1.3999999999999999E-2</v>
      </c>
      <c r="I75" s="263">
        <f>$J$38-$K$54</f>
        <v>1.3999999999999999E-2</v>
      </c>
      <c r="J75" s="263">
        <f>$J$38-$K$54</f>
        <v>1.3999999999999999E-2</v>
      </c>
      <c r="K75" s="263">
        <f>$J$38-$K$54</f>
        <v>1.3999999999999999E-2</v>
      </c>
      <c r="L75" s="249"/>
      <c r="M75" s="249"/>
    </row>
    <row r="76" spans="1:22">
      <c r="A76" s="249"/>
      <c r="B76" s="249"/>
      <c r="C76" s="249"/>
      <c r="D76" s="249"/>
      <c r="E76" s="260" t="s">
        <v>331</v>
      </c>
      <c r="F76" s="262"/>
      <c r="G76" s="261">
        <f>F72*F74+F73*F75</f>
        <v>4.8672000000000004</v>
      </c>
      <c r="H76" s="261">
        <f>G72*G74+G73*G75</f>
        <v>4.6644000000000005</v>
      </c>
      <c r="I76" s="261">
        <f>H72*H74+H73*H75</f>
        <v>4.3264000000000005</v>
      </c>
      <c r="J76" s="261">
        <f>I72*I74+I73*I75</f>
        <v>4.1912000000000003</v>
      </c>
      <c r="K76" s="261">
        <f>J72*J74+J73*J75</f>
        <v>3.9884000000000004</v>
      </c>
      <c r="L76" s="261"/>
      <c r="M76" s="261"/>
    </row>
    <row r="77" spans="1:22" ht="15" thickBot="1">
      <c r="A77" s="249"/>
      <c r="B77" s="249"/>
      <c r="C77" s="249"/>
      <c r="D77" s="249"/>
      <c r="E77" s="260" t="s">
        <v>330</v>
      </c>
      <c r="F77" s="261"/>
      <c r="G77" s="261">
        <f>G76*(1+$J$41)^-G50</f>
        <v>4.577878103837473</v>
      </c>
      <c r="H77" s="261">
        <f>H76*(1+$J$41)^-H50</f>
        <v>4.1263479898836017</v>
      </c>
      <c r="I77" s="261">
        <f>I76*(1+$J$41)^-I50</f>
        <v>3.5998281282721907</v>
      </c>
      <c r="J77" s="261">
        <f>J76*(1+$J$41)^-J50</f>
        <v>3.280035270187815</v>
      </c>
      <c r="K77" s="261">
        <f>K76*(1+$J$41)^-K50</f>
        <v>2.9357824361798994</v>
      </c>
      <c r="L77" s="249"/>
      <c r="M77" s="249"/>
    </row>
    <row r="78" spans="1:22" ht="15" thickBot="1">
      <c r="A78" s="249"/>
      <c r="B78" s="249"/>
      <c r="C78" s="249"/>
      <c r="D78" s="249"/>
      <c r="E78" s="260" t="s">
        <v>329</v>
      </c>
      <c r="F78" s="251">
        <f>SUM(G77:K77)</f>
        <v>18.519871928360981</v>
      </c>
      <c r="G78" s="249"/>
      <c r="H78" s="249"/>
      <c r="I78" s="249"/>
      <c r="J78" s="249"/>
      <c r="K78" s="249"/>
      <c r="L78" s="249"/>
      <c r="M78" s="249"/>
    </row>
    <row r="79" spans="1:22">
      <c r="A79" s="249"/>
      <c r="B79" s="249"/>
      <c r="C79" s="249"/>
      <c r="D79" s="249"/>
      <c r="E79" s="260"/>
      <c r="F79" s="259"/>
      <c r="G79" s="249"/>
      <c r="H79" s="249"/>
      <c r="I79" s="249"/>
      <c r="J79" s="249"/>
      <c r="K79" s="249"/>
      <c r="L79" s="249"/>
      <c r="M79" s="249"/>
    </row>
    <row r="80" spans="1:22" s="130" customFormat="1" ht="15.6">
      <c r="A80" s="258" t="s">
        <v>328</v>
      </c>
    </row>
    <row r="81" spans="1:22" ht="15.6">
      <c r="A81" s="255" t="s">
        <v>261</v>
      </c>
      <c r="B81" s="257"/>
      <c r="C81" s="249"/>
      <c r="D81" s="249"/>
      <c r="E81" s="249"/>
      <c r="F81" s="249"/>
      <c r="G81" s="249"/>
      <c r="H81" s="249"/>
      <c r="I81" s="249" t="s">
        <v>327</v>
      </c>
      <c r="J81" s="249"/>
      <c r="K81" s="249"/>
      <c r="L81" s="249"/>
      <c r="M81" s="249"/>
      <c r="P81" s="253"/>
      <c r="Q81" s="253"/>
      <c r="R81" s="253"/>
      <c r="S81" s="253"/>
      <c r="T81" s="253"/>
      <c r="U81" s="253"/>
      <c r="V81" s="253"/>
    </row>
    <row r="82" spans="1:22">
      <c r="A82" s="249"/>
      <c r="B82" s="249" t="s">
        <v>326</v>
      </c>
      <c r="C82" s="249"/>
      <c r="D82" s="249"/>
      <c r="E82" s="249"/>
      <c r="F82" s="249"/>
      <c r="G82" s="249"/>
      <c r="H82" s="249"/>
      <c r="I82" s="249"/>
      <c r="J82" s="249"/>
      <c r="K82" s="249"/>
      <c r="L82" s="249"/>
      <c r="M82" s="249"/>
      <c r="P82" s="253"/>
      <c r="Q82" s="253"/>
      <c r="R82" s="253"/>
      <c r="S82" s="253"/>
      <c r="T82" s="253"/>
      <c r="U82" s="253"/>
      <c r="V82" s="253"/>
    </row>
    <row r="83" spans="1:22">
      <c r="A83" s="249"/>
      <c r="B83" s="249" t="s">
        <v>325</v>
      </c>
      <c r="C83" s="249"/>
      <c r="D83" s="249"/>
      <c r="E83" s="249"/>
      <c r="F83" s="249"/>
      <c r="G83" s="249"/>
      <c r="H83" s="249"/>
      <c r="I83" s="249"/>
      <c r="J83" s="249"/>
      <c r="K83" s="249"/>
      <c r="L83" s="249"/>
      <c r="M83" s="249"/>
      <c r="P83" s="253"/>
      <c r="Q83" s="253"/>
      <c r="R83" s="253"/>
      <c r="S83" s="253"/>
      <c r="T83" s="253"/>
      <c r="U83" s="253"/>
      <c r="V83" s="253"/>
    </row>
    <row r="84" spans="1:22">
      <c r="A84" s="256"/>
      <c r="B84" s="249" t="s">
        <v>324</v>
      </c>
      <c r="C84" s="249"/>
      <c r="D84" s="249"/>
      <c r="E84" s="249"/>
      <c r="F84" s="249"/>
      <c r="G84" s="249"/>
      <c r="H84" s="249"/>
      <c r="I84" s="249"/>
      <c r="J84" s="249"/>
      <c r="K84" s="249"/>
      <c r="L84" s="249"/>
      <c r="M84" s="249"/>
      <c r="P84" s="253"/>
      <c r="Q84" s="253"/>
      <c r="R84" s="253"/>
      <c r="S84" s="253"/>
      <c r="T84" s="253"/>
      <c r="U84" s="253"/>
      <c r="V84" s="253"/>
    </row>
    <row r="85" spans="1:22" ht="15" thickBot="1">
      <c r="A85" s="249"/>
      <c r="B85" s="249"/>
      <c r="C85" s="249"/>
      <c r="D85" s="249"/>
      <c r="E85" s="249"/>
      <c r="F85" s="249"/>
      <c r="G85" s="249"/>
      <c r="H85" s="249"/>
      <c r="I85" s="249"/>
      <c r="J85" s="249"/>
      <c r="K85" s="249"/>
      <c r="L85" s="249"/>
      <c r="M85" s="249"/>
      <c r="P85" s="253"/>
      <c r="Q85" s="253"/>
      <c r="R85" s="253"/>
      <c r="S85" s="253"/>
      <c r="T85" s="253"/>
      <c r="U85" s="253"/>
      <c r="V85" s="253"/>
    </row>
    <row r="86" spans="1:22" ht="15" thickBot="1">
      <c r="A86" s="249"/>
      <c r="B86" s="249" t="s">
        <v>316</v>
      </c>
      <c r="C86" s="251">
        <f>F60-F70</f>
        <v>269.07398016264557</v>
      </c>
      <c r="D86" s="252"/>
      <c r="E86" s="249"/>
      <c r="F86" s="249"/>
      <c r="G86" s="249"/>
      <c r="H86" s="249"/>
      <c r="I86" s="249"/>
      <c r="J86" s="249"/>
      <c r="K86" s="249"/>
      <c r="L86" s="249"/>
      <c r="M86" s="249"/>
      <c r="P86" s="253"/>
      <c r="Q86" s="253"/>
      <c r="R86" s="253"/>
      <c r="S86" s="253"/>
      <c r="T86" s="253"/>
      <c r="U86" s="253"/>
      <c r="V86" s="253"/>
    </row>
    <row r="87" spans="1:22" ht="15" thickBot="1">
      <c r="A87" s="249"/>
      <c r="B87" s="249" t="s">
        <v>314</v>
      </c>
      <c r="C87" s="251">
        <f>F59-F78</f>
        <v>269.18086790789766</v>
      </c>
      <c r="D87" s="252"/>
      <c r="E87" s="249"/>
      <c r="F87" s="249"/>
      <c r="G87" s="249"/>
      <c r="H87" s="249"/>
      <c r="I87" s="249"/>
      <c r="J87" s="249"/>
      <c r="K87" s="249"/>
      <c r="L87" s="249"/>
      <c r="M87" s="249"/>
      <c r="P87" s="253"/>
      <c r="Q87" s="253"/>
      <c r="R87" s="253"/>
      <c r="S87" s="253"/>
      <c r="T87" s="253"/>
      <c r="U87" s="253"/>
      <c r="V87" s="253"/>
    </row>
    <row r="88" spans="1:22">
      <c r="A88" s="249"/>
      <c r="B88" s="249"/>
      <c r="C88" s="249"/>
      <c r="D88" s="249"/>
      <c r="E88" s="249"/>
      <c r="F88" s="249"/>
      <c r="G88" s="249"/>
      <c r="H88" s="249"/>
      <c r="I88" s="249"/>
      <c r="J88" s="249"/>
      <c r="K88" s="249"/>
      <c r="L88" s="249"/>
      <c r="M88" s="249"/>
    </row>
    <row r="89" spans="1:22" s="130" customFormat="1" ht="15.6">
      <c r="A89" s="131" t="s">
        <v>323</v>
      </c>
    </row>
    <row r="90" spans="1:22" s="130" customFormat="1" ht="15.6">
      <c r="A90" s="131"/>
    </row>
    <row r="91" spans="1:22" s="130" customFormat="1" ht="15.6">
      <c r="A91" s="131" t="s">
        <v>322</v>
      </c>
    </row>
    <row r="92" spans="1:22" ht="15.6">
      <c r="A92" s="255" t="s">
        <v>261</v>
      </c>
      <c r="B92" s="249"/>
      <c r="C92" s="249"/>
      <c r="D92" s="249"/>
      <c r="E92" s="249"/>
      <c r="F92" s="249"/>
      <c r="G92" s="249"/>
      <c r="H92" s="249"/>
      <c r="I92" s="249"/>
      <c r="J92" s="249"/>
      <c r="K92" s="249"/>
      <c r="L92" s="249"/>
      <c r="M92" s="249"/>
    </row>
    <row r="93" spans="1:22">
      <c r="A93" s="249"/>
      <c r="B93" s="249"/>
      <c r="C93" s="249" t="s">
        <v>321</v>
      </c>
      <c r="D93" s="249"/>
      <c r="E93" s="249"/>
      <c r="F93" s="249"/>
      <c r="G93" s="249"/>
      <c r="H93" s="249"/>
      <c r="I93" s="249"/>
      <c r="J93" s="249"/>
      <c r="K93" s="249"/>
      <c r="L93" s="249"/>
      <c r="M93" s="249"/>
      <c r="P93" s="253"/>
      <c r="Q93" s="253"/>
      <c r="R93" s="253"/>
      <c r="S93" s="253"/>
      <c r="T93" s="253"/>
      <c r="U93" s="253"/>
      <c r="V93" s="253"/>
    </row>
    <row r="94" spans="1:22">
      <c r="A94" s="249"/>
      <c r="B94" s="249"/>
      <c r="C94" s="249"/>
      <c r="D94" s="249"/>
      <c r="E94" s="249"/>
      <c r="F94" s="249"/>
      <c r="G94" s="249"/>
      <c r="H94" s="249"/>
      <c r="I94" s="249"/>
      <c r="J94" s="249"/>
      <c r="K94" s="249"/>
      <c r="L94" s="249"/>
      <c r="M94" s="249"/>
      <c r="P94" s="253"/>
      <c r="Q94" s="253"/>
      <c r="R94" s="253"/>
      <c r="S94" s="253"/>
      <c r="T94" s="253"/>
      <c r="U94" s="253"/>
      <c r="V94" s="253"/>
    </row>
    <row r="95" spans="1:22">
      <c r="A95" s="249"/>
      <c r="B95" s="249"/>
      <c r="C95" s="249" t="s">
        <v>320</v>
      </c>
      <c r="D95" s="249"/>
      <c r="E95" s="249"/>
      <c r="F95" s="249"/>
      <c r="G95" s="249"/>
      <c r="H95" s="249"/>
      <c r="I95" s="249"/>
      <c r="J95" s="249"/>
      <c r="K95" s="249"/>
      <c r="L95" s="249"/>
      <c r="M95" s="249"/>
      <c r="P95" s="253"/>
      <c r="Q95" s="253"/>
      <c r="R95" s="253"/>
      <c r="S95" s="253"/>
      <c r="T95" s="253"/>
      <c r="U95" s="253"/>
      <c r="V95" s="253"/>
    </row>
    <row r="96" spans="1:22">
      <c r="A96" s="249"/>
      <c r="B96" s="249"/>
      <c r="C96" s="249" t="s">
        <v>319</v>
      </c>
      <c r="D96" s="249"/>
      <c r="E96" s="249"/>
      <c r="F96" s="249"/>
      <c r="G96" s="254">
        <f>F51-F52</f>
        <v>640</v>
      </c>
      <c r="H96" s="249"/>
      <c r="I96" s="249"/>
      <c r="J96" s="249"/>
      <c r="K96" s="249"/>
      <c r="L96" s="249"/>
      <c r="M96" s="249"/>
      <c r="P96" s="253"/>
      <c r="Q96" s="253"/>
      <c r="R96" s="253"/>
      <c r="S96" s="253"/>
      <c r="T96" s="253"/>
      <c r="U96" s="253"/>
      <c r="V96" s="253"/>
    </row>
    <row r="97" spans="1:22">
      <c r="A97" s="249"/>
      <c r="B97" s="249"/>
      <c r="C97" s="249" t="s">
        <v>318</v>
      </c>
      <c r="D97" s="249"/>
      <c r="E97" s="249"/>
      <c r="F97" s="249"/>
      <c r="G97" s="254">
        <f>F52</f>
        <v>360</v>
      </c>
      <c r="H97" s="249"/>
      <c r="I97" s="249"/>
      <c r="J97" s="249"/>
      <c r="K97" s="249"/>
      <c r="L97" s="249"/>
      <c r="M97" s="249"/>
      <c r="P97" s="253"/>
      <c r="Q97" s="253"/>
      <c r="R97" s="253"/>
      <c r="S97" s="253"/>
      <c r="T97" s="253"/>
      <c r="U97" s="253"/>
      <c r="V97" s="253"/>
    </row>
    <row r="98" spans="1:22">
      <c r="A98" s="249"/>
      <c r="B98" s="249"/>
      <c r="C98" s="249" t="s">
        <v>317</v>
      </c>
      <c r="D98" s="249"/>
      <c r="E98" s="249"/>
      <c r="F98" s="249"/>
      <c r="G98" s="254">
        <f>G96+G97</f>
        <v>1000</v>
      </c>
      <c r="H98" s="249"/>
      <c r="I98" s="249"/>
      <c r="J98" s="249"/>
      <c r="K98" s="249"/>
      <c r="L98" s="249"/>
      <c r="M98" s="249"/>
      <c r="P98" s="253"/>
      <c r="Q98" s="253"/>
      <c r="R98" s="253"/>
      <c r="S98" s="253"/>
      <c r="T98" s="253"/>
      <c r="U98" s="253"/>
      <c r="V98" s="253"/>
    </row>
    <row r="99" spans="1:22" ht="15" thickBot="1">
      <c r="A99" s="249"/>
      <c r="B99" s="249"/>
      <c r="C99" s="249"/>
      <c r="D99" s="249"/>
      <c r="E99" s="249"/>
      <c r="F99" s="249"/>
      <c r="G99" s="249"/>
      <c r="H99" s="249"/>
      <c r="I99" s="249"/>
      <c r="J99" s="249"/>
      <c r="K99" s="249"/>
      <c r="L99" s="252"/>
      <c r="M99" s="249"/>
    </row>
    <row r="100" spans="1:22" ht="15" thickBot="1">
      <c r="A100" s="249"/>
      <c r="B100" s="249" t="s">
        <v>316</v>
      </c>
      <c r="C100" s="249" t="s">
        <v>315</v>
      </c>
      <c r="D100" s="249"/>
      <c r="E100" s="249"/>
      <c r="F100" s="249"/>
      <c r="G100" s="251">
        <f>G98+C86</f>
        <v>1269.0739801626455</v>
      </c>
      <c r="H100" s="249"/>
      <c r="I100" s="249"/>
      <c r="J100" s="249"/>
      <c r="K100" s="249"/>
      <c r="L100" s="252"/>
      <c r="M100" s="249"/>
    </row>
    <row r="101" spans="1:22" ht="15" thickBot="1">
      <c r="A101" s="249"/>
      <c r="B101" s="249" t="s">
        <v>314</v>
      </c>
      <c r="C101" s="249" t="s">
        <v>313</v>
      </c>
      <c r="D101" s="249"/>
      <c r="E101" s="249"/>
      <c r="F101" s="249"/>
      <c r="G101" s="251">
        <f>G98+C87</f>
        <v>1269.1808679078977</v>
      </c>
      <c r="H101" s="249"/>
      <c r="I101" s="249"/>
      <c r="J101" s="249"/>
      <c r="K101" s="249"/>
      <c r="L101" s="249"/>
      <c r="M101" s="249"/>
    </row>
    <row r="102" spans="1:22">
      <c r="A102" s="249"/>
      <c r="B102" s="249"/>
      <c r="C102" s="250" t="s">
        <v>312</v>
      </c>
      <c r="D102" s="249"/>
      <c r="E102" s="249"/>
      <c r="F102" s="249"/>
      <c r="G102" s="249"/>
      <c r="H102" s="249"/>
      <c r="I102" s="249"/>
      <c r="J102" s="249"/>
      <c r="K102" s="249"/>
      <c r="L102" s="249"/>
      <c r="M102" s="249"/>
    </row>
    <row r="112" spans="1:22">
      <c r="G112" s="248"/>
    </row>
  </sheetData>
  <mergeCells count="1">
    <mergeCell ref="C43:M4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F0079-F3E3-4B7E-B950-BF4D0F5FF33F}">
  <sheetPr codeName="Sheet5"/>
  <dimension ref="A1:D41"/>
  <sheetViews>
    <sheetView workbookViewId="0">
      <selection activeCell="B21" sqref="B21"/>
    </sheetView>
  </sheetViews>
  <sheetFormatPr defaultColWidth="8.77734375" defaultRowHeight="14.4"/>
  <cols>
    <col min="2" max="2" width="151.6640625" bestFit="1" customWidth="1"/>
    <col min="3" max="3" width="80.77734375" customWidth="1"/>
    <col min="4" max="4" width="120.109375" customWidth="1"/>
  </cols>
  <sheetData>
    <row r="1" spans="1:4">
      <c r="A1" t="s">
        <v>47</v>
      </c>
      <c r="B1" t="s">
        <v>48</v>
      </c>
      <c r="C1" t="s">
        <v>49</v>
      </c>
      <c r="D1" t="s">
        <v>50</v>
      </c>
    </row>
    <row r="2" spans="1:4">
      <c r="A2">
        <v>1</v>
      </c>
      <c r="B2" t="str">
        <f t="shared" ref="B2:B27" si="0">"LO"&amp;A2&amp;" "&amp;C2&amp;D2</f>
        <v>LO1 o   Chapter 1: Overview of Valuation Concepts (excluding 1.1-1.9)·        Statutory Valuation of Individual Life and Annuity Contracts, Claire, D., Lombardi, L. and Summers, S., 5th Edition, 2018</v>
      </c>
      <c r="C2" s="11" t="s">
        <v>20</v>
      </c>
      <c r="D2" s="10" t="s">
        <v>19</v>
      </c>
    </row>
    <row r="3" spans="1:4">
      <c r="A3">
        <v>1</v>
      </c>
      <c r="B3" t="str">
        <f t="shared" si="0"/>
        <v>LO1 o   Chapter 2: Product Classifications (2.2 only)·        Statutory Valuation of Individual Life and Annuity Contracts, Claire, D., Lombardi, L. and Summers, S., 5th Edition, 2018</v>
      </c>
      <c r="C3" s="11" t="s">
        <v>21</v>
      </c>
      <c r="D3" s="10" t="s">
        <v>19</v>
      </c>
    </row>
    <row r="4" spans="1:4">
      <c r="A4">
        <v>1</v>
      </c>
      <c r="B4" t="str">
        <f t="shared" si="0"/>
        <v>LO1 o   Chapter 3: NAIC Annual Statement·        Statutory Valuation of Individual Life and Annuity Contracts, Claire, D., Lombardi, L. and Summers, S., 5th Edition, 2018</v>
      </c>
      <c r="C4" s="11" t="s">
        <v>22</v>
      </c>
      <c r="D4" s="10" t="s">
        <v>19</v>
      </c>
    </row>
    <row r="5" spans="1:4">
      <c r="A5">
        <v>1</v>
      </c>
      <c r="B5" t="str">
        <f t="shared" si="0"/>
        <v>LO1 o   Chapter 5: The Valuation Manual (excluding 5.4)·        Statutory Valuation of Individual Life and Annuity Contracts, Claire, D., Lombardi, L. and Summers, S., 5th Edition, 2018</v>
      </c>
      <c r="C5" s="11" t="s">
        <v>23</v>
      </c>
      <c r="D5" s="10" t="s">
        <v>19</v>
      </c>
    </row>
    <row r="6" spans="1:4">
      <c r="A6">
        <v>1</v>
      </c>
      <c r="B6" t="str">
        <f t="shared" si="0"/>
        <v>LO1 o   Chapter 10: Valuation Assumptions (excluding 10.1.3 &amp; 10.3.8)·        Statutory Valuation of Individual Life and Annuity Contracts, Claire, D., Lombardi, L. and Summers, S., 5th Edition, 2018</v>
      </c>
      <c r="C6" s="11" t="s">
        <v>24</v>
      </c>
      <c r="D6" s="10" t="s">
        <v>19</v>
      </c>
    </row>
    <row r="7" spans="1:4">
      <c r="A7">
        <v>1</v>
      </c>
      <c r="B7" t="str">
        <f t="shared" si="0"/>
        <v>LO1 o   Chapter 11: Valuation Methodologies (excluding 11.3.9-11.3.11)·        Statutory Valuation of Individual Life and Annuity Contracts, Claire, D., Lombardi, L. and Summers, S., 5th Edition, 2018</v>
      </c>
      <c r="C7" s="11" t="s">
        <v>25</v>
      </c>
      <c r="D7" s="10" t="s">
        <v>19</v>
      </c>
    </row>
    <row r="8" spans="1:4">
      <c r="A8">
        <v>1</v>
      </c>
      <c r="B8" t="str">
        <f t="shared" si="0"/>
        <v>LO1 o   Chapter 12: Whole Life ·        Statutory Valuation of Individual Life and Annuity Contracts, Claire, D., Lombardi, L. and Summers, S., 5th Edition, 2018</v>
      </c>
      <c r="C8" s="11" t="s">
        <v>26</v>
      </c>
      <c r="D8" s="10" t="s">
        <v>19</v>
      </c>
    </row>
    <row r="9" spans="1:4">
      <c r="A9">
        <v>1</v>
      </c>
      <c r="B9" t="str">
        <f t="shared" si="0"/>
        <v>LO1 o   Chapter 13: Term Life Insurance ·        Statutory Valuation of Individual Life and Annuity Contracts, Claire, D., Lombardi, L. and Summers, S., 5th Edition, 2018</v>
      </c>
      <c r="C9" s="11" t="s">
        <v>27</v>
      </c>
      <c r="D9" s="10" t="s">
        <v>19</v>
      </c>
    </row>
    <row r="10" spans="1:4">
      <c r="A10">
        <v>1</v>
      </c>
      <c r="B10" t="str">
        <f t="shared" si="0"/>
        <v>LO1 o   Chapter 14: Universal Life (excluding 14.4.8, 14.4.9, 14.5.0 &amp; 14.6.2-14.6.6)·        Statutory Valuation of Individual Life and Annuity Contracts, Claire, D., Lombardi, L. and Summers, S., 5th Edition, 2018</v>
      </c>
      <c r="C10" s="11" t="s">
        <v>28</v>
      </c>
      <c r="D10" s="10" t="s">
        <v>19</v>
      </c>
    </row>
    <row r="11" spans="1:4">
      <c r="A11">
        <v>1</v>
      </c>
      <c r="B11" t="str">
        <f t="shared" si="0"/>
        <v>LO1 o   Chapter 16: Indexed Universal Life (excluding 16.4.2-16.4.3)·        Statutory Valuation of Individual Life and Annuity Contracts, Claire, D., Lombardi, L. and Summers, S., 5th Edition, 2018</v>
      </c>
      <c r="C11" s="11" t="s">
        <v>29</v>
      </c>
      <c r="D11" s="10" t="s">
        <v>19</v>
      </c>
    </row>
    <row r="12" spans="1:4">
      <c r="A12">
        <v>1</v>
      </c>
      <c r="B12" t="str">
        <f t="shared" si="0"/>
        <v>LO1 o   Chapter 18: Fixed Deferred Annuities (excluding 18.7.4 &amp; 18.8)·        Statutory Valuation of Individual Life and Annuity Contracts, Claire, D., Lombardi, L. and Summers, S., 5th Edition, 2018</v>
      </c>
      <c r="C12" s="11" t="s">
        <v>30</v>
      </c>
      <c r="D12" s="10" t="s">
        <v>19</v>
      </c>
    </row>
    <row r="13" spans="1:4">
      <c r="A13">
        <v>1</v>
      </c>
      <c r="B13" t="str">
        <f t="shared" si="0"/>
        <v>LO1 o   Chapter 20: Indexed Deferred Annuities ·        Statutory Valuation of Individual Life and Annuity Contracts, Claire, D., Lombardi, L. and Summers, S., 5th Edition, 2018</v>
      </c>
      <c r="C13" s="11" t="s">
        <v>31</v>
      </c>
      <c r="D13" s="10" t="s">
        <v>19</v>
      </c>
    </row>
    <row r="14" spans="1:4">
      <c r="A14">
        <v>1</v>
      </c>
      <c r="B14" t="str">
        <f t="shared" si="0"/>
        <v>LO1 o   Chapter 21: Immediate Annuities ·        Statutory Valuation of Individual Life and Annuity Contracts, Claire, D., Lombardi, L. and Summers, S., 5th Edition, 2018</v>
      </c>
      <c r="C14" s="11" t="s">
        <v>32</v>
      </c>
      <c r="D14" s="10" t="s">
        <v>19</v>
      </c>
    </row>
    <row r="15" spans="1:4">
      <c r="A15">
        <v>1</v>
      </c>
      <c r="B15" t="str">
        <f t="shared" si="0"/>
        <v>LO1 o   Chapter 23: VM-20: PBR for Life Products (excluding 23.1)·        Statutory Valuation of Individual Life and Annuity Contracts, Claire, D., Lombardi, L. and Summers, S., 5th Edition, 2018</v>
      </c>
      <c r="C15" s="11" t="s">
        <v>33</v>
      </c>
      <c r="D15" s="10" t="s">
        <v>19</v>
      </c>
    </row>
    <row r="16" spans="1:4">
      <c r="A16">
        <v>1</v>
      </c>
      <c r="B16" t="str">
        <f t="shared" si="0"/>
        <v>LO1 o   Chapter 24: VM 21: PBR for Variable Annuities·        Statutory Valuation of Individual Life and Annuity Contracts, Claire, D., Lombardi, L. and Summers, S., 5th Edition, 2018</v>
      </c>
      <c r="C16" s="11" t="s">
        <v>34</v>
      </c>
      <c r="D16" s="10" t="s">
        <v>19</v>
      </c>
    </row>
    <row r="17" spans="1:4">
      <c r="A17">
        <v>1</v>
      </c>
      <c r="B17" t="str">
        <f t="shared" si="0"/>
        <v>LO1 o   Chapter 25: Principle-Based Reserve Report·        Statutory Valuation of Individual Life and Annuity Contracts, Claire, D., Lombardi, L. and Summers, S., 5th Edition, 2018</v>
      </c>
      <c r="C17" s="11" t="s">
        <v>35</v>
      </c>
      <c r="D17" s="10" t="s">
        <v>19</v>
      </c>
    </row>
    <row r="18" spans="1:4" ht="15">
      <c r="A18">
        <v>1</v>
      </c>
      <c r="B18" t="str">
        <f t="shared" si="0"/>
        <v xml:space="preserve">LO1 o   Chapter 1: US GAAP Objectives and their Implications to Insurers·         US GAAP for Insurers, Freedman, M., and Frasca, R., 3rd Edition, 2024 </v>
      </c>
      <c r="C18" s="11" t="s">
        <v>37</v>
      </c>
      <c r="D18" s="10" t="s">
        <v>36</v>
      </c>
    </row>
    <row r="19" spans="1:4" ht="15">
      <c r="A19">
        <v>1</v>
      </c>
      <c r="B19" t="str">
        <f t="shared" si="0"/>
        <v xml:space="preserve">LO1 o   Chapter 3: Product Classification and Measurement·         US GAAP for Insurers, Freedman, M., and Frasca, R., 3rd Edition, 2024 </v>
      </c>
      <c r="C19" s="11" t="s">
        <v>38</v>
      </c>
      <c r="D19" s="10" t="s">
        <v>36</v>
      </c>
    </row>
    <row r="20" spans="1:4" ht="15">
      <c r="A20">
        <v>1</v>
      </c>
      <c r="B20" t="str">
        <f t="shared" si="0"/>
        <v xml:space="preserve">LO1 o   Chapter 4: Expenses·         US GAAP for Insurers, Freedman, M., and Frasca, R., 3rd Edition, 2024 </v>
      </c>
      <c r="C20" s="11" t="s">
        <v>39</v>
      </c>
      <c r="D20" s="10" t="s">
        <v>36</v>
      </c>
    </row>
    <row r="21" spans="1:4" ht="15">
      <c r="A21">
        <v>1</v>
      </c>
      <c r="B21" t="str">
        <f t="shared" si="0"/>
        <v xml:space="preserve">LO1 o   Chapter 5: Nonparticipating Traditional Life Insurance·         US GAAP for Insurers, Freedman, M., and Frasca, R., 3rd Edition, 2024 </v>
      </c>
      <c r="C21" s="11" t="s">
        <v>40</v>
      </c>
      <c r="D21" s="10" t="s">
        <v>36</v>
      </c>
    </row>
    <row r="22" spans="1:4" ht="15">
      <c r="A22">
        <v>1</v>
      </c>
      <c r="B22" t="str">
        <f t="shared" si="0"/>
        <v xml:space="preserve">LO1 o   Chapter 7: Universal Life Insurance (only sections 1, 2, 5-7)·         US GAAP for Insurers, Freedman, M., and Frasca, R., 3rd Edition, 2024 </v>
      </c>
      <c r="C22" s="11" t="s">
        <v>41</v>
      </c>
      <c r="D22" s="10" t="s">
        <v>36</v>
      </c>
    </row>
    <row r="23" spans="1:4" ht="15">
      <c r="A23">
        <v>1</v>
      </c>
      <c r="B23" t="str">
        <f t="shared" si="0"/>
        <v xml:space="preserve">LO1 o   Chapter 11: Deferred Annuities ·         US GAAP for Insurers, Freedman, M., and Frasca, R., 3rd Edition, 2024 </v>
      </c>
      <c r="C23" s="11" t="s">
        <v>42</v>
      </c>
      <c r="D23" s="10" t="s">
        <v>36</v>
      </c>
    </row>
    <row r="24" spans="1:4" ht="15">
      <c r="A24">
        <v>1</v>
      </c>
      <c r="B24" t="str">
        <f t="shared" si="0"/>
        <v xml:space="preserve">LO1 o   Chapter 12: Payout Annuities ·         US GAAP for Insurers, Freedman, M., and Frasca, R., 3rd Edition, 2024 </v>
      </c>
      <c r="C24" s="11" t="s">
        <v>43</v>
      </c>
      <c r="D24" s="10" t="s">
        <v>36</v>
      </c>
    </row>
    <row r="25" spans="1:4">
      <c r="A25">
        <v>1</v>
      </c>
      <c r="B25" t="str">
        <f t="shared" si="0"/>
        <v>LO1 ·        Interactive Principle-Based Reserves Model</v>
      </c>
      <c r="C25" s="12" t="s">
        <v>44</v>
      </c>
    </row>
    <row r="26" spans="1:4" ht="28.8">
      <c r="A26">
        <v>1</v>
      </c>
      <c r="B26" t="str">
        <f t="shared" si="0"/>
        <v>LO1 ·        Implementation Considerations for VA Market Risk Benefits, Financial Reporter, Sep 2019</v>
      </c>
      <c r="C26" s="12" t="s">
        <v>45</v>
      </c>
    </row>
    <row r="27" spans="1:4">
      <c r="A27">
        <v>1</v>
      </c>
      <c r="B27" t="str">
        <f t="shared" si="0"/>
        <v>LO1 Targeted Improvements Interactive Model</v>
      </c>
      <c r="C27" s="13" t="s">
        <v>46</v>
      </c>
    </row>
    <row r="28" spans="1:4">
      <c r="A28">
        <v>2</v>
      </c>
      <c r="B28" t="str">
        <f t="shared" ref="B28:B41" si="1">"LO"&amp;A28&amp;" "&amp;C28&amp;D28</f>
        <v>LO2 o   Ch. 29: Risk-Based Capital·        Statutory Valuation of Individual Life and Annuity Contracts, Claire, D., Lombardi, L. and Summers, S., 5th Edition, 2018</v>
      </c>
      <c r="C28" s="15" t="s">
        <v>51</v>
      </c>
      <c r="D28" s="14" t="s">
        <v>19</v>
      </c>
    </row>
    <row r="29" spans="1:4">
      <c r="A29">
        <v>2</v>
      </c>
      <c r="B29" t="str">
        <f t="shared" si="1"/>
        <v>LO2 ·        ILA201-800-25: The Theory of Risk Capital in Financial Firms</v>
      </c>
      <c r="C29" s="14" t="s">
        <v>52</v>
      </c>
    </row>
    <row r="30" spans="1:4">
      <c r="A30">
        <v>2</v>
      </c>
      <c r="B30" t="str">
        <f t="shared" si="1"/>
        <v>LO2 ·        Economic Capital for Life Insurance Companies, SOA Research Paper, Oct 2016 (Sections 2 &amp; 6)</v>
      </c>
      <c r="C30" s="16" t="s">
        <v>53</v>
      </c>
    </row>
    <row r="31" spans="1:4">
      <c r="A31">
        <v>2</v>
      </c>
      <c r="B31" t="str">
        <f t="shared" si="1"/>
        <v>LO2 A Multi-Stakeholder Approach to Capital Adequacy, Conning Research, Actuarial Practice Forum</v>
      </c>
      <c r="C31" s="13" t="s">
        <v>54</v>
      </c>
    </row>
    <row r="32" spans="1:4">
      <c r="A32">
        <v>3</v>
      </c>
      <c r="B32" t="str">
        <f t="shared" si="1"/>
        <v>LO3 ·        ILA201-801-25: Diversification of Longevity and Mortality Risk</v>
      </c>
      <c r="C32" s="14" t="s">
        <v>55</v>
      </c>
    </row>
    <row r="33" spans="1:3">
      <c r="A33">
        <v>3</v>
      </c>
      <c r="B33" t="str">
        <f t="shared" si="1"/>
        <v>LO3 ·        ILA201-100-25: Diversification: Consideration on Modelling Aspects &amp; Related Fungibility and Individual Life and Annuities – Life ALM and Modelling Exam Fall 2024 and Spring 2025 6 Transferability, CRO, Oct 2013, pp. 1-18</v>
      </c>
      <c r="C33" s="14" t="s">
        <v>56</v>
      </c>
    </row>
    <row r="34" spans="1:3">
      <c r="A34">
        <v>3</v>
      </c>
      <c r="B34" t="str">
        <f t="shared" si="1"/>
        <v>LO3 ·        ILA201-802-25: NAIC Own Risk and Solvency Assessment (ORSA) Guidance Manual, National Association of Insurance Commissioners, Dec 2017</v>
      </c>
      <c r="C34" s="14" t="s">
        <v>57</v>
      </c>
    </row>
    <row r="35" spans="1:3">
      <c r="A35">
        <v>3</v>
      </c>
      <c r="B35" t="str">
        <f t="shared" si="1"/>
        <v>LO3 Rating Agency Perspectives on Insurance Company Capital, SOA Research Institute, Aug 2023 (excluding Appendices)</v>
      </c>
      <c r="C35" s="13" t="s">
        <v>58</v>
      </c>
    </row>
    <row r="36" spans="1:3">
      <c r="A36">
        <v>4</v>
      </c>
      <c r="B36" t="str">
        <f t="shared" si="1"/>
        <v xml:space="preserve">LO4 ILA201-101-25: Life in-force Management: Improving Consumer Value and Long-Term Profitability </v>
      </c>
      <c r="C36" s="17" t="s">
        <v>59</v>
      </c>
    </row>
    <row r="37" spans="1:3">
      <c r="A37">
        <v>4</v>
      </c>
      <c r="B37" t="str">
        <f t="shared" si="1"/>
        <v>LO4 ILA201-102-25: Economics of Insurance: How Insurers Create Value for Shareholders, pp. 4-31</v>
      </c>
      <c r="C37" s="17" t="s">
        <v>60</v>
      </c>
    </row>
    <row r="38" spans="1:3" ht="28.8">
      <c r="A38">
        <v>4</v>
      </c>
      <c r="B38" t="str">
        <f t="shared" si="1"/>
        <v>LO4 I FAQ on Certain Insurance Reserves Held by Insurance Companies for the Purpose of Determining U.S. Taxable Income after the Passage of the Tax Cuts and Jobs Act of 2017</v>
      </c>
      <c r="C38" s="18" t="s">
        <v>61</v>
      </c>
    </row>
    <row r="39" spans="1:3" ht="28.8">
      <c r="A39">
        <v>4</v>
      </c>
      <c r="B39" t="str">
        <f t="shared" si="1"/>
        <v>LO4 Evolving Strategies to Improve Inforce Post-Level Term Profitability, Product Matters, Feb 2015, pp. 23-28</v>
      </c>
      <c r="C39" s="18" t="s">
        <v>62</v>
      </c>
    </row>
    <row r="40" spans="1:3">
      <c r="A40">
        <v>4</v>
      </c>
      <c r="B40" t="str">
        <f t="shared" si="1"/>
        <v>LO4 Mechanics of Dividends, SOA Research Institute, Mar 2022</v>
      </c>
      <c r="C40" s="18" t="s">
        <v>63</v>
      </c>
    </row>
    <row r="41" spans="1:3">
      <c r="A41">
        <v>4</v>
      </c>
      <c r="B41" t="str">
        <f t="shared" si="1"/>
        <v>LO4 Embedded Value: Practice and Theory, Actuarial Practice Forum, Mar 2009</v>
      </c>
      <c r="C41" s="13" t="s">
        <v>64</v>
      </c>
    </row>
  </sheetData>
  <hyperlinks>
    <hyperlink ref="C25" r:id="rId1" display="https://www.soa.org/globalassets/assets/files/edu/2020/spring/intro-study-notes/interactive-principle-based-reserves.xlsx" xr:uid="{CEEF72CC-E152-49E2-A254-507F9DE61AFE}"/>
    <hyperlink ref="C26" r:id="rId2" display="https://sections.soa.org/publication/?m=59605&amp;i=614324&amp;view=articleBrowser&amp;article_id=3465172" xr:uid="{A25D9721-C4D4-433E-8C28-7FBFE8489336}"/>
    <hyperlink ref="C27" r:id="rId3" display="https://www.soa.org/globalassets/assets/files/edu/2020/spring/intro-study-notes/targeted-improvements-interactive-model.xlsx" xr:uid="{6E51CAFC-C9D5-4200-8091-A662729C4483}"/>
    <hyperlink ref="C35" r:id="rId4" display="https://www.soa.org/4a506a/globalassets/assets/files/resources/research-report/2023/rating-agency-perspectives.pdf" xr:uid="{E52A4FD8-1A16-41F6-BADE-482918BB99EA}"/>
    <hyperlink ref="C38" r:id="rId5" display="https://www.actuary.org/sites/default/files/2021-12/Tax_WG_FAQ2 .pdf" xr:uid="{16D6E730-498F-425D-9231-01ED9F9804A1}"/>
    <hyperlink ref="C39" r:id="rId6" display="https://www.soa.org/globalassets/assets/library/newsletters/product-development-news/2015/february/pro-2015-iss91-hrischenko.pdf" xr:uid="{F98A9168-1790-4A43-9644-CF73DAEA3DC0}"/>
    <hyperlink ref="C40" r:id="rId7" display="https://www.soa.org/globalassets/assets/files/resources/research-report/2022/mechanics-dividends.pdf" xr:uid="{5C59E60C-5A04-48CA-B672-BE9AFD88D91D}"/>
    <hyperlink ref="C41" r:id="rId8" display="http://www.soa.org/library/journals/actuarial-practice-forum/2009/march/apf-2009-03-frasca-lasorella.aspx" xr:uid="{B4862084-F06B-4117-B8B1-4AE8E260E8F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A56C0-CDFC-49C4-8242-16256165E89F}">
  <sheetPr codeName="Sheet2"/>
  <dimension ref="A1:Q21"/>
  <sheetViews>
    <sheetView workbookViewId="0">
      <pane xSplit="1" ySplit="3" topLeftCell="B14" activePane="bottomRight" state="frozen"/>
      <selection pane="topRight" activeCell="B1" sqref="B1"/>
      <selection pane="bottomLeft" activeCell="A3" sqref="A3"/>
      <selection pane="bottomRight" activeCell="B15" sqref="B15:C15"/>
    </sheetView>
  </sheetViews>
  <sheetFormatPr defaultColWidth="8.77734375" defaultRowHeight="14.4"/>
  <cols>
    <col min="1" max="1" width="24.109375" style="7" customWidth="1"/>
    <col min="2" max="2" width="49.109375" style="6" customWidth="1"/>
    <col min="3" max="3" width="18.33203125" style="6" customWidth="1"/>
    <col min="4" max="4" width="49.109375" style="6" customWidth="1"/>
    <col min="5" max="5" width="18.33203125" style="6" customWidth="1"/>
    <col min="6" max="6" width="49.109375" style="6" customWidth="1"/>
    <col min="7" max="7" width="18.33203125" style="6" customWidth="1"/>
    <col min="8" max="8" width="49.109375" style="6" customWidth="1"/>
    <col min="9" max="9" width="18.33203125" style="6" customWidth="1"/>
    <col min="10" max="10" width="49.109375" style="6" customWidth="1"/>
    <col min="11" max="11" width="18.33203125" style="6" customWidth="1"/>
    <col min="12" max="12" width="49.109375" style="6" customWidth="1"/>
    <col min="13" max="13" width="18.33203125" style="6" customWidth="1"/>
    <col min="14" max="14" width="49.109375" style="6" customWidth="1"/>
    <col min="15" max="15" width="18.33203125" style="6" customWidth="1"/>
    <col min="16" max="16" width="49.109375" style="6" customWidth="1"/>
    <col min="17" max="17" width="18.33203125" style="6" customWidth="1"/>
  </cols>
  <sheetData>
    <row r="1" spans="1:17" s="23" customFormat="1" ht="23.4">
      <c r="A1" s="21" t="s">
        <v>66</v>
      </c>
      <c r="B1" s="22" t="s">
        <v>79</v>
      </c>
      <c r="C1" s="22"/>
      <c r="D1" s="22"/>
      <c r="E1" s="22"/>
      <c r="F1" s="22"/>
      <c r="G1" s="22"/>
      <c r="H1" s="22"/>
      <c r="I1" s="22"/>
      <c r="J1" s="22"/>
      <c r="K1" s="22"/>
      <c r="L1" s="22"/>
      <c r="M1" s="22"/>
      <c r="N1" s="22"/>
      <c r="O1" s="22"/>
      <c r="P1" s="22"/>
      <c r="Q1" s="22"/>
    </row>
    <row r="2" spans="1:17" s="1" customFormat="1" ht="18">
      <c r="A2" s="3" t="s">
        <v>0</v>
      </c>
      <c r="B2" s="44" t="s">
        <v>2</v>
      </c>
      <c r="C2" s="45"/>
      <c r="D2" s="44" t="s">
        <v>2</v>
      </c>
      <c r="E2" s="45"/>
      <c r="F2" s="44" t="s">
        <v>2</v>
      </c>
      <c r="G2" s="45"/>
      <c r="H2" s="44" t="s">
        <v>80</v>
      </c>
      <c r="I2" s="45"/>
      <c r="J2" s="44" t="s">
        <v>83</v>
      </c>
      <c r="K2" s="45"/>
      <c r="L2" s="44" t="s">
        <v>83</v>
      </c>
      <c r="M2" s="45"/>
      <c r="N2" s="44"/>
      <c r="O2" s="45"/>
      <c r="P2" s="44"/>
      <c r="Q2" s="45"/>
    </row>
    <row r="3" spans="1:17" s="2" customFormat="1" ht="18">
      <c r="A3" s="4" t="s">
        <v>1</v>
      </c>
      <c r="B3" s="46" t="s">
        <v>136</v>
      </c>
      <c r="C3" s="47"/>
      <c r="D3" s="46" t="s">
        <v>137</v>
      </c>
      <c r="E3" s="47"/>
      <c r="F3" s="46" t="s">
        <v>138</v>
      </c>
      <c r="G3" s="47"/>
      <c r="H3" s="46"/>
      <c r="I3" s="47"/>
      <c r="J3" s="46" t="s">
        <v>3</v>
      </c>
      <c r="K3" s="47"/>
      <c r="L3" s="46" t="s">
        <v>109</v>
      </c>
      <c r="M3" s="47"/>
      <c r="N3" s="46"/>
      <c r="O3" s="47"/>
      <c r="P3" s="46"/>
      <c r="Q3" s="47"/>
    </row>
    <row r="4" spans="1:17" ht="15.6">
      <c r="A4" s="5" t="s">
        <v>7</v>
      </c>
      <c r="B4" s="48">
        <v>1</v>
      </c>
      <c r="C4" s="49"/>
      <c r="D4" s="48">
        <v>1</v>
      </c>
      <c r="E4" s="49"/>
      <c r="F4" s="48">
        <v>1</v>
      </c>
      <c r="G4" s="49"/>
      <c r="H4" s="48">
        <v>1</v>
      </c>
      <c r="I4" s="49"/>
      <c r="J4" s="48">
        <v>0.5</v>
      </c>
      <c r="K4" s="49"/>
      <c r="L4" s="48">
        <v>0.5</v>
      </c>
      <c r="M4" s="49"/>
      <c r="N4" s="48"/>
      <c r="O4" s="49"/>
      <c r="P4" s="48"/>
      <c r="Q4" s="49"/>
    </row>
    <row r="5" spans="1:17" ht="15.6">
      <c r="A5" s="5" t="s">
        <v>4</v>
      </c>
      <c r="B5" s="50" t="s">
        <v>84</v>
      </c>
      <c r="C5" s="51"/>
      <c r="D5" s="50" t="s">
        <v>85</v>
      </c>
      <c r="E5" s="51"/>
      <c r="F5" s="50" t="s">
        <v>85</v>
      </c>
      <c r="G5" s="51"/>
      <c r="H5" s="50" t="s">
        <v>92</v>
      </c>
      <c r="I5" s="51"/>
      <c r="J5" s="50" t="s">
        <v>85</v>
      </c>
      <c r="K5" s="51"/>
      <c r="L5" s="50" t="s">
        <v>85</v>
      </c>
      <c r="M5" s="51"/>
      <c r="N5" s="50"/>
      <c r="O5" s="51"/>
      <c r="P5" s="50"/>
      <c r="Q5" s="51"/>
    </row>
    <row r="6" spans="1:17" ht="15.6">
      <c r="A6" s="5" t="s">
        <v>5</v>
      </c>
      <c r="B6" s="52" t="s">
        <v>89</v>
      </c>
      <c r="C6" s="53"/>
      <c r="D6" s="52" t="s">
        <v>86</v>
      </c>
      <c r="E6" s="53"/>
      <c r="F6" s="52" t="s">
        <v>86</v>
      </c>
      <c r="G6" s="53"/>
      <c r="H6" s="52" t="s">
        <v>93</v>
      </c>
      <c r="I6" s="53"/>
      <c r="J6" s="52" t="s">
        <v>142</v>
      </c>
      <c r="K6" s="53"/>
      <c r="L6" s="52" t="s">
        <v>142</v>
      </c>
      <c r="M6" s="53"/>
      <c r="N6" s="52"/>
      <c r="O6" s="53"/>
      <c r="P6" s="52"/>
      <c r="Q6" s="53"/>
    </row>
    <row r="7" spans="1:17" ht="15.6">
      <c r="A7" s="5" t="s">
        <v>6</v>
      </c>
      <c r="B7" s="50" t="s">
        <v>87</v>
      </c>
      <c r="C7" s="51"/>
      <c r="D7" s="50" t="s">
        <v>87</v>
      </c>
      <c r="E7" s="51"/>
      <c r="F7" s="50" t="s">
        <v>87</v>
      </c>
      <c r="G7" s="51"/>
      <c r="H7" s="50" t="s">
        <v>94</v>
      </c>
      <c r="I7" s="51"/>
      <c r="J7" s="50" t="s">
        <v>94</v>
      </c>
      <c r="K7" s="51"/>
      <c r="L7" s="50" t="s">
        <v>94</v>
      </c>
      <c r="M7" s="51"/>
      <c r="N7" s="50"/>
      <c r="O7" s="51"/>
      <c r="P7" s="50"/>
      <c r="Q7" s="51"/>
    </row>
    <row r="8" spans="1:17" ht="15.6">
      <c r="A8" s="5" t="s">
        <v>10</v>
      </c>
      <c r="B8" s="50" t="s">
        <v>88</v>
      </c>
      <c r="C8" s="51"/>
      <c r="D8" s="50" t="s">
        <v>88</v>
      </c>
      <c r="E8" s="51"/>
      <c r="F8" s="50" t="s">
        <v>88</v>
      </c>
      <c r="G8" s="51"/>
      <c r="H8" s="50" t="s">
        <v>11</v>
      </c>
      <c r="I8" s="51"/>
      <c r="J8" s="50"/>
      <c r="K8" s="51"/>
      <c r="L8" s="50"/>
      <c r="M8" s="51"/>
      <c r="N8" s="50"/>
      <c r="O8" s="51"/>
      <c r="P8" s="50"/>
      <c r="Q8" s="51"/>
    </row>
    <row r="9" spans="1:17" ht="31.2" customHeight="1">
      <c r="A9" s="43" t="s">
        <v>17</v>
      </c>
      <c r="B9" s="8" t="s">
        <v>18</v>
      </c>
      <c r="C9" s="8" t="s">
        <v>65</v>
      </c>
      <c r="D9" s="8" t="s">
        <v>18</v>
      </c>
      <c r="E9" s="8" t="s">
        <v>65</v>
      </c>
      <c r="F9" s="8" t="s">
        <v>18</v>
      </c>
      <c r="G9" s="8" t="s">
        <v>65</v>
      </c>
      <c r="H9" s="8" t="s">
        <v>18</v>
      </c>
      <c r="I9" s="8" t="s">
        <v>65</v>
      </c>
      <c r="J9" s="8" t="s">
        <v>18</v>
      </c>
      <c r="K9" s="8" t="s">
        <v>65</v>
      </c>
      <c r="L9" s="8" t="s">
        <v>18</v>
      </c>
      <c r="M9" s="8" t="s">
        <v>65</v>
      </c>
      <c r="N9" s="8" t="s">
        <v>18</v>
      </c>
      <c r="O9" s="8" t="s">
        <v>65</v>
      </c>
      <c r="P9" s="8" t="s">
        <v>18</v>
      </c>
      <c r="Q9" s="8" t="s">
        <v>65</v>
      </c>
    </row>
    <row r="10" spans="1:17" ht="54.45" customHeight="1">
      <c r="A10" s="43"/>
      <c r="B10" s="19" t="s">
        <v>81</v>
      </c>
      <c r="C10" s="6" t="s">
        <v>90</v>
      </c>
      <c r="D10" s="19" t="s">
        <v>81</v>
      </c>
      <c r="E10" s="6">
        <v>385</v>
      </c>
      <c r="F10" s="19" t="s">
        <v>81</v>
      </c>
      <c r="G10" s="6">
        <v>398</v>
      </c>
      <c r="H10" s="19" t="s">
        <v>82</v>
      </c>
      <c r="I10" s="6" t="s">
        <v>114</v>
      </c>
      <c r="J10" s="19" t="s">
        <v>81</v>
      </c>
      <c r="K10" s="6">
        <v>398</v>
      </c>
      <c r="L10" s="19" t="s">
        <v>81</v>
      </c>
      <c r="M10" s="6">
        <v>398</v>
      </c>
      <c r="N10" s="19"/>
      <c r="P10" s="19"/>
    </row>
    <row r="11" spans="1:17" ht="54.45" customHeight="1">
      <c r="A11" s="43"/>
      <c r="B11" s="19"/>
      <c r="D11" s="19" t="s">
        <v>82</v>
      </c>
      <c r="E11" s="6">
        <v>19</v>
      </c>
      <c r="F11" s="19"/>
      <c r="H11" s="19"/>
      <c r="J11" s="19" t="s">
        <v>82</v>
      </c>
      <c r="K11" s="6" t="s">
        <v>96</v>
      </c>
      <c r="L11" s="19" t="s">
        <v>82</v>
      </c>
      <c r="M11" s="6" t="s">
        <v>96</v>
      </c>
      <c r="N11" s="19"/>
      <c r="P11" s="19"/>
    </row>
    <row r="12" spans="1:17" ht="54.45" customHeight="1">
      <c r="A12" s="43"/>
      <c r="B12" s="19"/>
      <c r="D12" s="19"/>
      <c r="F12" s="19"/>
      <c r="H12" s="19"/>
      <c r="J12" s="19"/>
      <c r="L12" s="19"/>
      <c r="N12" s="19"/>
      <c r="P12" s="19"/>
    </row>
    <row r="13" spans="1:17" ht="54.45" customHeight="1">
      <c r="A13" s="43"/>
      <c r="B13" s="19"/>
      <c r="D13" s="19"/>
      <c r="F13" s="19"/>
      <c r="H13" s="19"/>
      <c r="J13" s="19"/>
      <c r="L13" s="19"/>
      <c r="N13" s="19"/>
      <c r="P13" s="19"/>
    </row>
    <row r="14" spans="1:17" ht="54.45" customHeight="1">
      <c r="A14" s="43"/>
      <c r="B14" s="20"/>
      <c r="C14" s="9"/>
      <c r="D14" s="20"/>
      <c r="E14" s="9"/>
      <c r="F14" s="20"/>
      <c r="G14" s="9"/>
      <c r="H14" s="20"/>
      <c r="I14" s="9"/>
      <c r="J14" s="20"/>
      <c r="K14" s="9"/>
      <c r="L14" s="20"/>
      <c r="M14" s="9"/>
      <c r="N14" s="20"/>
      <c r="O14" s="9"/>
      <c r="P14" s="20"/>
      <c r="Q14" s="9"/>
    </row>
    <row r="15" spans="1:17" ht="139.80000000000001" customHeight="1">
      <c r="A15" s="7" t="s">
        <v>8</v>
      </c>
      <c r="B15" s="56" t="s">
        <v>139</v>
      </c>
      <c r="C15" s="57"/>
      <c r="D15" s="56" t="s">
        <v>128</v>
      </c>
      <c r="E15" s="57"/>
      <c r="F15" s="56" t="s">
        <v>141</v>
      </c>
      <c r="G15" s="57"/>
      <c r="H15" s="54"/>
      <c r="I15" s="55"/>
      <c r="J15" s="56" t="s">
        <v>119</v>
      </c>
      <c r="K15" s="57"/>
      <c r="L15" s="56" t="s">
        <v>120</v>
      </c>
      <c r="M15" s="57"/>
      <c r="N15" s="54"/>
      <c r="O15" s="55"/>
      <c r="P15" s="54"/>
      <c r="Q15" s="55"/>
    </row>
    <row r="16" spans="1:17" ht="57.6">
      <c r="A16" s="7" t="s">
        <v>9</v>
      </c>
      <c r="B16" s="58" t="str">
        <f>IF(B8="Excel",HYPERLINK("#'answer-"&amp;B2&amp;"-"&amp;B3&amp;"'!A1"),"N/A")</f>
        <v>N/A</v>
      </c>
      <c r="C16" s="59"/>
      <c r="D16" s="58" t="str">
        <f>IF(D8="Excel",HYPERLINK("#'answer-"&amp;D2&amp;"-"&amp;D3&amp;"'!A1"),"N/A")</f>
        <v>N/A</v>
      </c>
      <c r="E16" s="59"/>
      <c r="F16" s="58" t="str">
        <f>IF(F8="Excel",HYPERLINK("#'answer-"&amp;F2&amp;"-"&amp;F3&amp;"'!A1"),"N/A")</f>
        <v>N/A</v>
      </c>
      <c r="G16" s="59"/>
      <c r="H16" s="58" t="str">
        <f>IF(H8="Excel",HYPERLINK("#'answer-"&amp;H2&amp;"-"&amp;H3&amp;"'!A1"),"N/A")</f>
        <v>#'answer-b-'!A1</v>
      </c>
      <c r="I16" s="59"/>
      <c r="J16" s="58" t="str">
        <f>IF(J8="Excel",HYPERLINK("#'answer-"&amp;J2&amp;"-"&amp;J3&amp;"'!A1"),"N/A")</f>
        <v>N/A</v>
      </c>
      <c r="K16" s="59"/>
      <c r="L16" s="58" t="str">
        <f>IF(L8="Excel",HYPERLINK("#'answer-"&amp;L2&amp;"-"&amp;L3&amp;"'!A1"),"N/A")</f>
        <v>N/A</v>
      </c>
      <c r="M16" s="59"/>
      <c r="N16" s="58" t="str">
        <f>IF(N8="Excel",HYPERLINK("#'answer-"&amp;N2&amp;"-"&amp;N3&amp;"'!A1"),"N/A")</f>
        <v>N/A</v>
      </c>
      <c r="O16" s="59"/>
      <c r="P16" s="58" t="str">
        <f>IF(P8="Excel",HYPERLINK("#'answer-"&amp;P2&amp;"-"&amp;P3&amp;"'!A1"),"N/A")</f>
        <v>N/A</v>
      </c>
      <c r="Q16" s="59"/>
    </row>
    <row r="17" spans="1:17" ht="85.2" customHeight="1">
      <c r="A17" s="7" t="s">
        <v>12</v>
      </c>
      <c r="B17" s="54" t="s">
        <v>110</v>
      </c>
      <c r="C17" s="55"/>
      <c r="D17" s="56" t="s">
        <v>129</v>
      </c>
      <c r="E17" s="57"/>
      <c r="F17" s="56" t="s">
        <v>133</v>
      </c>
      <c r="G17" s="57"/>
      <c r="H17" s="56" t="s">
        <v>115</v>
      </c>
      <c r="I17" s="55"/>
      <c r="J17" s="56" t="s">
        <v>121</v>
      </c>
      <c r="K17" s="57"/>
      <c r="L17" s="56" t="s">
        <v>124</v>
      </c>
      <c r="M17" s="57"/>
      <c r="N17" s="54"/>
      <c r="O17" s="55"/>
      <c r="P17" s="54"/>
      <c r="Q17" s="55"/>
    </row>
    <row r="18" spans="1:17" ht="85.2" customHeight="1">
      <c r="A18" s="7" t="s">
        <v>13</v>
      </c>
      <c r="B18" s="54" t="s">
        <v>111</v>
      </c>
      <c r="C18" s="55"/>
      <c r="D18" s="56" t="s">
        <v>130</v>
      </c>
      <c r="E18" s="57"/>
      <c r="F18" s="56" t="s">
        <v>134</v>
      </c>
      <c r="G18" s="57"/>
      <c r="H18" s="54" t="s">
        <v>117</v>
      </c>
      <c r="I18" s="55"/>
      <c r="J18" s="56" t="s">
        <v>121</v>
      </c>
      <c r="K18" s="57"/>
      <c r="L18" s="56" t="s">
        <v>125</v>
      </c>
      <c r="M18" s="57"/>
      <c r="N18" s="54"/>
      <c r="O18" s="55"/>
      <c r="P18" s="54"/>
      <c r="Q18" s="55"/>
    </row>
    <row r="19" spans="1:17" ht="85.2" customHeight="1">
      <c r="A19" s="7" t="s">
        <v>14</v>
      </c>
      <c r="B19" s="54" t="s">
        <v>113</v>
      </c>
      <c r="C19" s="55"/>
      <c r="D19" s="54" t="s">
        <v>131</v>
      </c>
      <c r="E19" s="55"/>
      <c r="F19" s="54" t="s">
        <v>135</v>
      </c>
      <c r="G19" s="55"/>
      <c r="H19" s="54" t="s">
        <v>118</v>
      </c>
      <c r="I19" s="55"/>
      <c r="J19" s="54" t="s">
        <v>122</v>
      </c>
      <c r="K19" s="55"/>
      <c r="L19" s="54" t="s">
        <v>126</v>
      </c>
      <c r="M19" s="55"/>
      <c r="N19" s="54"/>
      <c r="O19" s="55"/>
      <c r="P19" s="54"/>
      <c r="Q19" s="55"/>
    </row>
    <row r="20" spans="1:17" ht="85.2" customHeight="1">
      <c r="A20" s="7" t="s">
        <v>15</v>
      </c>
      <c r="B20" s="54" t="s">
        <v>112</v>
      </c>
      <c r="C20" s="55"/>
      <c r="D20" s="54" t="s">
        <v>132</v>
      </c>
      <c r="E20" s="55"/>
      <c r="F20" s="54" t="s">
        <v>132</v>
      </c>
      <c r="G20" s="55"/>
      <c r="H20" s="54" t="s">
        <v>116</v>
      </c>
      <c r="I20" s="55"/>
      <c r="J20" s="54" t="s">
        <v>123</v>
      </c>
      <c r="K20" s="55"/>
      <c r="L20" s="54" t="s">
        <v>127</v>
      </c>
      <c r="M20" s="55"/>
      <c r="N20" s="54"/>
      <c r="O20" s="55"/>
      <c r="P20" s="54"/>
      <c r="Q20" s="55"/>
    </row>
    <row r="21" spans="1:17" ht="85.2" customHeight="1">
      <c r="A21" s="7" t="s">
        <v>16</v>
      </c>
      <c r="B21" s="54" t="s">
        <v>91</v>
      </c>
      <c r="C21" s="55"/>
      <c r="D21" s="54" t="s">
        <v>91</v>
      </c>
      <c r="E21" s="55"/>
      <c r="F21" s="54" t="s">
        <v>91</v>
      </c>
      <c r="G21" s="55"/>
      <c r="H21" s="54" t="s">
        <v>91</v>
      </c>
      <c r="I21" s="55"/>
      <c r="J21" s="54" t="s">
        <v>91</v>
      </c>
      <c r="K21" s="55"/>
      <c r="L21" s="54" t="s">
        <v>91</v>
      </c>
      <c r="M21" s="55"/>
      <c r="N21" s="54"/>
      <c r="O21" s="55"/>
      <c r="P21" s="54"/>
      <c r="Q21" s="55"/>
    </row>
  </sheetData>
  <mergeCells count="113">
    <mergeCell ref="P20:Q20"/>
    <mergeCell ref="P21:Q21"/>
    <mergeCell ref="P8:Q8"/>
    <mergeCell ref="P15:Q15"/>
    <mergeCell ref="P16:Q16"/>
    <mergeCell ref="P17:Q17"/>
    <mergeCell ref="P18:Q18"/>
    <mergeCell ref="P19:Q19"/>
    <mergeCell ref="P2:Q2"/>
    <mergeCell ref="P3:Q3"/>
    <mergeCell ref="P4:Q4"/>
    <mergeCell ref="P5:Q5"/>
    <mergeCell ref="P6:Q6"/>
    <mergeCell ref="P7:Q7"/>
    <mergeCell ref="N16:O16"/>
    <mergeCell ref="N17:O17"/>
    <mergeCell ref="N18:O18"/>
    <mergeCell ref="N19:O19"/>
    <mergeCell ref="N20:O20"/>
    <mergeCell ref="N21:O21"/>
    <mergeCell ref="L20:M20"/>
    <mergeCell ref="L21:M21"/>
    <mergeCell ref="N2:O2"/>
    <mergeCell ref="N3:O3"/>
    <mergeCell ref="N4:O4"/>
    <mergeCell ref="N5:O5"/>
    <mergeCell ref="N6:O6"/>
    <mergeCell ref="N7:O7"/>
    <mergeCell ref="N8:O8"/>
    <mergeCell ref="N15:O15"/>
    <mergeCell ref="L8:M8"/>
    <mergeCell ref="L15:M15"/>
    <mergeCell ref="L16:M16"/>
    <mergeCell ref="L17:M17"/>
    <mergeCell ref="L18:M18"/>
    <mergeCell ref="L19:M19"/>
    <mergeCell ref="L2:M2"/>
    <mergeCell ref="L3:M3"/>
    <mergeCell ref="L4:M4"/>
    <mergeCell ref="L5:M5"/>
    <mergeCell ref="L6:M6"/>
    <mergeCell ref="L7:M7"/>
    <mergeCell ref="J16:K16"/>
    <mergeCell ref="J17:K17"/>
    <mergeCell ref="J18:K18"/>
    <mergeCell ref="J19:K19"/>
    <mergeCell ref="J20:K20"/>
    <mergeCell ref="J21:K21"/>
    <mergeCell ref="J2:K2"/>
    <mergeCell ref="J3:K3"/>
    <mergeCell ref="J4:K4"/>
    <mergeCell ref="J5:K5"/>
    <mergeCell ref="J6:K6"/>
    <mergeCell ref="J7:K7"/>
    <mergeCell ref="J8:K8"/>
    <mergeCell ref="J15:K15"/>
    <mergeCell ref="H21:I21"/>
    <mergeCell ref="H2:I2"/>
    <mergeCell ref="H3:I3"/>
    <mergeCell ref="H4:I4"/>
    <mergeCell ref="H5:I5"/>
    <mergeCell ref="H6:I6"/>
    <mergeCell ref="H7:I7"/>
    <mergeCell ref="H8:I8"/>
    <mergeCell ref="H15:I15"/>
    <mergeCell ref="F17:G17"/>
    <mergeCell ref="F18:G18"/>
    <mergeCell ref="F19:G19"/>
    <mergeCell ref="F20:G20"/>
    <mergeCell ref="H16:I16"/>
    <mergeCell ref="H17:I17"/>
    <mergeCell ref="H18:I18"/>
    <mergeCell ref="H19:I19"/>
    <mergeCell ref="H20:I20"/>
    <mergeCell ref="D2:E2"/>
    <mergeCell ref="D3:E3"/>
    <mergeCell ref="D4:E4"/>
    <mergeCell ref="D5:E5"/>
    <mergeCell ref="D6:E6"/>
    <mergeCell ref="D7:E7"/>
    <mergeCell ref="F21:G21"/>
    <mergeCell ref="D20:E20"/>
    <mergeCell ref="D21:E21"/>
    <mergeCell ref="F2:G2"/>
    <mergeCell ref="F3:G3"/>
    <mergeCell ref="F4:G4"/>
    <mergeCell ref="F5:G5"/>
    <mergeCell ref="F6:G6"/>
    <mergeCell ref="F7:G7"/>
    <mergeCell ref="F8:G8"/>
    <mergeCell ref="F15:G15"/>
    <mergeCell ref="D8:E8"/>
    <mergeCell ref="D15:E15"/>
    <mergeCell ref="D16:E16"/>
    <mergeCell ref="D17:E17"/>
    <mergeCell ref="D18:E18"/>
    <mergeCell ref="D19:E19"/>
    <mergeCell ref="F16:G16"/>
    <mergeCell ref="A9:A14"/>
    <mergeCell ref="B2:C2"/>
    <mergeCell ref="B3:C3"/>
    <mergeCell ref="B4:C4"/>
    <mergeCell ref="B5:C5"/>
    <mergeCell ref="B6:C6"/>
    <mergeCell ref="B7:C7"/>
    <mergeCell ref="B21:C21"/>
    <mergeCell ref="B15:C15"/>
    <mergeCell ref="B16:C16"/>
    <mergeCell ref="B17:C17"/>
    <mergeCell ref="B18:C18"/>
    <mergeCell ref="B19:C19"/>
    <mergeCell ref="B20:C20"/>
    <mergeCell ref="B8:C8"/>
  </mergeCells>
  <dataValidations count="7">
    <dataValidation type="list" allowBlank="1" showInputMessage="1" showErrorMessage="1" sqref="F7 D7 L7 N7 P7 J7 H7 B7" xr:uid="{C8F545F3-40C2-4870-8570-95048DA8B5B9}">
      <formula1>"Retrieval, Comprehension, Analysis, Knowledge Utilization"</formula1>
    </dataValidation>
    <dataValidation type="list" allowBlank="1" showInputMessage="1" showErrorMessage="1" promptTitle="Question Part" prompt="a, b, c, etc." sqref="B2 D2 F2 L2 P2 J2 H2 N2" xr:uid="{FEE82D43-A129-4B7A-88BD-5AA877F874FF}">
      <formula1>"a,b,c,d,e,f,g,h,I,j,k,l"</formula1>
    </dataValidation>
    <dataValidation allowBlank="1" showInputMessage="1" showErrorMessage="1" promptTitle="Question Sub-part" prompt="* Typically i, ii, iii, etc_x000a_* Use A, B, C, etc. if there are a series of statements_x000a_* Leave blank if question part does not have sub-parts" sqref="P3 L3 N3 J3 B3:H3" xr:uid="{FF9C370C-1006-4836-8350-426ADF727E9B}"/>
    <dataValidation allowBlank="1" showInputMessage="1" showErrorMessage="1" promptTitle="Learning Objective" prompt="LO1, LO2, etc." sqref="F5 D5 J5 N5 P5 B5 H5 L5" xr:uid="{B61938A6-8544-41B7-8EF2-9B4694A1D2FD}"/>
    <dataValidation type="list" allowBlank="1" showInputMessage="1" showErrorMessage="1" sqref="F8 D8 L8 N8 P8 J8 H8 B8" xr:uid="{C1538CF0-BB11-4819-91D9-2A02CDDBCA31}">
      <formula1>"Word, Excel"</formula1>
    </dataValidation>
    <dataValidation type="list" allowBlank="1" showInputMessage="1" showErrorMessage="1" sqref="L10:L14 P10:P14 F10:F14 J10:J14 N10:N14 D10:D14 H10:H14 B10:B14" xr:uid="{9784FE92-ACEB-4EE4-B54F-DADC21280AFC}">
      <formula1>SourceList</formula1>
    </dataValidation>
    <dataValidation allowBlank="1" showInputMessage="1" showErrorMessage="1" promptTitle="Question Code" prompt="Use your initials, followed by a dash, the number of your question, another dash, and then the year._x000a__x000a_So, if your name is Jane Doe, this is your second question for the year in 2025, you would use the code JD-02-2025" sqref="B1" xr:uid="{E2ABD3B2-AA08-8148-B0A2-6422A967BF94}"/>
  </dataValidations>
  <pageMargins left="0.7" right="0.7" top="0.75" bottom="0.75" header="0.3" footer="0.3"/>
  <pageSetup paperSize="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D6755-81A0-4F99-9224-636E4EC7B8A5}">
  <dimension ref="A1:F5"/>
  <sheetViews>
    <sheetView topLeftCell="C1" workbookViewId="0">
      <selection activeCell="F5" sqref="F5"/>
    </sheetView>
  </sheetViews>
  <sheetFormatPr defaultColWidth="8.77734375" defaultRowHeight="14.4"/>
  <cols>
    <col min="1" max="1" width="14.44140625" customWidth="1"/>
    <col min="2" max="2" width="36.6640625" customWidth="1"/>
    <col min="3" max="3" width="40.77734375" customWidth="1"/>
    <col min="4" max="4" width="38.77734375" customWidth="1"/>
    <col min="5" max="5" width="35" customWidth="1"/>
    <col min="6" max="6" width="53.33203125" customWidth="1"/>
  </cols>
  <sheetData>
    <row r="1" spans="1:6" ht="15.6">
      <c r="A1" s="35" t="s">
        <v>144</v>
      </c>
      <c r="B1" s="36" t="s">
        <v>146</v>
      </c>
      <c r="C1" s="36" t="s">
        <v>147</v>
      </c>
      <c r="D1" s="36" t="s">
        <v>148</v>
      </c>
      <c r="E1" s="36" t="s">
        <v>149</v>
      </c>
      <c r="F1" s="36" t="s">
        <v>150</v>
      </c>
    </row>
    <row r="2" spans="1:6" ht="86.4">
      <c r="A2" s="34" t="s">
        <v>145</v>
      </c>
      <c r="B2" s="24" t="s">
        <v>151</v>
      </c>
      <c r="C2" s="34" t="s">
        <v>152</v>
      </c>
      <c r="D2" s="34" t="s">
        <v>153</v>
      </c>
      <c r="E2" s="34" t="s">
        <v>154</v>
      </c>
      <c r="F2" s="34" t="s">
        <v>155</v>
      </c>
    </row>
    <row r="3" spans="1:6" ht="115.2">
      <c r="A3" s="34" t="s">
        <v>143</v>
      </c>
      <c r="B3" s="34" t="s">
        <v>139</v>
      </c>
      <c r="C3" s="34" t="s">
        <v>128</v>
      </c>
      <c r="D3" s="34" t="s">
        <v>141</v>
      </c>
      <c r="E3" s="34" t="s">
        <v>119</v>
      </c>
      <c r="F3" s="34" t="s">
        <v>120</v>
      </c>
    </row>
    <row r="4" spans="1:6" ht="129.6">
      <c r="A4" s="34" t="s">
        <v>156</v>
      </c>
      <c r="B4" s="34" t="s">
        <v>162</v>
      </c>
      <c r="C4" s="34" t="s">
        <v>128</v>
      </c>
      <c r="D4" s="34" t="s">
        <v>160</v>
      </c>
      <c r="E4" s="34" t="s">
        <v>119</v>
      </c>
      <c r="F4" s="34" t="s">
        <v>165</v>
      </c>
    </row>
    <row r="5" spans="1:6">
      <c r="A5" t="s">
        <v>157</v>
      </c>
      <c r="B5" s="38" t="s">
        <v>161</v>
      </c>
      <c r="C5" s="37" t="s">
        <v>159</v>
      </c>
      <c r="D5" s="37" t="s">
        <v>158</v>
      </c>
      <c r="E5" s="37" t="s">
        <v>159</v>
      </c>
      <c r="F5" s="37" t="s">
        <v>164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2BAE5-71C7-49C6-886C-A2A73B551783}">
  <sheetPr codeName="Sheet4"/>
  <dimension ref="A8:C38"/>
  <sheetViews>
    <sheetView topLeftCell="A13" workbookViewId="0">
      <selection activeCell="C38" sqref="C38"/>
    </sheetView>
  </sheetViews>
  <sheetFormatPr defaultColWidth="8.77734375" defaultRowHeight="14.4"/>
  <cols>
    <col min="1" max="1" width="43.77734375" customWidth="1"/>
  </cols>
  <sheetData>
    <row r="8" spans="1:2">
      <c r="A8" s="31" t="s">
        <v>97</v>
      </c>
      <c r="B8" s="32"/>
    </row>
    <row r="9" spans="1:2">
      <c r="A9" s="32" t="s">
        <v>98</v>
      </c>
      <c r="B9" s="32">
        <v>2000</v>
      </c>
    </row>
    <row r="10" spans="1:2">
      <c r="A10" s="32" t="s">
        <v>99</v>
      </c>
      <c r="B10" s="32">
        <v>1000</v>
      </c>
    </row>
    <row r="11" spans="1:2">
      <c r="A11" s="32" t="s">
        <v>100</v>
      </c>
      <c r="B11" s="32">
        <v>1750</v>
      </c>
    </row>
    <row r="12" spans="1:2">
      <c r="A12" s="32" t="s">
        <v>101</v>
      </c>
      <c r="B12" s="32">
        <v>1800</v>
      </c>
    </row>
    <row r="13" spans="1:2">
      <c r="A13" s="32" t="s">
        <v>102</v>
      </c>
      <c r="B13" s="32">
        <v>1950</v>
      </c>
    </row>
    <row r="14" spans="1:2">
      <c r="A14" s="32" t="s">
        <v>103</v>
      </c>
      <c r="B14" s="32">
        <v>1990</v>
      </c>
    </row>
    <row r="16" spans="1:2">
      <c r="A16" s="33" t="s">
        <v>104</v>
      </c>
    </row>
    <row r="23" spans="1:2">
      <c r="A23" t="s">
        <v>95</v>
      </c>
    </row>
    <row r="32" spans="1:2">
      <c r="A32" t="s">
        <v>105</v>
      </c>
      <c r="B32">
        <f>+($B$9-B10)/$B$9*100</f>
        <v>50</v>
      </c>
    </row>
    <row r="33" spans="1:3">
      <c r="A33" t="s">
        <v>106</v>
      </c>
      <c r="B33">
        <f>+($B$9-B11)/$B$9*100</f>
        <v>12.5</v>
      </c>
    </row>
    <row r="34" spans="1:3">
      <c r="A34" t="s">
        <v>107</v>
      </c>
      <c r="B34">
        <f t="shared" ref="B34:B35" si="0">+($B$9-B12)/$B$9*100</f>
        <v>10</v>
      </c>
      <c r="C34" s="39" t="s">
        <v>166</v>
      </c>
    </row>
    <row r="35" spans="1:3">
      <c r="A35" t="s">
        <v>108</v>
      </c>
      <c r="B35">
        <f t="shared" si="0"/>
        <v>2.5</v>
      </c>
    </row>
    <row r="36" spans="1:3">
      <c r="A36" t="s">
        <v>140</v>
      </c>
      <c r="B36">
        <f>+($B$9-B14)/$B$9*100</f>
        <v>0.5</v>
      </c>
      <c r="C36" s="39" t="s">
        <v>163</v>
      </c>
    </row>
    <row r="38" spans="1:3">
      <c r="C38" s="38" t="s">
        <v>167</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CFFBA-D210-42DB-9221-5928738DC07D}">
  <dimension ref="A1:V55"/>
  <sheetViews>
    <sheetView workbookViewId="0">
      <selection activeCell="A24" sqref="A24"/>
    </sheetView>
  </sheetViews>
  <sheetFormatPr defaultColWidth="8.77734375" defaultRowHeight="14.4"/>
  <cols>
    <col min="1" max="1" width="47.33203125" customWidth="1"/>
    <col min="2" max="14" width="18.44140625" customWidth="1"/>
    <col min="15" max="15" width="21.44140625" bestFit="1" customWidth="1"/>
    <col min="16" max="18" width="22.44140625" bestFit="1" customWidth="1"/>
    <col min="19" max="19" width="17.44140625" customWidth="1"/>
    <col min="20" max="20" width="16.44140625" customWidth="1"/>
    <col min="21" max="21" width="16.6640625" customWidth="1"/>
    <col min="22" max="22" width="16.44140625" customWidth="1"/>
  </cols>
  <sheetData>
    <row r="1" spans="1:22">
      <c r="A1" s="96" t="s">
        <v>193</v>
      </c>
      <c r="B1" s="92">
        <v>45657</v>
      </c>
      <c r="C1" s="92">
        <v>45658</v>
      </c>
      <c r="D1" s="92">
        <v>46023</v>
      </c>
      <c r="E1" s="92">
        <v>46388</v>
      </c>
      <c r="F1" s="92">
        <v>46753</v>
      </c>
      <c r="G1" s="92">
        <v>47119</v>
      </c>
      <c r="H1" s="92">
        <v>47484</v>
      </c>
      <c r="I1" s="92">
        <v>47849</v>
      </c>
      <c r="J1" s="92">
        <v>48214</v>
      </c>
      <c r="K1" s="92">
        <v>48580</v>
      </c>
      <c r="L1" s="92">
        <v>48945</v>
      </c>
      <c r="M1" s="92">
        <v>49310</v>
      </c>
      <c r="N1" s="91">
        <v>49675</v>
      </c>
      <c r="O1" s="61"/>
      <c r="P1" s="61"/>
      <c r="Q1" s="61"/>
      <c r="R1" s="61"/>
      <c r="S1" s="61"/>
      <c r="T1" s="61"/>
      <c r="U1" s="61"/>
      <c r="V1" s="61"/>
    </row>
    <row r="2" spans="1:22">
      <c r="A2" s="95" t="s">
        <v>192</v>
      </c>
      <c r="B2" s="94">
        <v>45657</v>
      </c>
      <c r="C2" s="94">
        <v>46022</v>
      </c>
      <c r="D2" s="94">
        <v>46387</v>
      </c>
      <c r="E2" s="94">
        <v>46752</v>
      </c>
      <c r="F2" s="94">
        <v>47118</v>
      </c>
      <c r="G2" s="94">
        <v>47483</v>
      </c>
      <c r="H2" s="94">
        <v>47848</v>
      </c>
      <c r="I2" s="94">
        <v>48213</v>
      </c>
      <c r="J2" s="94">
        <v>48579</v>
      </c>
      <c r="K2" s="94">
        <v>48944</v>
      </c>
      <c r="L2" s="94">
        <v>49309</v>
      </c>
      <c r="M2" s="94">
        <v>49674</v>
      </c>
      <c r="N2" s="93">
        <v>50040</v>
      </c>
      <c r="O2" s="61"/>
      <c r="P2" s="61"/>
      <c r="Q2" s="61"/>
      <c r="R2" s="61"/>
      <c r="S2" s="61"/>
      <c r="T2" s="61"/>
      <c r="U2" s="61"/>
      <c r="V2" s="61"/>
    </row>
    <row r="3" spans="1:22">
      <c r="A3" s="74" t="s">
        <v>191</v>
      </c>
      <c r="B3" s="73"/>
      <c r="C3" s="92"/>
      <c r="D3" s="92"/>
      <c r="E3" s="92"/>
      <c r="F3" s="92"/>
      <c r="G3" s="92"/>
      <c r="H3" s="92"/>
      <c r="I3" s="92"/>
      <c r="J3" s="92"/>
      <c r="K3" s="92"/>
      <c r="L3" s="92"/>
      <c r="M3" s="92"/>
      <c r="N3" s="91"/>
      <c r="O3" s="61"/>
      <c r="P3" s="61"/>
      <c r="Q3" s="61"/>
      <c r="R3" s="61"/>
      <c r="S3" s="61"/>
      <c r="T3" s="61"/>
      <c r="U3" s="61"/>
      <c r="V3" s="61"/>
    </row>
    <row r="4" spans="1:22">
      <c r="A4" s="75"/>
      <c r="C4" s="61"/>
      <c r="D4" s="61"/>
      <c r="E4" s="61"/>
      <c r="F4" s="61"/>
      <c r="G4" s="61"/>
      <c r="H4" s="61"/>
      <c r="I4" s="61"/>
      <c r="J4" s="61"/>
      <c r="K4" s="61"/>
      <c r="L4" s="61"/>
      <c r="M4" s="61"/>
      <c r="N4" s="90"/>
      <c r="O4" s="61"/>
      <c r="P4" s="61"/>
      <c r="Q4" s="61"/>
      <c r="R4" s="61"/>
      <c r="S4" s="61"/>
      <c r="T4" s="61"/>
      <c r="U4" s="61"/>
      <c r="V4" s="61"/>
    </row>
    <row r="5" spans="1:22">
      <c r="A5" s="82" t="s">
        <v>190</v>
      </c>
      <c r="B5" s="66"/>
      <c r="C5" s="89">
        <v>1500000</v>
      </c>
      <c r="D5" s="89">
        <v>1620000</v>
      </c>
      <c r="E5" s="89">
        <v>1571662.5</v>
      </c>
      <c r="F5" s="89">
        <v>1399225.03125</v>
      </c>
      <c r="G5" s="89">
        <v>1196691.843515625</v>
      </c>
      <c r="H5" s="89">
        <v>989926.16456191393</v>
      </c>
      <c r="I5" s="89">
        <v>742867.36282751104</v>
      </c>
      <c r="J5" s="89">
        <v>431920.40669723268</v>
      </c>
      <c r="K5" s="89">
        <v>86587.145801347579</v>
      </c>
      <c r="L5" s="89">
        <v>-305121.42644265818</v>
      </c>
      <c r="M5" s="89">
        <v>-742442.83984754083</v>
      </c>
      <c r="N5" s="88">
        <v>-2440938.7265228997</v>
      </c>
      <c r="O5" s="87"/>
      <c r="P5" s="87"/>
      <c r="Q5" s="87"/>
      <c r="R5" s="87"/>
      <c r="S5" s="87"/>
      <c r="T5" s="87"/>
      <c r="U5" s="87"/>
      <c r="V5" s="87"/>
    </row>
    <row r="6" spans="1:22">
      <c r="A6" s="75"/>
      <c r="N6" s="86"/>
    </row>
    <row r="7" spans="1:22">
      <c r="A7" s="82" t="s">
        <v>189</v>
      </c>
      <c r="B7" s="66"/>
      <c r="N7" s="86"/>
    </row>
    <row r="8" spans="1:22">
      <c r="A8" s="75" t="s">
        <v>188</v>
      </c>
      <c r="C8" s="80">
        <v>125000000</v>
      </c>
      <c r="D8" s="80">
        <v>102350000</v>
      </c>
      <c r="E8" s="80">
        <v>85512875</v>
      </c>
      <c r="F8" s="80">
        <v>82920822.4375</v>
      </c>
      <c r="G8" s="80">
        <v>88819347.88809374</v>
      </c>
      <c r="H8" s="80">
        <v>83800551.00517343</v>
      </c>
      <c r="I8" s="80">
        <v>74406028.16839233</v>
      </c>
      <c r="J8" s="80">
        <v>71809423.724339128</v>
      </c>
      <c r="K8" s="80">
        <v>64913685.054358557</v>
      </c>
      <c r="L8" s="80">
        <v>58430754.786452509</v>
      </c>
      <c r="M8" s="80">
        <v>56603070.360598989</v>
      </c>
      <c r="N8" s="81">
        <v>54064501.811586238</v>
      </c>
      <c r="O8" s="80"/>
      <c r="P8" s="80"/>
      <c r="Q8" s="80"/>
      <c r="R8" s="80"/>
      <c r="S8" s="80"/>
      <c r="T8" s="80"/>
      <c r="U8" s="80"/>
      <c r="V8" s="80"/>
    </row>
    <row r="9" spans="1:22">
      <c r="A9" s="75" t="s">
        <v>187</v>
      </c>
      <c r="C9" s="85">
        <v>-127500000</v>
      </c>
      <c r="D9" s="85">
        <v>-99118750</v>
      </c>
      <c r="E9" s="85">
        <v>-78193296.875</v>
      </c>
      <c r="F9" s="85">
        <v>-74770491.1484375</v>
      </c>
      <c r="G9" s="85">
        <v>-80730466.746121079</v>
      </c>
      <c r="H9" s="85">
        <v>-74575331.449464753</v>
      </c>
      <c r="I9" s="85">
        <v>-63298262.267888874</v>
      </c>
      <c r="J9" s="85">
        <v>-59866394.621112391</v>
      </c>
      <c r="K9" s="85">
        <v>-51770145.500423685</v>
      </c>
      <c r="L9" s="85">
        <v>-44158462.432732411</v>
      </c>
      <c r="M9" s="85">
        <v>-728950.31126790377</v>
      </c>
      <c r="N9" s="84">
        <v>0</v>
      </c>
      <c r="O9" s="83"/>
      <c r="P9" s="83"/>
      <c r="Q9" s="83"/>
      <c r="R9" s="83"/>
      <c r="S9" s="83"/>
      <c r="T9" s="83"/>
      <c r="U9" s="83"/>
      <c r="V9" s="83"/>
    </row>
    <row r="10" spans="1:22">
      <c r="A10" s="82" t="s">
        <v>186</v>
      </c>
      <c r="B10" s="66"/>
      <c r="C10" s="80">
        <v>-2500000</v>
      </c>
      <c r="D10" s="80">
        <v>3231250</v>
      </c>
      <c r="E10" s="80">
        <v>7319578.125</v>
      </c>
      <c r="F10" s="80">
        <v>8150331.2890625</v>
      </c>
      <c r="G10" s="80">
        <v>8088881.141972661</v>
      </c>
      <c r="H10" s="80">
        <v>9225219.5557086766</v>
      </c>
      <c r="I10" s="80">
        <v>11107765.900503457</v>
      </c>
      <c r="J10" s="80">
        <v>11943029.103226736</v>
      </c>
      <c r="K10" s="80">
        <v>13143539.553934872</v>
      </c>
      <c r="L10" s="80">
        <v>14272292.353720099</v>
      </c>
      <c r="M10" s="80">
        <v>55874120.049331084</v>
      </c>
      <c r="N10" s="81">
        <v>54064501.811586238</v>
      </c>
      <c r="O10" s="80"/>
      <c r="P10" s="80"/>
      <c r="Q10" s="80"/>
      <c r="R10" s="80"/>
      <c r="S10" s="80"/>
      <c r="T10" s="80"/>
      <c r="U10" s="80"/>
      <c r="V10" s="80"/>
    </row>
    <row r="11" spans="1:22">
      <c r="A11" s="75"/>
    </row>
    <row r="12" spans="1:22">
      <c r="A12" s="79" t="s">
        <v>185</v>
      </c>
      <c r="B12" s="78"/>
      <c r="C12" s="77">
        <v>-0.2</v>
      </c>
      <c r="D12" s="77">
        <v>-0.2</v>
      </c>
      <c r="E12" s="77">
        <v>7.0000000000000007E-2</v>
      </c>
      <c r="F12" s="77">
        <v>0.2</v>
      </c>
      <c r="G12" s="77">
        <v>0.04</v>
      </c>
      <c r="H12" s="77">
        <v>-0.1</v>
      </c>
      <c r="I12" s="77">
        <v>7.0000000000000007E-2</v>
      </c>
      <c r="J12" s="77">
        <v>-0.05</v>
      </c>
      <c r="K12" s="77">
        <v>-0.12</v>
      </c>
      <c r="L12" s="77">
        <v>0.08</v>
      </c>
      <c r="M12" s="77">
        <v>-0.03</v>
      </c>
      <c r="N12" s="76">
        <v>0.08</v>
      </c>
    </row>
    <row r="13" spans="1:22">
      <c r="A13" s="75"/>
    </row>
    <row r="14" spans="1:22">
      <c r="A14" s="74" t="s">
        <v>184</v>
      </c>
      <c r="B14" s="73"/>
      <c r="C14" s="72">
        <v>4.4999999999999998E-2</v>
      </c>
      <c r="D14" s="72">
        <v>3.7999999999999999E-2</v>
      </c>
      <c r="E14" s="72">
        <v>3.5999999999999997E-2</v>
      </c>
      <c r="F14" s="72">
        <v>4.2999999999999997E-2</v>
      </c>
      <c r="G14" s="72">
        <v>3.9E-2</v>
      </c>
      <c r="H14" s="72">
        <v>3.5999999999999997E-2</v>
      </c>
      <c r="I14" s="72">
        <v>4.3999999999999997E-2</v>
      </c>
      <c r="J14" s="72">
        <v>0.04</v>
      </c>
      <c r="K14" s="72">
        <v>3.6999999999999998E-2</v>
      </c>
      <c r="L14" s="72">
        <v>4.2000000000000003E-2</v>
      </c>
      <c r="M14" s="72">
        <v>3.7999999999999999E-2</v>
      </c>
      <c r="N14" s="71">
        <v>4.2999999999999997E-2</v>
      </c>
    </row>
    <row r="15" spans="1:22">
      <c r="A15" s="70" t="s">
        <v>183</v>
      </c>
      <c r="B15" s="69"/>
      <c r="C15" s="68">
        <v>3.5000000000000003E-2</v>
      </c>
      <c r="D15" s="68">
        <v>3.3500000000000002E-2</v>
      </c>
      <c r="E15" s="68">
        <v>3.2000000000000001E-2</v>
      </c>
      <c r="F15" s="68">
        <v>3.4000000000000002E-2</v>
      </c>
      <c r="G15" s="68">
        <v>3.4000000000000002E-2</v>
      </c>
      <c r="H15" s="68">
        <v>3.1E-2</v>
      </c>
      <c r="I15" s="68">
        <v>3.5000000000000003E-2</v>
      </c>
      <c r="J15" s="68">
        <v>3.3000000000000002E-2</v>
      </c>
      <c r="K15" s="68">
        <v>3.0499999999999999E-2</v>
      </c>
      <c r="L15" s="68">
        <v>3.4500000000000003E-2</v>
      </c>
      <c r="M15" s="68">
        <v>3.4000000000000002E-2</v>
      </c>
      <c r="N15" s="67">
        <v>3.4500000000000003E-2</v>
      </c>
    </row>
    <row r="20" spans="1:14">
      <c r="A20" s="66" t="s">
        <v>182</v>
      </c>
    </row>
    <row r="22" spans="1:14">
      <c r="A22" s="66" t="s">
        <v>181</v>
      </c>
    </row>
    <row r="23" spans="1:14">
      <c r="B23" t="s">
        <v>169</v>
      </c>
    </row>
    <row r="24" spans="1:14">
      <c r="B24" s="61">
        <v>45657</v>
      </c>
      <c r="C24" s="61">
        <v>46022</v>
      </c>
      <c r="D24" s="61">
        <v>46387</v>
      </c>
      <c r="E24" s="61">
        <v>46752</v>
      </c>
      <c r="F24" s="61">
        <v>47118</v>
      </c>
      <c r="G24" s="61">
        <v>47483</v>
      </c>
      <c r="H24" s="61">
        <v>47848</v>
      </c>
      <c r="I24" s="61">
        <v>48213</v>
      </c>
      <c r="J24" s="61">
        <v>48579</v>
      </c>
      <c r="K24" s="61">
        <v>48944</v>
      </c>
      <c r="L24" s="61">
        <v>49309</v>
      </c>
      <c r="M24" s="61">
        <v>49674</v>
      </c>
      <c r="N24" s="61">
        <v>50040</v>
      </c>
    </row>
    <row r="25" spans="1:14">
      <c r="A25" t="s">
        <v>180</v>
      </c>
      <c r="B25" s="65"/>
      <c r="C25" s="62">
        <f>C5-C10</f>
        <v>4000000</v>
      </c>
      <c r="D25" s="62">
        <f>D5-D10</f>
        <v>-1611250</v>
      </c>
      <c r="E25" s="62">
        <f>E5-E10</f>
        <v>-5747915.625</v>
      </c>
      <c r="F25" s="62">
        <f>F5-F10</f>
        <v>-6751106.2578125</v>
      </c>
      <c r="G25" s="62">
        <f>G5-G10</f>
        <v>-6892189.2984570358</v>
      </c>
      <c r="H25" s="62">
        <f>H5-H10</f>
        <v>-8235293.3911467623</v>
      </c>
      <c r="I25" s="62">
        <f>I5-I10</f>
        <v>-10364898.537675945</v>
      </c>
      <c r="J25" s="62">
        <f>J5-J10</f>
        <v>-11511108.696529504</v>
      </c>
      <c r="K25" s="62">
        <f>K5-K10</f>
        <v>-13056952.408133525</v>
      </c>
      <c r="L25" s="62">
        <f>L5-L10</f>
        <v>-14577413.780162757</v>
      </c>
      <c r="M25" s="62">
        <f>M5-M10</f>
        <v>-56616562.889178626</v>
      </c>
      <c r="N25" s="62">
        <f>N5-N10</f>
        <v>-56505440.538109139</v>
      </c>
    </row>
    <row r="27" spans="1:14">
      <c r="A27" s="66" t="s">
        <v>179</v>
      </c>
    </row>
    <row r="28" spans="1:14">
      <c r="B28" t="s">
        <v>169</v>
      </c>
    </row>
    <row r="29" spans="1:14">
      <c r="B29" s="61">
        <v>45657</v>
      </c>
      <c r="C29" s="61">
        <v>46022</v>
      </c>
      <c r="D29" s="61">
        <v>46387</v>
      </c>
      <c r="E29" s="61">
        <v>46752</v>
      </c>
      <c r="F29" s="61">
        <v>47118</v>
      </c>
      <c r="G29" s="61">
        <v>47483</v>
      </c>
      <c r="H29" s="61">
        <v>47848</v>
      </c>
      <c r="I29" s="61">
        <v>48213</v>
      </c>
      <c r="J29" s="61">
        <v>48579</v>
      </c>
      <c r="K29" s="61">
        <v>48944</v>
      </c>
      <c r="L29" s="61">
        <v>49309</v>
      </c>
      <c r="M29" s="61">
        <v>49674</v>
      </c>
      <c r="N29" s="61">
        <v>50040</v>
      </c>
    </row>
    <row r="30" spans="1:14">
      <c r="A30" t="s">
        <v>178</v>
      </c>
      <c r="B30" s="65">
        <v>50000000</v>
      </c>
      <c r="C30" s="62">
        <f>B30+C25</f>
        <v>54000000</v>
      </c>
      <c r="D30" s="62">
        <f>C30+D25</f>
        <v>52388750</v>
      </c>
      <c r="E30" s="62">
        <f>D30+E25</f>
        <v>46640834.375</v>
      </c>
      <c r="F30" s="62">
        <f>E30+F25</f>
        <v>39889728.1171875</v>
      </c>
      <c r="G30" s="62">
        <f>F30+G25</f>
        <v>32997538.818730466</v>
      </c>
      <c r="H30" s="62">
        <f>G30+H25</f>
        <v>24762245.427583702</v>
      </c>
      <c r="I30" s="62">
        <f>H30+I25</f>
        <v>14397346.889907757</v>
      </c>
      <c r="J30" s="62">
        <f>I30+J25</f>
        <v>2886238.1933782529</v>
      </c>
      <c r="K30" s="62">
        <f>J30+K25</f>
        <v>-10170714.214755272</v>
      </c>
      <c r="L30" s="62">
        <f>K30+L25</f>
        <v>-24748127.99491803</v>
      </c>
      <c r="M30" s="62">
        <f>L30+M25</f>
        <v>-81364690.884096652</v>
      </c>
      <c r="N30" s="62">
        <f>M30+N25</f>
        <v>-137870131.42220581</v>
      </c>
    </row>
    <row r="32" spans="1:14">
      <c r="A32" s="66" t="s">
        <v>177</v>
      </c>
    </row>
    <row r="33" spans="1:14">
      <c r="B33" t="s">
        <v>169</v>
      </c>
    </row>
    <row r="34" spans="1:14">
      <c r="B34" s="61">
        <v>45657</v>
      </c>
      <c r="C34" s="61">
        <v>46022</v>
      </c>
      <c r="D34" s="61">
        <v>46387</v>
      </c>
      <c r="E34" s="61">
        <v>46752</v>
      </c>
      <c r="F34" s="61">
        <v>47118</v>
      </c>
      <c r="G34" s="61">
        <v>47483</v>
      </c>
      <c r="H34" s="61">
        <v>47848</v>
      </c>
      <c r="I34" s="61">
        <v>48213</v>
      </c>
      <c r="J34" s="61">
        <v>48579</v>
      </c>
      <c r="K34" s="61">
        <v>48944</v>
      </c>
      <c r="L34" s="61">
        <v>49309</v>
      </c>
      <c r="M34" s="61">
        <v>49674</v>
      </c>
      <c r="N34" s="61">
        <v>50040</v>
      </c>
    </row>
    <row r="35" spans="1:14">
      <c r="A35" t="s">
        <v>176</v>
      </c>
      <c r="B35" s="65">
        <v>1000000000</v>
      </c>
      <c r="C35" s="62">
        <f>B35*(1+C12)+C9</f>
        <v>672500000</v>
      </c>
      <c r="D35" s="62">
        <f>C35*(1+D12)+D9</f>
        <v>438881250</v>
      </c>
      <c r="E35" s="62">
        <f>D35*(1+E12)+E9</f>
        <v>391409640.625</v>
      </c>
      <c r="F35" s="62">
        <f>E35*(1+F12)+F9</f>
        <v>394921077.6015625</v>
      </c>
      <c r="G35" s="62">
        <f>F35*(1+G12)+G9</f>
        <v>329987453.95950389</v>
      </c>
      <c r="H35" s="62">
        <f>G35*(1+H12)+H9</f>
        <v>222413377.11408877</v>
      </c>
      <c r="I35" s="62">
        <f>H35*(1+I12)+I9</f>
        <v>174684051.24418613</v>
      </c>
      <c r="J35" s="62">
        <f>I35*(1+J12)+J9</f>
        <v>106083454.06086443</v>
      </c>
      <c r="K35" s="62">
        <f>J35*(1+K12)+K9</f>
        <v>41583294.073137015</v>
      </c>
      <c r="L35" s="62">
        <f>K35*(1+L12)+L9</f>
        <v>751495.16625557095</v>
      </c>
      <c r="M35" s="62">
        <f>L35*(1+M12)+M9</f>
        <v>0</v>
      </c>
      <c r="N35" s="62">
        <f>M35*(1+N12)+N9</f>
        <v>0</v>
      </c>
    </row>
    <row r="39" spans="1:14">
      <c r="A39" s="64" t="s">
        <v>175</v>
      </c>
    </row>
    <row r="41" spans="1:14">
      <c r="A41" t="s">
        <v>174</v>
      </c>
    </row>
    <row r="42" spans="1:14">
      <c r="B42" t="s">
        <v>169</v>
      </c>
    </row>
    <row r="43" spans="1:14">
      <c r="B43" s="61">
        <v>45657</v>
      </c>
      <c r="C43" s="61">
        <v>46022</v>
      </c>
      <c r="D43" s="61">
        <v>46387</v>
      </c>
      <c r="E43" s="61">
        <v>46752</v>
      </c>
      <c r="F43" s="61">
        <v>47118</v>
      </c>
      <c r="G43" s="61">
        <v>47483</v>
      </c>
      <c r="H43" s="61">
        <v>47848</v>
      </c>
      <c r="I43" s="61">
        <v>48213</v>
      </c>
      <c r="J43" s="61">
        <v>48579</v>
      </c>
      <c r="K43" s="61">
        <v>48944</v>
      </c>
      <c r="L43" s="61">
        <v>49309</v>
      </c>
      <c r="M43" s="61">
        <v>49674</v>
      </c>
      <c r="N43" s="61">
        <v>50040</v>
      </c>
    </row>
    <row r="44" spans="1:14">
      <c r="A44" t="s">
        <v>173</v>
      </c>
      <c r="B44">
        <v>1</v>
      </c>
      <c r="C44" s="63">
        <f>B44/(1+C14)</f>
        <v>0.95693779904306231</v>
      </c>
      <c r="D44" s="63">
        <f>C44/(1+D14)</f>
        <v>0.92190539406846073</v>
      </c>
      <c r="E44" s="63">
        <f>D44/(1+E14)</f>
        <v>0.88987007149465314</v>
      </c>
      <c r="F44" s="63">
        <f>E44/(1+F14)</f>
        <v>0.85318319414635968</v>
      </c>
      <c r="G44" s="63">
        <f>F44/(1+G14)</f>
        <v>0.82115803093971096</v>
      </c>
      <c r="H44" s="63">
        <f>G44/(1+H14)</f>
        <v>0.79262358198813798</v>
      </c>
      <c r="I44" s="63">
        <f>H44/(1+I14)</f>
        <v>0.75921799041009386</v>
      </c>
      <c r="J44" s="63">
        <f>I44/(1+J14)</f>
        <v>0.73001729847124408</v>
      </c>
      <c r="K44" s="63">
        <f>J44/(1+K14)</f>
        <v>0.70397039389705318</v>
      </c>
      <c r="L44" s="63">
        <f>K44/(1+L14)</f>
        <v>0.67559538761713356</v>
      </c>
      <c r="M44" s="63">
        <f>L44/(1+M14)</f>
        <v>0.65086260849434829</v>
      </c>
      <c r="N44" s="63">
        <f>M44/(1+N14)</f>
        <v>0.62402934659093801</v>
      </c>
    </row>
    <row r="46" spans="1:14">
      <c r="A46" t="s">
        <v>172</v>
      </c>
    </row>
    <row r="47" spans="1:14">
      <c r="B47" t="s">
        <v>169</v>
      </c>
    </row>
    <row r="48" spans="1:14">
      <c r="B48" s="61">
        <v>45657</v>
      </c>
      <c r="C48" s="61">
        <v>46022</v>
      </c>
      <c r="D48" s="61">
        <v>46387</v>
      </c>
      <c r="E48" s="61">
        <v>46752</v>
      </c>
      <c r="F48" s="61">
        <v>47118</v>
      </c>
      <c r="G48" s="61">
        <v>47483</v>
      </c>
      <c r="H48" s="61">
        <v>47848</v>
      </c>
      <c r="I48" s="61">
        <v>48213</v>
      </c>
      <c r="J48" s="61">
        <v>48579</v>
      </c>
      <c r="K48" s="61">
        <v>48944</v>
      </c>
      <c r="L48" s="61">
        <v>49309</v>
      </c>
      <c r="M48" s="61">
        <v>49674</v>
      </c>
      <c r="N48" s="61">
        <v>50040</v>
      </c>
    </row>
    <row r="49" spans="1:14">
      <c r="A49" t="s">
        <v>171</v>
      </c>
      <c r="B49" s="62">
        <f>-(B30+B35)*B44</f>
        <v>-1050000000</v>
      </c>
      <c r="C49" s="62">
        <f>-(C30+C35)*C44</f>
        <v>-695215311.00478482</v>
      </c>
      <c r="D49" s="62">
        <f>-(D30+D35)*D44</f>
        <v>-452904462.9440127</v>
      </c>
      <c r="E49" s="62">
        <f>-(E30+E35)*E44</f>
        <v>-389808007.50651675</v>
      </c>
      <c r="F49" s="62">
        <f>-(F30+F35)*F44</f>
        <v>-370973272.07247537</v>
      </c>
      <c r="G49" s="62">
        <f>-(G30+G35)*G44</f>
        <v>-298068041.93044013</v>
      </c>
      <c r="H49" s="62">
        <f>-(H30+H35)*H44</f>
        <v>-195917227.31912836</v>
      </c>
      <c r="I49" s="62">
        <f>-(I30+I35)*I44</f>
        <v>-143553999.11529762</v>
      </c>
      <c r="J49" s="62">
        <f>-(J30+J35)*J44</f>
        <v>-79549760.354685098</v>
      </c>
      <c r="K49" s="62">
        <f>-(K30+K35)*K44</f>
        <v>-22113526.216227632</v>
      </c>
      <c r="L49" s="62">
        <f>-(L30+L35)*L44</f>
        <v>16212014.457386246</v>
      </c>
      <c r="M49" s="62">
        <f>-(M30+M35)*M44</f>
        <v>52957234.948159471</v>
      </c>
      <c r="N49" s="62">
        <f>-(N30+N35)*N44</f>
        <v>86035008.025805846</v>
      </c>
    </row>
    <row r="52" spans="1:14">
      <c r="A52" t="s">
        <v>170</v>
      </c>
    </row>
    <row r="53" spans="1:14">
      <c r="B53" t="s">
        <v>169</v>
      </c>
    </row>
    <row r="54" spans="1:14">
      <c r="B54" s="61">
        <v>45657</v>
      </c>
    </row>
    <row r="55" spans="1:14">
      <c r="A55" t="s">
        <v>168</v>
      </c>
      <c r="B55" s="60">
        <f>MAX(B49:N49)+B30+B35</f>
        <v>1136035008.025806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78E1C-C22B-4EE2-A13B-DE64E893600C}">
  <dimension ref="B2:P64"/>
  <sheetViews>
    <sheetView workbookViewId="0">
      <selection activeCell="B8" sqref="B8"/>
    </sheetView>
  </sheetViews>
  <sheetFormatPr defaultColWidth="8.88671875" defaultRowHeight="13.8"/>
  <cols>
    <col min="1" max="2" width="8.88671875" style="97"/>
    <col min="3" max="3" width="13.88671875" style="97" customWidth="1"/>
    <col min="4" max="8" width="13.6640625" style="97" customWidth="1"/>
    <col min="9" max="12" width="8.88671875" style="97"/>
    <col min="13" max="13" width="11.6640625" style="97" customWidth="1"/>
    <col min="14" max="16384" width="8.88671875" style="97"/>
  </cols>
  <sheetData>
    <row r="2" spans="2:16">
      <c r="B2" s="115" t="s">
        <v>231</v>
      </c>
    </row>
    <row r="3" spans="2:16">
      <c r="K3" s="113"/>
      <c r="L3" s="113"/>
      <c r="M3" s="113"/>
      <c r="N3" s="113"/>
      <c r="O3" s="113"/>
      <c r="P3" s="113"/>
    </row>
    <row r="4" spans="2:16">
      <c r="B4" s="102" t="s">
        <v>230</v>
      </c>
      <c r="K4" s="113"/>
      <c r="L4" s="113"/>
      <c r="M4" s="113"/>
      <c r="N4" s="113"/>
      <c r="O4" s="113"/>
      <c r="P4" s="113"/>
    </row>
    <row r="5" spans="2:16">
      <c r="B5" s="114"/>
      <c r="K5" s="113"/>
      <c r="L5" s="113"/>
      <c r="M5" s="113"/>
      <c r="N5" s="113"/>
      <c r="O5" s="113"/>
      <c r="P5" s="113"/>
    </row>
    <row r="6" spans="2:16">
      <c r="B6" s="114"/>
      <c r="C6" s="97" t="s">
        <v>229</v>
      </c>
      <c r="K6" s="113"/>
      <c r="L6" s="113"/>
      <c r="M6" s="113"/>
      <c r="N6" s="113"/>
      <c r="O6" s="113"/>
      <c r="P6" s="113"/>
    </row>
    <row r="7" spans="2:16">
      <c r="B7" s="114"/>
      <c r="C7" s="97" t="s">
        <v>228</v>
      </c>
      <c r="K7" s="113"/>
      <c r="L7" s="113"/>
      <c r="M7" s="113"/>
      <c r="N7" s="113"/>
      <c r="O7" s="113"/>
      <c r="P7" s="113"/>
    </row>
    <row r="8" spans="2:16">
      <c r="B8" s="114"/>
      <c r="C8" s="97" t="s">
        <v>227</v>
      </c>
      <c r="K8" s="113"/>
      <c r="L8" s="113"/>
      <c r="M8" s="113"/>
      <c r="N8" s="113"/>
      <c r="O8" s="113"/>
      <c r="P8" s="113"/>
    </row>
    <row r="9" spans="2:16" ht="15.6">
      <c r="B9" s="114"/>
      <c r="C9" s="97" t="s">
        <v>226</v>
      </c>
      <c r="K9" s="113"/>
      <c r="L9" s="113"/>
      <c r="M9" s="113"/>
      <c r="N9" s="113"/>
      <c r="O9" s="113"/>
      <c r="P9" s="113"/>
    </row>
    <row r="10" spans="2:16">
      <c r="B10" s="114"/>
      <c r="L10" s="113"/>
      <c r="M10" s="113"/>
      <c r="N10" s="113"/>
      <c r="O10" s="113"/>
      <c r="P10" s="113"/>
    </row>
    <row r="11" spans="2:16" ht="14.4" thickBot="1">
      <c r="B11" s="114"/>
      <c r="K11" s="113"/>
      <c r="L11" s="113"/>
      <c r="M11" s="113"/>
      <c r="N11" s="113"/>
      <c r="O11" s="113"/>
      <c r="P11" s="113"/>
    </row>
    <row r="12" spans="2:16" ht="18.600000000000001" thickBot="1">
      <c r="B12" s="108" t="s">
        <v>225</v>
      </c>
      <c r="C12" s="112" t="s">
        <v>224</v>
      </c>
      <c r="D12" s="111" t="s">
        <v>223</v>
      </c>
      <c r="E12" s="110" t="s">
        <v>222</v>
      </c>
      <c r="F12" s="109" t="s">
        <v>221</v>
      </c>
      <c r="G12" s="109" t="s">
        <v>220</v>
      </c>
      <c r="H12" s="109" t="s">
        <v>219</v>
      </c>
    </row>
    <row r="13" spans="2:16" ht="14.4" thickBot="1">
      <c r="B13" s="105">
        <v>0</v>
      </c>
      <c r="C13" s="106">
        <v>43</v>
      </c>
      <c r="D13" s="108">
        <v>1.04</v>
      </c>
      <c r="E13" s="107">
        <v>244.01669999999999</v>
      </c>
      <c r="F13" s="107">
        <v>22.355499999999999</v>
      </c>
      <c r="G13" s="107">
        <v>14.5251</v>
      </c>
      <c r="H13" s="107">
        <v>8.5667000000000009</v>
      </c>
    </row>
    <row r="14" spans="2:16" ht="14.4" thickBot="1">
      <c r="B14" s="105">
        <v>1</v>
      </c>
      <c r="C14" s="106">
        <v>44</v>
      </c>
      <c r="D14" s="105">
        <v>1.05</v>
      </c>
      <c r="E14" s="104">
        <v>251.7792</v>
      </c>
      <c r="F14" s="104">
        <v>22.126000000000001</v>
      </c>
      <c r="G14" s="104">
        <v>14.0131</v>
      </c>
      <c r="H14" s="104">
        <v>7.8396999999999997</v>
      </c>
    </row>
    <row r="15" spans="2:16" ht="14.4" thickBot="1">
      <c r="B15" s="105">
        <v>2</v>
      </c>
      <c r="C15" s="106">
        <v>45</v>
      </c>
      <c r="D15" s="105">
        <v>1.07</v>
      </c>
      <c r="E15" s="104">
        <v>259.8143</v>
      </c>
      <c r="F15" s="104">
        <v>21.888300000000001</v>
      </c>
      <c r="G15" s="104">
        <v>13.482699999999999</v>
      </c>
      <c r="H15" s="104">
        <v>7.0865</v>
      </c>
    </row>
    <row r="16" spans="2:16" ht="14.4" thickBot="1">
      <c r="B16" s="105">
        <v>3</v>
      </c>
      <c r="C16" s="106">
        <v>46</v>
      </c>
      <c r="D16" s="105">
        <v>1.1100000000000001</v>
      </c>
      <c r="E16" s="104">
        <v>268.12459999999999</v>
      </c>
      <c r="F16" s="104">
        <v>21.642600000000002</v>
      </c>
      <c r="G16" s="104">
        <v>12.933400000000001</v>
      </c>
      <c r="H16" s="104">
        <v>6.3063000000000002</v>
      </c>
    </row>
    <row r="17" spans="2:8" ht="14.4" thickBot="1">
      <c r="B17" s="105">
        <v>4</v>
      </c>
      <c r="C17" s="106">
        <v>47</v>
      </c>
      <c r="D17" s="105">
        <v>1.17</v>
      </c>
      <c r="E17" s="104">
        <v>276.70620000000002</v>
      </c>
      <c r="F17" s="104">
        <v>21.3888</v>
      </c>
      <c r="G17" s="104">
        <v>12.364800000000001</v>
      </c>
      <c r="H17" s="104">
        <v>5.4981</v>
      </c>
    </row>
    <row r="18" spans="2:8">
      <c r="B18" s="103"/>
    </row>
    <row r="19" spans="2:8">
      <c r="B19" s="97" t="s">
        <v>218</v>
      </c>
    </row>
    <row r="20" spans="2:8">
      <c r="B20" s="102"/>
    </row>
    <row r="21" spans="2:8">
      <c r="B21" s="102"/>
    </row>
    <row r="22" spans="2:8">
      <c r="B22" s="100" t="s">
        <v>217</v>
      </c>
    </row>
    <row r="24" spans="2:8">
      <c r="B24" s="97" t="s">
        <v>216</v>
      </c>
      <c r="C24" s="99">
        <f>1/1.035</f>
        <v>0.96618357487922713</v>
      </c>
    </row>
    <row r="26" spans="2:8">
      <c r="B26" s="97" t="s">
        <v>215</v>
      </c>
    </row>
    <row r="27" spans="2:8">
      <c r="B27" s="97" t="s">
        <v>214</v>
      </c>
      <c r="C27" s="99">
        <f>D13*C24</f>
        <v>1.0048309178743962</v>
      </c>
    </row>
    <row r="29" spans="2:8">
      <c r="B29" s="97" t="s">
        <v>213</v>
      </c>
    </row>
    <row r="30" spans="2:8">
      <c r="C30" s="99">
        <f>E14/H14-C27</f>
        <v>31.111091885294091</v>
      </c>
    </row>
    <row r="32" spans="2:8">
      <c r="B32" s="97" t="s">
        <v>212</v>
      </c>
    </row>
    <row r="33" spans="2:4">
      <c r="C33" s="99">
        <f>E14/G14-C27</f>
        <v>16.962585285535269</v>
      </c>
    </row>
    <row r="35" spans="2:4">
      <c r="B35" s="97" t="s">
        <v>211</v>
      </c>
    </row>
    <row r="36" spans="2:4">
      <c r="C36" s="99">
        <f>MIN(C33,C30)</f>
        <v>16.962585285535269</v>
      </c>
    </row>
    <row r="38" spans="2:4">
      <c r="B38" s="100" t="s">
        <v>210</v>
      </c>
    </row>
    <row r="40" spans="2:4">
      <c r="B40" s="97" t="s">
        <v>209</v>
      </c>
    </row>
    <row r="41" spans="2:4">
      <c r="B41" s="97" t="s">
        <v>208</v>
      </c>
      <c r="C41" s="99">
        <f>E13/H13</f>
        <v>28.484328854751535</v>
      </c>
    </row>
    <row r="43" spans="2:4">
      <c r="B43" s="97" t="s">
        <v>207</v>
      </c>
    </row>
    <row r="44" spans="2:4">
      <c r="B44" s="97" t="s">
        <v>206</v>
      </c>
      <c r="C44" s="99">
        <f>C36/H13</f>
        <v>1.9800606167526897</v>
      </c>
    </row>
    <row r="46" spans="2:4">
      <c r="B46" s="97" t="s">
        <v>205</v>
      </c>
    </row>
    <row r="47" spans="2:4">
      <c r="C47" s="99">
        <f>(C41+C44-C36)</f>
        <v>13.501804185968957</v>
      </c>
      <c r="D47" s="97" t="s">
        <v>204</v>
      </c>
    </row>
    <row r="48" spans="2:4">
      <c r="B48" s="97" t="s">
        <v>203</v>
      </c>
      <c r="C48" s="99">
        <f>1*(C44+C41)</f>
        <v>30.464389471504226</v>
      </c>
      <c r="D48" s="97" t="s">
        <v>202</v>
      </c>
    </row>
    <row r="49" spans="2:4">
      <c r="C49" s="101">
        <v>0</v>
      </c>
      <c r="D49" s="97" t="s">
        <v>201</v>
      </c>
    </row>
    <row r="51" spans="2:4">
      <c r="B51" s="100" t="s">
        <v>200</v>
      </c>
    </row>
    <row r="53" spans="2:4">
      <c r="B53" s="97" t="s">
        <v>199</v>
      </c>
    </row>
    <row r="54" spans="2:4">
      <c r="B54" s="97" t="s">
        <v>198</v>
      </c>
      <c r="C54" s="99">
        <f>E16</f>
        <v>268.12459999999999</v>
      </c>
    </row>
    <row r="56" spans="2:4">
      <c r="B56" s="97" t="s">
        <v>197</v>
      </c>
    </row>
    <row r="57" spans="2:4">
      <c r="B57" s="97" t="s">
        <v>196</v>
      </c>
    </row>
    <row r="58" spans="2:4">
      <c r="C58" s="97">
        <f>C48*H16</f>
        <v>192.1175793241471</v>
      </c>
    </row>
    <row r="60" spans="2:4">
      <c r="B60" s="97" t="s">
        <v>195</v>
      </c>
    </row>
    <row r="61" spans="2:4">
      <c r="C61" s="99">
        <f>C54-C58</f>
        <v>76.007020675852885</v>
      </c>
    </row>
    <row r="63" spans="2:4">
      <c r="B63" s="97" t="s">
        <v>194</v>
      </c>
    </row>
    <row r="64" spans="2:4">
      <c r="C64" s="98">
        <f>C61*(100000/1000)</f>
        <v>7600.7020675852882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7C8EC-10A3-405E-81BA-B3F5BB8A329C}">
  <dimension ref="B2:E16"/>
  <sheetViews>
    <sheetView workbookViewId="0">
      <selection activeCell="O16" sqref="O16"/>
    </sheetView>
  </sheetViews>
  <sheetFormatPr defaultColWidth="9.109375" defaultRowHeight="13.8"/>
  <cols>
    <col min="1" max="16384" width="9.109375" style="97"/>
  </cols>
  <sheetData>
    <row r="2" spans="2:5">
      <c r="B2" s="115" t="s">
        <v>231</v>
      </c>
    </row>
    <row r="4" spans="2:5">
      <c r="B4" s="102" t="s">
        <v>240</v>
      </c>
    </row>
    <row r="5" spans="2:5">
      <c r="B5" s="102"/>
    </row>
    <row r="6" spans="2:5">
      <c r="B6" s="97" t="s">
        <v>239</v>
      </c>
    </row>
    <row r="7" spans="2:5" ht="15.6">
      <c r="B7" s="116" t="s">
        <v>238</v>
      </c>
    </row>
    <row r="8" spans="2:5">
      <c r="B8" s="97" t="s">
        <v>237</v>
      </c>
    </row>
    <row r="9" spans="2:5">
      <c r="B9" s="97" t="s">
        <v>236</v>
      </c>
    </row>
    <row r="10" spans="2:5">
      <c r="B10" s="117"/>
    </row>
    <row r="11" spans="2:5">
      <c r="B11" s="97" t="s">
        <v>235</v>
      </c>
    </row>
    <row r="13" spans="2:5" ht="15.6">
      <c r="B13" s="116" t="s">
        <v>234</v>
      </c>
    </row>
    <row r="14" spans="2:5">
      <c r="C14" s="97" t="s">
        <v>233</v>
      </c>
    </row>
    <row r="15" spans="2:5">
      <c r="D15" s="97">
        <f>0</f>
        <v>0</v>
      </c>
      <c r="E15" s="97" t="s">
        <v>232</v>
      </c>
    </row>
    <row r="16" spans="2:5">
      <c r="B16" s="103"/>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38D5B-53AD-4779-B2DC-3BAE27932162}">
  <dimension ref="B2:E22"/>
  <sheetViews>
    <sheetView topLeftCell="A4" workbookViewId="0">
      <selection activeCell="H14" sqref="H14"/>
    </sheetView>
  </sheetViews>
  <sheetFormatPr defaultColWidth="9.109375" defaultRowHeight="13.8"/>
  <cols>
    <col min="1" max="16384" width="9.109375" style="97"/>
  </cols>
  <sheetData>
    <row r="2" spans="2:2">
      <c r="B2" s="115" t="s">
        <v>231</v>
      </c>
    </row>
    <row r="4" spans="2:2">
      <c r="B4" s="102" t="s">
        <v>240</v>
      </c>
    </row>
    <row r="5" spans="2:2">
      <c r="B5" s="102"/>
    </row>
    <row r="6" spans="2:2">
      <c r="B6" s="97" t="s">
        <v>239</v>
      </c>
    </row>
    <row r="7" spans="2:2" ht="15.6">
      <c r="B7" s="116" t="s">
        <v>238</v>
      </c>
    </row>
    <row r="8" spans="2:2">
      <c r="B8" s="97" t="s">
        <v>237</v>
      </c>
    </row>
    <row r="9" spans="2:2">
      <c r="B9" s="97" t="s">
        <v>236</v>
      </c>
    </row>
    <row r="10" spans="2:2">
      <c r="B10" s="117"/>
    </row>
    <row r="11" spans="2:2">
      <c r="B11" s="97" t="s">
        <v>235</v>
      </c>
    </row>
    <row r="13" spans="2:2" ht="15.6">
      <c r="B13" s="116"/>
    </row>
    <row r="16" spans="2:2" ht="15.6">
      <c r="B16" s="103" t="s">
        <v>244</v>
      </c>
    </row>
    <row r="19" spans="3:5">
      <c r="C19" s="97" t="s">
        <v>243</v>
      </c>
    </row>
    <row r="20" spans="3:5" ht="14.4">
      <c r="D20" s="97">
        <f>6/12*500</f>
        <v>250</v>
      </c>
      <c r="E20" s="118"/>
    </row>
    <row r="21" spans="3:5">
      <c r="C21" s="97" t="s">
        <v>242</v>
      </c>
    </row>
    <row r="22" spans="3:5">
      <c r="C22" s="97" t="s">
        <v>241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3B69E-6EBD-44D5-A3BD-0202CD48BC44}">
  <dimension ref="A1:S111"/>
  <sheetViews>
    <sheetView topLeftCell="A36" workbookViewId="0">
      <selection activeCell="H54" sqref="H54"/>
    </sheetView>
  </sheetViews>
  <sheetFormatPr defaultRowHeight="14.4"/>
  <cols>
    <col min="1" max="1" width="10.5546875" customWidth="1"/>
    <col min="2" max="2" width="11" customWidth="1"/>
    <col min="3" max="3" width="9.44140625" customWidth="1"/>
    <col min="4" max="4" width="12" customWidth="1"/>
    <col min="5" max="5" width="11.44140625" customWidth="1"/>
    <col min="8" max="13" width="7.88671875" customWidth="1"/>
    <col min="14" max="14" width="26.33203125" customWidth="1"/>
    <col min="15" max="15" width="7" customWidth="1"/>
    <col min="16" max="19" width="7.88671875" customWidth="1"/>
  </cols>
  <sheetData>
    <row r="1" spans="1:4" s="130" customFormat="1" ht="17.399999999999999">
      <c r="A1" s="184" t="s">
        <v>295</v>
      </c>
    </row>
    <row r="2" spans="1:4" s="130" customFormat="1" ht="15.6">
      <c r="A2" s="183" t="s">
        <v>294</v>
      </c>
    </row>
    <row r="3" spans="1:4" s="130" customFormat="1" ht="15.6">
      <c r="A3" s="183" t="s">
        <v>293</v>
      </c>
    </row>
    <row r="4" spans="1:4" s="130" customFormat="1" ht="15.6">
      <c r="A4" s="131"/>
    </row>
    <row r="5" spans="1:4" s="130" customFormat="1" ht="15.6">
      <c r="A5" s="131" t="s">
        <v>292</v>
      </c>
    </row>
    <row r="6" spans="1:4" s="130" customFormat="1" ht="15.6">
      <c r="A6" s="131"/>
    </row>
    <row r="7" spans="1:4" s="130" customFormat="1" ht="15.6">
      <c r="A7" s="180" t="s">
        <v>291</v>
      </c>
    </row>
    <row r="8" spans="1:4" s="130" customFormat="1" ht="15.6">
      <c r="A8" s="180" t="s">
        <v>290</v>
      </c>
      <c r="B8" s="182"/>
      <c r="C8" s="182"/>
      <c r="D8" s="181"/>
    </row>
    <row r="9" spans="1:4" s="130" customFormat="1" ht="15.6">
      <c r="A9" s="180" t="s">
        <v>289</v>
      </c>
      <c r="B9" s="178"/>
      <c r="C9" s="177"/>
      <c r="D9" s="176"/>
    </row>
    <row r="10" spans="1:4" s="130" customFormat="1" ht="15.6">
      <c r="A10" s="180" t="s">
        <v>288</v>
      </c>
      <c r="B10" s="178"/>
      <c r="C10" s="177"/>
      <c r="D10" s="176"/>
    </row>
    <row r="11" spans="1:4" s="130" customFormat="1" ht="15.6">
      <c r="A11" s="180" t="s">
        <v>287</v>
      </c>
      <c r="B11" s="178"/>
      <c r="C11" s="177"/>
      <c r="D11" s="176"/>
    </row>
    <row r="12" spans="1:4" s="130" customFormat="1" ht="15.6">
      <c r="A12" s="131"/>
      <c r="B12" s="178"/>
      <c r="C12" s="177"/>
      <c r="D12" s="176"/>
    </row>
    <row r="13" spans="1:4" s="130" customFormat="1" ht="15.6">
      <c r="A13" s="131" t="s">
        <v>286</v>
      </c>
      <c r="B13" s="178"/>
      <c r="C13" s="177"/>
      <c r="D13" s="176"/>
    </row>
    <row r="14" spans="1:4" s="130" customFormat="1" ht="15.6">
      <c r="A14" s="131"/>
      <c r="B14" s="178"/>
      <c r="C14" s="177"/>
      <c r="D14" s="176"/>
    </row>
    <row r="15" spans="1:4" s="130" customFormat="1" ht="15.6">
      <c r="A15" s="180" t="s">
        <v>285</v>
      </c>
      <c r="B15" s="178"/>
      <c r="C15" s="177"/>
      <c r="D15" s="176"/>
    </row>
    <row r="16" spans="1:4" s="130" customFormat="1" ht="15.6">
      <c r="A16" s="180" t="s">
        <v>284</v>
      </c>
      <c r="B16" s="178"/>
      <c r="C16" s="177"/>
      <c r="D16" s="176"/>
    </row>
    <row r="17" spans="1:19" s="130" customFormat="1" ht="15.6">
      <c r="A17" s="180" t="s">
        <v>283</v>
      </c>
      <c r="B17" s="178"/>
      <c r="C17" s="177"/>
      <c r="D17" s="176"/>
    </row>
    <row r="18" spans="1:19" s="130" customFormat="1" ht="15.6">
      <c r="A18" s="180" t="s">
        <v>282</v>
      </c>
      <c r="B18" s="178"/>
      <c r="C18" s="177"/>
      <c r="D18" s="176"/>
    </row>
    <row r="19" spans="1:19" s="130" customFormat="1" ht="15.6">
      <c r="A19" s="180" t="s">
        <v>281</v>
      </c>
      <c r="B19" s="178"/>
      <c r="C19" s="177"/>
      <c r="D19" s="176"/>
    </row>
    <row r="20" spans="1:19" s="130" customFormat="1" ht="15.6">
      <c r="A20" s="131"/>
      <c r="B20" s="178"/>
      <c r="C20" s="177"/>
      <c r="D20" s="176"/>
    </row>
    <row r="21" spans="1:19" s="130" customFormat="1" ht="15.6">
      <c r="A21" s="131"/>
      <c r="B21" s="178"/>
      <c r="C21" s="177"/>
      <c r="D21" s="176"/>
    </row>
    <row r="22" spans="1:19" s="130" customFormat="1" ht="15.6">
      <c r="A22" s="131" t="s">
        <v>280</v>
      </c>
      <c r="B22" s="178"/>
      <c r="C22" s="177"/>
      <c r="D22" s="176"/>
    </row>
    <row r="23" spans="1:19" s="179" customFormat="1">
      <c r="B23" s="178"/>
      <c r="C23" s="177"/>
      <c r="E23" s="165" t="s">
        <v>279</v>
      </c>
      <c r="F23" s="164"/>
      <c r="G23" s="163"/>
      <c r="H23" s="162" t="s">
        <v>273</v>
      </c>
      <c r="I23" s="161"/>
      <c r="J23" s="161"/>
      <c r="K23" s="161"/>
      <c r="L23" s="162" t="s">
        <v>272</v>
      </c>
      <c r="M23" s="161"/>
      <c r="N23" s="161"/>
      <c r="O23" s="161"/>
      <c r="P23" s="162" t="s">
        <v>271</v>
      </c>
      <c r="Q23" s="161"/>
      <c r="R23" s="161"/>
      <c r="S23" s="160"/>
    </row>
    <row r="24" spans="1:19" s="179" customFormat="1" ht="47.25" customHeight="1">
      <c r="B24" s="159" t="s">
        <v>269</v>
      </c>
      <c r="C24" s="159" t="s">
        <v>270</v>
      </c>
      <c r="D24" s="131"/>
      <c r="E24" s="158" t="s">
        <v>269</v>
      </c>
      <c r="F24" s="157" t="s">
        <v>268</v>
      </c>
      <c r="G24" s="155" t="s">
        <v>267</v>
      </c>
      <c r="H24" s="157" t="s">
        <v>266</v>
      </c>
      <c r="I24" s="156" t="s">
        <v>265</v>
      </c>
      <c r="J24" s="156" t="s">
        <v>264</v>
      </c>
      <c r="K24" s="155" t="s">
        <v>263</v>
      </c>
      <c r="L24" s="157" t="s">
        <v>266</v>
      </c>
      <c r="M24" s="156" t="s">
        <v>265</v>
      </c>
      <c r="N24" s="156" t="s">
        <v>264</v>
      </c>
      <c r="O24" s="155" t="s">
        <v>263</v>
      </c>
      <c r="P24" s="154" t="s">
        <v>266</v>
      </c>
      <c r="Q24" s="154" t="s">
        <v>265</v>
      </c>
      <c r="R24" s="154" t="s">
        <v>264</v>
      </c>
      <c r="S24" s="153" t="s">
        <v>263</v>
      </c>
    </row>
    <row r="25" spans="1:19" s="179" customFormat="1" ht="15.6">
      <c r="B25" s="146">
        <v>0</v>
      </c>
      <c r="C25" s="152"/>
      <c r="D25" s="131"/>
      <c r="E25" s="146">
        <v>0</v>
      </c>
      <c r="F25" s="151"/>
      <c r="G25" s="150"/>
      <c r="H25" s="149"/>
      <c r="I25" s="142"/>
      <c r="J25" s="142"/>
      <c r="K25" s="141"/>
      <c r="L25" s="149"/>
      <c r="M25" s="142"/>
      <c r="N25" s="142"/>
      <c r="O25" s="141"/>
      <c r="P25" s="148"/>
      <c r="Q25" s="142"/>
      <c r="R25" s="142"/>
      <c r="S25" s="141"/>
    </row>
    <row r="26" spans="1:19" s="179" customFormat="1" ht="15.6">
      <c r="B26" s="146">
        <v>1</v>
      </c>
      <c r="C26" s="147">
        <v>1.6E-2</v>
      </c>
      <c r="D26" s="131"/>
      <c r="E26" s="146">
        <v>1</v>
      </c>
      <c r="F26" s="145">
        <v>10000</v>
      </c>
      <c r="G26" s="141">
        <v>10500</v>
      </c>
      <c r="H26" s="144">
        <v>0.19999999999999996</v>
      </c>
      <c r="I26" s="142">
        <v>1999.9999999999995</v>
      </c>
      <c r="J26" s="142">
        <v>150</v>
      </c>
      <c r="K26" s="141">
        <v>11850</v>
      </c>
      <c r="L26" s="144">
        <v>-9.9999999999999978E-2</v>
      </c>
      <c r="M26" s="142">
        <v>-999.99999999999977</v>
      </c>
      <c r="N26" s="142">
        <v>150</v>
      </c>
      <c r="O26" s="141">
        <v>8850</v>
      </c>
      <c r="P26" s="143">
        <v>0.10000000000000009</v>
      </c>
      <c r="Q26" s="142">
        <v>1000.0000000000009</v>
      </c>
      <c r="R26" s="142">
        <v>150</v>
      </c>
      <c r="S26" s="141">
        <v>10850</v>
      </c>
    </row>
    <row r="27" spans="1:19" s="179" customFormat="1" ht="15.6">
      <c r="B27" s="146">
        <v>2</v>
      </c>
      <c r="C27" s="147">
        <v>1.7999999999999999E-2</v>
      </c>
      <c r="D27" s="131"/>
      <c r="E27" s="146">
        <v>2</v>
      </c>
      <c r="F27" s="145">
        <v>0</v>
      </c>
      <c r="G27" s="141">
        <v>11025</v>
      </c>
      <c r="H27" s="144">
        <v>-0.20833333333333337</v>
      </c>
      <c r="I27" s="142">
        <v>-2468.7500000000005</v>
      </c>
      <c r="J27" s="142">
        <v>177.75</v>
      </c>
      <c r="K27" s="141">
        <v>9203.5</v>
      </c>
      <c r="L27" s="144">
        <v>5.555555555555558E-2</v>
      </c>
      <c r="M27" s="142">
        <v>491.66666666666691</v>
      </c>
      <c r="N27" s="142">
        <v>132.75</v>
      </c>
      <c r="O27" s="141">
        <v>9208.9166666666661</v>
      </c>
      <c r="P27" s="143">
        <v>0.13636363636363624</v>
      </c>
      <c r="Q27" s="142">
        <v>1479.5454545454531</v>
      </c>
      <c r="R27" s="142">
        <v>162.75</v>
      </c>
      <c r="S27" s="141">
        <v>12166.795454545452</v>
      </c>
    </row>
    <row r="28" spans="1:19" s="179" customFormat="1" ht="15.6">
      <c r="B28" s="146">
        <v>3</v>
      </c>
      <c r="C28" s="147">
        <v>0.02</v>
      </c>
      <c r="D28" s="131"/>
      <c r="E28" s="146">
        <v>3</v>
      </c>
      <c r="F28" s="145">
        <v>0</v>
      </c>
      <c r="G28" s="141">
        <v>11576.250000000002</v>
      </c>
      <c r="H28" s="144">
        <v>0.10526315789473695</v>
      </c>
      <c r="I28" s="142">
        <v>968.78947368421154</v>
      </c>
      <c r="J28" s="142">
        <v>138.05250000000001</v>
      </c>
      <c r="K28" s="141">
        <v>10034.236973684212</v>
      </c>
      <c r="L28" s="144">
        <v>0.10526315789473695</v>
      </c>
      <c r="M28" s="142">
        <v>969.35964912280792</v>
      </c>
      <c r="N28" s="142">
        <v>138.13374999999999</v>
      </c>
      <c r="O28" s="141">
        <v>10040.142565789472</v>
      </c>
      <c r="P28" s="143">
        <v>0.11999999999999988</v>
      </c>
      <c r="Q28" s="142">
        <v>1460.0154545454529</v>
      </c>
      <c r="R28" s="142">
        <v>182.50193181818179</v>
      </c>
      <c r="S28" s="141">
        <v>13444.308977272723</v>
      </c>
    </row>
    <row r="29" spans="1:19" s="179" customFormat="1" ht="15.6">
      <c r="B29" s="146">
        <v>4</v>
      </c>
      <c r="C29" s="147">
        <v>2.1999999999999999E-2</v>
      </c>
      <c r="D29" s="131"/>
      <c r="E29" s="146">
        <v>4</v>
      </c>
      <c r="F29" s="145">
        <v>0</v>
      </c>
      <c r="G29" s="141">
        <v>12155.0625</v>
      </c>
      <c r="H29" s="144">
        <v>4.7619047619047672E-2</v>
      </c>
      <c r="I29" s="142">
        <v>477.82080827067728</v>
      </c>
      <c r="J29" s="142">
        <v>150.51355460526318</v>
      </c>
      <c r="K29" s="141">
        <v>10361.544227349626</v>
      </c>
      <c r="L29" s="144">
        <v>-2.3809523809523947E-2</v>
      </c>
      <c r="M29" s="142">
        <v>-239.05101347117929</v>
      </c>
      <c r="N29" s="142">
        <v>150.60213848684208</v>
      </c>
      <c r="O29" s="141">
        <v>9650.4894138314521</v>
      </c>
      <c r="P29" s="143">
        <v>-1.7857142857142794E-2</v>
      </c>
      <c r="Q29" s="142">
        <v>-240.07694602272636</v>
      </c>
      <c r="R29" s="142">
        <v>201.66463465909084</v>
      </c>
      <c r="S29" s="141">
        <v>13002.567396590906</v>
      </c>
    </row>
    <row r="30" spans="1:19" s="179" customFormat="1" ht="15.6">
      <c r="B30" s="146">
        <v>5</v>
      </c>
      <c r="C30" s="147">
        <v>2.4E-2</v>
      </c>
      <c r="D30" s="131"/>
      <c r="E30" s="146">
        <v>5</v>
      </c>
      <c r="F30" s="145">
        <v>0</v>
      </c>
      <c r="G30" s="141">
        <v>12762.815625000001</v>
      </c>
      <c r="H30" s="144">
        <v>9.0909090909090828E-2</v>
      </c>
      <c r="I30" s="142">
        <v>941.95856612269245</v>
      </c>
      <c r="J30" s="142">
        <v>155.4231634102444</v>
      </c>
      <c r="K30" s="141">
        <v>11148.079630062073</v>
      </c>
      <c r="L30" s="144">
        <v>4.8780487804878092E-2</v>
      </c>
      <c r="M30" s="142">
        <v>470.75558116251028</v>
      </c>
      <c r="N30" s="142">
        <v>144.75734120747177</v>
      </c>
      <c r="O30" s="141">
        <v>9976.4876537864893</v>
      </c>
      <c r="P30" s="143">
        <v>9.0909090909090828E-2</v>
      </c>
      <c r="Q30" s="142">
        <v>1182.0515815082631</v>
      </c>
      <c r="R30" s="142">
        <v>195.03851094886357</v>
      </c>
      <c r="S30" s="141">
        <v>13989.580467150307</v>
      </c>
    </row>
    <row r="31" spans="1:19" s="179" customFormat="1" ht="15.6">
      <c r="B31" s="146">
        <v>6</v>
      </c>
      <c r="C31" s="147">
        <v>2.7E-2</v>
      </c>
      <c r="D31" s="131"/>
      <c r="E31" s="146">
        <v>6</v>
      </c>
      <c r="F31" s="145">
        <v>0</v>
      </c>
      <c r="G31" s="141">
        <v>13400.956406249999</v>
      </c>
      <c r="H31" s="144">
        <v>8.3333333333333481E-2</v>
      </c>
      <c r="I31" s="142">
        <v>929.0066358385078</v>
      </c>
      <c r="J31" s="142">
        <v>167.22119445093108</v>
      </c>
      <c r="K31" s="141">
        <v>11909.865071449651</v>
      </c>
      <c r="L31" s="144">
        <v>6.9767441860465018E-2</v>
      </c>
      <c r="M31" s="142">
        <v>696.03402235719591</v>
      </c>
      <c r="N31" s="142">
        <v>149.64731480679734</v>
      </c>
      <c r="O31" s="141">
        <v>10522.874361336888</v>
      </c>
      <c r="P31" s="143">
        <v>9.9999999999999867E-2</v>
      </c>
      <c r="Q31" s="142">
        <v>1398.9580467150288</v>
      </c>
      <c r="R31" s="142">
        <v>209.84370700725458</v>
      </c>
      <c r="S31" s="141">
        <v>15178.69480685808</v>
      </c>
    </row>
    <row r="32" spans="1:19" s="179" customFormat="1" ht="15.6">
      <c r="B32" s="146">
        <v>7</v>
      </c>
      <c r="C32" s="147">
        <v>0.03</v>
      </c>
      <c r="D32" s="131"/>
      <c r="E32" s="146">
        <v>7</v>
      </c>
      <c r="F32" s="145">
        <v>0</v>
      </c>
      <c r="G32" s="141">
        <v>14071.004226562502</v>
      </c>
      <c r="H32" s="144">
        <v>7.6923076923076872E-2</v>
      </c>
      <c r="I32" s="142">
        <v>916.14346703458796</v>
      </c>
      <c r="J32" s="142">
        <v>178.64797607174475</v>
      </c>
      <c r="K32" s="141">
        <v>12647.360562412494</v>
      </c>
      <c r="L32" s="144">
        <v>0.13043478260869579</v>
      </c>
      <c r="M32" s="142">
        <v>1372.5488297395955</v>
      </c>
      <c r="N32" s="142">
        <v>157.84311542005332</v>
      </c>
      <c r="O32" s="141">
        <v>11737.580075656429</v>
      </c>
      <c r="P32" s="143">
        <v>6.0606060606060552E-2</v>
      </c>
      <c r="Q32" s="142">
        <v>919.92089738533741</v>
      </c>
      <c r="R32" s="142">
        <v>227.6804221028712</v>
      </c>
      <c r="S32" s="141">
        <v>15870.935282140546</v>
      </c>
    </row>
    <row r="33" spans="1:19" s="179" customFormat="1" ht="15.6">
      <c r="B33" s="146">
        <v>8</v>
      </c>
      <c r="C33" s="147">
        <v>3.4000000000000002E-2</v>
      </c>
      <c r="D33" s="131"/>
      <c r="E33" s="146">
        <v>8</v>
      </c>
      <c r="F33" s="145">
        <v>0</v>
      </c>
      <c r="G33" s="141">
        <v>14774.554437890625</v>
      </c>
      <c r="H33" s="144">
        <v>7.1428571428571397E-2</v>
      </c>
      <c r="I33" s="142">
        <v>903.38289731517773</v>
      </c>
      <c r="J33" s="142">
        <v>189.71040843618741</v>
      </c>
      <c r="K33" s="141">
        <v>13361.033051291484</v>
      </c>
      <c r="L33" s="144">
        <v>0.11538461538461542</v>
      </c>
      <c r="M33" s="142">
        <v>1354.3361625757423</v>
      </c>
      <c r="N33" s="142">
        <v>176.06370113484644</v>
      </c>
      <c r="O33" s="141">
        <v>12915.852537097326</v>
      </c>
      <c r="P33" s="143">
        <v>2.8571428571428692E-2</v>
      </c>
      <c r="Q33" s="142">
        <v>453.45529377544608</v>
      </c>
      <c r="R33" s="142">
        <v>238.0640292321082</v>
      </c>
      <c r="S33" s="141">
        <v>16086.326546683886</v>
      </c>
    </row>
    <row r="34" spans="1:19" s="179" customFormat="1" ht="15.6">
      <c r="B34" s="146">
        <v>9</v>
      </c>
      <c r="C34" s="147">
        <v>3.7999999999999999E-2</v>
      </c>
      <c r="D34" s="131"/>
      <c r="E34" s="146">
        <v>9</v>
      </c>
      <c r="F34" s="145">
        <v>0</v>
      </c>
      <c r="G34" s="141">
        <v>15513.282159785158</v>
      </c>
      <c r="H34" s="144">
        <v>6.6666666666666652E-2</v>
      </c>
      <c r="I34" s="142">
        <v>890.73553675276537</v>
      </c>
      <c r="J34" s="142">
        <v>200.41549576937226</v>
      </c>
      <c r="K34" s="141">
        <v>14051.353092274878</v>
      </c>
      <c r="L34" s="144">
        <v>-3.4482758620689724E-2</v>
      </c>
      <c r="M34" s="142">
        <v>-445.37422541715006</v>
      </c>
      <c r="N34" s="142">
        <v>193.73778805645989</v>
      </c>
      <c r="O34" s="141">
        <v>12276.740523623715</v>
      </c>
      <c r="P34" s="143">
        <v>0.11111111111111116</v>
      </c>
      <c r="Q34" s="142">
        <v>1787.3696162982103</v>
      </c>
      <c r="R34" s="142">
        <v>241.29489820025827</v>
      </c>
      <c r="S34" s="141">
        <v>17632.401264781834</v>
      </c>
    </row>
    <row r="35" spans="1:19" s="179" customFormat="1" ht="15.6">
      <c r="B35" s="138">
        <v>10</v>
      </c>
      <c r="C35" s="140">
        <v>4.2000000000000003E-2</v>
      </c>
      <c r="D35" s="131"/>
      <c r="E35" s="138">
        <v>10</v>
      </c>
      <c r="F35" s="137">
        <v>0</v>
      </c>
      <c r="G35" s="133">
        <v>16288.946267774416</v>
      </c>
      <c r="H35" s="136">
        <v>9.375E-2</v>
      </c>
      <c r="I35" s="134">
        <v>1317.3143524007698</v>
      </c>
      <c r="J35" s="134">
        <v>210.77029638412316</v>
      </c>
      <c r="K35" s="133">
        <v>15157.897148291524</v>
      </c>
      <c r="L35" s="136">
        <v>0.10714285714285721</v>
      </c>
      <c r="M35" s="134">
        <v>1315.3650561025418</v>
      </c>
      <c r="N35" s="134">
        <v>184.15110785435573</v>
      </c>
      <c r="O35" s="133">
        <v>13407.954471871903</v>
      </c>
      <c r="P35" s="135">
        <v>0.19999999999999996</v>
      </c>
      <c r="Q35" s="134">
        <v>3526.4802529563663</v>
      </c>
      <c r="R35" s="134">
        <v>264.4860189717275</v>
      </c>
      <c r="S35" s="133">
        <v>20894.395498766473</v>
      </c>
    </row>
    <row r="36" spans="1:19" s="130" customFormat="1" ht="15.6">
      <c r="A36" s="131"/>
      <c r="B36" s="178"/>
      <c r="C36" s="177"/>
      <c r="D36" s="176"/>
    </row>
    <row r="37" spans="1:19" s="130" customFormat="1" ht="15.6">
      <c r="A37" s="131" t="s">
        <v>278</v>
      </c>
      <c r="B37" s="178"/>
      <c r="C37" s="177"/>
      <c r="D37" s="176"/>
    </row>
    <row r="38" spans="1:19" ht="15.6">
      <c r="A38" s="129" t="s">
        <v>261</v>
      </c>
      <c r="C38" t="s">
        <v>259</v>
      </c>
      <c r="F38" t="s">
        <v>258</v>
      </c>
      <c r="I38" t="s">
        <v>257</v>
      </c>
    </row>
    <row r="39" spans="1:19">
      <c r="C39" t="s">
        <v>256</v>
      </c>
      <c r="I39" t="s">
        <v>255</v>
      </c>
    </row>
    <row r="40" spans="1:19">
      <c r="A40" t="s">
        <v>225</v>
      </c>
      <c r="B40" t="s">
        <v>254</v>
      </c>
      <c r="C40" t="s">
        <v>136</v>
      </c>
      <c r="D40" t="s">
        <v>137</v>
      </c>
      <c r="E40" t="s">
        <v>138</v>
      </c>
      <c r="F40" t="s">
        <v>136</v>
      </c>
      <c r="G40" t="s">
        <v>137</v>
      </c>
      <c r="H40" t="s">
        <v>138</v>
      </c>
      <c r="I40" t="s">
        <v>136</v>
      </c>
      <c r="J40" t="s">
        <v>137</v>
      </c>
      <c r="K40" t="s">
        <v>138</v>
      </c>
      <c r="N40" t="s">
        <v>253</v>
      </c>
      <c r="P40" s="128">
        <f>AVERAGE(C53:E53)</f>
        <v>1363.4047101226768</v>
      </c>
    </row>
    <row r="41" spans="1:19">
      <c r="A41">
        <v>0</v>
      </c>
      <c r="B41" s="126">
        <v>1</v>
      </c>
      <c r="N41" t="s">
        <v>277</v>
      </c>
      <c r="P41" s="121">
        <f>AVERAGE(I53:K53)</f>
        <v>242.70770474617461</v>
      </c>
    </row>
    <row r="42" spans="1:19">
      <c r="A42">
        <v>1</v>
      </c>
      <c r="B42" s="126">
        <f>B41*(1-C26)</f>
        <v>0.98399999999999999</v>
      </c>
      <c r="C42" s="128">
        <f>J26*B41</f>
        <v>150</v>
      </c>
      <c r="D42" s="128">
        <f>N26*B41</f>
        <v>150</v>
      </c>
      <c r="E42" s="128">
        <f>R26*B41</f>
        <v>150</v>
      </c>
      <c r="F42" s="124">
        <f>MAX(0,$G26-K26)</f>
        <v>0</v>
      </c>
      <c r="G42" s="124">
        <f>MAX(0,$G26-O26)</f>
        <v>1650</v>
      </c>
      <c r="H42" s="124">
        <f>MAX(0,$G26-S26)</f>
        <v>0</v>
      </c>
      <c r="I42" s="121">
        <f>F42*$B41*$C26</f>
        <v>0</v>
      </c>
      <c r="J42" s="121">
        <f>G42*$B41*$C26</f>
        <v>26.400000000000002</v>
      </c>
      <c r="K42" s="121">
        <f>H42*$B41*$C26</f>
        <v>0</v>
      </c>
      <c r="N42" t="s">
        <v>276</v>
      </c>
      <c r="P42" s="175">
        <f>MIN(1,P41/P40)</f>
        <v>0.1780158913521255</v>
      </c>
    </row>
    <row r="43" spans="1:19">
      <c r="A43">
        <v>2</v>
      </c>
      <c r="B43" s="126">
        <f>B42*(1-C27)</f>
        <v>0.96628799999999992</v>
      </c>
      <c r="C43" s="128">
        <f>J27*B42</f>
        <v>174.90600000000001</v>
      </c>
      <c r="D43" s="128">
        <f>N27*B42</f>
        <v>130.626</v>
      </c>
      <c r="E43" s="128">
        <f>R27*B42</f>
        <v>160.14599999999999</v>
      </c>
      <c r="F43" s="124">
        <f>MAX(0,$G27-K27)</f>
        <v>1821.5</v>
      </c>
      <c r="G43" s="124">
        <f>MAX(0,$G27-O27)</f>
        <v>1816.0833333333339</v>
      </c>
      <c r="H43" s="124">
        <f>MAX(0,$G27-S27)</f>
        <v>0</v>
      </c>
      <c r="I43" s="121">
        <f>F43*$B42*$C27</f>
        <v>32.262408000000001</v>
      </c>
      <c r="J43" s="121">
        <f>G43*$B42*$C27</f>
        <v>32.166468000000009</v>
      </c>
      <c r="K43" s="121">
        <f>H43*$B42*$C27</f>
        <v>0</v>
      </c>
      <c r="N43" t="s">
        <v>250</v>
      </c>
      <c r="P43" s="122">
        <f>P41-P40*P42</f>
        <v>0</v>
      </c>
    </row>
    <row r="44" spans="1:19">
      <c r="A44">
        <v>3</v>
      </c>
      <c r="B44" s="126">
        <f>B43*(1-C28)</f>
        <v>0.94696223999999996</v>
      </c>
      <c r="C44" s="128">
        <f>J28*B43</f>
        <v>133.39847412</v>
      </c>
      <c r="D44" s="128">
        <f>N28*B43</f>
        <v>133.47698501999997</v>
      </c>
      <c r="E44" s="128">
        <f>R28*B43</f>
        <v>176.34942669272723</v>
      </c>
      <c r="F44" s="124">
        <f>MAX(0,$G28-K28)</f>
        <v>1542.0130263157898</v>
      </c>
      <c r="G44" s="124">
        <f>MAX(0,$G28-O28)</f>
        <v>1536.1074342105294</v>
      </c>
      <c r="H44" s="124">
        <f>MAX(0,$G28-S28)</f>
        <v>0</v>
      </c>
      <c r="I44" s="121">
        <f>F44*$B43*$C28</f>
        <v>29.800573663452639</v>
      </c>
      <c r="J44" s="121">
        <f>G44*$B43*$C28</f>
        <v>29.686443607768478</v>
      </c>
      <c r="K44" s="121">
        <f>H44*$B43*$C28</f>
        <v>0</v>
      </c>
    </row>
    <row r="45" spans="1:19">
      <c r="A45">
        <v>4</v>
      </c>
      <c r="B45" s="126">
        <f>B44*(1-C29)</f>
        <v>0.92612907071999995</v>
      </c>
      <c r="C45" s="128">
        <f>J29*B44</f>
        <v>142.53065281936233</v>
      </c>
      <c r="D45" s="128">
        <f>N29*B44</f>
        <v>142.61453841029018</v>
      </c>
      <c r="E45" s="128">
        <f>R29*B44</f>
        <v>190.9687941655543</v>
      </c>
      <c r="F45" s="124">
        <f>MAX(0,$G29-K29)</f>
        <v>1793.5182726503735</v>
      </c>
      <c r="G45" s="124">
        <f>MAX(0,$G29-O29)</f>
        <v>2504.5730861685479</v>
      </c>
      <c r="H45" s="124">
        <f>MAX(0,$G29-S29)</f>
        <v>0</v>
      </c>
      <c r="I45" s="121">
        <f>F45*$B44*$C29</f>
        <v>37.364669780898424</v>
      </c>
      <c r="J45" s="121">
        <f>G45*$B44*$C29</f>
        <v>52.178195078281384</v>
      </c>
      <c r="K45" s="121">
        <f>H45*$B44*$C29</f>
        <v>0</v>
      </c>
    </row>
    <row r="46" spans="1:19">
      <c r="A46">
        <v>5</v>
      </c>
      <c r="B46" s="126">
        <f>B45*(1-C30)</f>
        <v>0.90390197302271991</v>
      </c>
      <c r="C46" s="128">
        <f>J30*B45</f>
        <v>143.94190989749234</v>
      </c>
      <c r="D46" s="128">
        <f>N30*B45</f>
        <v>134.06398189237379</v>
      </c>
      <c r="E46" s="128">
        <f>R30*B45</f>
        <v>180.63083489968355</v>
      </c>
      <c r="F46" s="124">
        <f>MAX(0,$G30-K30)</f>
        <v>1614.7359949379279</v>
      </c>
      <c r="G46" s="124">
        <f>MAX(0,$G30-O30)</f>
        <v>2786.3279712135118</v>
      </c>
      <c r="H46" s="124">
        <f>MAX(0,$G30-S30)</f>
        <v>0</v>
      </c>
      <c r="I46" s="121">
        <f>F46*$B45*$C30</f>
        <v>35.890894714799941</v>
      </c>
      <c r="J46" s="121">
        <f>G46*$B45*$C30</f>
        <v>61.931984032826698</v>
      </c>
      <c r="K46" s="121">
        <f>H46*$B45*$C30</f>
        <v>0</v>
      </c>
      <c r="M46" s="174"/>
    </row>
    <row r="47" spans="1:19">
      <c r="A47">
        <v>6</v>
      </c>
      <c r="B47" s="126">
        <f>B46*(1-C31)</f>
        <v>0.87949661975110649</v>
      </c>
      <c r="C47" s="128">
        <f>J31*B46</f>
        <v>151.1515675954125</v>
      </c>
      <c r="D47" s="128">
        <f>N31*B46</f>
        <v>135.2665031114162</v>
      </c>
      <c r="E47" s="128">
        <f>R31*B46</f>
        <v>189.67814079025896</v>
      </c>
      <c r="F47" s="124">
        <f>MAX(0,$G31-K31)</f>
        <v>1491.0913348003487</v>
      </c>
      <c r="G47" s="124">
        <f>MAX(0,$G31-O31)</f>
        <v>2878.0820449131115</v>
      </c>
      <c r="H47" s="124">
        <f>MAX(0,$G31-S31)</f>
        <v>0</v>
      </c>
      <c r="I47" s="121">
        <f>F47*$B46*$C31</f>
        <v>36.390610786044142</v>
      </c>
      <c r="J47" s="121">
        <f>G47*$B46*$C31</f>
        <v>70.240609050792102</v>
      </c>
      <c r="K47" s="121">
        <f>H47*$B46*$C31</f>
        <v>0</v>
      </c>
    </row>
    <row r="48" spans="1:19">
      <c r="A48">
        <v>7</v>
      </c>
      <c r="B48" s="126">
        <f>B47*(1-C32)</f>
        <v>0.85311172115857326</v>
      </c>
      <c r="C48" s="128">
        <f>J32*B47</f>
        <v>157.12029108047605</v>
      </c>
      <c r="D48" s="128">
        <f>N32*B47</f>
        <v>138.82248646292064</v>
      </c>
      <c r="E48" s="128">
        <f>R32*B47</f>
        <v>200.24416162298033</v>
      </c>
      <c r="F48" s="124">
        <f>MAX(0,$G32-K32)</f>
        <v>1423.6436641500077</v>
      </c>
      <c r="G48" s="124">
        <f>MAX(0,$G32-O32)</f>
        <v>2333.4241509060721</v>
      </c>
      <c r="H48" s="124">
        <f>MAX(0,$G32-S32)</f>
        <v>0</v>
      </c>
      <c r="I48" s="121">
        <f>F48*$B47*$C32</f>
        <v>37.562693710500341</v>
      </c>
      <c r="J48" s="121">
        <f>G48*$B47*$C32</f>
        <v>61.567159595024577</v>
      </c>
      <c r="K48" s="121">
        <f>H48*$B47*$C32</f>
        <v>0</v>
      </c>
    </row>
    <row r="49" spans="1:11">
      <c r="A49">
        <v>8</v>
      </c>
      <c r="B49" s="126">
        <f>B48*(1-C33)</f>
        <v>0.8241059226391817</v>
      </c>
      <c r="C49" s="128">
        <f>J33*B48</f>
        <v>161.84417306269177</v>
      </c>
      <c r="D49" s="128">
        <f>N33*B48</f>
        <v>150.2020071086975</v>
      </c>
      <c r="E49" s="128">
        <f>R33*B48</f>
        <v>203.09521372414872</v>
      </c>
      <c r="F49" s="124">
        <f>MAX(0,$G33-K33)</f>
        <v>1413.5213865991409</v>
      </c>
      <c r="G49" s="124">
        <f>MAX(0,$G33-O33)</f>
        <v>1858.7019007932995</v>
      </c>
      <c r="H49" s="124">
        <f>MAX(0,$G33-S33)</f>
        <v>0</v>
      </c>
      <c r="I49" s="121">
        <f>F49*$B48*$C33</f>
        <v>41.000316542545569</v>
      </c>
      <c r="J49" s="121">
        <f>G49*$B48*$C33</f>
        <v>53.913132842020438</v>
      </c>
      <c r="K49" s="121">
        <f>H49*$B48*$C33</f>
        <v>0</v>
      </c>
    </row>
    <row r="50" spans="1:11">
      <c r="A50">
        <v>9</v>
      </c>
      <c r="B50" s="126">
        <f>B49*(1-C34)</f>
        <v>0.79278989757889273</v>
      </c>
      <c r="C50" s="128">
        <f>J34*B49</f>
        <v>165.16359705220754</v>
      </c>
      <c r="D50" s="128">
        <f>N34*B49</f>
        <v>159.6604585763431</v>
      </c>
      <c r="E50" s="128">
        <f>R34*B49</f>
        <v>198.85255470945125</v>
      </c>
      <c r="F50" s="124">
        <f>MAX(0,$G34-K34)</f>
        <v>1461.9290675102802</v>
      </c>
      <c r="G50" s="124">
        <f>MAX(0,$G34-O34)</f>
        <v>3236.5416361614425</v>
      </c>
      <c r="H50" s="124">
        <f>MAX(0,$G34-S34)</f>
        <v>0</v>
      </c>
      <c r="I50" s="121">
        <f>F50*$B49*$C34</f>
        <v>45.781807314516719</v>
      </c>
      <c r="J50" s="121">
        <f>G50*$B49*$C34</f>
        <v>101.35561898670019</v>
      </c>
      <c r="K50" s="121">
        <f>H50*$B49*$C34</f>
        <v>0</v>
      </c>
    </row>
    <row r="51" spans="1:11">
      <c r="A51">
        <v>10</v>
      </c>
      <c r="B51" s="126">
        <f>B50*(1-C35)</f>
        <v>0.75949272188057926</v>
      </c>
      <c r="C51" s="128">
        <f>J35*B50</f>
        <v>167.09656168304187</v>
      </c>
      <c r="D51" s="128">
        <f>N35*B50</f>
        <v>145.99313793489432</v>
      </c>
      <c r="E51" s="128">
        <f>R35*B50</f>
        <v>209.68184389164492</v>
      </c>
      <c r="F51" s="124">
        <f>MAX(0,$G35-K35)</f>
        <v>1131.0491194828919</v>
      </c>
      <c r="G51" s="124">
        <f>MAX(0,$G35-O35)</f>
        <v>2880.9917959025133</v>
      </c>
      <c r="H51" s="124">
        <f>MAX(0,$G35-S35)</f>
        <v>0</v>
      </c>
      <c r="I51" s="121">
        <f>F51*$B50*$C35</f>
        <v>37.660741254844631</v>
      </c>
      <c r="J51" s="121">
        <f>G51*$B50*$C35</f>
        <v>95.928890013565734</v>
      </c>
      <c r="K51" s="121">
        <f>H51*$B50*$C35</f>
        <v>0</v>
      </c>
    </row>
    <row r="52" spans="1:11">
      <c r="B52" s="126"/>
      <c r="C52" s="128"/>
      <c r="D52" s="128"/>
      <c r="E52" s="128"/>
      <c r="F52" s="124"/>
      <c r="G52" s="124"/>
      <c r="H52" s="124"/>
      <c r="I52" s="121"/>
      <c r="J52" s="121"/>
      <c r="K52" s="121"/>
    </row>
    <row r="53" spans="1:11">
      <c r="B53" s="126" t="s">
        <v>249</v>
      </c>
      <c r="C53" s="125">
        <f>C42+NPV($C$55,C43:C51)</f>
        <v>1314.1715102865264</v>
      </c>
      <c r="D53" s="125">
        <f>D42+NPV($C$55,D43:D51)</f>
        <v>1206.9805676242115</v>
      </c>
      <c r="E53" s="125">
        <f>E42+NPV($C$55,E43:E51)</f>
        <v>1569.0620524572928</v>
      </c>
      <c r="F53" s="124"/>
      <c r="G53" s="124" t="s">
        <v>248</v>
      </c>
      <c r="I53" s="123">
        <f>NPV($C$55,I42:I51)</f>
        <v>266.4430270039839</v>
      </c>
      <c r="J53" s="123">
        <f>NPV($C$55,J42:J51)</f>
        <v>461.68008723453994</v>
      </c>
      <c r="K53" s="123">
        <f>NPV($C$55,K42:K51)</f>
        <v>0</v>
      </c>
    </row>
    <row r="54" spans="1:11">
      <c r="B54" t="s">
        <v>247</v>
      </c>
    </row>
    <row r="55" spans="1:11">
      <c r="B55" t="s">
        <v>246</v>
      </c>
      <c r="C55" s="66">
        <f>3.5%+0.25%</f>
        <v>3.7500000000000006E-2</v>
      </c>
    </row>
    <row r="56" spans="1:11">
      <c r="C56" s="66"/>
    </row>
    <row r="57" spans="1:11">
      <c r="A57" s="120"/>
      <c r="B57" s="173"/>
      <c r="C57" s="66"/>
    </row>
    <row r="58" spans="1:11">
      <c r="A58" s="120"/>
      <c r="B58" s="173"/>
      <c r="C58" s="66"/>
    </row>
    <row r="59" spans="1:11">
      <c r="A59" s="120"/>
      <c r="B59" s="173"/>
      <c r="C59" s="66"/>
    </row>
    <row r="60" spans="1:11">
      <c r="A60" s="120"/>
      <c r="B60" s="173"/>
      <c r="C60" s="66"/>
    </row>
    <row r="61" spans="1:11">
      <c r="A61" s="172"/>
      <c r="B61" s="171"/>
      <c r="C61" s="66"/>
    </row>
    <row r="62" spans="1:11">
      <c r="A62" s="170"/>
      <c r="C62" s="66"/>
    </row>
    <row r="63" spans="1:11">
      <c r="A63" s="170"/>
      <c r="C63" s="66"/>
    </row>
    <row r="64" spans="1:11">
      <c r="A64" s="170"/>
      <c r="C64" s="66"/>
    </row>
    <row r="65" spans="1:19">
      <c r="C65" s="66"/>
    </row>
    <row r="66" spans="1:19">
      <c r="C66" s="66"/>
    </row>
    <row r="67" spans="1:19">
      <c r="C67" s="66"/>
    </row>
    <row r="68" spans="1:19">
      <c r="C68" s="66"/>
    </row>
    <row r="69" spans="1:19" s="168" customFormat="1" ht="15.6">
      <c r="A69" s="169" t="s">
        <v>275</v>
      </c>
    </row>
    <row r="70" spans="1:19" s="132" customFormat="1">
      <c r="B70" s="167"/>
      <c r="C70" s="166"/>
      <c r="E70" s="165" t="s">
        <v>274</v>
      </c>
      <c r="F70" s="164"/>
      <c r="G70" s="163"/>
      <c r="H70" s="162" t="s">
        <v>273</v>
      </c>
      <c r="I70" s="161"/>
      <c r="J70" s="161"/>
      <c r="K70" s="161"/>
      <c r="L70" s="162" t="s">
        <v>272</v>
      </c>
      <c r="M70" s="161"/>
      <c r="N70" s="161"/>
      <c r="O70" s="161"/>
      <c r="P70" s="162" t="s">
        <v>271</v>
      </c>
      <c r="Q70" s="161"/>
      <c r="R70" s="161"/>
      <c r="S70" s="160"/>
    </row>
    <row r="71" spans="1:19" s="132" customFormat="1" ht="42.75" customHeight="1">
      <c r="B71" s="159" t="s">
        <v>269</v>
      </c>
      <c r="C71" s="159" t="s">
        <v>270</v>
      </c>
      <c r="E71" s="158" t="s">
        <v>269</v>
      </c>
      <c r="F71" s="157" t="s">
        <v>268</v>
      </c>
      <c r="G71" s="155" t="s">
        <v>267</v>
      </c>
      <c r="H71" s="157" t="s">
        <v>266</v>
      </c>
      <c r="I71" s="156" t="s">
        <v>265</v>
      </c>
      <c r="J71" s="156" t="s">
        <v>264</v>
      </c>
      <c r="K71" s="155" t="s">
        <v>263</v>
      </c>
      <c r="L71" s="157" t="s">
        <v>266</v>
      </c>
      <c r="M71" s="156" t="s">
        <v>265</v>
      </c>
      <c r="N71" s="156" t="s">
        <v>264</v>
      </c>
      <c r="O71" s="155" t="s">
        <v>263</v>
      </c>
      <c r="P71" s="154" t="s">
        <v>266</v>
      </c>
      <c r="Q71" s="154" t="s">
        <v>265</v>
      </c>
      <c r="R71" s="154" t="s">
        <v>264</v>
      </c>
      <c r="S71" s="153" t="s">
        <v>263</v>
      </c>
    </row>
    <row r="72" spans="1:19" s="132" customFormat="1" ht="13.8">
      <c r="B72" s="146">
        <v>0</v>
      </c>
      <c r="C72" s="152"/>
      <c r="E72" s="146">
        <v>0</v>
      </c>
      <c r="F72" s="151">
        <v>10000</v>
      </c>
      <c r="G72" s="150"/>
      <c r="H72" s="149"/>
      <c r="I72" s="142"/>
      <c r="J72" s="142"/>
      <c r="K72" s="141"/>
      <c r="L72" s="149"/>
      <c r="M72" s="142"/>
      <c r="N72" s="142"/>
      <c r="O72" s="141"/>
      <c r="P72" s="148"/>
      <c r="Q72" s="142"/>
      <c r="R72" s="142"/>
      <c r="S72" s="141"/>
    </row>
    <row r="73" spans="1:19" s="132" customFormat="1" ht="13.8">
      <c r="B73" s="146">
        <v>1</v>
      </c>
      <c r="C73" s="147"/>
      <c r="D73" s="139"/>
      <c r="E73" s="146">
        <v>1</v>
      </c>
      <c r="F73" s="145">
        <v>0</v>
      </c>
      <c r="G73" s="141">
        <v>10500</v>
      </c>
      <c r="H73" s="144">
        <v>0.1</v>
      </c>
      <c r="I73" s="142">
        <v>1000</v>
      </c>
      <c r="J73" s="142">
        <v>150</v>
      </c>
      <c r="K73" s="141">
        <v>10850</v>
      </c>
      <c r="L73" s="144">
        <v>0.1</v>
      </c>
      <c r="M73" s="142">
        <v>1000</v>
      </c>
      <c r="N73" s="142">
        <v>150</v>
      </c>
      <c r="O73" s="141">
        <v>10850</v>
      </c>
      <c r="P73" s="143">
        <v>0.1</v>
      </c>
      <c r="Q73" s="142">
        <v>1000</v>
      </c>
      <c r="R73" s="142">
        <v>150</v>
      </c>
      <c r="S73" s="141">
        <v>10850</v>
      </c>
    </row>
    <row r="74" spans="1:19" s="132" customFormat="1" ht="13.8">
      <c r="B74" s="146">
        <v>2</v>
      </c>
      <c r="C74" s="147">
        <v>1.7999999999999999E-2</v>
      </c>
      <c r="D74" s="139"/>
      <c r="E74" s="146">
        <v>2</v>
      </c>
      <c r="F74" s="145">
        <v>0</v>
      </c>
      <c r="G74" s="141">
        <v>11025</v>
      </c>
      <c r="H74" s="144">
        <v>-0.20833333333333337</v>
      </c>
      <c r="I74" s="142">
        <v>-2260.416666666667</v>
      </c>
      <c r="J74" s="142">
        <v>162.75</v>
      </c>
      <c r="K74" s="141">
        <v>8426.8333333333321</v>
      </c>
      <c r="L74" s="144">
        <v>5.555555555555558E-2</v>
      </c>
      <c r="M74" s="142">
        <v>602.77777777777806</v>
      </c>
      <c r="N74" s="142">
        <v>162.75</v>
      </c>
      <c r="O74" s="141">
        <v>11290.027777777777</v>
      </c>
      <c r="P74" s="143">
        <v>0.13636363636363624</v>
      </c>
      <c r="Q74" s="142">
        <v>1479.5454545454531</v>
      </c>
      <c r="R74" s="142">
        <v>162.75</v>
      </c>
      <c r="S74" s="141">
        <v>12166.795454545452</v>
      </c>
    </row>
    <row r="75" spans="1:19" s="132" customFormat="1" ht="13.8">
      <c r="B75" s="146">
        <v>3</v>
      </c>
      <c r="C75" s="147">
        <v>0.02</v>
      </c>
      <c r="D75" s="139"/>
      <c r="E75" s="146">
        <v>3</v>
      </c>
      <c r="F75" s="145">
        <v>0</v>
      </c>
      <c r="G75" s="141">
        <v>11576.250000000002</v>
      </c>
      <c r="H75" s="144">
        <v>0.10526315789473695</v>
      </c>
      <c r="I75" s="142">
        <v>887.03508771929899</v>
      </c>
      <c r="J75" s="142">
        <v>126.40249999999997</v>
      </c>
      <c r="K75" s="141">
        <v>9187.4659210526315</v>
      </c>
      <c r="L75" s="144">
        <v>0.10526315789473695</v>
      </c>
      <c r="M75" s="142">
        <v>1188.4239766081882</v>
      </c>
      <c r="N75" s="142">
        <v>169.35041666666666</v>
      </c>
      <c r="O75" s="141">
        <v>12309.101337719299</v>
      </c>
      <c r="P75" s="143">
        <v>0.11999999999999988</v>
      </c>
      <c r="Q75" s="142">
        <v>1460.0154545454529</v>
      </c>
      <c r="R75" s="142">
        <v>182.50193181818179</v>
      </c>
      <c r="S75" s="141">
        <v>13444.308977272723</v>
      </c>
    </row>
    <row r="76" spans="1:19" s="132" customFormat="1" ht="13.8">
      <c r="B76" s="146">
        <v>4</v>
      </c>
      <c r="C76" s="147">
        <v>2.1999999999999999E-2</v>
      </c>
      <c r="D76" s="139"/>
      <c r="E76" s="146">
        <v>4</v>
      </c>
      <c r="F76" s="145">
        <v>0</v>
      </c>
      <c r="G76" s="141">
        <v>12155.0625</v>
      </c>
      <c r="H76" s="144">
        <v>4.7619047619047672E-2</v>
      </c>
      <c r="I76" s="142">
        <v>437.49837719298296</v>
      </c>
      <c r="J76" s="142">
        <v>137.81198881578948</v>
      </c>
      <c r="K76" s="141">
        <v>9487.1523094298263</v>
      </c>
      <c r="L76" s="144">
        <v>-2.3809523809524169E-2</v>
      </c>
      <c r="M76" s="142">
        <v>-293.07384137427346</v>
      </c>
      <c r="N76" s="142">
        <v>184.63652006578948</v>
      </c>
      <c r="O76" s="141">
        <v>11831.390976279237</v>
      </c>
      <c r="P76" s="143">
        <v>-1.7857142857142683E-2</v>
      </c>
      <c r="Q76" s="142">
        <v>-240.07694602272485</v>
      </c>
      <c r="R76" s="142">
        <v>201.66463465909084</v>
      </c>
      <c r="S76" s="141">
        <v>13002.567396590906</v>
      </c>
    </row>
    <row r="77" spans="1:19" s="132" customFormat="1" ht="13.8">
      <c r="B77" s="146">
        <v>5</v>
      </c>
      <c r="C77" s="147">
        <v>2.4E-2</v>
      </c>
      <c r="D77" s="139"/>
      <c r="E77" s="146">
        <v>5</v>
      </c>
      <c r="F77" s="145">
        <v>0</v>
      </c>
      <c r="G77" s="141">
        <v>12762.815625000001</v>
      </c>
      <c r="H77" s="144">
        <v>9.0909090909090828E-2</v>
      </c>
      <c r="I77" s="142">
        <v>862.46839176634705</v>
      </c>
      <c r="J77" s="142">
        <v>142.30728464144738</v>
      </c>
      <c r="K77" s="141">
        <v>10207.313416554727</v>
      </c>
      <c r="L77" s="144">
        <v>4.8780487804878092E-2</v>
      </c>
      <c r="M77" s="142">
        <v>577.14102323313409</v>
      </c>
      <c r="N77" s="142">
        <v>177.47086464418857</v>
      </c>
      <c r="O77" s="141">
        <v>12231.061134868183</v>
      </c>
      <c r="P77" s="143">
        <v>9.0909090909090828E-2</v>
      </c>
      <c r="Q77" s="142">
        <v>1182.0515815082631</v>
      </c>
      <c r="R77" s="142">
        <v>195.03851094886357</v>
      </c>
      <c r="S77" s="141">
        <v>13989.580467150307</v>
      </c>
    </row>
    <row r="78" spans="1:19" s="132" customFormat="1" ht="13.8">
      <c r="B78" s="146">
        <v>6</v>
      </c>
      <c r="C78" s="147">
        <v>2.7E-2</v>
      </c>
      <c r="D78" s="139"/>
      <c r="E78" s="146">
        <v>6</v>
      </c>
      <c r="F78" s="145">
        <v>0</v>
      </c>
      <c r="G78" s="141">
        <v>13400.956406249999</v>
      </c>
      <c r="H78" s="144">
        <v>8.3333333333333481E-2</v>
      </c>
      <c r="I78" s="142">
        <v>850.60945137956207</v>
      </c>
      <c r="J78" s="142">
        <v>153.1097012483209</v>
      </c>
      <c r="K78" s="141">
        <v>10904.813166685968</v>
      </c>
      <c r="L78" s="144">
        <v>6.9767441860464796E-2</v>
      </c>
      <c r="M78" s="142">
        <v>853.3298466187066</v>
      </c>
      <c r="N78" s="142">
        <v>183.46591702302274</v>
      </c>
      <c r="O78" s="141">
        <v>12900.925064463867</v>
      </c>
      <c r="P78" s="143">
        <v>9.9999999999999867E-2</v>
      </c>
      <c r="Q78" s="142">
        <v>1398.9580467150288</v>
      </c>
      <c r="R78" s="142">
        <v>209.84370700725458</v>
      </c>
      <c r="S78" s="141">
        <v>15178.69480685808</v>
      </c>
    </row>
    <row r="79" spans="1:19" s="132" customFormat="1" ht="13.8">
      <c r="B79" s="146">
        <v>7</v>
      </c>
      <c r="C79" s="147">
        <v>0.03</v>
      </c>
      <c r="D79" s="139"/>
      <c r="E79" s="146">
        <v>7</v>
      </c>
      <c r="F79" s="145">
        <v>0</v>
      </c>
      <c r="G79" s="141">
        <v>14071.004226562502</v>
      </c>
      <c r="H79" s="144">
        <v>7.6923076923076872E-2</v>
      </c>
      <c r="I79" s="142">
        <v>838.83178205276624</v>
      </c>
      <c r="J79" s="142">
        <v>163.57219750028952</v>
      </c>
      <c r="K79" s="141">
        <v>11580.072751238446</v>
      </c>
      <c r="L79" s="144">
        <v>0.13043478260869579</v>
      </c>
      <c r="M79" s="142">
        <v>1682.7293562344191</v>
      </c>
      <c r="N79" s="142">
        <v>193.51387596695798</v>
      </c>
      <c r="O79" s="141">
        <v>14390.140544731328</v>
      </c>
      <c r="P79" s="143">
        <v>6.060606060606033E-2</v>
      </c>
      <c r="Q79" s="142">
        <v>919.920897385334</v>
      </c>
      <c r="R79" s="142">
        <v>227.6804221028712</v>
      </c>
      <c r="S79" s="141">
        <v>15870.935282140545</v>
      </c>
    </row>
    <row r="80" spans="1:19" s="132" customFormat="1" ht="13.8">
      <c r="B80" s="146">
        <v>8</v>
      </c>
      <c r="C80" s="147">
        <v>3.4000000000000002E-2</v>
      </c>
      <c r="D80" s="139"/>
      <c r="E80" s="146">
        <v>8</v>
      </c>
      <c r="F80" s="145">
        <v>0</v>
      </c>
      <c r="G80" s="141">
        <v>14774.554437890625</v>
      </c>
      <c r="H80" s="144">
        <v>7.1428571428571397E-2</v>
      </c>
      <c r="I80" s="142">
        <v>827.14805365988855</v>
      </c>
      <c r="J80" s="142">
        <v>173.70109126857668</v>
      </c>
      <c r="K80" s="141">
        <v>12233.519713629757</v>
      </c>
      <c r="L80" s="144">
        <v>0.11538461538461542</v>
      </c>
      <c r="M80" s="142">
        <v>1660.4008320843845</v>
      </c>
      <c r="N80" s="142">
        <v>215.85210817096993</v>
      </c>
      <c r="O80" s="141">
        <v>15834.689268644743</v>
      </c>
      <c r="P80" s="143">
        <v>2.8571428571428692E-2</v>
      </c>
      <c r="Q80" s="142">
        <v>453.45529377544602</v>
      </c>
      <c r="R80" s="142">
        <v>238.06402923210817</v>
      </c>
      <c r="S80" s="141">
        <v>16086.326546683882</v>
      </c>
    </row>
    <row r="81" spans="1:19" s="132" customFormat="1" ht="13.8">
      <c r="B81" s="146">
        <v>9</v>
      </c>
      <c r="C81" s="147">
        <v>3.7999999999999999E-2</v>
      </c>
      <c r="D81" s="139"/>
      <c r="E81" s="146">
        <v>9</v>
      </c>
      <c r="F81" s="145">
        <v>0</v>
      </c>
      <c r="G81" s="141">
        <v>15513.282159785158</v>
      </c>
      <c r="H81" s="144">
        <v>6.6666666666666652E-2</v>
      </c>
      <c r="I81" s="142">
        <v>815.56798090865027</v>
      </c>
      <c r="J81" s="142">
        <v>183.50279570444636</v>
      </c>
      <c r="K81" s="141">
        <v>12865.584898833962</v>
      </c>
      <c r="L81" s="144">
        <v>-3.4482758620689724E-2</v>
      </c>
      <c r="M81" s="142">
        <v>-546.02376788430252</v>
      </c>
      <c r="N81" s="142">
        <v>237.52033902967113</v>
      </c>
      <c r="O81" s="141">
        <v>15051.145161730768</v>
      </c>
      <c r="P81" s="143">
        <v>0.11111111111111116</v>
      </c>
      <c r="Q81" s="142">
        <v>1787.3696162982098</v>
      </c>
      <c r="R81" s="142">
        <v>241.29489820025822</v>
      </c>
      <c r="S81" s="141">
        <v>17632.401264781831</v>
      </c>
    </row>
    <row r="82" spans="1:19" s="132" customFormat="1" ht="13.8">
      <c r="B82" s="138">
        <v>10</v>
      </c>
      <c r="C82" s="140">
        <v>4.2000000000000003E-2</v>
      </c>
      <c r="D82" s="139"/>
      <c r="E82" s="138">
        <v>10</v>
      </c>
      <c r="F82" s="137">
        <v>0</v>
      </c>
      <c r="G82" s="133">
        <v>16288.946267774416</v>
      </c>
      <c r="H82" s="136">
        <v>9.375E-2</v>
      </c>
      <c r="I82" s="134">
        <v>1206.1485842656839</v>
      </c>
      <c r="J82" s="134">
        <v>192.98377348250943</v>
      </c>
      <c r="K82" s="133">
        <v>13878.749709617137</v>
      </c>
      <c r="L82" s="136">
        <v>0.10714285714285721</v>
      </c>
      <c r="M82" s="134">
        <v>1612.6226958997261</v>
      </c>
      <c r="N82" s="134">
        <v>225.76717742596151</v>
      </c>
      <c r="O82" s="133">
        <v>16438.000680204532</v>
      </c>
      <c r="P82" s="135">
        <v>0.19999999999999996</v>
      </c>
      <c r="Q82" s="134">
        <v>3526.4802529563653</v>
      </c>
      <c r="R82" s="134">
        <v>264.48601897172745</v>
      </c>
      <c r="S82" s="133">
        <v>20894.395498766466</v>
      </c>
    </row>
    <row r="83" spans="1:19" s="130" customFormat="1" ht="15.6">
      <c r="A83" s="131"/>
    </row>
    <row r="84" spans="1:19" s="130" customFormat="1" ht="15.6">
      <c r="A84" s="131" t="s">
        <v>262</v>
      </c>
    </row>
    <row r="85" spans="1:19" ht="15.6">
      <c r="A85" s="129" t="s">
        <v>261</v>
      </c>
    </row>
    <row r="87" spans="1:19">
      <c r="A87" t="s">
        <v>260</v>
      </c>
    </row>
    <row r="89" spans="1:19">
      <c r="C89" t="s">
        <v>259</v>
      </c>
      <c r="F89" t="s">
        <v>258</v>
      </c>
      <c r="I89" t="s">
        <v>257</v>
      </c>
    </row>
    <row r="90" spans="1:19">
      <c r="C90" t="s">
        <v>256</v>
      </c>
      <c r="I90" t="s">
        <v>255</v>
      </c>
    </row>
    <row r="91" spans="1:19">
      <c r="A91" t="s">
        <v>225</v>
      </c>
      <c r="B91" t="s">
        <v>254</v>
      </c>
      <c r="C91" t="s">
        <v>136</v>
      </c>
      <c r="D91" t="s">
        <v>137</v>
      </c>
      <c r="E91" t="s">
        <v>138</v>
      </c>
      <c r="F91" t="s">
        <v>136</v>
      </c>
      <c r="G91" t="s">
        <v>137</v>
      </c>
      <c r="H91" t="s">
        <v>138</v>
      </c>
      <c r="I91" t="s">
        <v>136</v>
      </c>
      <c r="J91" t="s">
        <v>137</v>
      </c>
      <c r="K91" t="s">
        <v>138</v>
      </c>
    </row>
    <row r="92" spans="1:19">
      <c r="A92">
        <v>0</v>
      </c>
      <c r="B92" s="126">
        <v>1</v>
      </c>
      <c r="O92" t="s">
        <v>253</v>
      </c>
      <c r="Q92" s="128">
        <f>AVERAGE(C103:E103)</f>
        <v>1328.8004332971248</v>
      </c>
    </row>
    <row r="93" spans="1:19">
      <c r="A93">
        <v>1</v>
      </c>
      <c r="B93" s="126">
        <f>B92*(1-C74)</f>
        <v>0.98199999999999998</v>
      </c>
      <c r="C93" s="122">
        <f>$B92*J74</f>
        <v>162.75</v>
      </c>
      <c r="D93" s="122">
        <f>$B92*N74</f>
        <v>162.75</v>
      </c>
      <c r="E93" s="122">
        <f>$B92*R74</f>
        <v>162.75</v>
      </c>
      <c r="F93" s="124">
        <f>MAX(0,$G74-K74)</f>
        <v>2598.1666666666679</v>
      </c>
      <c r="G93" s="124">
        <f>MAX(0,$G74-O74)</f>
        <v>0</v>
      </c>
      <c r="H93" s="124">
        <f>MAX(0,$G74-S74)</f>
        <v>0</v>
      </c>
      <c r="I93" s="122">
        <f>F93*$B92*$C74</f>
        <v>46.767000000000017</v>
      </c>
      <c r="J93" s="122">
        <f>G93*$B92*$C74</f>
        <v>0</v>
      </c>
      <c r="K93" s="122">
        <f>H93*$B92*$C74</f>
        <v>0</v>
      </c>
      <c r="O93" t="s">
        <v>252</v>
      </c>
      <c r="Q93" s="121">
        <f>AVERAGE(I103:K103)</f>
        <v>170.36790111569243</v>
      </c>
    </row>
    <row r="94" spans="1:19">
      <c r="A94">
        <v>2</v>
      </c>
      <c r="B94" s="126">
        <f>B93*(1-C75)</f>
        <v>0.96235999999999999</v>
      </c>
      <c r="C94" s="122">
        <f>$B93*J75</f>
        <v>124.12725499999998</v>
      </c>
      <c r="D94" s="122">
        <f>$B93*N75</f>
        <v>166.30210916666667</v>
      </c>
      <c r="E94" s="122">
        <f>$B93*R75</f>
        <v>179.21689704545452</v>
      </c>
      <c r="F94" s="124">
        <f>MAX(0,$G75-K75)</f>
        <v>2388.7840789473703</v>
      </c>
      <c r="G94" s="124">
        <f>MAX(0,$G75-O75)</f>
        <v>0</v>
      </c>
      <c r="H94" s="124">
        <f>MAX(0,$G75-S75)</f>
        <v>0</v>
      </c>
      <c r="I94" s="122">
        <f>F94*$B93*$C75</f>
        <v>46.915719310526356</v>
      </c>
      <c r="J94" s="122">
        <f>G94*$B93*$C75</f>
        <v>0</v>
      </c>
      <c r="K94" s="122">
        <f>H94*$B93*$C75</f>
        <v>0</v>
      </c>
      <c r="O94" t="s">
        <v>251</v>
      </c>
      <c r="Q94" s="127">
        <f>P42</f>
        <v>0.1780158913521255</v>
      </c>
    </row>
    <row r="95" spans="1:19">
      <c r="A95">
        <v>3</v>
      </c>
      <c r="B95" s="126">
        <f>B94*(1-C76)</f>
        <v>0.94118807999999998</v>
      </c>
      <c r="C95" s="122">
        <f>$B94*J76</f>
        <v>132.62474555676317</v>
      </c>
      <c r="D95" s="122">
        <f>$B94*N76</f>
        <v>177.68680145051317</v>
      </c>
      <c r="E95" s="122">
        <f>$B94*R76</f>
        <v>194.07397781052265</v>
      </c>
      <c r="F95" s="124">
        <f>MAX(0,$G76-K76)</f>
        <v>2667.9101905701737</v>
      </c>
      <c r="G95" s="124">
        <f>MAX(0,$G76-O76)</f>
        <v>323.67152372076271</v>
      </c>
      <c r="H95" s="124">
        <f>MAX(0,$G76-S76)</f>
        <v>0</v>
      </c>
      <c r="I95" s="122">
        <f>F95*$B94*$C76</f>
        <v>56.484781121936464</v>
      </c>
      <c r="J95" s="122">
        <f>G95*$B94*$C76</f>
        <v>6.8527476064940895</v>
      </c>
      <c r="K95" s="122">
        <f>H95*$B94*$C76</f>
        <v>0</v>
      </c>
      <c r="O95" t="s">
        <v>250</v>
      </c>
      <c r="Q95" s="122">
        <f>Q93-Q92*Q94</f>
        <v>-66.179692446785822</v>
      </c>
    </row>
    <row r="96" spans="1:19">
      <c r="A96">
        <v>4</v>
      </c>
      <c r="B96" s="126">
        <f>B95*(1-C77)</f>
        <v>0.91859956607999993</v>
      </c>
      <c r="C96" s="122">
        <f>$B95*J77</f>
        <v>133.93792000169734</v>
      </c>
      <c r="D96" s="122">
        <f>$B95*N77</f>
        <v>167.03346235040371</v>
      </c>
      <c r="E96" s="122">
        <f>$B95*R77</f>
        <v>183.56792164601987</v>
      </c>
      <c r="F96" s="124">
        <f>MAX(0,$G77-K77)</f>
        <v>2555.5022084452739</v>
      </c>
      <c r="G96" s="124">
        <f>MAX(0,$G77-O77)</f>
        <v>531.75449013181787</v>
      </c>
      <c r="H96" s="124">
        <f>MAX(0,$G77-S77)</f>
        <v>0</v>
      </c>
      <c r="I96" s="122">
        <f>F96*$B95*$C77</f>
        <v>57.724997208056813</v>
      </c>
      <c r="J96" s="122">
        <f>G96*$B95*$C77</f>
        <v>12.011543702365071</v>
      </c>
      <c r="K96" s="122">
        <f>H96*$B95*$C77</f>
        <v>0</v>
      </c>
    </row>
    <row r="97" spans="1:11">
      <c r="A97">
        <v>5</v>
      </c>
      <c r="B97" s="126">
        <f>B96*(1-C78)</f>
        <v>0.8937973777958399</v>
      </c>
      <c r="C97" s="122">
        <f>$B96*J78</f>
        <v>140.646505129346</v>
      </c>
      <c r="D97" s="122">
        <f>$B96*N78</f>
        <v>168.53171176781797</v>
      </c>
      <c r="E97" s="122">
        <f>$B96*R78</f>
        <v>192.76233820148269</v>
      </c>
      <c r="F97" s="124">
        <f>MAX(0,$G78-K78)</f>
        <v>2496.1432395640313</v>
      </c>
      <c r="G97" s="124">
        <f>MAX(0,$G78-O78)</f>
        <v>500.03134178613254</v>
      </c>
      <c r="H97" s="124">
        <f>MAX(0,$G78-S78)</f>
        <v>0</v>
      </c>
      <c r="I97" s="122">
        <f>F97*$B96*$C78</f>
        <v>61.909814611900195</v>
      </c>
      <c r="J97" s="122">
        <f>G97*$B96*$C78</f>
        <v>12.40187148696082</v>
      </c>
      <c r="K97" s="122">
        <f>H97*$B96*$C78</f>
        <v>0</v>
      </c>
    </row>
    <row r="98" spans="1:11">
      <c r="A98">
        <v>6</v>
      </c>
      <c r="B98" s="126">
        <f>B97*(1-C79)</f>
        <v>0.86698345646196473</v>
      </c>
      <c r="C98" s="122">
        <f>$B97*J79</f>
        <v>146.200401206062</v>
      </c>
      <c r="D98" s="122">
        <f>$B97*N79</f>
        <v>172.96219490637645</v>
      </c>
      <c r="E98" s="122">
        <f>$B97*R79</f>
        <v>203.50016425099628</v>
      </c>
      <c r="F98" s="124">
        <f>MAX(0,$G79-K79)</f>
        <v>2490.931475324056</v>
      </c>
      <c r="G98" s="124">
        <f>MAX(0,$G79-O79)</f>
        <v>0</v>
      </c>
      <c r="H98" s="124">
        <f>MAX(0,$G79-S79)</f>
        <v>0</v>
      </c>
      <c r="I98" s="122">
        <f>F98*$B97*$C79</f>
        <v>66.791640627412917</v>
      </c>
      <c r="J98" s="122">
        <f>G98*$B97*$C79</f>
        <v>0</v>
      </c>
      <c r="K98" s="122">
        <f>H98*$B97*$C79</f>
        <v>0</v>
      </c>
    </row>
    <row r="99" spans="1:11">
      <c r="A99">
        <v>7</v>
      </c>
      <c r="B99" s="126">
        <f>B98*(1-C80)</f>
        <v>0.83750601894225796</v>
      </c>
      <c r="C99" s="122">
        <f>$B98*J80</f>
        <v>150.59597249924582</v>
      </c>
      <c r="D99" s="122">
        <f>$B98*N80</f>
        <v>187.14020682666941</v>
      </c>
      <c r="E99" s="122">
        <f>$B98*R80</f>
        <v>206.39757492291534</v>
      </c>
      <c r="F99" s="124">
        <f>MAX(0,$G80-K80)</f>
        <v>2541.0347242608677</v>
      </c>
      <c r="G99" s="124">
        <f>MAX(0,$G80-O80)</f>
        <v>0</v>
      </c>
      <c r="H99" s="124">
        <f>MAX(0,$G80-S80)</f>
        <v>0</v>
      </c>
      <c r="I99" s="122">
        <f>F99*$B98*$C80</f>
        <v>74.903192319805129</v>
      </c>
      <c r="J99" s="122">
        <f>G99*$B98*$C80</f>
        <v>0</v>
      </c>
      <c r="K99" s="122">
        <f>H99*$B98*$C80</f>
        <v>0</v>
      </c>
    </row>
    <row r="100" spans="1:11">
      <c r="A100">
        <v>8</v>
      </c>
      <c r="B100" s="126">
        <f>B99*(1-C81)</f>
        <v>0.80568079022245209</v>
      </c>
      <c r="C100" s="122">
        <f>$B99*J81</f>
        <v>153.68469589520535</v>
      </c>
      <c r="D100" s="122">
        <f>$B99*N81</f>
        <v>198.92471355855528</v>
      </c>
      <c r="E100" s="122">
        <f>$B99*R81</f>
        <v>202.08592958277566</v>
      </c>
      <c r="F100" s="124">
        <f>MAX(0,$G81-K81)</f>
        <v>2647.6972609511959</v>
      </c>
      <c r="G100" s="124">
        <f>MAX(0,$G81-O81)</f>
        <v>462.13699805438955</v>
      </c>
      <c r="H100" s="124">
        <f>MAX(0,$G81-S81)</f>
        <v>0</v>
      </c>
      <c r="I100" s="122">
        <f>F100*$B99*$C81</f>
        <v>84.26357091057514</v>
      </c>
      <c r="J100" s="122">
        <f>G100*$B99*$C81</f>
        <v>14.707615662965395</v>
      </c>
      <c r="K100" s="122">
        <f>H100*$B99*$C81</f>
        <v>0</v>
      </c>
    </row>
    <row r="101" spans="1:11">
      <c r="A101">
        <v>9</v>
      </c>
      <c r="B101" s="126">
        <f>B100*(1-C82)</f>
        <v>0.77184219703310908</v>
      </c>
      <c r="C101" s="122">
        <f>$B100*J82</f>
        <v>155.4833191194989</v>
      </c>
      <c r="D101" s="122">
        <f>$B100*N82</f>
        <v>181.89627791484122</v>
      </c>
      <c r="E101" s="122">
        <f>$B100*R82</f>
        <v>213.09130476793183</v>
      </c>
      <c r="F101" s="124">
        <f>MAX(0,$G82-K82)</f>
        <v>2410.1965581572786</v>
      </c>
      <c r="G101" s="124">
        <f>MAX(0,$G82-O82)</f>
        <v>0</v>
      </c>
      <c r="H101" s="124">
        <f>MAX(0,$G82-S82)</f>
        <v>0</v>
      </c>
      <c r="I101" s="122">
        <f>F101*$B100*$C82</f>
        <v>81.55766083783881</v>
      </c>
      <c r="J101" s="122">
        <f>G101*$B100*$C82</f>
        <v>0</v>
      </c>
      <c r="K101" s="122">
        <f>H101*$B100*$C82</f>
        <v>0</v>
      </c>
    </row>
    <row r="103" spans="1:11">
      <c r="B103" s="126" t="s">
        <v>249</v>
      </c>
      <c r="C103" s="125">
        <f>C93+NPV($C$105,C94:C101)</f>
        <v>1123.8836720744268</v>
      </c>
      <c r="D103" s="125">
        <f>D93+NPV($C$105,D94:D101)</f>
        <v>1366.3012869384499</v>
      </c>
      <c r="E103" s="125">
        <f>E93+NPV($C$105,E94:E101)</f>
        <v>1496.2163408784977</v>
      </c>
      <c r="F103" s="124"/>
      <c r="G103" s="124" t="s">
        <v>248</v>
      </c>
      <c r="I103" s="123">
        <f>NPV($C$105,I92:I101)</f>
        <v>473.32817828663894</v>
      </c>
      <c r="J103" s="123">
        <f>NPV($C$105,J92:J101)</f>
        <v>37.775525060438298</v>
      </c>
      <c r="K103" s="123">
        <f>NPV($C$55,K92:K101)</f>
        <v>0</v>
      </c>
    </row>
    <row r="104" spans="1:11">
      <c r="B104" t="s">
        <v>247</v>
      </c>
    </row>
    <row r="105" spans="1:11">
      <c r="B105" t="s">
        <v>246</v>
      </c>
      <c r="C105" s="66">
        <f>C55</f>
        <v>3.7500000000000006E-2</v>
      </c>
      <c r="I105" s="122"/>
    </row>
    <row r="106" spans="1:11">
      <c r="I106" s="121"/>
    </row>
    <row r="108" spans="1:11">
      <c r="A108" s="120" t="s">
        <v>245</v>
      </c>
    </row>
    <row r="109" spans="1:11">
      <c r="A109" s="120"/>
    </row>
    <row r="110" spans="1:11">
      <c r="A110" s="120"/>
    </row>
    <row r="111" spans="1:11">
      <c r="A111" s="119"/>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3D16CE4023BB4BB4110DFC2802C897" ma:contentTypeVersion="12" ma:contentTypeDescription="Create a new document." ma:contentTypeScope="" ma:versionID="7dc3d3663935be6bf10a75b4167b61c7">
  <xsd:schema xmlns:xsd="http://www.w3.org/2001/XMLSchema" xmlns:xs="http://www.w3.org/2001/XMLSchema" xmlns:p="http://schemas.microsoft.com/office/2006/metadata/properties" xmlns:ns2="16a415e0-cbd2-494f-bd0b-9ec9526163e9" targetNamespace="http://schemas.microsoft.com/office/2006/metadata/properties" ma:root="true" ma:fieldsID="a1fda67aa6625a839560a09cea5ca94f" ns2:_="">
    <xsd:import namespace="16a415e0-cbd2-494f-bd0b-9ec9526163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MediaServiceBillingMetadata"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a415e0-cbd2-494f-bd0b-9ec9526163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267e5f2-3cc9-4b2c-97a9-20aec386c2b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a415e0-cbd2-494f-bd0b-9ec9526163e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D3E0FD0-86EA-4136-ABA3-35B718A8B051}"/>
</file>

<file path=customXml/itemProps2.xml><?xml version="1.0" encoding="utf-8"?>
<ds:datastoreItem xmlns:ds="http://schemas.openxmlformats.org/officeDocument/2006/customXml" ds:itemID="{AD5D2ADD-C81D-4611-8D69-0D1133B607DD}"/>
</file>

<file path=customXml/itemProps3.xml><?xml version="1.0" encoding="utf-8"?>
<ds:datastoreItem xmlns:ds="http://schemas.openxmlformats.org/officeDocument/2006/customXml" ds:itemID="{0DA7152A-1EA4-4967-8E7D-DC378773E917}"/>
</file>

<file path=docMetadata/LabelInfo.xml><?xml version="1.0" encoding="utf-8"?>
<clbl:labelList xmlns:clbl="http://schemas.microsoft.com/office/2020/mipLabelMetadata">
  <clbl:label id="{7b72dd6e-c27c-4639-b124-2b12953460bf}" enabled="0" method="" siteId="{7b72dd6e-c27c-4639-b124-2b12953460b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5</vt:i4>
      </vt:variant>
    </vt:vector>
  </HeadingPairs>
  <TitlesOfParts>
    <vt:vector size="17" baseType="lpstr">
      <vt:lpstr>Instructions</vt:lpstr>
      <vt:lpstr>Rubric</vt:lpstr>
      <vt:lpstr>Model Answer Edits 1a and 1c</vt:lpstr>
      <vt:lpstr>Model Answer Edits 1b</vt:lpstr>
      <vt:lpstr>Q2 answer-bi thru cii</vt:lpstr>
      <vt:lpstr>Part a solution</vt:lpstr>
      <vt:lpstr>Part b(i) solution</vt:lpstr>
      <vt:lpstr>Part b(ii) solution</vt:lpstr>
      <vt:lpstr>Q5(a)(b)</vt:lpstr>
      <vt:lpstr>Q5(a)(b) Alternative Solution</vt:lpstr>
      <vt:lpstr>Draft Model Solution</vt:lpstr>
      <vt:lpstr>Lookups</vt:lpstr>
      <vt:lpstr>'Q5(a)(b)'!_Hlk193310991</vt:lpstr>
      <vt:lpstr>'Q5(a)(b) Alternative Solution'!_Hlk193310991</vt:lpstr>
      <vt:lpstr>'Q5(a)(b)'!_Hlk202180561</vt:lpstr>
      <vt:lpstr>'Q5(a)(b) Alternative Solution'!_Hlk202180561</vt:lpstr>
      <vt:lpstr>SourceList</vt:lpstr>
    </vt:vector>
  </TitlesOfParts>
  <Company>Ameriprise Financial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Farmer, Derek L</dc:creator>
  <cp:lastModifiedBy>Mark Dulceak</cp:lastModifiedBy>
  <dcterms:created xsi:type="dcterms:W3CDTF">2025-02-25T19:07:28Z</dcterms:created>
  <dcterms:modified xsi:type="dcterms:W3CDTF">2026-01-08T17:13:46Z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0x010100A13D16CE4023BB4BB4110DFC2802C897</vt:lpwstr>
  </property>
</Properties>
</file>